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645" windowWidth="27435" windowHeight="14205" tabRatio="793"/>
  </bookViews>
  <sheets>
    <sheet name="ImportantDisclosures" sheetId="105" r:id="rId1"/>
    <sheet name="sumry" sheetId="11" r:id="rId2"/>
    <sheet name="Valuation" sheetId="52" r:id="rId3"/>
    <sheet name="BullBaseBear" sheetId="60" r:id="rId4"/>
    <sheet name="stores" sheetId="44" r:id="rId5"/>
    <sheet name="qtrP&amp;L" sheetId="1" r:id="rId6"/>
    <sheet name="qtrSales" sheetId="3" r:id="rId7"/>
    <sheet name="yrSales" sheetId="4" r:id="rId8"/>
    <sheet name="yrP&amp;L" sheetId="5" r:id="rId9"/>
    <sheet name="DCF" sheetId="81" r:id="rId10"/>
    <sheet name="qtr_CF_BS" sheetId="64" state="hidden" r:id="rId11"/>
    <sheet name="dtc" sheetId="7" r:id="rId12"/>
    <sheet name="wc" sheetId="6" r:id="rId13"/>
    <sheet name="flow" sheetId="10" r:id="rId14"/>
    <sheet name="bal" sheetId="9" r:id="rId15"/>
    <sheet name="turn" sheetId="8" r:id="rId16"/>
    <sheet name="Leases" sheetId="41" r:id="rId17"/>
    <sheet name="IndexInformation" sheetId="106" r:id="rId18"/>
    <sheet name="ModPubIndex" sheetId="107" r:id="rId19"/>
    <sheet name="MW-Cache" sheetId="15" state="veryHidden" r:id="rId20"/>
    <sheet name="__FDSCACHE__" sheetId="17" state="veryHidden" r:id="rId21"/>
  </sheets>
  <functionGroups builtInGroupCount="17"/>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s>
  <definedNames>
    <definedName name="__FDS_HYPERLINK_TOGGLE_STATE__" hidden="1">"ON"</definedName>
    <definedName name="__FDS_UNIQUE_RANGE_ID_GENERATOR_COUNTER" localSheetId="9" hidden="1">1</definedName>
    <definedName name="__FDS_UNIQUE_RANGE_ID_GENERATOR_COUNTER" localSheetId="16">155</definedName>
    <definedName name="__FDS_UNIQUE_RANGE_ID_GENERATOR_COUNTER">155</definedName>
    <definedName name="__FDS_USED_FOR_REUSING_RANGE_IDS_RECYCLE">{1,1,1,1}</definedName>
    <definedName name="_1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0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0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00__FDSAUDITLINK__" localSheetId="9" hidden="1">{"fdsup://Directions/FactSet Auditing Viewer?action=AUDIT_VALUE&amp;DB=129&amp;ID1=07589610&amp;VALUEID=01001&amp;SDATE=200702&amp;PERIODTYPE=QTR_STD&amp;window=popup_no_bar&amp;width=385&amp;height=120&amp;START_MAXIMIZED=FALSE&amp;creator=factset&amp;display_string=Audit"}</definedName>
    <definedName name="_100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localSheetId="9" hidden="1">{"fdsup://Directions/FactSet Auditing Viewer?action=AUDIT_VALUE&amp;DB=129&amp;ID1=07589610&amp;VALUEID=01001&amp;SDATE=200701&amp;PERIODTYPE=QTR_STD&amp;window=popup_no_bar&amp;width=385&amp;height=120&amp;START_MAXIMIZED=FALSE&amp;creator=factset&amp;display_string=Audit"}</definedName>
    <definedName name="_101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localSheetId="9" hidden="1">{"fdsup://Directions/FactSet Auditing Viewer?action=AUDIT_VALUE&amp;DB=129&amp;ID1=07589610&amp;VALUEID=01001&amp;SDATE=200604&amp;PERIODTYPE=QTR_STD&amp;window=popup_no_bar&amp;width=385&amp;height=120&amp;START_MAXIMIZED=FALSE&amp;creator=factset&amp;display_string=Audit"}</definedName>
    <definedName name="_102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localSheetId="9" hidden="1">{"fdsup://Directions/FactSet Auditing Viewer?action=AUDIT_VALUE&amp;DB=129&amp;ID1=07589610&amp;VALUEID=01001&amp;SDATE=200603&amp;PERIODTYPE=QTR_STD&amp;window=popup_no_bar&amp;width=385&amp;height=120&amp;START_MAXIMIZED=FALSE&amp;creator=factset&amp;display_string=Audit"}</definedName>
    <definedName name="_103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localSheetId="9" hidden="1">{"fdsup://Directions/FactSet Auditing Viewer?action=AUDIT_VALUE&amp;DB=129&amp;ID1=07589610&amp;VALUEID=01001&amp;SDATE=200602&amp;PERIODTYPE=QTR_STD&amp;window=popup_no_bar&amp;width=385&amp;height=120&amp;START_MAXIMIZED=FALSE&amp;creator=factset&amp;display_string=Audit"}</definedName>
    <definedName name="_104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localSheetId="9" hidden="1">{"fdsup://Directions/FactSet Auditing Viewer?action=AUDIT_VALUE&amp;DB=129&amp;ID1=07589610&amp;VALUEID=01001&amp;SDATE=200601&amp;PERIODTYPE=QTR_STD&amp;window=popup_no_bar&amp;width=385&amp;height=120&amp;START_MAXIMIZED=FALSE&amp;creator=factset&amp;display_string=Audit"}</definedName>
    <definedName name="_105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localSheetId="9" hidden="1">{"fdsup://Directions/FactSet Auditing Viewer?action=AUDIT_VALUE&amp;DB=129&amp;ID1=07589610&amp;VALUEID=01001&amp;SDATE=200503&amp;PERIODTYPE=QTR_STD&amp;window=popup_no_bar&amp;width=385&amp;height=120&amp;START_MAXIMIZED=FALSE&amp;creator=factset&amp;display_string=Audit"}</definedName>
    <definedName name="_106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localSheetId="9" hidden="1">{"fdsup://Directions/FactSet Auditing Viewer?action=AUDIT_VALUE&amp;DB=129&amp;ID1=96990410&amp;VALUEID=01001&amp;SDATE=200903&amp;PERIODTYPE=QTR_STD&amp;window=popup_no_bar&amp;width=385&amp;height=120&amp;START_MAXIMIZED=FALSE&amp;creator=factset&amp;display_string=Audit"}</definedName>
    <definedName name="_107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localSheetId="9" hidden="1">{"fdsup://Directions/FactSet Auditing Viewer?action=AUDIT_VALUE&amp;DB=129&amp;ID1=96990410&amp;VALUEID=01001&amp;SDATE=200902&amp;PERIODTYPE=QTR_STD&amp;window=popup_no_bar&amp;width=385&amp;height=120&amp;START_MAXIMIZED=FALSE&amp;creator=factset&amp;display_string=Audit"}</definedName>
    <definedName name="_108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localSheetId="9" hidden="1">{"fdsup://Directions/FactSet Auditing Viewer?action=AUDIT_VALUE&amp;DB=129&amp;ID1=96990410&amp;VALUEID=01001&amp;SDATE=200901&amp;PERIODTYPE=QTR_STD&amp;window=popup_no_bar&amp;width=385&amp;height=120&amp;START_MAXIMIZED=FALSE&amp;creator=factset&amp;display_string=Audit"}</definedName>
    <definedName name="_109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1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10__FDSAUDITLINK__" localSheetId="9" hidden="1">{"fdsup://Directions/FactSet Auditing Viewer?action=AUDIT_VALUE&amp;DB=129&amp;ID1=96990410&amp;VALUEID=01001&amp;SDATE=200804&amp;PERIODTYPE=QTR_STD&amp;window=popup_no_bar&amp;width=385&amp;height=120&amp;START_MAXIMIZED=FALSE&amp;creator=factset&amp;display_string=Audit"}</definedName>
    <definedName name="_110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localSheetId="9" hidden="1">{"fdsup://Directions/FactSet Auditing Viewer?action=AUDIT_VALUE&amp;DB=129&amp;ID1=96990410&amp;VALUEID=01001&amp;SDATE=200803&amp;PERIODTYPE=QTR_STD&amp;window=popup_no_bar&amp;width=385&amp;height=120&amp;START_MAXIMIZED=FALSE&amp;creator=factset&amp;display_string=Audit"}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localSheetId="9" hidden="1">{"fdsup://Directions/FactSet Auditing Viewer?action=AUDIT_VALUE&amp;DB=129&amp;ID1=96990410&amp;VALUEID=01001&amp;SDATE=200802&amp;PERIODTYPE=QTR_STD&amp;window=popup_no_bar&amp;width=385&amp;height=120&amp;START_MAXIMIZED=FALSE&amp;creator=factset&amp;display_string=Audit"}</definedName>
    <definedName name="_112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localSheetId="9" hidden="1">{"fdsup://Directions/FactSet Auditing Viewer?action=AUDIT_VALUE&amp;DB=129&amp;ID1=96990410&amp;VALUEID=01001&amp;SDATE=200801&amp;PERIODTYPE=QTR_STD&amp;window=popup_no_bar&amp;width=385&amp;height=120&amp;START_MAXIMIZED=FALSE&amp;creator=factset&amp;display_string=Audit"}</definedName>
    <definedName name="_113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localSheetId="9" hidden="1">{"fdsup://Directions/FactSet Auditing Viewer?action=AUDIT_VALUE&amp;DB=129&amp;ID1=96990410&amp;VALUEID=01001&amp;SDATE=200704&amp;PERIODTYPE=QTR_STD&amp;window=popup_no_bar&amp;width=385&amp;height=120&amp;START_MAXIMIZED=FALSE&amp;creator=factset&amp;display_string=Audit"}</definedName>
    <definedName name="_114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localSheetId="9" hidden="1">{"fdsup://Directions/FactSet Auditing Viewer?action=AUDIT_VALUE&amp;DB=129&amp;ID1=96990410&amp;VALUEID=01001&amp;SDATE=200703&amp;PERIODTYPE=QTR_STD&amp;window=popup_no_bar&amp;width=385&amp;height=120&amp;START_MAXIMIZED=FALSE&amp;creator=factset&amp;display_string=Audit"}</definedName>
    <definedName name="_115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localSheetId="9" hidden="1">{"fdsup://Directions/FactSet Auditing Viewer?action=AUDIT_VALUE&amp;DB=129&amp;ID1=96990410&amp;VALUEID=01001&amp;SDATE=200702&amp;PERIODTYPE=QTR_STD&amp;window=popup_no_bar&amp;width=385&amp;height=120&amp;START_MAXIMIZED=FALSE&amp;creator=factset&amp;display_string=Audit"}</definedName>
    <definedName name="_116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localSheetId="9" hidden="1">{"fdsup://Directions/FactSet Auditing Viewer?action=AUDIT_VALUE&amp;DB=129&amp;ID1=96990410&amp;VALUEID=01001&amp;SDATE=200701&amp;PERIODTYPE=QTR_STD&amp;window=popup_no_bar&amp;width=385&amp;height=120&amp;START_MAXIMIZED=FALSE&amp;creator=factset&amp;display_string=Audit"}</definedName>
    <definedName name="_117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localSheetId="9" hidden="1">{"fdsup://Directions/FactSet Auditing Viewer?action=AUDIT_VALUE&amp;DB=129&amp;ID1=96990410&amp;VALUEID=01001&amp;SDATE=200604&amp;PERIODTYPE=QTR_STD&amp;window=popup_no_bar&amp;width=385&amp;height=120&amp;START_MAXIMIZED=FALSE&amp;creator=factset&amp;display_string=Audit"}</definedName>
    <definedName name="_118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localSheetId="9" hidden="1">{"fdsup://Directions/FactSet Auditing Viewer?action=AUDIT_VALUE&amp;DB=129&amp;ID1=96990410&amp;VALUEID=01001&amp;SDATE=200603&amp;PERIODTYPE=QTR_STD&amp;window=popup_no_bar&amp;width=385&amp;height=120&amp;START_MAXIMIZED=FALSE&amp;creator=factset&amp;display_string=Audit"}</definedName>
    <definedName name="_119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2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20__FDSAUDITLINK__" localSheetId="9" hidden="1">{"fdsup://Directions/FactSet Auditing Viewer?action=AUDIT_VALUE&amp;DB=129&amp;ID1=96990410&amp;VALUEID=01001&amp;SDATE=200602&amp;PERIODTYPE=QTR_STD&amp;window=popup_no_bar&amp;width=385&amp;height=120&amp;START_MAXIMIZED=FALSE&amp;creator=factset&amp;display_string=Audit"}</definedName>
    <definedName name="_120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localSheetId="9" hidden="1">{"fdsup://Directions/FactSet Auditing Viewer?action=AUDIT_VALUE&amp;DB=129&amp;ID1=96990410&amp;VALUEID=01001&amp;SDATE=200601&amp;PERIODTYPE=QTR_STD&amp;window=popup_no_bar&amp;width=385&amp;height=120&amp;START_MAXIMIZED=FALSE&amp;creator=factset&amp;display_string=Audit"}</definedName>
    <definedName name="_121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localSheetId="9" hidden="1">{"fdsup://Directions/FactSet Auditing Viewer?action=AUDIT_VALUE&amp;DB=129&amp;ID1=81235010&amp;VALUEID=01001&amp;SDATE=200903&amp;PERIODTYPE=QTR_STD&amp;window=popup_no_bar&amp;width=385&amp;height=120&amp;START_MAXIMIZED=FALSE&amp;creator=factset&amp;display_string=Audit"}</definedName>
    <definedName name="_122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localSheetId="9" hidden="1">{"fdsup://Directions/FactSet Auditing Viewer?action=AUDIT_VALUE&amp;DB=129&amp;ID1=81235010&amp;VALUEID=01001&amp;SDATE=200902&amp;PERIODTYPE=QTR_STD&amp;window=popup_no_bar&amp;width=385&amp;height=120&amp;START_MAXIMIZED=FALSE&amp;creator=factset&amp;display_string=Audit"}</definedName>
    <definedName name="_123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localSheetId="9" hidden="1">{"fdsup://Directions/FactSet Auditing Viewer?action=AUDIT_VALUE&amp;DB=129&amp;ID1=81235010&amp;VALUEID=01001&amp;SDATE=200901&amp;PERIODTYPE=QTR_STD&amp;window=popup_no_bar&amp;width=385&amp;height=120&amp;START_MAXIMIZED=FALSE&amp;creator=factset&amp;display_string=Audit"}</definedName>
    <definedName name="_124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localSheetId="9" hidden="1">{"fdsup://Directions/FactSet Auditing Viewer?action=AUDIT_VALUE&amp;DB=129&amp;ID1=81235010&amp;VALUEID=01001&amp;SDATE=200804&amp;PERIODTYPE=QTR_STD&amp;window=popup_no_bar&amp;width=385&amp;height=120&amp;START_MAXIMIZED=FALSE&amp;creator=factset&amp;display_string=Audit"}</definedName>
    <definedName name="_125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localSheetId="9" hidden="1">{"fdsup://Directions/FactSet Auditing Viewer?action=AUDIT_VALUE&amp;DB=129&amp;ID1=81235010&amp;VALUEID=01001&amp;SDATE=200803&amp;PERIODTYPE=QTR_STD&amp;window=popup_no_bar&amp;width=385&amp;height=120&amp;START_MAXIMIZED=FALSE&amp;creator=factset&amp;display_string=Audit"}</definedName>
    <definedName name="_126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localSheetId="9" hidden="1">{"fdsup://Directions/FactSet Auditing Viewer?action=AUDIT_VALUE&amp;DB=129&amp;ID1=81235010&amp;VALUEID=01001&amp;SDATE=200802&amp;PERIODTYPE=QTR_STD&amp;window=popup_no_bar&amp;width=385&amp;height=120&amp;START_MAXIMIZED=FALSE&amp;creator=factset&amp;display_string=Audit"}</definedName>
    <definedName name="_127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localSheetId="9" hidden="1">{"fdsup://Directions/FactSet Auditing Viewer?action=AUDIT_VALUE&amp;DB=129&amp;ID1=81235010&amp;VALUEID=01001&amp;SDATE=200801&amp;PERIODTYPE=QTR_STD&amp;window=popup_no_bar&amp;width=385&amp;height=120&amp;START_MAXIMIZED=FALSE&amp;creator=factset&amp;display_string=Audit"}</definedName>
    <definedName name="_128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localSheetId="9" hidden="1">{"fdsup://Directions/FactSet Auditing Viewer?action=AUDIT_VALUE&amp;DB=129&amp;ID1=81235010&amp;VALUEID=01001&amp;SDATE=200704&amp;PERIODTYPE=QTR_STD&amp;window=popup_no_bar&amp;width=385&amp;height=120&amp;START_MAXIMIZED=FALSE&amp;creator=factset&amp;display_string=Audit"}</definedName>
    <definedName name="_129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3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30__FDSAUDITLINK__" localSheetId="9" hidden="1">{"fdsup://Directions/FactSet Auditing Viewer?action=AUDIT_VALUE&amp;DB=129&amp;ID1=81235010&amp;VALUEID=01001&amp;SDATE=200703&amp;PERIODTYPE=QTR_STD&amp;window=popup_no_bar&amp;width=385&amp;height=120&amp;START_MAXIMIZED=FALSE&amp;creator=factset&amp;display_string=Audit"}</definedName>
    <definedName name="_130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localSheetId="9" hidden="1">{"fdsup://Directions/FactSet Auditing Viewer?action=AUDIT_VALUE&amp;DB=129&amp;ID1=81235010&amp;VALUEID=01001&amp;SDATE=200702&amp;PERIODTYPE=QTR_STD&amp;window=popup_no_bar&amp;width=385&amp;height=120&amp;START_MAXIMIZED=FALSE&amp;creator=factset&amp;display_string=Audit"}</definedName>
    <definedName name="_131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localSheetId="9" hidden="1">{"fdsup://Directions/FactSet Auditing Viewer?action=AUDIT_VALUE&amp;DB=129&amp;ID1=81235010&amp;VALUEID=01001&amp;SDATE=200701&amp;PERIODTYPE=QTR_STD&amp;window=popup_no_bar&amp;width=385&amp;height=120&amp;START_MAXIMIZED=FALSE&amp;creator=factset&amp;display_string=Audit"}</definedName>
    <definedName name="_132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localSheetId="9" hidden="1">{"fdsup://Directions/FactSet Auditing Viewer?action=AUDIT_VALUE&amp;DB=129&amp;ID1=81235010&amp;VALUEID=01001&amp;SDATE=200604&amp;PERIODTYPE=QTR_STD&amp;window=popup_no_bar&amp;width=385&amp;height=120&amp;START_MAXIMIZED=FALSE&amp;creator=factset&amp;display_string=Audit"}</definedName>
    <definedName name="_133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localSheetId="9" hidden="1">{"fdsup://Directions/FactSet Auditing Viewer?action=AUDIT_VALUE&amp;DB=129&amp;ID1=81235010&amp;VALUEID=01001&amp;SDATE=200603&amp;PERIODTYPE=QTR_STD&amp;window=popup_no_bar&amp;width=385&amp;height=120&amp;START_MAXIMIZED=FALSE&amp;creator=factset&amp;display_string=Audit"}</definedName>
    <definedName name="_134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localSheetId="9" hidden="1">{"fdsup://Directions/FactSet Auditing Viewer?action=AUDIT_VALUE&amp;DB=129&amp;ID1=81235010&amp;VALUEID=01001&amp;SDATE=200602&amp;PERIODTYPE=QTR_STD&amp;window=popup_no_bar&amp;width=385&amp;height=120&amp;START_MAXIMIZED=FALSE&amp;creator=factset&amp;display_string=Audit"}</definedName>
    <definedName name="_135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localSheetId="9" hidden="1">{"fdsup://Directions/FactSet Auditing Viewer?action=AUDIT_VALUE&amp;DB=129&amp;ID1=81235010&amp;VALUEID=01001&amp;SDATE=200601&amp;PERIODTYPE=QTR_STD&amp;window=popup_no_bar&amp;width=385&amp;height=120&amp;START_MAXIMIZED=FALSE&amp;creator=factset&amp;display_string=Audit"}</definedName>
    <definedName name="_136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localSheetId="9" hidden="1">{"fdsup://Directions/FactSet Auditing Viewer?action=AUDIT_VALUE&amp;DB=129&amp;ID1=82434810&amp;VALUEID=01001&amp;SDATE=200903&amp;PERIODTYPE=QTR_STD&amp;window=popup_no_bar&amp;width=385&amp;height=120&amp;START_MAXIMIZED=FALSE&amp;creator=factset&amp;display_string=Audit"}</definedName>
    <definedName name="_137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localSheetId="9" hidden="1">{"fdsup://Directions/FactSet Auditing Viewer?action=AUDIT_VALUE&amp;DB=129&amp;ID1=82434810&amp;VALUEID=01001&amp;SDATE=200902&amp;PERIODTYPE=QTR_STD&amp;window=popup_no_bar&amp;width=385&amp;height=120&amp;START_MAXIMIZED=FALSE&amp;creator=factset&amp;display_string=Audit"}</definedName>
    <definedName name="_138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localSheetId="9" hidden="1">{"fdsup://Directions/FactSet Auditing Viewer?action=AUDIT_VALUE&amp;DB=129&amp;ID1=82434810&amp;VALUEID=01001&amp;SDATE=200901&amp;PERIODTYPE=QTR_STD&amp;window=popup_no_bar&amp;width=385&amp;height=120&amp;START_MAXIMIZED=FALSE&amp;creator=factset&amp;display_string=Audit"}</definedName>
    <definedName name="_139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4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40__FDSAUDITLINK__" localSheetId="9" hidden="1">{"fdsup://Directions/FactSet Auditing Viewer?action=AUDIT_VALUE&amp;DB=129&amp;ID1=82434810&amp;VALUEID=01001&amp;SDATE=200803&amp;PERIODTYPE=QTR_STD&amp;window=popup_no_bar&amp;width=385&amp;height=120&amp;START_MAXIMIZED=FALSE&amp;creator=factset&amp;display_string=Audit"}</definedName>
    <definedName name="_140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localSheetId="9" hidden="1">{"fdsup://Directions/FactSet Auditing Viewer?action=AUDIT_VALUE&amp;DB=129&amp;ID1=82434810&amp;VALUEID=01001&amp;SDATE=200802&amp;PERIODTYPE=QTR_STD&amp;window=popup_no_bar&amp;width=385&amp;height=120&amp;START_MAXIMIZED=FALSE&amp;creator=factset&amp;display_string=Audit"}</definedName>
    <definedName name="_141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localSheetId="9" hidden="1">{"fdsup://Directions/FactSet Auditing Viewer?action=AUDIT_VALUE&amp;DB=129&amp;ID1=82434810&amp;VALUEID=01001&amp;SDATE=200801&amp;PERIODTYPE=QTR_STD&amp;window=popup_no_bar&amp;width=385&amp;height=120&amp;START_MAXIMIZED=FALSE&amp;creator=factset&amp;display_string=Audit"}</definedName>
    <definedName name="_142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localSheetId="9" hidden="1">{"fdsup://Directions/FactSet Auditing Viewer?action=AUDIT_VALUE&amp;DB=129&amp;ID1=82434810&amp;VALUEID=01001&amp;SDATE=200704&amp;PERIODTYPE=QTR_STD&amp;window=popup_no_bar&amp;width=385&amp;height=120&amp;START_MAXIMIZED=FALSE&amp;creator=factset&amp;display_string=Audit"}</definedName>
    <definedName name="_143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localSheetId="9" hidden="1">{"fdsup://Directions/FactSet Auditing Viewer?action=AUDIT_VALUE&amp;DB=129&amp;ID1=82434810&amp;VALUEID=01001&amp;SDATE=200703&amp;PERIODTYPE=QTR_STD&amp;window=popup_no_bar&amp;width=385&amp;height=120&amp;START_MAXIMIZED=FALSE&amp;creator=factset&amp;display_string=Audit"}</definedName>
    <definedName name="_144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localSheetId="9" hidden="1">{"fdsup://Directions/FactSet Auditing Viewer?action=AUDIT_VALUE&amp;DB=129&amp;ID1=82434810&amp;VALUEID=01001&amp;SDATE=200702&amp;PERIODTYPE=QTR_STD&amp;window=popup_no_bar&amp;width=385&amp;height=120&amp;START_MAXIMIZED=FALSE&amp;creator=factset&amp;display_string=Audit"}</definedName>
    <definedName name="_145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localSheetId="9" hidden="1">{"fdsup://Directions/FactSet Auditing Viewer?action=AUDIT_VALUE&amp;DB=129&amp;ID1=82434810&amp;VALUEID=01001&amp;SDATE=200701&amp;PERIODTYPE=QTR_STD&amp;window=popup_no_bar&amp;width=385&amp;height=120&amp;START_MAXIMIZED=FALSE&amp;creator=factset&amp;display_string=Audit"}</definedName>
    <definedName name="_146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localSheetId="9" hidden="1">{"fdsup://Directions/FactSet Auditing Viewer?action=AUDIT_VALUE&amp;DB=129&amp;ID1=82434810&amp;VALUEID=01001&amp;SDATE=200603&amp;PERIODTYPE=QTR_STD&amp;window=popup_no_bar&amp;width=385&amp;height=120&amp;START_MAXIMIZED=FALSE&amp;creator=factset&amp;display_string=Audit"}</definedName>
    <definedName name="_147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localSheetId="9" hidden="1">{"fdsup://Directions/FactSet Auditing Viewer?action=AUDIT_VALUE&amp;DB=129&amp;ID1=82434810&amp;VALUEID=01001&amp;SDATE=200602&amp;PERIODTYPE=QTR_STD&amp;window=popup_no_bar&amp;width=385&amp;height=120&amp;START_MAXIMIZED=FALSE&amp;creator=factset&amp;display_string=Audit"}</definedName>
    <definedName name="_14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localSheetId="9" hidden="1">{"fdsup://Directions/FactSet Auditing Viewer?action=AUDIT_VALUE&amp;DB=129&amp;ID1=82434810&amp;VALUEID=01001&amp;SDATE=200601&amp;PERIODTYPE=QTR_STD&amp;window=popup_no_bar&amp;width=385&amp;height=120&amp;START_MAXIMIZED=FALSE&amp;creator=factset&amp;display_string=Audit"}</definedName>
    <definedName name="_149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5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0__FDSAUDITLINK__" localSheetId="9" hidden="1">{"fdsup://Directions/FactSet Auditing Viewer?action=AUDIT_VALUE&amp;DB=129&amp;ID1=57459910&amp;VALUEID=01001&amp;SDATE=200903&amp;PERIODTYPE=QTR_STD&amp;window=popup_no_bar&amp;width=385&amp;height=120&amp;START_MAXIMIZED=FALSE&amp;creator=factset&amp;display_string=Audit"}</definedName>
    <definedName name="_150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localSheetId="9" hidden="1">{"fdsup://Directions/FactSet Auditing Viewer?action=AUDIT_VALUE&amp;DB=129&amp;ID1=57459910&amp;VALUEID=01001&amp;SDATE=200902&amp;PERIODTYPE=QTR_STD&amp;window=popup_no_bar&amp;width=385&amp;height=120&amp;START_MAXIMIZED=FALSE&amp;creator=factset&amp;display_string=Audit"}</definedName>
    <definedName name="_151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localSheetId="9" hidden="1">{"fdsup://Directions/FactSet Auditing Viewer?action=AUDIT_VALUE&amp;DB=129&amp;ID1=57459910&amp;VALUEID=01001&amp;SDATE=200901&amp;PERIODTYPE=QTR_STD&amp;window=popup_no_bar&amp;width=385&amp;height=120&amp;START_MAXIMIZED=FALSE&amp;creator=factset&amp;display_string=Audit"}</definedName>
    <definedName name="_152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localSheetId="9" hidden="1">{"fdsup://Directions/FactSet Auditing Viewer?action=AUDIT_VALUE&amp;DB=129&amp;ID1=57459910&amp;VALUEID=01001&amp;SDATE=200804&amp;PERIODTYPE=QTR_STD&amp;window=popup_no_bar&amp;width=385&amp;height=120&amp;START_MAXIMIZED=FALSE&amp;creator=factset&amp;display_string=Audit"}</definedName>
    <definedName name="_153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localSheetId="9" hidden="1">{"fdsup://Directions/FactSet Auditing Viewer?action=AUDIT_VALUE&amp;DB=129&amp;ID1=57459910&amp;VALUEID=01001&amp;SDATE=200803&amp;PERIODTYPE=QTR_STD&amp;window=popup_no_bar&amp;width=385&amp;height=120&amp;START_MAXIMIZED=FALSE&amp;creator=factset&amp;display_string=Audit"}</definedName>
    <definedName name="_154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55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56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57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58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59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6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6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60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161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162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163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164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65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66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67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68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69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7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7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70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171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172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173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174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75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76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77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78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79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8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8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80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181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182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183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184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85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86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87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88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89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9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9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90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191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192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193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194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95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196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97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198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199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0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0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0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00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01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02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0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04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05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06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07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08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09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1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10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1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12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13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14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15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16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17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18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19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2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2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20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21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22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23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24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25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26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27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28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29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3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3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3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31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32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33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34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35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36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37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38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39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4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4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40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41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42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43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44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45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46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47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48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49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5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50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50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51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52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53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54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55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56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57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58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59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6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60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60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61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62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63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64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65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66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67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68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69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7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70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70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71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72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73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74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75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76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77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78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79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8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8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80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8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81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8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82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8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8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8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84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8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85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86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8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87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8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88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8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89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9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9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90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9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91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9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292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9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93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9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294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9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95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9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296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9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97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9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298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9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299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3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3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0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30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0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30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01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30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02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30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03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30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04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30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05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30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06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07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30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08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30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09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31__FDSAUDITLINK__" localSheetId="9" hidden="1">{"fdsup://Directions/FactSet Auditing Viewer?action=AUDIT_VALUE&amp;DB=129&amp;ID1=87612E10&amp;VALUEID=01001&amp;SDATE=200604&amp;PERIODTYPE=QTR_STD&amp;window=popup_no_bar&amp;width=385&amp;height=120&amp;START_MAXIMIZED=FALSE&amp;creator=factset&amp;display_string=Audit"}</definedName>
    <definedName name="_31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31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10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31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11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31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12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31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13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31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14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31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15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31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16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31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17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31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18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31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19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32__FDSAUDITLINK__" localSheetId="9" hidden="1">{"fdsup://Directions/FactSet Auditing Viewer?action=AUDIT_VALUE&amp;DB=129&amp;ID1=87612E10&amp;VALUEID=01001&amp;SDATE=200701&amp;PERIODTYPE=QTR_STD&amp;window=popup_no_bar&amp;width=385&amp;height=120&amp;START_MAXIMIZED=FALSE&amp;creator=factset&amp;display_string=Audit"}</definedName>
    <definedName name="_32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32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20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32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21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32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22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32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23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32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24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32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25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32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26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32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2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32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28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32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29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33__FDSAUDITLINK__" localSheetId="9" hidden="1">{"fdsup://Directions/FactSet Auditing Viewer?action=AUDIT_VALUE&amp;DB=129&amp;ID1=87612E10&amp;VALUEID=01001&amp;SDATE=200702&amp;PERIODTYPE=QTR_STD&amp;window=popup_no_bar&amp;width=385&amp;height=120&amp;START_MAXIMIZED=FALSE&amp;creator=factset&amp;display_string=Audit"}</definedName>
    <definedName name="_33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33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30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33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31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33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32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33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33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34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33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35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33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36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33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37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33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38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33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39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34__FDSAUDITLINK__" localSheetId="9" hidden="1">{"fdsup://Directions/FactSet Auditing Viewer?action=AUDIT_VALUE&amp;DB=129&amp;ID1=87612E10&amp;VALUEID=01001&amp;SDATE=200703&amp;PERIODTYPE=QTR_STD&amp;window=popup_no_bar&amp;width=385&amp;height=120&amp;START_MAXIMIZED=FALSE&amp;creator=factset&amp;display_string=Audit"}</definedName>
    <definedName name="_34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34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40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34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41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34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42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43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34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44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34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45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34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46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34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47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34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48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34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49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35__FDSAUDITLINK__" localSheetId="9" hidden="1">{"fdsup://Directions/FactSet Auditing Viewer?action=AUDIT_VALUE&amp;DB=129&amp;ID1=87612E10&amp;VALUEID=01001&amp;SDATE=200704&amp;PERIODTYPE=QTR_STD&amp;window=popup_no_bar&amp;width=385&amp;height=120&amp;START_MAXIMIZED=FALSE&amp;creator=factset&amp;display_string=Audit"}</definedName>
    <definedName name="_35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35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50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35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51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35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52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35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53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35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54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35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55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35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56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35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57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35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58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35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59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36__FDSAUDITLINK__" localSheetId="9" hidden="1">{"fdsup://Directions/FactSet Auditing Viewer?action=AUDIT_VALUE&amp;DB=129&amp;ID1=87612E10&amp;VALUEID=01001&amp;SDATE=200801&amp;PERIODTYPE=QTR_STD&amp;window=popup_no_bar&amp;width=385&amp;height=120&amp;START_MAXIMIZED=FALSE&amp;creator=factset&amp;display_string=Audit"}</definedName>
    <definedName name="_3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36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60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36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61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36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62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63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36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64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36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65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36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66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36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67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36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68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36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69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7__FDSAUDITLINK__" localSheetId="9" hidden="1">{"fdsup://Directions/FactSet Auditing Viewer?action=AUDIT_VALUE&amp;DB=129&amp;ID1=87612E10&amp;VALUEID=01001&amp;SDATE=200802&amp;PERIODTYPE=QTR_STD&amp;window=popup_no_bar&amp;width=385&amp;height=120&amp;START_MAXIMIZED=FALSE&amp;creator=factset&amp;display_string=Audit"}</definedName>
    <definedName name="_37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37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70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71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72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37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73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74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75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37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76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77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78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37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79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8__FDSAUDITLINK__" localSheetId="9" hidden="1">{"fdsup://Directions/FactSet Auditing Viewer?action=AUDIT_VALUE&amp;DB=129&amp;ID1=87612E10&amp;VALUEID=01001&amp;SDATE=200803&amp;PERIODTYPE=QTR_STD&amp;window=popup_no_bar&amp;width=385&amp;height=120&amp;START_MAXIMIZED=FALSE&amp;creator=factset&amp;display_string=Audit"}</definedName>
    <definedName name="_38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38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80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38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81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38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82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38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83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38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8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38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85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38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86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38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87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38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8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38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89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39__FDSAUDITLINK__" localSheetId="9" hidden="1">{"fdsup://Directions/FactSet Auditing Viewer?action=AUDIT_VALUE&amp;DB=129&amp;ID1=87612E10&amp;VALUEID=01001&amp;SDATE=200804&amp;PERIODTYPE=QTR_STD&amp;window=popup_no_bar&amp;width=385&amp;height=120&amp;START_MAXIMIZED=FALSE&amp;creator=factset&amp;display_string=Audit"}</definedName>
    <definedName name="_39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39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90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39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9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39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392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39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93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39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394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39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95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39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396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39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97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39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398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39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399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4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0__FDSAUDITLINK__" localSheetId="9" hidden="1">{"fdsup://Directions/FactSet Auditing Viewer?action=AUDIT_VALUE&amp;DB=129&amp;ID1=87612E10&amp;VALUEID=01001&amp;SDATE=200902&amp;PERIODTYPE=QTR_STD&amp;window=popup_no_bar&amp;width=385&amp;height=120&amp;START_MAXIMIZED=FALSE&amp;creator=factset&amp;display_string=Audit"}</definedName>
    <definedName name="_40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0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0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40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01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40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02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40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40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0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40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05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40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06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40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0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40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08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40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09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41__FDSAUDITLINK__" localSheetId="9" hidden="1">{"fdsup://Directions/FactSet Auditing Viewer?action=AUDIT_VALUE&amp;DB=129&amp;ID1=87612E10&amp;VALUEID=01001&amp;SDATE=200903&amp;PERIODTYPE=QTR_STD&amp;window=popup_no_bar&amp;width=385&amp;height=120&amp;START_MAXIMIZED=FALSE&amp;creator=factset&amp;display_string=Audit"}</definedName>
    <definedName name="_41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1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1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41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11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41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12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41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13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41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1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41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15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41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16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41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17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41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1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41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19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42__FDSAUDITLINK__" localSheetId="9" hidden="1">{"fdsup://Directions/FactSet Auditing Viewer?action=AUDIT_VALUE&amp;DB=129&amp;ID1=05548J10&amp;VALUEID=01001&amp;SDATE=200601&amp;PERIODTYPE=QTR_STD&amp;window=popup_no_bar&amp;width=385&amp;height=120&amp;START_MAXIMIZED=FALSE&amp;creator=factset&amp;display_string=Audit"}</definedName>
    <definedName name="_42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2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20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42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2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42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42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23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42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24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42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2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42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26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42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27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42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2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42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29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43__FDSAUDITLINK__" localSheetId="9" hidden="1">{"fdsup://Directions/FactSet Auditing Viewer?action=AUDIT_VALUE&amp;DB=129&amp;ID1=05548J10&amp;VALUEID=01001&amp;SDATE=200602&amp;PERIODTYPE=QTR_STD&amp;window=popup_no_bar&amp;width=385&amp;height=120&amp;START_MAXIMIZED=FALSE&amp;creator=factset&amp;display_string=Audit"}</definedName>
    <definedName name="_43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3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30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43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3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43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32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43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33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43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34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43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3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43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3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43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37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43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3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3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3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4__FDSAUDITLINK__" localSheetId="9" hidden="1">{"fdsup://Directions/FactSet Auditing Viewer?action=AUDIT_VALUE&amp;DB=129&amp;ID1=05548J10&amp;VALUEID=01001&amp;SDATE=200603&amp;PERIODTYPE=QTR_STD&amp;window=popup_no_bar&amp;width=385&amp;height=120&amp;START_MAXIMIZED=FALSE&amp;creator=factset&amp;display_string=Audit"}</definedName>
    <definedName name="_44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4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4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4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4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44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4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44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4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4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44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44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45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44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47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4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48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44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49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45__FDSAUDITLINK__" localSheetId="9" hidden="1">{"fdsup://Directions/FactSet Auditing Viewer?action=AUDIT_VALUE&amp;DB=129&amp;ID1=05548J10&amp;VALUEID=01001&amp;SDATE=200604&amp;PERIODTYPE=QTR_STD&amp;window=popup_no_bar&amp;width=385&amp;height=120&amp;START_MAXIMIZED=FALSE&amp;creator=factset&amp;display_string=Audit"}</definedName>
    <definedName name="_45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5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50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45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51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45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52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45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53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45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54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45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55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5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56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45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57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45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58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45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59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46__FDSAUDITLINK__" localSheetId="9" hidden="1">{"fdsup://Directions/FactSet Auditing Viewer?action=AUDIT_VALUE&amp;DB=129&amp;ID1=05548J10&amp;VALUEID=01001&amp;SDATE=200701&amp;PERIODTYPE=QTR_STD&amp;window=popup_no_bar&amp;width=385&amp;height=120&amp;START_MAXIMIZED=FALSE&amp;creator=factset&amp;display_string=Audit"}</definedName>
    <definedName name="_46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6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60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46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61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46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62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46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63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46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64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46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65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66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46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67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46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68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46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69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7__FDSAUDITLINK__" localSheetId="9" hidden="1">{"fdsup://Directions/FactSet Auditing Viewer?action=AUDIT_VALUE&amp;DB=129&amp;ID1=05548J10&amp;VALUEID=01001&amp;SDATE=200702&amp;PERIODTYPE=QTR_STD&amp;window=popup_no_bar&amp;width=385&amp;height=120&amp;START_MAXIMIZED=FALSE&amp;creator=factset&amp;display_string=Audit"}</definedName>
    <definedName name="_47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7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70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47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71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47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72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47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73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47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74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47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75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47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76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77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47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78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47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79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48__FDSAUDITLINK__" localSheetId="9" hidden="1">{"fdsup://Directions/FactSet Auditing Viewer?action=AUDIT_VALUE&amp;DB=129&amp;ID1=05548J10&amp;VALUEID=01001&amp;SDATE=200703&amp;PERIODTYPE=QTR_STD&amp;window=popup_no_bar&amp;width=385&amp;height=120&amp;START_MAXIMIZED=FALSE&amp;creator=factset&amp;display_string=Audit"}</definedName>
    <definedName name="_48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8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80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48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81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48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82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48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83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8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84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8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85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8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86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8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87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8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8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8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8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9__FDSAUDITLINK__" localSheetId="9" hidden="1">{"fdsup://Directions/FactSet Auditing Viewer?action=AUDIT_VALUE&amp;DB=129&amp;ID1=05548J10&amp;VALUEID=01001&amp;SDATE=200704&amp;PERIODTYPE=QTR_STD&amp;window=popup_no_bar&amp;width=385&amp;height=120&amp;START_MAXIMIZED=FALSE&amp;creator=factset&amp;display_string=Audit"}</definedName>
    <definedName name="_49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90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9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91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9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492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93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49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494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49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95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49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496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49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97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49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498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49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499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__123Graph_Aｸﾞﾗﾌ_1" hidden="1">[2]ｾｸﾞﾒﾝﾄ!$E$164:$I$164</definedName>
    <definedName name="_5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50__FDSAUDITLINK__" localSheetId="9" hidden="1">{"fdsup://Directions/FactSet Auditing Viewer?action=AUDIT_VALUE&amp;DB=129&amp;ID1=05548J10&amp;VALUEID=01001&amp;SDATE=200801&amp;PERIODTYPE=QTR_STD&amp;window=popup_no_bar&amp;width=385&amp;height=120&amp;START_MAXIMIZED=FALSE&amp;creator=factset&amp;display_string=Audit"}</definedName>
    <definedName name="_50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50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00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0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01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0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02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0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03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50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04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50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05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50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06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50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07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50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08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50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09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51__FDSAUDITLINK__" localSheetId="9" hidden="1">{"fdsup://Directions/FactSet Auditing Viewer?action=AUDIT_VALUE&amp;DB=129&amp;ID1=05548J10&amp;VALUEID=01001&amp;SDATE=200802&amp;PERIODTYPE=QTR_STD&amp;window=popup_no_bar&amp;width=385&amp;height=120&amp;START_MAXIMIZED=FALSE&amp;creator=factset&amp;display_string=Audit"}</definedName>
    <definedName name="_51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51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10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51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11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51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12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51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13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51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14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51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1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51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1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51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17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51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18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51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19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52__FDSAUDITLINK__" localSheetId="9" hidden="1">{"fdsup://Directions/FactSet Auditing Viewer?action=AUDIT_VALUE&amp;DB=129&amp;ID1=05548J10&amp;VALUEID=01001&amp;SDATE=200803&amp;PERIODTYPE=QTR_STD&amp;window=popup_no_bar&amp;width=385&amp;height=120&amp;START_MAXIMIZED=FALSE&amp;creator=factset&amp;display_string=Audit"}</definedName>
    <definedName name="_52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52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20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52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21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52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22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52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23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52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24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52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25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52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26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52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27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52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28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52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29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53__FDSAUDITLINK__" localSheetId="9" hidden="1">{"fdsup://Directions/FactSet Auditing Viewer?action=AUDIT_VALUE&amp;DB=129&amp;ID1=05548J10&amp;VALUEID=01001&amp;SDATE=200804&amp;PERIODTYPE=QTR_STD&amp;window=popup_no_bar&amp;width=385&amp;height=120&amp;START_MAXIMIZED=FALSE&amp;creator=factset&amp;display_string=Audit"}</definedName>
    <definedName name="_53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53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30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53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31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53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32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33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53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34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53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35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53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36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53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37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53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38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53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39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54__FDSAUDITLINK__" localSheetId="9" hidden="1">{"fdsup://Directions/FactSet Auditing Viewer?action=AUDIT_VALUE&amp;DB=129&amp;ID1=05548J10&amp;VALUEID=01001&amp;SDATE=200901&amp;PERIODTYPE=QTR_STD&amp;window=popup_no_bar&amp;width=385&amp;height=120&amp;START_MAXIMIZED=FALSE&amp;creator=factset&amp;display_string=Audit"}</definedName>
    <definedName name="_54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54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40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54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41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54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42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54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43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54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44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54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45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54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46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47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54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48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54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49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55__FDSAUDITLINK__" localSheetId="9" hidden="1">{"fdsup://Directions/FactSet Auditing Viewer?action=AUDIT_VALUE&amp;DB=129&amp;ID1=05548J10&amp;VALUEID=01001&amp;SDATE=200902&amp;PERIODTYPE=QTR_STD&amp;window=popup_no_bar&amp;width=385&amp;height=120&amp;START_MAXIMIZED=FALSE&amp;creator=factset&amp;display_string=Audit"}</definedName>
    <definedName name="_55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55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50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55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5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55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52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55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53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55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54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55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55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55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56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57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55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58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55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59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56__FDSAUDITLINK__" localSheetId="9" hidden="1">{"fdsup://Directions/FactSet Auditing Viewer?action=AUDIT_VALUE&amp;DB=129&amp;ID1=05548J10&amp;VALUEID=01001&amp;SDATE=200903&amp;PERIODTYPE=QTR_STD&amp;window=popup_no_bar&amp;width=385&amp;height=120&amp;START_MAXIMIZED=FALSE&amp;creator=factset&amp;display_string=Audit"}</definedName>
    <definedName name="_56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6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60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56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61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56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62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56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63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56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64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56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65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56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66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56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67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56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68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56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69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57__FDSAUDITLINK__" localSheetId="9" hidden="1">{"fdsup://Directions/FactSet Auditing Viewer?action=AUDIT_VALUE&amp;DB=129&amp;ID1=22160K10&amp;VALUEID=01001&amp;SDATE=200602&amp;PERIODTYPE=QTR_STD&amp;window=popup_no_bar&amp;width=385&amp;height=120&amp;START_MAXIMIZED=FALSE&amp;creator=factset&amp;display_string=Audit"}</definedName>
    <definedName name="_57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7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70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57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71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57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72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57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73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57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74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57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75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57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76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57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77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57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78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57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79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58__FDSAUDITLINK__" localSheetId="9" hidden="1">{"fdsup://Directions/FactSet Auditing Viewer?action=AUDIT_VALUE&amp;DB=129&amp;ID1=22160K10&amp;VALUEID=01001&amp;SDATE=200603&amp;PERIODTYPE=QTR_STD&amp;window=popup_no_bar&amp;width=385&amp;height=120&amp;START_MAXIMIZED=FALSE&amp;creator=factset&amp;display_string=Audit"}</definedName>
    <definedName name="_58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8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80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58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8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58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82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58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83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58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84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58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85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58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86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58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87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58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88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58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89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59__FDSAUDITLINK__" localSheetId="9" hidden="1">{"fdsup://Directions/FactSet Auditing Viewer?action=AUDIT_VALUE&amp;DB=129&amp;ID1=22160K10&amp;VALUEID=01001&amp;SDATE=200701&amp;PERIODTYPE=QTR_STD&amp;window=popup_no_bar&amp;width=385&amp;height=120&amp;START_MAXIMIZED=FALSE&amp;creator=factset&amp;display_string=Audit"}</definedName>
    <definedName name="_59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9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90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59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91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59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592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59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93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59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594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59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95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59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596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59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97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59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598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59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599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6__123Graph_Aｸﾞﾗﾌ_2" hidden="1">[2]単独!$AR$14:$AR$18</definedName>
    <definedName name="_6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60__FDSAUDITLINK__" localSheetId="9" hidden="1">{"fdsup://Directions/FactSet Auditing Viewer?action=AUDIT_VALUE&amp;DB=129&amp;ID1=22160K10&amp;VALUEID=01001&amp;SDATE=200702&amp;PERIODTYPE=QTR_STD&amp;window=popup_no_bar&amp;width=385&amp;height=120&amp;START_MAXIMIZED=FALSE&amp;creator=factset&amp;display_string=Audit"}</definedName>
    <definedName name="_60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60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00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60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01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60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02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60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03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60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04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60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05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60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06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60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07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60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0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60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09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61__FDSAUDITLINK__" localSheetId="9" hidden="1">{"fdsup://Directions/FactSet Auditing Viewer?action=AUDIT_VALUE&amp;DB=129&amp;ID1=22160K10&amp;VALUEID=01001&amp;SDATE=200703&amp;PERIODTYPE=QTR_STD&amp;window=popup_no_bar&amp;width=385&amp;height=120&amp;START_MAXIMIZED=FALSE&amp;creator=factset&amp;display_string=Audit"}</definedName>
    <definedName name="_61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61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10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61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11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61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12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61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13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61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14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61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15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61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16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61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1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61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18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61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19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62__FDSAUDITLINK__" localSheetId="9" hidden="1">{"fdsup://Directions/FactSet Auditing Viewer?action=AUDIT_VALUE&amp;DB=129&amp;ID1=22160K10&amp;VALUEID=01001&amp;SDATE=200801&amp;PERIODTYPE=QTR_STD&amp;window=popup_no_bar&amp;width=385&amp;height=120&amp;START_MAXIMIZED=FALSE&amp;creator=factset&amp;display_string=Audit"}</definedName>
    <definedName name="_62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62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20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62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21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62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22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62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23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62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24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62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25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62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26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62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27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62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28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62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29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63__FDSAUDITLINK__" localSheetId="9" hidden="1">{"fdsup://Directions/FactSet Auditing Viewer?action=AUDIT_VALUE&amp;DB=129&amp;ID1=22160K10&amp;VALUEID=01001&amp;SDATE=200802&amp;PERIODTYPE=QTR_STD&amp;window=popup_no_bar&amp;width=385&amp;height=120&amp;START_MAXIMIZED=FALSE&amp;creator=factset&amp;display_string=Audit"}</definedName>
    <definedName name="_6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63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30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63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31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63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32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63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33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63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34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63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35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63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36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63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37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63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38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63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39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64__FDSAUDITLINK__" localSheetId="9" hidden="1">{"fdsup://Directions/FactSet Auditing Viewer?action=AUDIT_VALUE&amp;DB=129&amp;ID1=22160K10&amp;VALUEID=01001&amp;SDATE=200803&amp;PERIODTYPE=QTR_STD&amp;window=popup_no_bar&amp;width=385&amp;height=120&amp;START_MAXIMIZED=FALSE&amp;creator=factset&amp;display_string=Audit"}</definedName>
    <definedName name="_64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64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40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64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41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64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42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64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43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64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44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64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45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64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46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64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47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64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48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64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49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65__FDSAUDITLINK__" localSheetId="9" hidden="1">{"fdsup://Directions/FactSet Auditing Viewer?action=AUDIT_VALUE&amp;DB=129&amp;ID1=22160K10&amp;VALUEID=01001&amp;SDATE=200804&amp;PERIODTYPE=QTR_STD&amp;window=popup_no_bar&amp;width=385&amp;height=120&amp;START_MAXIMIZED=FALSE&amp;creator=factset&amp;display_string=Audit"}</definedName>
    <definedName name="_65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65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50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65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51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65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52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65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53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65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54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65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55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65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56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65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57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65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58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65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59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66__FDSAUDITLINK__" localSheetId="9" hidden="1">{"fdsup://Directions/FactSet Auditing Viewer?action=AUDIT_VALUE&amp;DB=129&amp;ID1=22160K10&amp;VALUEID=01001&amp;SDATE=200901&amp;PERIODTYPE=QTR_STD&amp;window=popup_no_bar&amp;width=385&amp;height=120&amp;START_MAXIMIZED=FALSE&amp;creator=factset&amp;display_string=Audit"}</definedName>
    <definedName name="_66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66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60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66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61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66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62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66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63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66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64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66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65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66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66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66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67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66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68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66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69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67__FDSAUDITLINK__" localSheetId="9" hidden="1">{"fdsup://Directions/FactSet Auditing Viewer?action=AUDIT_VALUE&amp;DB=129&amp;ID1=22160K10&amp;VALUEID=01001&amp;SDATE=200902&amp;PERIODTYPE=QTR_STD&amp;window=popup_no_bar&amp;width=385&amp;height=120&amp;START_MAXIMIZED=FALSE&amp;creator=factset&amp;display_string=Audit"}</definedName>
    <definedName name="_67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67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70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67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71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67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72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67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73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67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74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67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75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67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76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67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77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67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78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67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7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68__FDSAUDITLINK__" localSheetId="9" hidden="1">{"fdsup://Directions/FactSet Auditing Viewer?action=AUDIT_VALUE&amp;DB=129&amp;ID1=22160K10&amp;VALUEID=01001&amp;SDATE=200903&amp;PERIODTYPE=QTR_STD&amp;window=popup_no_bar&amp;width=385&amp;height=120&amp;START_MAXIMIZED=FALSE&amp;creator=factset&amp;display_string=Audit"}</definedName>
    <definedName name="_68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68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80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68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81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68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82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68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83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68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84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685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85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686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686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687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87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688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688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689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89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69__FDSAUDITLINK__" localSheetId="9" hidden="1">{"fdsup://Directions/FactSet Auditing Viewer?action=AUDIT_VALUE&amp;DB=129&amp;ID1=25674610&amp;VALUEID=01001&amp;SDATE=200902&amp;PERIODTYPE=QTR_STD&amp;window=popup_no_bar&amp;width=385&amp;height=120&amp;START_MAXIMIZED=FALSE&amp;creator=factset&amp;display_string=Audit"}</definedName>
    <definedName name="_69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690__FDSAUDITLINK__" localSheetId="9" hidden="1">{"fdsup://Directions/FactSet Auditing Viewer?action=AUDIT_VALUE&amp;DB=129&amp;ID1=50025510&amp;VALUEID=02001&amp;SDATE=201102&amp;PERIODTYPE=QTR_STD&amp;SCFT=3&amp;window=popup_no_bar&amp;width=385&amp;height=120&amp;START_MAXIMIZED=FALSE&amp;creator=factset&amp;display_string=Audit"}</definedName>
    <definedName name="_690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691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91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692__FDSAUDITLINK__" localSheetId="9" hidden="1">{"fdsup://Directions/FactSet Auditing Viewer?action=AUDIT_VALUE&amp;DB=129&amp;ID1=65566410&amp;VALUEID=02001&amp;SDATE=201102&amp;PERIODTYPE=QTR_STD&amp;SCFT=3&amp;window=popup_no_bar&amp;width=385&amp;height=120&amp;START_MAXIMIZED=FALSE&amp;creator=factset&amp;display_string=Audit"}</definedName>
    <definedName name="_692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693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93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694__FDSAUDITLINK__" localSheetId="9" hidden="1">{"fdsup://Directions/FactSet Auditing Viewer?action=AUDIT_VALUE&amp;DB=129&amp;ID1=70816010&amp;VALUEID=02001&amp;SDATE=201102&amp;PERIODTYPE=QTR_STD&amp;SCFT=3&amp;window=popup_no_bar&amp;width=385&amp;height=120&amp;START_MAXIMIZED=FALSE&amp;creator=factset&amp;display_string=Audit"}</definedName>
    <definedName name="_694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7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70__FDSAUDITLINK__" localSheetId="9" hidden="1">{"fdsup://Directions/FactSet Auditing Viewer?action=AUDIT_VALUE&amp;DB=129&amp;ID1=25674610&amp;VALUEID=01001&amp;SDATE=200901&amp;PERIODTYPE=QTR_STD&amp;window=popup_no_bar&amp;width=385&amp;height=120&amp;START_MAXIMIZED=FALSE&amp;creator=factset&amp;display_string=Audit"}</definedName>
    <definedName name="_70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localSheetId="9" hidden="1">{"fdsup://Directions/FactSet Auditing Viewer?action=AUDIT_VALUE&amp;DB=129&amp;ID1=25674610&amp;VALUEID=01001&amp;SDATE=200804&amp;PERIODTYPE=QTR_STD&amp;window=popup_no_bar&amp;width=385&amp;height=120&amp;START_MAXIMIZED=FALSE&amp;creator=factset&amp;display_string=Audit"}</definedName>
    <definedName name="_71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localSheetId="9" hidden="1">{"fdsup://Directions/FactSet Auditing Viewer?action=AUDIT_VALUE&amp;DB=129&amp;ID1=25674610&amp;VALUEID=01001&amp;SDATE=200803&amp;PERIODTYPE=QTR_STD&amp;window=popup_no_bar&amp;width=385&amp;height=120&amp;START_MAXIMIZED=FALSE&amp;creator=factset&amp;display_string=Audit"}</definedName>
    <definedName name="_72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localSheetId="9" hidden="1">{"fdsup://Directions/FactSet Auditing Viewer?action=AUDIT_VALUE&amp;DB=129&amp;ID1=25674610&amp;VALUEID=01001&amp;SDATE=200802&amp;PERIODTYPE=QTR_STD&amp;window=popup_no_bar&amp;width=385&amp;height=120&amp;START_MAXIMIZED=FALSE&amp;creator=factset&amp;display_string=Audit"}</definedName>
    <definedName name="_73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localSheetId="9" hidden="1">{"fdsup://Directions/FactSet Auditing Viewer?action=AUDIT_VALUE&amp;DB=129&amp;ID1=25674610&amp;VALUEID=01001&amp;SDATE=200801&amp;PERIODTYPE=QTR_STD&amp;window=popup_no_bar&amp;width=385&amp;height=120&amp;START_MAXIMIZED=FALSE&amp;creator=factset&amp;display_string=Audit"}</definedName>
    <definedName name="_74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localSheetId="9" hidden="1">{"fdsup://Directions/FactSet Auditing Viewer?action=AUDIT_VALUE&amp;DB=129&amp;ID1=25674610&amp;VALUEID=01001&amp;SDATE=200704&amp;PERIODTYPE=QTR_STD&amp;window=popup_no_bar&amp;width=385&amp;height=120&amp;START_MAXIMIZED=FALSE&amp;creator=factset&amp;display_string=Audit"}</definedName>
    <definedName name="_75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localSheetId="9" hidden="1">{"fdsup://Directions/FactSet Auditing Viewer?action=AUDIT_VALUE&amp;DB=129&amp;ID1=25674610&amp;VALUEID=01001&amp;SDATE=200703&amp;PERIODTYPE=QTR_STD&amp;window=popup_no_bar&amp;width=385&amp;height=120&amp;START_MAXIMIZED=FALSE&amp;creator=factset&amp;display_string=Audit"}</definedName>
    <definedName name="_76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localSheetId="9" hidden="1">{"fdsup://Directions/FactSet Auditing Viewer?action=AUDIT_VALUE&amp;DB=129&amp;ID1=25674610&amp;VALUEID=01001&amp;SDATE=200702&amp;PERIODTYPE=QTR_STD&amp;window=popup_no_bar&amp;width=385&amp;height=120&amp;START_MAXIMIZED=FALSE&amp;creator=factset&amp;display_string=Audit"}</definedName>
    <definedName name="_77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localSheetId="9" hidden="1">{"fdsup://Directions/FactSet Auditing Viewer?action=AUDIT_VALUE&amp;DB=129&amp;ID1=25674610&amp;VALUEID=01001&amp;SDATE=200701&amp;PERIODTYPE=QTR_STD&amp;window=popup_no_bar&amp;width=385&amp;height=120&amp;START_MAXIMIZED=FALSE&amp;creator=factset&amp;display_string=Audit"}</definedName>
    <definedName name="_78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localSheetId="9" hidden="1">{"fdsup://Directions/FactSet Auditing Viewer?action=AUDIT_VALUE&amp;DB=129&amp;ID1=25674610&amp;VALUEID=01001&amp;SDATE=200604&amp;PERIODTYPE=QTR_STD&amp;window=popup_no_bar&amp;width=385&amp;height=120&amp;START_MAXIMIZED=FALSE&amp;creator=factset&amp;display_string=Audit"}</definedName>
    <definedName name="_79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localSheetId="9" hidden="1">{"fdsup://Directions/FactSet Auditing Viewer?action=AUDIT_VALUE&amp;DB=129&amp;ID1=79377W10&amp;VALUEID=02001&amp;SDATE=201102&amp;PERIODTYPE=QTR_STD&amp;SCFT=3&amp;window=popup_no_bar&amp;width=385&amp;height=120&amp;START_MAXIMIZED=FALSE&amp;creator=factset&amp;display_string=Audit"}</definedName>
    <definedName name="_8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80__FDSAUDITLINK__" localSheetId="9" hidden="1">{"fdsup://Directions/FactSet Auditing Viewer?action=AUDIT_VALUE&amp;DB=129&amp;ID1=25674610&amp;VALUEID=01001&amp;SDATE=200603&amp;PERIODTYPE=QTR_STD&amp;window=popup_no_bar&amp;width=385&amp;height=120&amp;START_MAXIMIZED=FALSE&amp;creator=factset&amp;display_string=Audit"}</definedName>
    <definedName name="_80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localSheetId="9" hidden="1">{"fdsup://Directions/FactSet Auditing Viewer?action=AUDIT_VALUE&amp;DB=129&amp;ID1=25674610&amp;VALUEID=01001&amp;SDATE=200602&amp;PERIODTYPE=QTR_STD&amp;window=popup_no_bar&amp;width=385&amp;height=120&amp;START_MAXIMIZED=FALSE&amp;creator=factset&amp;display_string=Audit"}</definedName>
    <definedName name="_81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localSheetId="9" hidden="1">{"fdsup://Directions/FactSet Auditing Viewer?action=AUDIT_VALUE&amp;DB=129&amp;ID1=25667710&amp;VALUEID=01001&amp;SDATE=200903&amp;PERIODTYPE=QTR_STD&amp;window=popup_no_bar&amp;width=385&amp;height=120&amp;START_MAXIMIZED=FALSE&amp;creator=factset&amp;display_string=Audit"}</definedName>
    <definedName name="_82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localSheetId="9" hidden="1">{"fdsup://Directions/FactSet Auditing Viewer?action=AUDIT_VALUE&amp;DB=129&amp;ID1=25667710&amp;VALUEID=01001&amp;SDATE=200902&amp;PERIODTYPE=QTR_STD&amp;window=popup_no_bar&amp;width=385&amp;height=120&amp;START_MAXIMIZED=FALSE&amp;creator=factset&amp;display_string=Audit"}</definedName>
    <definedName name="_83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localSheetId="9" hidden="1">{"fdsup://Directions/FactSet Auditing Viewer?action=AUDIT_VALUE&amp;DB=129&amp;ID1=25667710&amp;VALUEID=01001&amp;SDATE=200901&amp;PERIODTYPE=QTR_STD&amp;window=popup_no_bar&amp;width=385&amp;height=120&amp;START_MAXIMIZED=FALSE&amp;creator=factset&amp;display_string=Audit"}</definedName>
    <definedName name="_84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localSheetId="9" hidden="1">{"fdsup://Directions/FactSet Auditing Viewer?action=AUDIT_VALUE&amp;DB=129&amp;ID1=25667710&amp;VALUEID=01001&amp;SDATE=200803&amp;PERIODTYPE=QTR_STD&amp;window=popup_no_bar&amp;width=385&amp;height=120&amp;START_MAXIMIZED=FALSE&amp;creator=factset&amp;display_string=Audit"}</definedName>
    <definedName name="_85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localSheetId="9" hidden="1">{"fdsup://Directions/FactSet Auditing Viewer?action=AUDIT_VALUE&amp;DB=129&amp;ID1=25667710&amp;VALUEID=01001&amp;SDATE=200802&amp;PERIODTYPE=QTR_STD&amp;window=popup_no_bar&amp;width=385&amp;height=120&amp;START_MAXIMIZED=FALSE&amp;creator=factset&amp;display_string=Audit"}</definedName>
    <definedName name="_86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localSheetId="9" hidden="1">{"fdsup://Directions/FactSet Auditing Viewer?action=AUDIT_VALUE&amp;DB=129&amp;ID1=25667710&amp;VALUEID=01001&amp;SDATE=200801&amp;PERIODTYPE=QTR_STD&amp;window=popup_no_bar&amp;width=385&amp;height=120&amp;START_MAXIMIZED=FALSE&amp;creator=factset&amp;display_string=Audit"}</definedName>
    <definedName name="_87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localSheetId="9" hidden="1">{"fdsup://Directions/FactSet Auditing Viewer?action=AUDIT_VALUE&amp;DB=129&amp;ID1=25667710&amp;VALUEID=01001&amp;SDATE=200701&amp;PERIODTYPE=QTR_STD&amp;window=popup_no_bar&amp;width=385&amp;height=120&amp;START_MAXIMIZED=FALSE&amp;creator=factset&amp;display_string=Audit"}</definedName>
    <definedName name="_88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localSheetId="9" hidden="1">{"fdsup://Directions/FactSet Auditing Viewer?action=AUDIT_VALUE&amp;DB=129&amp;ID1=25667710&amp;VALUEID=01001&amp;SDATE=200603&amp;PERIODTYPE=QTR_STD&amp;window=popup_no_bar&amp;width=385&amp;height=120&amp;START_MAXIMIZED=FALSE&amp;creator=factset&amp;display_string=Audit"}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localSheetId="9" hidden="1">{"fdsup://Directions/FactSet Auditing Viewer?action=AUDIT_VALUE&amp;DB=129&amp;ID1=55616P10&amp;VALUEID=02001&amp;SDATE=201102&amp;PERIODTYPE=QTR_STD&amp;SCFT=3&amp;window=popup_no_bar&amp;width=385&amp;height=120&amp;START_MAXIMIZED=FALSE&amp;creator=factset&amp;display_string=Audit"}</definedName>
    <definedName name="_9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0__FDSAUDITLINK__" localSheetId="9" hidden="1">{"fdsup://Directions/FactSet Auditing Viewer?action=AUDIT_VALUE&amp;DB=129&amp;ID1=25667710&amp;VALUEID=01001&amp;SDATE=200602&amp;PERIODTYPE=QTR_STD&amp;window=popup_no_bar&amp;width=385&amp;height=120&amp;START_MAXIMIZED=FALSE&amp;creator=factset&amp;display_string=Audit"}</definedName>
    <definedName name="_90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localSheetId="9" hidden="1">{"fdsup://Directions/FactSet Auditing Viewer?action=AUDIT_VALUE&amp;DB=129&amp;ID1=25667710&amp;VALUEID=01001&amp;SDATE=200601&amp;PERIODTYPE=QTR_STD&amp;window=popup_no_bar&amp;width=385&amp;height=120&amp;START_MAXIMIZED=FALSE&amp;creator=factset&amp;display_string=Audit"}</definedName>
    <definedName name="_91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localSheetId="9" hidden="1">{"fdsup://Directions/FactSet Auditing Viewer?action=AUDIT_VALUE&amp;DB=129&amp;ID1=07589610&amp;VALUEID=01001&amp;SDATE=200903&amp;PERIODTYPE=QTR_STD&amp;window=popup_no_bar&amp;width=385&amp;height=120&amp;START_MAXIMIZED=FALSE&amp;creator=factset&amp;display_string=Audit"}</definedName>
    <definedName name="_92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localSheetId="9" hidden="1">{"fdsup://Directions/FactSet Auditing Viewer?action=AUDIT_VALUE&amp;DB=129&amp;ID1=07589610&amp;VALUEID=01001&amp;SDATE=200902&amp;PERIODTYPE=QTR_STD&amp;window=popup_no_bar&amp;width=385&amp;height=120&amp;START_MAXIMIZED=FALSE&amp;creator=factset&amp;display_string=Audit"}</definedName>
    <definedName name="_93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localSheetId="9" hidden="1">{"fdsup://Directions/FactSet Auditing Viewer?action=AUDIT_VALUE&amp;DB=129&amp;ID1=07589610&amp;VALUEID=01001&amp;SDATE=200901&amp;PERIODTYPE=QTR_STD&amp;window=popup_no_bar&amp;width=385&amp;height=120&amp;START_MAXIMIZED=FALSE&amp;creator=factset&amp;display_string=Audit"}</definedName>
    <definedName name="_9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localSheetId="9" hidden="1">{"fdsup://Directions/FactSet Auditing Viewer?action=AUDIT_VALUE&amp;DB=129&amp;ID1=07589610&amp;VALUEID=01001&amp;SDATE=200804&amp;PERIODTYPE=QTR_STD&amp;window=popup_no_bar&amp;width=385&amp;height=120&amp;START_MAXIMIZED=FALSE&amp;creator=factset&amp;display_string=Audit"}</definedName>
    <definedName name="_95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localSheetId="9" hidden="1">{"fdsup://Directions/FactSet Auditing Viewer?action=AUDIT_VALUE&amp;DB=129&amp;ID1=07589610&amp;VALUEID=01001&amp;SDATE=200803&amp;PERIODTYPE=QTR_STD&amp;window=popup_no_bar&amp;width=385&amp;height=120&amp;START_MAXIMIZED=FALSE&amp;creator=factset&amp;display_string=Audit"}</definedName>
    <definedName name="_96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localSheetId="9" hidden="1">{"fdsup://Directions/FactSet Auditing Viewer?action=AUDIT_VALUE&amp;DB=129&amp;ID1=07589610&amp;VALUEID=01001&amp;SDATE=200802&amp;PERIODTYPE=QTR_STD&amp;window=popup_no_bar&amp;width=385&amp;height=120&amp;START_MAXIMIZED=FALSE&amp;creator=factset&amp;display_string=Audit"}</definedName>
    <definedName name="_97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localSheetId="9" hidden="1">{"fdsup://Directions/FactSet Auditing Viewer?action=AUDIT_VALUE&amp;DB=129&amp;ID1=07589610&amp;VALUEID=01001&amp;SDATE=200801&amp;PERIODTYPE=QTR_STD&amp;window=popup_no_bar&amp;width=385&amp;height=120&amp;START_MAXIMIZED=FALSE&amp;creator=factset&amp;display_string=Audit"}</definedName>
    <definedName name="_98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localSheetId="9" hidden="1">{"fdsup://Directions/FactSet Auditing Viewer?action=AUDIT_VALUE&amp;DB=129&amp;ID1=07589610&amp;VALUEID=01001&amp;SDATE=200703&amp;PERIODTYPE=QTR_STD&amp;window=popup_no_bar&amp;width=385&amp;height=120&amp;START_MAXIMIZED=FALSE&amp;creator=factset&amp;display_string=Audit"}</definedName>
    <definedName name="_99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02E29E7B1053433EA3CCCBE4E5141596.edm" hidden="1">[3]Sheet1!$A:$IV</definedName>
    <definedName name="_bdm.09E5C45C421440A98E7F0AFFA019861E.edm" hidden="1">'[4]Fig16&amp;17.Store Closings'!$A:$IV</definedName>
    <definedName name="_bdm.0A2F11DA94EF47F4ADD86D073DA8EE13.edm" hidden="1">'[5]LTD Variance Chart Data'!$A:$IV</definedName>
    <definedName name="_bdm.0C4E7E1C4DE943AB9262F2D1C3D8FCB9.edm" hidden="1">[4]Fig12.Opportunities!$A:$IV</definedName>
    <definedName name="_bdm.186193C0C6844AB18E99154BE239556B.edm" hidden="1" xml:space="preserve">                  '[6]Scenario Inputs'!$A:$IV</definedName>
    <definedName name="_bdm.1AB20FDD67594943AEC35BDDB68AB0DB.edm" hidden="1">'[4]Fig6.EBIT Rank'!$A:$IV</definedName>
    <definedName name="_bdm.1D8CE2C45CB1434C98B4307C73C41BB3.edm" hidden="1" xml:space="preserve">                  '[6]Scenario Inputs'!$A:$IV</definedName>
    <definedName name="_bdm.1DF4B3E45DCE4C2A9D635C38C907064B.edm" hidden="1">[6]LIZ!$A:$IV</definedName>
    <definedName name="_bdm.239033D1CBDF4B34B065E13D4FA9D589.edm" hidden="1">'[5]COH Variance Chart Data'!$A:$IV</definedName>
    <definedName name="_bdm.240E5CC7D1A3433BA930B1D7FED87980.edm" hidden="1" xml:space="preserve">                    '[6]Scenario Inputs'!$A:$IV</definedName>
    <definedName name="_bdm.261112BAE8204F8280374C78A1E02552.edm" hidden="1" xml:space="preserve"> [7]C1000!$A:$IV</definedName>
    <definedName name="_bdm.297446E2985E45DCA44E1E58B339ED35.edm" hidden="1" xml:space="preserve">                                    '[6]Scenario Inputs'!$A:$IV</definedName>
    <definedName name="_bdm.2DDFFB15C42A449AADB01F909D897844.edm" hidden="1" xml:space="preserve">                                    '[6]Scenario Inputs'!$A:$IV</definedName>
    <definedName name="_bdm.36700029454B46269809EAC509E70B0B.edm" hidden="1" xml:space="preserve">                                    '[6]Scenario Inputs'!$A:$IV</definedName>
    <definedName name="_bdm.38FC3AFFD8DF49F6B1CB73376921CBB3.edm" hidden="1">'[8]Coverage Universe Comp'!$A:$IV</definedName>
    <definedName name="_bdm.3FD6FD19527E4153A3DE12325D390C3B.edm" hidden="1">'[4]Fig2-5.MasterTable'!$A:$IV</definedName>
    <definedName name="_bdm.4176AC4C677F4FBC8C99A951BC121C6E.edm" hidden="1" xml:space="preserve">                                    '[6]Scenario Inputs'!$A:$IV</definedName>
    <definedName name="_bdm.42F67CCC3C1C45638B5EC98256E90947.edm" hidden="1">'[9]Good 12-00 (2)'!$A:$IV</definedName>
    <definedName name="_bdm.43FA48142E7E4CED84E86C6CCE4A15D5.edm" hidden="1">'[5]M Variance Chart Data'!$A:$IV</definedName>
    <definedName name="_bdm.45F879C38D3A4812B27EA401BBDB19F7.edm" hidden="1">'[4]Cover Graphic'!$A:$IV</definedName>
    <definedName name="_bdm.46D56600DB7840728F138544F8E425DB.edm" hidden="1">'[9]Good 11-36'!$A:$IV</definedName>
    <definedName name="_bdm.4B99839495EE4678957BB1F6E1667DD8.edm" hidden="1">'[4]RentExp Lvg'!$A:$IV</definedName>
    <definedName name="_bdm.5F55189316304861B1E09137E617846B.edm" hidden="1" xml:space="preserve">                  '[6]Scenario Inputs'!$A:$IV</definedName>
    <definedName name="_bdm.60A1016E4A5045B0B4BE42FB21AAF6D6.edm" hidden="1">'[9]Good 11-50'!$A:$IV</definedName>
    <definedName name="_bdm.7087D4AB48F64E19BD2C8BDFB7209C3F.edm" hidden="1" xml:space="preserve">                  '[6]Scenario Inputs'!$A:$IV</definedName>
    <definedName name="_bdm.72D868114C7B455FB2DD8E1894509A24.edm" hidden="1" xml:space="preserve">                  '[6]Scenario Inputs'!$A:$IV</definedName>
    <definedName name="_bdm.78E186D6F3BA4233AC085AA5F7D279CF.edm" hidden="1">'[4]Fig15&amp;18.StoreOpeningHist-NEW'!$A:$IV</definedName>
    <definedName name="_bdm.828EF922B3BF49D5A4BB507669E667E8.edm" hidden="1">'[6]UA Drivers'!$IV$1</definedName>
    <definedName name="_bdm.84245E63505C4AFEAADE86E343E612C8.edm" hidden="1">'[8]Earnings Snapshot'!$A:$IV</definedName>
    <definedName name="_bdm.8687948BCD8742E18EA9224162598EBE.edm" hidden="1">'[4]Fig19&amp;20.ScatterPlot'!$A:$IV</definedName>
    <definedName name="_bdm.88BE57C8E16441C3844ACB2DCE4DA074.edm" hidden="1" xml:space="preserve">                  '[6]Scenario Inputs'!$A:$IV</definedName>
    <definedName name="_bdm.97AD0DAB1241435BA1C94F8670EB0502.edm" hidden="1">'[4]Fig8-10 bps EPS Sensitivity'!$A:$IV</definedName>
    <definedName name="_bdm.9A0F9A3877A9479AB7B77DDF59A937D6.edm" hidden="1" xml:space="preserve">                  '[6]Scenario Inputs'!$A:$IV</definedName>
    <definedName name="_bdm.9EB8FE0446E347D4B59325F189FA9F31.edm" hidden="1" xml:space="preserve">                  '[6]Scenario Inputs'!$A:$IV</definedName>
    <definedName name="_bdm.A2D0F3FA285649B7BDDF87BD9C153DE1.edm" hidden="1" xml:space="preserve">                                    '[6]Scenario Inputs'!$A:$IV</definedName>
    <definedName name="_bdm.A339904D6D0347AA9B2B187BC3316370.edm" hidden="1">[10]JWN!$A:$IV</definedName>
    <definedName name="_bdm.A772A7E12EE949A2B2ED88CF7248DD14.edm" hidden="1" xml:space="preserve">                                    '[6]Scenario Inputs'!$A:$IV</definedName>
    <definedName name="_bdm.AF41298052B5438BB5863CF33374793F.edm" hidden="1">[10]JCP!$A:$IV</definedName>
    <definedName name="_bdm.B232A23EC303428E9F3B15E3162F750B.edm" hidden="1">[5]Tables!$A:$IV</definedName>
    <definedName name="_bdm.B8E7F8D146B34C039CAD519CB46A2D63.edm" hidden="1" xml:space="preserve">                                    '[6]Scenario Inputs'!$A:$IV</definedName>
    <definedName name="_bdm.BECDFB299BC8487081328254380CF1F6.edm" hidden="1">'[4]Fig13.Leverage Rank'!$A:$IV</definedName>
    <definedName name="_bdm.C7B678A8788343FAB6E99310D0509373.edm" hidden="1">'[4]Fig14.Bps Lvg. Dlvg.'!$A:$IV</definedName>
    <definedName name="_bdm.C7C6FBA36F39444B8BCEC128D5B7F931.edm" hidden="1">'[9]Sheet3 (5)'!$A:$IV</definedName>
    <definedName name="_bdm.D49DCDB7FF224CB1BC63C5534A11A85A.edm" hidden="1" xml:space="preserve">                  '[6]Scenario Inputs'!$A:$IV</definedName>
    <definedName name="_bdm.E0B0E8A77D684FB58AA9469766A75613.edm" hidden="1">'[8]Relative Risk Reward Chart'!$A:$IV</definedName>
    <definedName name="_bdm.E12FB90E97504D9FB610451A2A55636E.edm" hidden="1">'[8]For 2010 Report - misc calc'!$A:$IV</definedName>
    <definedName name="_bdm.EAD1FD3B1C5B4B008EDB79939D83C388.edm" hidden="1" xml:space="preserve">                  '[6]Scenario Inputs'!$A:$IV</definedName>
    <definedName name="_bdm.EF325A886A3842DD8CC90984D4D28C9C.edm" hidden="1">[11]Bear_to_Bull_Data!$A:$IV</definedName>
    <definedName name="_bdm.F30073110F694A8597AF2E62515D28EF.edm" hidden="1">[11]Value_of_Growth_Data!$A:$IV</definedName>
    <definedName name="_bdm.FB89892EBDAE4620819709C7B13FFB90.edm" hidden="1">'[11]Comparative_Risk-Reward_Data'!$A:$IV</definedName>
    <definedName name="_bdm.FC5CA615F4824D84868898D9DFAE1BAC.edm" hidden="1" xml:space="preserve">                  '[6]Scenario Inputs'!$A:$IV</definedName>
    <definedName name="_bdm.FE2CE930D155417CB1C4D24A021793F8.edm" hidden="1">'[5]TJX Variance Chart Data'!$A:$IV</definedName>
    <definedName name="_Order1" localSheetId="9">0</definedName>
    <definedName name="_Order1">255</definedName>
    <definedName name="a">{"Client Name or Project Name"}</definedName>
    <definedName name="AAB_GSPPG">"AAB_Goldman Sachs PPG Chart Utilities 1.0g"</definedName>
    <definedName name="abc"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9">OFFSET(Date_Range,0,1,,1)</definedName>
    <definedName name="Act_Price" localSheetId="10">OFFSET(Date_Range,0,1,,1)</definedName>
    <definedName name="Act_Price">OFFSET(Date_Range,0,1,,1)</definedName>
    <definedName name="AdditionalInstructions">IndexInformation!$B$42</definedName>
    <definedName name="Address" localSheetId="0">ImportantDisclosures!$A$2:$A$2</definedName>
    <definedName name="adfda" localSheetId="10">{"Client Name or Project Name"}</definedName>
    <definedName name="adfda">{"Client Name or Project Name"}</definedName>
    <definedName name="ANA" localSheetId="18">ModPubIndex!$A$7</definedName>
    <definedName name="ann_is_short">[12]Income!$C$1:$H$105</definedName>
    <definedName name="anscount">1</definedName>
    <definedName name="Authors" localSheetId="0">ImportantDisclosures!$A$7</definedName>
    <definedName name="Authors" localSheetId="17">IndexInformation!$B$18</definedName>
    <definedName name="Avg">"Avg"</definedName>
    <definedName name="BRO" localSheetId="18">ModPubIndex!$A$1</definedName>
    <definedName name="comps_1">[12]Income!$A$119:$IV$119</definedName>
    <definedName name="comps_2">[12]Income!$A$120:$IV$120</definedName>
    <definedName name="comps_3">[12]Income!$A$121:$IV$121</definedName>
    <definedName name="CopyrightStamp">ImportantDisclosures!$A$27</definedName>
    <definedName name="COU" localSheetId="18">ModPubIndex!$A$5</definedName>
    <definedName name="CQEnd" localSheetId="17">IndexInformation!$B$31</definedName>
    <definedName name="Currency" localSheetId="17">IndexInformation!$B$24</definedName>
    <definedName name="CurrentStockPrice" localSheetId="17">IndexInformation!$B$23</definedName>
    <definedName name="CurrQtrEPS" localSheetId="17">IndexInformation!$B$29</definedName>
    <definedName name="CurrYearEPS" localSheetId="17">IndexInformation!$B$11</definedName>
    <definedName name="CurrYearTotalRevenue" localSheetId="17">IndexInformation!$B$10</definedName>
    <definedName name="CurrYearTotalRevenueActual" localSheetId="17">IndexInformation!$B$32</definedName>
    <definedName name="CUSIP" localSheetId="17">IndexInformation!$B$20</definedName>
    <definedName name="CYEnd" localSheetId="17">IndexInformation!$B$30</definedName>
    <definedName name="d">'[13]LEASES NEW'!$A$19</definedName>
    <definedName name="dataseries_minus_space_2">OFFSET([6]LIZ!$AE$31,0,0,COUNTA([6]LIZ!$AE$31:$AE$37)+1,1)</definedName>
    <definedName name="dataseries1">#N/A</definedName>
    <definedName name="dataseries4">OFFSET([14]c1!$G$12,0,0,COUNTA([14]c1!$G$12:$G$31),1)</definedName>
    <definedName name="Date" localSheetId="0">ImportantDisclosures!$A$8</definedName>
    <definedName name="Deleted" localSheetId="17">IndexInformation!$B$27</definedName>
    <definedName name="Description" localSheetId="17">IndexInformation!$B$7</definedName>
    <definedName name="DEVELOPMENT">5</definedName>
    <definedName name="Discipline" localSheetId="17">IndexInformation!$B$3</definedName>
    <definedName name="DISCIPLINE" localSheetId="18">ModPubIndex!$A$12</definedName>
    <definedName name="DisclosuresText">ImportantDisclosures!$A$22</definedName>
    <definedName name="Distribution" localSheetId="17">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OCDAT" localSheetId="18">ModPubIndex!$A$2</definedName>
    <definedName name="DOCTIME" localSheetId="18">ModPubIndex!$A$3</definedName>
    <definedName name="DocType" localSheetId="17">IndexInformation!$B$5</definedName>
    <definedName name="Download_series">[15]!Download_series</definedName>
    <definedName name="e">[12]Income!$EP$106</definedName>
    <definedName name="EMAIL_ALERT" localSheetId="18">ModPubIndex!$A$10</definedName>
    <definedName name="EmailAlert" localSheetId="17">IndexInformation!$B$28</definedName>
    <definedName name="ExpandModel" localSheetId="9">DCF!ExpandModel</definedName>
    <definedName name="ExpandModel">DCF!ExpandModel</definedName>
    <definedName name="ExpandOutputs" localSheetId="9">DCF!ExpandOutputs</definedName>
    <definedName name="ExpandOutputs">DCF!ExpandOutputs</definedName>
    <definedName name="ExpandVPeriods" localSheetId="9">DCF!ExpandVPeriods</definedName>
    <definedName name="ExpandVPeriods">DCF!ExpandVPeriods</definedName>
    <definedName name="ExportFile" localSheetId="9">DCF!ExportFile</definedName>
    <definedName name="ExportFile">DCF!ExportFile</definedName>
    <definedName name="ｆ" hidden="1">"iQShowAnnual"</definedName>
    <definedName name="FINCopyDirection">1</definedName>
    <definedName name="FINCriteriaType">1</definedName>
    <definedName name="FiveYearGrowthRate" localSheetId="17">IndexInformation!$B$16</definedName>
    <definedName name="FollowingYearEPS" localSheetId="17">IndexInformation!$B$15</definedName>
    <definedName name="FollowingYearTotalRevenue" localSheetId="17">IndexInformation!$B$14</definedName>
    <definedName name="FollowingYearTotalRevenueActual" localSheetId="17">IndexInformation!$B$34</definedName>
    <definedName name="HL" localSheetId="18">ModPubIndex!$A$8</definedName>
    <definedName name="ImportFile" localSheetId="9">DCF!ImportFile</definedName>
    <definedName name="ImportFile">DCF!ImportFile</definedName>
    <definedName name="income">[12]Income!$A:$IV</definedName>
    <definedName name="IND" localSheetId="18">ModPubIndex!$A$9</definedName>
    <definedName name="Industry" localSheetId="0">ImportantDisclosures!$A$12</definedName>
    <definedName name="IndustryId">IndexInformation!$B$40</definedName>
    <definedName name="IndustryRating" localSheetId="0">ImportantDisclosures!$A$13</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BROKER_REC_NO_REUT">"c5315"</definedName>
    <definedName name="IQ_AVG_BROKER_REC_REUT">"c3630"</definedName>
    <definedName name="IQ_AVG_DAILY_VOL">"c65"</definedName>
    <definedName name="IQ_AVG_INDUSTRY_REC">"c4455"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SHAREOUTSTANDING">"c83"</definedName>
    <definedName name="IQ_AVG_TEV">"c84"</definedName>
    <definedName name="IQ_AVG_VOLUME">"c1346"</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ROK_COMMISSION">"c3514"</definedName>
    <definedName name="IQ_BUILDINGS">"c99"</definedName>
    <definedName name="IQ_BUS_SEG_ASSETS">"c4067"</definedName>
    <definedName name="IQ_BUS_SEG_ASSETS_ABS">"c4089"</definedName>
    <definedName name="IQ_BUS_SEG_ASSETS_TOTAL">"c4112"</definedName>
    <definedName name="IQ_BUS_SEG_CAPEX">"c4079"</definedName>
    <definedName name="IQ_BUS_SEG_CAPEX_ABS">"c4101"</definedName>
    <definedName name="IQ_BUS_SEG_CAPEX_TOTAL">"c4116"</definedName>
    <definedName name="IQ_BUS_SEG_DA">"c4078"</definedName>
    <definedName name="IQ_BUS_SEG_DA_ABS">"c4100"</definedName>
    <definedName name="IQ_BUS_SEG_DA_TOTAL">"c4115"</definedName>
    <definedName name="IQ_BUS_SEG_EARNINGS_OP">"c4063"</definedName>
    <definedName name="IQ_BUS_SEG_EARNINGS_OP_ABS">"c4085"</definedName>
    <definedName name="IQ_BUS_SEG_EARNINGS_OP_TOTAL">"c4108"</definedName>
    <definedName name="IQ_BUS_SEG_EBT">"c4064"</definedName>
    <definedName name="IQ_BUS_SEG_EBT_ABS">"c4086"</definedName>
    <definedName name="IQ_BUS_SEG_EBT_TOTAL">"c4110"</definedName>
    <definedName name="IQ_BUS_SEG_GP">"c4066"</definedName>
    <definedName name="IQ_BUS_SEG_GP_ABS">"c4088"</definedName>
    <definedName name="IQ_BUS_SEG_GP_TOTAL">"c4109"</definedName>
    <definedName name="IQ_BUS_SEG_INC_TAX">"c4077"</definedName>
    <definedName name="IQ_BUS_SEG_INC_TAX_ABS">"c4099"</definedName>
    <definedName name="IQ_BUS_SEG_INC_TAX_TOTAL">"c4114"</definedName>
    <definedName name="IQ_BUS_SEG_INTEREST_EXP">"c4076"</definedName>
    <definedName name="IQ_BUS_SEG_INTEREST_EXP_ABS">"c4098"</definedName>
    <definedName name="IQ_BUS_SEG_INTEREST_EXP_TOTAL">"c4113"</definedName>
    <definedName name="IQ_BUS_SEG_NAME">"c5482"</definedName>
    <definedName name="IQ_BUS_SEG_NAME_ABS">"c5483"</definedName>
    <definedName name="IQ_BUS_SEG_NI">"c4065"</definedName>
    <definedName name="IQ_BUS_SEG_NI_ABS">"c4087"</definedName>
    <definedName name="IQ_BUS_SEG_NI_TOTAL">"c4111"</definedName>
    <definedName name="IQ_BUS_SEG_OPER_INC">"c4062"</definedName>
    <definedName name="IQ_BUS_SEG_OPER_INC_ABS">"c4084"</definedName>
    <definedName name="IQ_BUS_SEG_OPER_INC_TOTAL">"c4107"</definedName>
    <definedName name="IQ_BUS_SEG_REV">"c4068"</definedName>
    <definedName name="IQ_BUS_SEG_REV_ABS">"c4090"</definedName>
    <definedName name="IQ_BUS_SEG_REV_TOTAL">"c4106"</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"c3460"</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CONVERSION">"c117"</definedName>
    <definedName name="IQ_CASH_DUE_BANKS">"c1351"</definedName>
    <definedName name="IQ_CASH_EQUIV">"c118"</definedName>
    <definedName name="IQ_CASH_FINAN">"c119"</definedName>
    <definedName name="IQ_CASH_FLOW_ACT_OR_EST">"c4154"</definedName>
    <definedName name="IQ_CASH_INTEREST">"c120"</definedName>
    <definedName name="IQ_CASH_INVEST">"c121"</definedName>
    <definedName name="IQ_CASH_OPER">"c122"</definedName>
    <definedName name="IQ_CASH_OPER_ACT_OR_EST">"c4164"</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"c180"</definedName>
    <definedName name="IQ_COMMISSION_DEF">"c181"</definedName>
    <definedName name="IQ_COMMON">"c182"</definedName>
    <definedName name="IQ_COMMON_APIC">"c183"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"c189"</definedName>
    <definedName name="IQ_COMMON_DIV">"c3006"</definedName>
    <definedName name="IQ_COMMON_DIV_CF">"c190"</definedName>
    <definedName name="IQ_COMMON_EQUITY_10YR_ANN_GROWTH">"c191"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"c202"</definedName>
    <definedName name="IQ_COMMON_ISSUED_UTI">"c203"</definedName>
    <definedName name="IQ_COMMON_PER_ADR">"c204"</definedName>
    <definedName name="IQ_COMMON_PREF_DIV_CF">"c205"</definedName>
    <definedName name="IQ_COMMON_REP">"c206"</definedName>
    <definedName name="IQ_COMMON_REP_BNK">"c207"</definedName>
    <definedName name="IQ_COMMON_REP_BR">"c208"</definedName>
    <definedName name="IQ_COMMON_REP_FIN">"c209"</definedName>
    <definedName name="IQ_COMMON_REP_INS">"c210"</definedName>
    <definedName name="IQ_COMMON_REP_REIT">"c211"</definedName>
    <definedName name="IQ_COMMON_REP_UTI">"c212"</definedName>
    <definedName name="IQ_COMMON_STOCK">"c1358"</definedName>
    <definedName name="IQ_COMP_BENEFITS">"c213"</definedName>
    <definedName name="IQ_COMPANY_ADDRESS">"c214"</definedName>
    <definedName name="IQ_COMPANY_ID">"c3513"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"c219"</definedName>
    <definedName name="IQ_COMPANY_TYPE">"c2096"</definedName>
    <definedName name="IQ_COMPANY_WEBSITE">"c220"</definedName>
    <definedName name="IQ_COMPANY_ZIP">"c221"</definedName>
    <definedName name="IQ_CONSTRUCTION_LOANS">"c222"</definedName>
    <definedName name="IQ_CONSUMER_LOANS">"c223"</definedName>
    <definedName name="IQ_CONV_DATE">"c2191"</definedName>
    <definedName name="IQ_CONV_EXP_DATE">"c3043"</definedName>
    <definedName name="IQ_CONV_PREMIUM">"c2195"</definedName>
    <definedName name="IQ_CONV_PRICE">"c2193"</definedName>
    <definedName name="IQ_CONV_RATE">"c2192"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USIP">"c2245"</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EBITDA">"c5528"</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OSITS_INTEREST_SECURITIES">"c5509"</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ACT_OR_EST">"c4278"</definedName>
    <definedName name="IQ_DISTRIBUTABLE_CASH_PAYOUT">"c3005"</definedName>
    <definedName name="IQ_DISTRIBUTABLE_CASH_SHARE">"c3003"</definedName>
    <definedName name="IQ_DISTRIBUTABLE_CASH_SHARE_ACT_OR_EST">"c4286"</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ARNINGS_ANNOUNCE_DATE_REUT">"c5314"</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GW_ACT_OR_EST">"c4306"</definedName>
    <definedName name="IQ_EBIT_INT">"c360"</definedName>
    <definedName name="IQ_EBIT_MARGIN">"c359"</definedName>
    <definedName name="IQ_EBIT_OVER_IE">"c1369"</definedName>
    <definedName name="IQ_EBIT_SBC_ACT_OR_EST">"c4316"</definedName>
    <definedName name="IQ_EBIT_SBC_GW_ACT_OR_EST">"c4320"</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ACT_OR_EST">"c2215"</definedName>
    <definedName name="IQ_EBITDA_CAPEX_INT">"c368"</definedName>
    <definedName name="IQ_EBITDA_CAPEX_OVER_TOTAL_IE">"c1370"</definedName>
    <definedName name="IQ_EBITDA_EQ_INC">"c3496"</definedName>
    <definedName name="IQ_EBITDA_EQ_INC_EXCL_SBC">"c3500"</definedName>
    <definedName name="IQ_EBITDA_EST">"c369"</definedName>
    <definedName name="IQ_EBITDA_EST_REUT">"c3640"</definedName>
    <definedName name="IQ_EBITDA_EXCL_SBC">"c3081"</definedName>
    <definedName name="IQ_EBITDA_HIGH_EST">"c370"</definedName>
    <definedName name="IQ_EBITDA_HIGH_EST_REUT">"c3642"</definedName>
    <definedName name="IQ_EBITDA_INT">"c373"</definedName>
    <definedName name="IQ_EBITDA_LOW_EST">"c371"</definedName>
    <definedName name="IQ_EBITDA_LOW_EST_REUT">"c3643"</definedName>
    <definedName name="IQ_EBITDA_MARGIN">"c372"</definedName>
    <definedName name="IQ_EBITDA_MEDIAN_EST">"c1663"</definedName>
    <definedName name="IQ_EBITDA_MEDIAN_EST_REUT">"c3641"</definedName>
    <definedName name="IQ_EBITDA_NUM_EST">"c374"</definedName>
    <definedName name="IQ_EBITDA_NUM_EST_REUT">"c3644"</definedName>
    <definedName name="IQ_EBITDA_OVER_TOTAL_IE">"c1371"</definedName>
    <definedName name="IQ_EBITDA_SBC_ACT_OR_EST">"c4337"</definedName>
    <definedName name="IQ_EBITDA_STDDEV_EST">"c375"</definedName>
    <definedName name="IQ_EBITDA_STDDEV_EST_REUT">"c3645"</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SBC_ACT_OR_EST">"c4350"</definedName>
    <definedName name="IQ_EBT_SBC_GW_ACT_OR_EST">"c4354"</definedName>
    <definedName name="IQ_EBT_UTI">"c390"</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"c2213"</definedName>
    <definedName name="IQ_EPS_EST">"c399"</definedName>
    <definedName name="IQ_EPS_EST_REUT">"c5453"</definedName>
    <definedName name="IQ_EPS_HIGH_EST">"c400"</definedName>
    <definedName name="IQ_EPS_HIGH_EST_REUT">"c5454"</definedName>
    <definedName name="IQ_EPS_LOW_EST">"c401"</definedName>
    <definedName name="IQ_EPS_LOW_EST_REUT">"c5455"</definedName>
    <definedName name="IQ_EPS_MEDIAN_EST">"c1661"</definedName>
    <definedName name="IQ_EPS_MEDIAN_EST_REUT">"c5456"</definedName>
    <definedName name="IQ_EPS_NORM">"c1902"</definedName>
    <definedName name="IQ_EPS_NUM_EST">"c402"</definedName>
    <definedName name="IQ_EPS_NUM_EST_REUT">"c5451"</definedName>
    <definedName name="IQ_EPS_SBC_ACT_OR_EST">"c4376"</definedName>
    <definedName name="IQ_EPS_SBC_GW_ACT_OR_EST">"c4380"</definedName>
    <definedName name="IQ_EPS_STDDEV_EST">"c403"</definedName>
    <definedName name="IQ_EPS_STDDEV_EST_REUT">"c5452"</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"c1648"</definedName>
    <definedName name="IQ_EST_CURRENCY">"c2140"</definedName>
    <definedName name="IQ_EST_CURRENCY_REUT">"c5437"</definedName>
    <definedName name="IQ_EST_DATE">"c1634"</definedName>
    <definedName name="IQ_EST_DATE_REUT">"c5438"</definedName>
    <definedName name="IQ_EST_EPS_DIFF">"c1864"</definedName>
    <definedName name="IQ_EST_EPS_GROWTH_1YR">"c1636"</definedName>
    <definedName name="IQ_EST_EPS_GROWTH_1YR_REUT">"c3646"</definedName>
    <definedName name="IQ_EST_EPS_GROWTH_5YR">"c1655"</definedName>
    <definedName name="IQ_EST_EPS_GROWTH_5YR_REUT">"c3633"</definedName>
    <definedName name="IQ_EST_EPS_GROWTH_Q_1YR">"c1641"</definedName>
    <definedName name="IQ_EST_EPS_GROWTH_Q_1YR_REUT">"c5410"</definedName>
    <definedName name="IQ_EST_VENDOR">"c5564"</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CISE_TAXES_EXCL_SALES">"c5515"</definedName>
    <definedName name="IQ_EXCISE_TAXES_INCL_SALES">"c5514"</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ADJ_ACT_OR_EST">"c4435"</definedName>
    <definedName name="IQ_FFO_PAYOUT_RATIO">"c3492"</definedName>
    <definedName name="IQ_FFO_SHARE_ACT_OR_EST">"c4446"</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CURRENT_PORT_DEBT_TOTAL">"c5524"</definedName>
    <definedName name="IQ_FIN_DIV_CURRENT_PORT_LEASES_TOTAL">"c5523"</definedName>
    <definedName name="IQ_FIN_DIV_DEBT_CURRENT">"c429"</definedName>
    <definedName name="IQ_FIN_DIV_DEBT_LT">"c430"</definedName>
    <definedName name="IQ_FIN_DIV_DEBT_LT_TOTAL">"c5526"</definedName>
    <definedName name="IQ_FIN_DIV_EXP">"c431"</definedName>
    <definedName name="IQ_FIN_DIV_INT_EXP">"c432"</definedName>
    <definedName name="IQ_FIN_DIV_LEASES_LT_TOTAL">"c5525"</definedName>
    <definedName name="IQ_FIN_DIV_LIAB_CURRENT">"c433"</definedName>
    <definedName name="IQ_FIN_DIV_LIAB_LT">"c434"</definedName>
    <definedName name="IQ_FIN_DIV_LOANS_CURRENT">"c435"</definedName>
    <definedName name="IQ_FIN_DIV_LOANS_LT">"c436"</definedName>
    <definedName name="IQ_FIN_DIV_NOTES_PAY_TOTAL">"c5522"</definedName>
    <definedName name="IQ_FIN_DIV_REV">"c437"</definedName>
    <definedName name="IQ_FIN_DIV_ST_DEBT_TOTAL">"c5527"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LOAT_PERCENT">"c1575"</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"c451"</definedName>
    <definedName name="IQ_FY">1000</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EO_SEG_ASSETS">"c4069"</definedName>
    <definedName name="IQ_GEO_SEG_ASSETS_ABS">"c4091"</definedName>
    <definedName name="IQ_GEO_SEG_ASSETS_TOTAL">"c4123"</definedName>
    <definedName name="IQ_GEO_SEG_CAPEX">"c4083"</definedName>
    <definedName name="IQ_GEO_SEG_CAPEX_ABS">"c4105"</definedName>
    <definedName name="IQ_GEO_SEG_CAPEX_TOTAL">"c4127"</definedName>
    <definedName name="IQ_GEO_SEG_DA">"c4082"</definedName>
    <definedName name="IQ_GEO_SEG_DA_ABS">"c4104"</definedName>
    <definedName name="IQ_GEO_SEG_DA_TOTAL">"c4126"</definedName>
    <definedName name="IQ_GEO_SEG_EARNINGS_OP">"c4073"</definedName>
    <definedName name="IQ_GEO_SEG_EARNINGS_OP_ABS">"c4095"</definedName>
    <definedName name="IQ_GEO_SEG_EARNINGS_OP_TOTAL">"c4119"</definedName>
    <definedName name="IQ_GEO_SEG_EBT">"c4072"</definedName>
    <definedName name="IQ_GEO_SEG_EBT_ABS">"c4094"</definedName>
    <definedName name="IQ_GEO_SEG_EBT_TOTAL">"c4121"</definedName>
    <definedName name="IQ_GEO_SEG_GP">"c4070"</definedName>
    <definedName name="IQ_GEO_SEG_GP_ABS">"c4092"</definedName>
    <definedName name="IQ_GEO_SEG_GP_TOTAL">"c4120"</definedName>
    <definedName name="IQ_GEO_SEG_INC_TAX">"c4081"</definedName>
    <definedName name="IQ_GEO_SEG_INC_TAX_ABS">"c4103"</definedName>
    <definedName name="IQ_GEO_SEG_INC_TAX_TOTAL">"c4125"</definedName>
    <definedName name="IQ_GEO_SEG_INTEREST_EXP">"c4080"</definedName>
    <definedName name="IQ_GEO_SEG_INTEREST_EXP_ABS">"c4102"</definedName>
    <definedName name="IQ_GEO_SEG_INTEREST_EXP_TOTAL">"c4124"</definedName>
    <definedName name="IQ_GEO_SEG_NAME">"c5484"</definedName>
    <definedName name="IQ_GEO_SEG_NAME_ABS">"c5485"</definedName>
    <definedName name="IQ_GEO_SEG_NI">"c4071"</definedName>
    <definedName name="IQ_GEO_SEG_NI_ABS">"c4093"</definedName>
    <definedName name="IQ_GEO_SEG_NI_TOTAL">"c4122"</definedName>
    <definedName name="IQ_GEO_SEG_OPER_INC">"c4075"</definedName>
    <definedName name="IQ_GEO_SEG_OPER_INC_ABS">"c4097"</definedName>
    <definedName name="IQ_GEO_SEG_OPER_INC_TOTAL">"c4118"</definedName>
    <definedName name="IQ_GEO_SEG_REV">"c4074"</definedName>
    <definedName name="IQ_GEO_SEG_REV_ABS">"c4096"</definedName>
    <definedName name="IQ_GEO_SEG_REV_TOTAL">"c4117"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_TARGET_PRICE_REUT">"c5317"</definedName>
    <definedName name="IQ_HIGHPRICE">"c545"</definedName>
    <definedName name="IQ_HOMEOWNERS_WRITTEN">"c546"</definedName>
    <definedName name="IQ_IMPAIR_OIL">"c547"</definedName>
    <definedName name="IQ_IMPAIRMENT_GW">"c548"</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DUSTRY">"c3601"</definedName>
    <definedName name="IQ_INDUSTRY_GROUP">"c3602"</definedName>
    <definedName name="IQ_INDUSTRY_SECTOR">"c3603"</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GOV_SECURITY">"c5510"</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MUNI_SECURITY">"c5512"</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NVEST_SECURITY_SUPPL">"c5511"</definedName>
    <definedName name="IQ_IPRD">"c644"</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K">1000</definedName>
    <definedName name="IQ_LATESTQ">500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_TARGET_PRICE_REUT">"c5318"</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REVENUE_OVER_EMPLOYEES">"c1437"</definedName>
    <definedName name="IQ_MACHINERY">"c711"</definedName>
    <definedName name="IQ_MAINT_CAPEX">"c2947"</definedName>
    <definedName name="IQ_MAINT_CAPEX_ACT_OR_EST">"c4458"</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TARGET_PRICE">"c1650"</definedName>
    <definedName name="IQ_MEDIAN_TARGET_PRICE_REUT">"c5316"</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KTCAP_TOTAL_REV_FWD_REUT">"c4048"</definedName>
    <definedName name="IQ_MM_ACCOUNT">"c743"</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BC_ACT_OR_EST">"c4474"</definedName>
    <definedName name="IQ_NI_SBC_GW_ACT_OR_EST">"c4478"</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MORT">"c5563"</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EXCL_FWD_REUT">"c4049"</definedName>
    <definedName name="IQ_PE_NORMALIZED">"c2207"</definedName>
    <definedName name="IQ_PE_RATIO">"c1610"</definedName>
    <definedName name="IQ_PEG_FWD">"c1863"</definedName>
    <definedName name="IQ_PEG_FWD_REUT">"c4052"</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_TARGET_REUT">"c3631"</definedName>
    <definedName name="IQ_PRICEDATE">"c1069"</definedName>
    <definedName name="IQ_PRICING_DATE">"c1613"</definedName>
    <definedName name="IQ_PRIMARY_INDUSTRY">"c1070"</definedName>
    <definedName name="IQ_PRINCIPAL_AMT">"c2157"</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CURRING_PROFIT_ACT_OR_EST">"c4507"</definedName>
    <definedName name="IQ_RECURRING_PROFIT_SHARE_ACT_OR_EST">"c4508"</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"c2895"</definedName>
    <definedName name="IQ_RETAIL_ACQUIRED_OWNED_STORES">"c2903"</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STDDEV_EST">"c1124"</definedName>
    <definedName name="IQ_REV_STDDEV_EST_REUT">"c3639"</definedName>
    <definedName name="IQ_REV_UTI">"c1125"</definedName>
    <definedName name="IQ_REVENUE">"c1422"</definedName>
    <definedName name="IQ_REVENUE_ACT_OR_EST">"c2214"</definedName>
    <definedName name="IQ_REVENUE_EST">"c1126"</definedName>
    <definedName name="IQ_REVENUE_EST_REUT">"c3634"</definedName>
    <definedName name="IQ_REVENUE_HIGH_EST">"c1127"</definedName>
    <definedName name="IQ_REVENUE_HIGH_EST_REUT">"c3636"</definedName>
    <definedName name="IQ_REVENUE_LOW_EST">"c1128"</definedName>
    <definedName name="IQ_REVENUE_LOW_EST_REUT">"c3637"</definedName>
    <definedName name="IQ_REVENUE_MEDIAN_EST">"c1662"</definedName>
    <definedName name="IQ_REVENUE_MEDIAN_EST_REUT">"c3635"</definedName>
    <definedName name="IQ_REVENUE_NUM_EST">"c1129"</definedName>
    <definedName name="IQ_REVENUE_NUM_EST_REUT">"c3638"</definedName>
    <definedName name="IQ_REVISION_DATE_">39489.6256597222</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_PURCHASED_RESELL">"c5513"</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NUM_REUT">"c5319"</definedName>
    <definedName name="IQ_TARGET_PRICE_STDDEV">"c1654"</definedName>
    <definedName name="IQ_TARGET_PRICE_STDDEV_REUT">"c5320"</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BITDA_FWD_REUT">"c4050"</definedName>
    <definedName name="IQ_TEV_EMPLOYEE_AVG">"c1225"</definedName>
    <definedName name="IQ_TEV_TOTAL_REV">"c1226"</definedName>
    <definedName name="IQ_TEV_TOTAL_REV_AVG">"c1227"</definedName>
    <definedName name="IQ_TEV_TOTAL_REV_FWD">"c1228"</definedName>
    <definedName name="IQ_TEV_TOTAL_REV_FWD_REUT">"c4051"</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UNUSUAL_BNK">"c5516"</definedName>
    <definedName name="IQ_TOTAL_UNUSUAL_BR">"c5517"</definedName>
    <definedName name="IQ_TOTAL_UNUSUAL_FIN">"c5518"</definedName>
    <definedName name="IQ_TOTAL_UNUSUAL_INS">"c5519"</definedName>
    <definedName name="IQ_TOTAL_UNUSUAL_REIT">"c5520"</definedName>
    <definedName name="IQ_TOTAL_UNUSUAL_UTI">"c5521"</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_EQ_INC">"c3611"</definedName>
    <definedName name="IQ_TR_ACQ_EBITDA">"c2381"</definedName>
    <definedName name="IQ_TR_ACQ_EBITDA_EQ_INC">"c3610"</definedName>
    <definedName name="IQ_TR_ACQ_FILING_CURRENCY">"c3033"</definedName>
    <definedName name="IQ_TR_ACQ_FILINGDATE">"c3607"</definedName>
    <definedName name="IQ_TR_ACQ_MCAP_1DAY">"c2345"</definedName>
    <definedName name="IQ_TR_ACQ_MIN_INT">"c2374"</definedName>
    <definedName name="IQ_TR_ACQ_NET_DEBT">"c2373"</definedName>
    <definedName name="IQ_TR_ACQ_NI">"c2378"</definedName>
    <definedName name="IQ_TR_ACQ_PERIODDATE">"c3606"</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_EQ_INC">"c3609"</definedName>
    <definedName name="IQ_TR_TARGET_EBITDA">"c2334"</definedName>
    <definedName name="IQ_TR_TARGET_EBITDA_EQ_INC">"c3608"</definedName>
    <definedName name="IQ_TR_TARGET_FILING_CURRENCY">"c3034"</definedName>
    <definedName name="IQ_TR_TARGET_FILINGDATE">"c3605"</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ERIODDATE">"c3604"</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KeepVersions" localSheetId="17">IndexInformation!$B$8</definedName>
    <definedName name="LanguageCode">IndexInformation!$B$38</definedName>
    <definedName name="LastCell" localSheetId="0">ImportantDisclosures!$A$22</definedName>
    <definedName name="Linking_1" localSheetId="9">DCF!$B$1:$J$49</definedName>
    <definedName name="Linking_1">Valuation!$C$53:$S$67</definedName>
    <definedName name="Linking_10">flow!$A$6:$AM$62</definedName>
    <definedName name="Linking_11">sumry!$A$7:$GD$77</definedName>
    <definedName name="Linking_12">sumry!$A$7:$GB$69</definedName>
    <definedName name="Linking_13">bal!$A$6:$AL$49</definedName>
    <definedName name="Linking_14">flow!$A$6:$AL$62</definedName>
    <definedName name="Linking_15">flow!$A$6:$AL$65</definedName>
    <definedName name="Linking_2">Valuation!$C$53:$S$64</definedName>
    <definedName name="Linking_20">DCF!$B$1:$J$51</definedName>
    <definedName name="Linking_4">bal!$B$6:$AK$49</definedName>
    <definedName name="Linking_5">sumry!$A$7:$GA$69</definedName>
    <definedName name="Linking_6">flow!$A$6:$AK$62</definedName>
    <definedName name="Linking_8">bal!$A$6:$AM$49</definedName>
    <definedName name="Linking_9">flow!$A$6:$AM$71</definedName>
    <definedName name="Linking_Range_1">[12]Income!$A$2:$AH$87</definedName>
    <definedName name="Linking_Range_10">Valuation!$C$7:$Q$19</definedName>
    <definedName name="Linking_Range_11">sumry!$A$7:$FY$68</definedName>
    <definedName name="Linking_Range_12">bal!$A$6:$AI$49</definedName>
    <definedName name="Linking_Range_13" localSheetId="10">qtr_CF_BS!$B$6:$N$62</definedName>
    <definedName name="Linking_Range_13">flow!$B$6:$AI$62</definedName>
    <definedName name="Linking_Range_14">Valuation!$C$7:$J$19</definedName>
    <definedName name="Linking_Range_15">sumry!$A$7:$FY$69</definedName>
    <definedName name="Linking_Range_16">sumry!$A$7:$FY$76</definedName>
    <definedName name="Linking_Range_17" localSheetId="10">qtr_CF_BS!$B$6:$N$47</definedName>
    <definedName name="Linking_Range_17">flow!$B$6:$AI$47</definedName>
    <definedName name="Linking_Range_2">[12]Income!$AN$2:$GE$87</definedName>
    <definedName name="Linking_Range_21">sumry!$A$7:$FW$69</definedName>
    <definedName name="Linking_Range_23" localSheetId="10">qtr_CF_BS!$A$6:$N$62</definedName>
    <definedName name="Linking_Range_23">flow!$A$6:$AI$62</definedName>
    <definedName name="Linking_Range_27">sumry!$A$7:$FY$59</definedName>
    <definedName name="Linking_Range_28">flow!$A$6:$AI$47</definedName>
    <definedName name="Linking_Range_29">'yrP&amp;L'!$A$1:$AF$82</definedName>
    <definedName name="Linking_Range_3">'[4]Fig2-5.MasterTable'!$B$424:$AQ$492</definedName>
    <definedName name="Linking_Range_30">'yrP&amp;L'!$A$5:$AF$78</definedName>
    <definedName name="Linking_Range_31">qtr_CF_BS!$A$6:$S$65</definedName>
    <definedName name="Linking_Range_32">'qtrP&amp;L'!$A$6:$DN$74</definedName>
    <definedName name="Linking_Range_33">'qtrP&amp;L'!$A$6:$DM$154</definedName>
    <definedName name="Linking_Range_34">'qtrP&amp;L'!$A$6:$DM$224</definedName>
    <definedName name="Linking_Range_35">'yrP&amp;L'!$A$5:$AF$82</definedName>
    <definedName name="Linking_Range_36">Valuation!$C$25:$S$68</definedName>
    <definedName name="Linking_Range_37">flow!$A$6:$AI$65</definedName>
    <definedName name="Linking_Range_38">Valuation!$C$53:$S$68</definedName>
    <definedName name="Linking_Range_39">Valuation!$AB$45:$AH$52</definedName>
    <definedName name="Linking_Range_4">sumry!$A$7:$FW$68</definedName>
    <definedName name="Linking_Range_40">Valuation!$C$25:$J$32</definedName>
    <definedName name="Linking_Range_41">'yrP&amp;L'!$AR$87:$AX$93</definedName>
    <definedName name="Linking_Range_42">'yrP&amp;L'!$AZ$87:$BF$93</definedName>
    <definedName name="Linking_Range_43">sumry!$A$7:$FZ$69</definedName>
    <definedName name="Linking_Range_44">bal!$A$6:$AJ$49</definedName>
    <definedName name="Linking_Range_45">flow!$A$6:$AJ$62</definedName>
    <definedName name="Linking_Range_46">bal!$A$6:$AK$49</definedName>
    <definedName name="Linking_Range_47">flow!$A$6:$AK$47</definedName>
    <definedName name="Linking_Range_5">bal!$A$6:$AG$49</definedName>
    <definedName name="Linking_Range_6" localSheetId="10">qtr_CF_BS!$A$6:$L$62</definedName>
    <definedName name="Linking_Range_6">flow!$A$6:$AG$62</definedName>
    <definedName name="Linking_Range_7">sumry!$A$6:$FW$76</definedName>
    <definedName name="Linking_Range_8" localSheetId="10">qtr_CF_BS!$A$6:$L$47</definedName>
    <definedName name="Linking_Range_8">flow!$A$6:$AG$47</definedName>
    <definedName name="Linking_Range_9" localSheetId="10">qtr_CF_BS!$B$6:$L$47</definedName>
    <definedName name="Linking_Range_9">flow!$B$6:$AG$47</definedName>
    <definedName name="Linking_Text_1">'[4]Fig6.EBIT Rank'!$C$17</definedName>
    <definedName name="Linking_Text_2">'[4]Fig6.EBIT Rank'!$H$36</definedName>
    <definedName name="lookup_period">[12]Income!$A$1:$IV$1</definedName>
    <definedName name="MacroVersion" localSheetId="17">IndexInformation!$B$1</definedName>
    <definedName name="me">"Button 5"</definedName>
    <definedName name="ModelPrice" localSheetId="0">ImportantDisclosures!$A$14</definedName>
    <definedName name="MtCap">10000000000</definedName>
    <definedName name="Multiplier" localSheetId="17">IndexInformation!$B$35</definedName>
    <definedName name="NextYearEPS" localSheetId="17">IndexInformation!$B$13</definedName>
    <definedName name="NextYearTotalRevenue" localSheetId="17">IndexInformation!$B$12</definedName>
    <definedName name="NextYearTotalRevenueActual" localSheetId="17">IndexInformation!$B$33</definedName>
    <definedName name="NVCURR">[16]I!$B$1:$U$51</definedName>
    <definedName name="ObjectType">IndexInformation!$B$37</definedName>
    <definedName name="PANA" localSheetId="18">ModPubIndex!$A$11</definedName>
    <definedName name="PathName" localSheetId="17">IndexInformation!$B$25</definedName>
    <definedName name="_xlnm.Print_Area" localSheetId="14">bal!$A$1:$AI$49</definedName>
    <definedName name="_xlnm.Print_Area" localSheetId="3">BullBaseBear!$A$44:$P$130</definedName>
    <definedName name="_xlnm.Print_Area" localSheetId="11">dtc!$A$1:$AF$61</definedName>
    <definedName name="_xlnm.Print_Area" localSheetId="13">flow!$A$1:$AG$62</definedName>
    <definedName name="_xlnm.Print_Area" localSheetId="10">qtr_CF_BS!$A$6:$S$62</definedName>
    <definedName name="_xlnm.Print_Area" localSheetId="5">'qtrP&amp;L'!$A$6:$DW$246</definedName>
    <definedName name="_xlnm.Print_Area" localSheetId="6">qtrSales!$A$1:$AO$243</definedName>
    <definedName name="_xlnm.Print_Area" localSheetId="1">sumry!$A$7:$GA$84</definedName>
    <definedName name="_xlnm.Print_Area" localSheetId="15">turn!$A$1:$AJ$161</definedName>
    <definedName name="_xlnm.Print_Area" localSheetId="2">Valuation!$C$53:$AC$77</definedName>
    <definedName name="_xlnm.Print_Area" localSheetId="12">wc!$A$7:$BK$85</definedName>
    <definedName name="_xlnm.Print_Area" localSheetId="8">'yrP&amp;L'!$A$1:$AQ$78</definedName>
    <definedName name="_xlnm.Print_Area" localSheetId="7">yrSales!$A$1:$AF$52</definedName>
    <definedName name="_xlnm.Print_Area">#REF!</definedName>
    <definedName name="_xlnm.Print_Titles" localSheetId="5">'qtrP&amp;L'!$A:$A,'qtrP&amp;L'!$1:$6</definedName>
    <definedName name="_xlnm.Print_Titles" localSheetId="8">'yrP&amp;L'!$A:$A,'yrP&amp;L'!$1:$6</definedName>
    <definedName name="_xlnm.Print_Titles" localSheetId="7">yrSales!$A:$A,yrSales!$1:$6</definedName>
    <definedName name="_xlnm.Print_Titles">#REF!</definedName>
    <definedName name="PRODUCT" localSheetId="18">ModPubIndex!$A$6</definedName>
    <definedName name="ProImportExport.ImportFile" localSheetId="9">DCF!ProImportExport.ImportFile</definedName>
    <definedName name="ProImportExport.ImportFile">DCF!ProImportExport.ImportFile</definedName>
    <definedName name="ProImportExport.SaveNewFile" localSheetId="9">DCF!ProImportExport.SaveNewFile</definedName>
    <definedName name="ProImportExport.SaveNewFile">DCF!ProImportExport.SaveNewFile</definedName>
    <definedName name="ProjectName" localSheetId="9">{"Client Name or Project Name"}</definedName>
    <definedName name="ProjectName" localSheetId="10">{"Client Name or Project Name"}</definedName>
    <definedName name="ProjectName">{"Client Name or Project Name"}</definedName>
    <definedName name="PSYM" localSheetId="18">ModPubIndex!$A$4</definedName>
    <definedName name="PublishDate" localSheetId="17">IndexInformation!$B$2</definedName>
    <definedName name="qtr_store_model">[12]Income!$BQ$103:$CB$171</definedName>
    <definedName name="Rating" localSheetId="17">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9">OFFSET(Date_Range,0,10,,1)</definedName>
    <definedName name="Rel_Forw" localSheetId="10">OFFSET(Date_Range,0,10,,1)</definedName>
    <definedName name="Rel_Forw">OFFSET(Date_Range,0,10,,1)</definedName>
    <definedName name="RepairedName0359" hidden="1">"iQShowAnnual"</definedName>
    <definedName name="ResearchTopic" localSheetId="17">IndexInformation!$B$4</definedName>
    <definedName name="RIC" localSheetId="17">IndexInformation!$B$21</definedName>
    <definedName name="s" localSheetId="9">{"Client Name or Project Name"}</definedName>
    <definedName name="s">{"Client Name or Project Name"}</definedName>
    <definedName name="sales_1">[12]Income!$A$113:$IV$113</definedName>
    <definedName name="sales_2">[12]Income!$A$114:$IV$114</definedName>
    <definedName name="sales_3">[12]Income!$A$115:$IV$115</definedName>
    <definedName name="SaveNewFile" localSheetId="9">DCF!SaveNewFile</definedName>
    <definedName name="SaveNewFile">DCF!SaveNewFile</definedName>
    <definedName name="SECSettlement" localSheetId="0">ImportantDisclosures!#REF!</definedName>
    <definedName name="SEDOL" localSheetId="17">IndexInformation!$B$22</definedName>
    <definedName name="SedolTicker">'[17]MWA Lease NEW'!$F$4</definedName>
    <definedName name="SourceDefined" localSheetId="0">ImportantDisclosures!$A$19</definedName>
    <definedName name="Sp">"       "</definedName>
    <definedName name="StockRating" localSheetId="0">ImportantDisclosures!$A$11</definedName>
    <definedName name="SubjectCode" localSheetId="17">IndexInformation!$B$6</definedName>
    <definedName name="SubmitterUserId">IndexInformation!$B$39</definedName>
    <definedName name="SUPPRESSED" localSheetId="18">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7">IndexInformation!$B$19</definedName>
    <definedName name="Update_This">[15]!Update_This</definedName>
    <definedName name="UpdateReason" localSheetId="17">IndexInformation!$B$17</definedName>
    <definedName name="USRegDisclosures" localSheetId="0">ImportantDisclosures!#REF!</definedName>
    <definedName name="ValidDateTable" localSheetId="9">[13]mwareDates!$B$2:$E$76</definedName>
    <definedName name="Version">"June 29, 2004"</definedName>
    <definedName name="wrn.Complete."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localSheetId="9" hidden="1">{#N/A,#N/A,FALSE,"Earnings";#N/A,#N/A,FALSE,"Overview";#N/A,#N/A,FALSE,"Summary";#N/A,#N/A,FALSE,"Summary II";#N/A,#N/A,FALSE,"R&amp;D";#N/A,#N/A,FALSE,"R&amp;D Forecast";#N/A,#N/A,FALSE,"Tax Adj";#N/A,#N/A,FALSE,"Goodwill";#N/A,#N/A,FALSE,"FX ";#N/A,#N/A,FALSE,"Consolidation";#N/A,#N/A,FALSE,"Provisions"}</definedName>
    <definedName name="wrn.Industry.xls." localSheetId="10"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xaxis">#N/A</definedName>
    <definedName name="xaxislabels">OFFSET([6]LIZ!$AD$31,0,0,COUNTA([6]LIZ!$AD$31:$AD$37)+1,1)</definedName>
    <definedName name="xbrlAssumption">bal!$AU:$AU</definedName>
    <definedName name="xbrlDates">bal!$91:$91</definedName>
    <definedName name="xbrlFormat">bal!$AS:$AS</definedName>
    <definedName name="xbrlLabels">bal!$B:$B</definedName>
    <definedName name="xbrlNames">bal!$AQ:$AQ</definedName>
    <definedName name="xbrlReverseSign">bal!$AT:$AT</definedName>
    <definedName name="xbrlScale">bal!$AR:$AR</definedName>
    <definedName name="xbrlSegment">bal!$AV:$AV</definedName>
  </definedNames>
  <calcPr calcId="145621"/>
</workbook>
</file>

<file path=xl/calcChain.xml><?xml version="1.0" encoding="utf-8"?>
<calcChain xmlns="http://schemas.openxmlformats.org/spreadsheetml/2006/main">
  <c r="D66" i="52" l="1"/>
  <c r="C34" i="81" l="1"/>
  <c r="AI44" i="9" l="1"/>
  <c r="E339" i="44"/>
  <c r="AJ51" i="10"/>
  <c r="AG47" i="5" l="1"/>
  <c r="EE194" i="1"/>
  <c r="AA3" i="41" l="1"/>
  <c r="AB3" i="41"/>
  <c r="AB15" i="41" s="1"/>
  <c r="AA15" i="41"/>
  <c r="AA16" i="41"/>
  <c r="AA22" i="41"/>
  <c r="AB22" i="41"/>
  <c r="AA23" i="41"/>
  <c r="AA35" i="41"/>
  <c r="AB35" i="41"/>
  <c r="AA38" i="41"/>
  <c r="AA39" i="41" s="1"/>
  <c r="AA41" i="41"/>
  <c r="AB41" i="41" s="1"/>
  <c r="AB43" i="41" s="1"/>
  <c r="AA44" i="41"/>
  <c r="AB44" i="41" s="1"/>
  <c r="AA55" i="41"/>
  <c r="AB55" i="41" s="1"/>
  <c r="AA58" i="41"/>
  <c r="AB58" i="41" s="1"/>
  <c r="AA61" i="41"/>
  <c r="AA60" i="41" s="1"/>
  <c r="AA63" i="41"/>
  <c r="AB63" i="41" s="1"/>
  <c r="AA64" i="41"/>
  <c r="AB64" i="41" s="1"/>
  <c r="AA66" i="41"/>
  <c r="AB66" i="41"/>
  <c r="AA68" i="41"/>
  <c r="AA6" i="41" s="1"/>
  <c r="AA69" i="41"/>
  <c r="AB69" i="41" s="1"/>
  <c r="AA70" i="41"/>
  <c r="AB70" i="41" s="1"/>
  <c r="AA71" i="41"/>
  <c r="AB71" i="41" s="1"/>
  <c r="AA72" i="41"/>
  <c r="AB72" i="41" s="1"/>
  <c r="AA73" i="41"/>
  <c r="AB73" i="41" s="1"/>
  <c r="AA102" i="41"/>
  <c r="AB102" i="41"/>
  <c r="AA138" i="41"/>
  <c r="AB138" i="41"/>
  <c r="AA140" i="41"/>
  <c r="AB140" i="41" s="1"/>
  <c r="AA142" i="41"/>
  <c r="AB142" i="41" s="1"/>
  <c r="AA143" i="41"/>
  <c r="AB143" i="41" s="1"/>
  <c r="AA144" i="41"/>
  <c r="AB144" i="41" s="1"/>
  <c r="AA145" i="41"/>
  <c r="AB145" i="41" s="1"/>
  <c r="AA146" i="41"/>
  <c r="AB146" i="41" s="1"/>
  <c r="AA147" i="41"/>
  <c r="AB147" i="41" s="1"/>
  <c r="AA148" i="41"/>
  <c r="AB148" i="41" s="1"/>
  <c r="AA149" i="41"/>
  <c r="AB149" i="41" s="1"/>
  <c r="AA150" i="41"/>
  <c r="AB150" i="41" s="1"/>
  <c r="AA151" i="41"/>
  <c r="AB151" i="41" s="1"/>
  <c r="AA152" i="41"/>
  <c r="AB152" i="41" s="1"/>
  <c r="AA153" i="41"/>
  <c r="AB153" i="41" s="1"/>
  <c r="H236" i="3"/>
  <c r="H237" i="3"/>
  <c r="H238" i="3"/>
  <c r="AE39" i="4"/>
  <c r="AF39" i="4"/>
  <c r="AD39" i="4"/>
  <c r="AF5" i="5"/>
  <c r="AI6" i="10"/>
  <c r="AI6" i="9"/>
  <c r="FY7" i="11"/>
  <c r="EM7" i="11"/>
  <c r="AA74" i="41" l="1"/>
  <c r="AA109" i="41" s="1"/>
  <c r="AA104" i="41"/>
  <c r="AA106" i="41"/>
  <c r="AA108" i="41"/>
  <c r="AA107" i="41"/>
  <c r="AA103" i="41"/>
  <c r="AA105" i="41"/>
  <c r="AA25" i="41"/>
  <c r="AA43" i="41"/>
  <c r="AB68" i="41"/>
  <c r="AB61" i="41"/>
  <c r="AB60" i="41" s="1"/>
  <c r="AB38" i="41"/>
  <c r="AB39" i="41" s="1"/>
  <c r="AB106" i="41" s="1"/>
  <c r="L63" i="52"/>
  <c r="AB6" i="41" l="1"/>
  <c r="AB103" i="41"/>
  <c r="AB107" i="41"/>
  <c r="AB74" i="41"/>
  <c r="AB105" i="41"/>
  <c r="AB104" i="41"/>
  <c r="AA75" i="41"/>
  <c r="AB108" i="41"/>
  <c r="AI51" i="10"/>
  <c r="DZ204" i="1"/>
  <c r="DZ200" i="1"/>
  <c r="DZ170" i="1"/>
  <c r="DZ150" i="1"/>
  <c r="DZ153" i="1"/>
  <c r="DZ171" i="1"/>
  <c r="DZ201" i="1"/>
  <c r="DZ151" i="1"/>
  <c r="DZ202" i="1"/>
  <c r="DZ152" i="1"/>
  <c r="DZ172" i="1"/>
  <c r="BX7" i="6"/>
  <c r="BX43" i="6"/>
  <c r="AI16" i="10"/>
  <c r="AI31" i="10"/>
  <c r="AI50" i="10"/>
  <c r="AI10" i="10"/>
  <c r="AI33" i="9"/>
  <c r="AI28" i="9"/>
  <c r="AA110" i="41" l="1"/>
  <c r="AA76" i="41"/>
  <c r="AA111" i="41" s="1"/>
  <c r="AA77" i="41"/>
  <c r="AA112" i="41" s="1"/>
  <c r="AB109" i="41"/>
  <c r="AB75" i="41"/>
  <c r="AB25" i="41"/>
  <c r="DZ133" i="1"/>
  <c r="DZ93" i="1"/>
  <c r="EC33" i="1"/>
  <c r="EC32" i="1"/>
  <c r="EA23" i="1"/>
  <c r="AB110" i="41" l="1"/>
  <c r="AB77" i="41"/>
  <c r="AB76" i="41"/>
  <c r="AA78" i="41"/>
  <c r="AA113" i="41" s="1"/>
  <c r="D8" i="81"/>
  <c r="E8" i="81"/>
  <c r="F8" i="81"/>
  <c r="G8" i="81"/>
  <c r="D15" i="81"/>
  <c r="E15" i="81"/>
  <c r="E2" i="81"/>
  <c r="F2" i="81" s="1"/>
  <c r="G2" i="81" s="1"/>
  <c r="H2" i="81" s="1"/>
  <c r="I2" i="81" s="1"/>
  <c r="J2" i="81" s="1"/>
  <c r="D2" i="81"/>
  <c r="C15" i="81"/>
  <c r="AB112" i="41" l="1"/>
  <c r="AA79" i="41"/>
  <c r="AB111" i="41"/>
  <c r="AB78" i="41"/>
  <c r="AA114" i="41" l="1"/>
  <c r="AA80" i="41"/>
  <c r="AB113" i="41"/>
  <c r="AB79" i="41"/>
  <c r="AB80" i="41" l="1"/>
  <c r="AB115" i="41" s="1"/>
  <c r="AA115" i="41"/>
  <c r="AA81" i="41"/>
  <c r="AB114" i="41"/>
  <c r="AB81" i="41" l="1"/>
  <c r="AA116" i="41"/>
  <c r="AA82" i="41"/>
  <c r="AB82" i="41"/>
  <c r="AB83" i="41" l="1"/>
  <c r="AB116" i="41"/>
  <c r="AB84" i="41"/>
  <c r="AA117" i="41"/>
  <c r="AA83" i="41"/>
  <c r="AA118" i="41" l="1"/>
  <c r="AA84" i="41"/>
  <c r="AB85" i="41"/>
  <c r="AB118" i="41"/>
  <c r="AB117" i="41"/>
  <c r="AB86" i="41" l="1"/>
  <c r="AA119" i="41"/>
  <c r="AA85" i="41"/>
  <c r="AA120" i="41" l="1"/>
  <c r="AA86" i="41"/>
  <c r="AB119" i="41"/>
  <c r="AB87" i="41"/>
  <c r="AA121" i="41" l="1"/>
  <c r="AA87" i="41"/>
  <c r="AB120" i="41"/>
  <c r="AB88" i="41"/>
  <c r="AN58" i="7"/>
  <c r="AN52" i="7"/>
  <c r="AN16" i="7"/>
  <c r="BX24" i="6"/>
  <c r="BZ12" i="6"/>
  <c r="BY12" i="6"/>
  <c r="AA122" i="41" l="1"/>
  <c r="AA88" i="41"/>
  <c r="AB121" i="41"/>
  <c r="AB89" i="41"/>
  <c r="DZ92" i="1"/>
  <c r="EA32" i="1"/>
  <c r="EB32" i="1" s="1"/>
  <c r="EA22" i="1"/>
  <c r="EB22" i="1" s="1"/>
  <c r="H230" i="3"/>
  <c r="D230" i="3"/>
  <c r="AA123" i="41" l="1"/>
  <c r="AA89" i="41"/>
  <c r="AB122" i="41"/>
  <c r="AB90" i="41"/>
  <c r="AA124" i="41" l="1"/>
  <c r="AA90" i="41"/>
  <c r="AB123" i="41"/>
  <c r="AB91" i="41"/>
  <c r="AA125" i="41" l="1"/>
  <c r="AA91" i="41"/>
  <c r="AB124" i="41"/>
  <c r="AB92" i="41"/>
  <c r="AA126" i="41" l="1"/>
  <c r="AA92" i="41"/>
  <c r="AB125" i="41"/>
  <c r="AB93" i="41"/>
  <c r="AA127" i="41" l="1"/>
  <c r="AA93" i="41"/>
  <c r="AB126" i="41"/>
  <c r="AB94" i="41"/>
  <c r="AA128" i="41" l="1"/>
  <c r="AA94" i="41"/>
  <c r="AB127" i="41"/>
  <c r="AB95" i="41"/>
  <c r="AA129" i="41" l="1"/>
  <c r="AA95" i="41"/>
  <c r="AB128" i="41"/>
  <c r="AB96" i="41"/>
  <c r="L85" i="52"/>
  <c r="L79" i="52"/>
  <c r="AB97" i="41" l="1"/>
  <c r="AA130" i="41"/>
  <c r="AA96" i="41"/>
  <c r="AB129" i="41"/>
  <c r="AG62" i="5"/>
  <c r="AA131" i="41" l="1"/>
  <c r="AA97" i="41"/>
  <c r="AB130" i="41"/>
  <c r="AB98" i="41"/>
  <c r="AA132" i="41" l="1"/>
  <c r="AA134" i="41" s="1"/>
  <c r="AA98" i="41"/>
  <c r="AB132" i="41" s="1"/>
  <c r="AB131" i="41"/>
  <c r="BT37" i="6"/>
  <c r="BP37" i="6"/>
  <c r="BT31" i="6"/>
  <c r="BP31" i="6"/>
  <c r="AL14" i="10"/>
  <c r="AM14" i="10"/>
  <c r="AN14" i="10"/>
  <c r="AK26" i="5"/>
  <c r="AA52" i="41" l="1"/>
  <c r="AA17" i="41"/>
  <c r="AB134" i="41"/>
  <c r="U39" i="60"/>
  <c r="U16" i="60"/>
  <c r="U12" i="60"/>
  <c r="GD63" i="11"/>
  <c r="GD46" i="11"/>
  <c r="AA49" i="41" l="1"/>
  <c r="AA50" i="41" s="1"/>
  <c r="AA53" i="41"/>
  <c r="AB52" i="41"/>
  <c r="AB17" i="41"/>
  <c r="AA26" i="41"/>
  <c r="AA24" i="41" s="1"/>
  <c r="AA154" i="41"/>
  <c r="AA175" i="41" s="1"/>
  <c r="AA18" i="41" s="1"/>
  <c r="AA7" i="41" s="1"/>
  <c r="AA8" i="41" s="1"/>
  <c r="AA19" i="41"/>
  <c r="AK9" i="5"/>
  <c r="AK40" i="5"/>
  <c r="AK13" i="5"/>
  <c r="EE31" i="1"/>
  <c r="EE81" i="1" s="1"/>
  <c r="EE30" i="1"/>
  <c r="EG13" i="1"/>
  <c r="EG12" i="1"/>
  <c r="EG11" i="1"/>
  <c r="EG10" i="1"/>
  <c r="D236" i="3"/>
  <c r="S236" i="3" s="1"/>
  <c r="D235" i="3"/>
  <c r="S235" i="3" s="1"/>
  <c r="D238" i="3"/>
  <c r="D237" i="3"/>
  <c r="EE174" i="1"/>
  <c r="EE176" i="1"/>
  <c r="EG152" i="1"/>
  <c r="EE136" i="1"/>
  <c r="EE135" i="1"/>
  <c r="EE134" i="1"/>
  <c r="EE126" i="1"/>
  <c r="EE125" i="1"/>
  <c r="EG125" i="1" s="1"/>
  <c r="EE124" i="1"/>
  <c r="EG123" i="1"/>
  <c r="EG122" i="1"/>
  <c r="EG121" i="1"/>
  <c r="EG120" i="1"/>
  <c r="EE95" i="1"/>
  <c r="EE96" i="1"/>
  <c r="EE76" i="1"/>
  <c r="EE75" i="1"/>
  <c r="EE74" i="1"/>
  <c r="EE66" i="1"/>
  <c r="EE65" i="1"/>
  <c r="EE64" i="1"/>
  <c r="EE56" i="1"/>
  <c r="EE55" i="1"/>
  <c r="EE54" i="1"/>
  <c r="EE46" i="1"/>
  <c r="EE45" i="1"/>
  <c r="EE44" i="1"/>
  <c r="EG23" i="1"/>
  <c r="EG22" i="1"/>
  <c r="EE6" i="1"/>
  <c r="B344" i="44"/>
  <c r="J170" i="44"/>
  <c r="B170" i="44"/>
  <c r="U131" i="60"/>
  <c r="U132" i="60"/>
  <c r="U144" i="60"/>
  <c r="U163" i="60"/>
  <c r="U167" i="60"/>
  <c r="U178" i="60"/>
  <c r="U177" i="60" s="1"/>
  <c r="U179" i="60"/>
  <c r="U180" i="60"/>
  <c r="U181" i="60"/>
  <c r="U187" i="60"/>
  <c r="U73" i="60"/>
  <c r="U97" i="60"/>
  <c r="U58" i="60"/>
  <c r="U45" i="60"/>
  <c r="U88" i="60" s="1"/>
  <c r="GD36" i="11"/>
  <c r="GD37" i="11" s="1"/>
  <c r="GD30" i="11"/>
  <c r="GD28" i="11"/>
  <c r="GD21" i="11"/>
  <c r="GD17" i="11"/>
  <c r="ER46" i="11" a="1"/>
  <c r="EU46" i="11" s="1"/>
  <c r="AB26" i="41" l="1"/>
  <c r="AB154" i="41"/>
  <c r="AB175" i="41" s="1"/>
  <c r="AB18" i="41" s="1"/>
  <c r="AB7" i="41" s="1"/>
  <c r="AB8" i="41" s="1"/>
  <c r="AB16" i="41"/>
  <c r="AB19" i="41" s="1"/>
  <c r="AB49" i="41"/>
  <c r="AB50" i="41" s="1"/>
  <c r="AB53" i="41"/>
  <c r="AA11" i="41"/>
  <c r="AA10" i="41"/>
  <c r="AA13" i="41" s="1"/>
  <c r="AA27" i="41"/>
  <c r="AB23" i="41" s="1"/>
  <c r="AA37" i="41"/>
  <c r="EE35" i="1"/>
  <c r="EE80" i="1"/>
  <c r="EE85" i="1" s="1"/>
  <c r="EE11" i="1"/>
  <c r="EE21" i="1" s="1"/>
  <c r="EE141" i="1" s="1"/>
  <c r="EG151" i="1" s="1"/>
  <c r="D151" i="8"/>
  <c r="EE10" i="1"/>
  <c r="EF30" i="1" s="1"/>
  <c r="D150" i="8"/>
  <c r="U140" i="60"/>
  <c r="EG150" i="1"/>
  <c r="EE175" i="1"/>
  <c r="EE94" i="1"/>
  <c r="ER46" i="11"/>
  <c r="U54" i="60"/>
  <c r="U101" i="60"/>
  <c r="ES46" i="11"/>
  <c r="ET46" i="11"/>
  <c r="AN58" i="10"/>
  <c r="AN41" i="10"/>
  <c r="AN84" i="9"/>
  <c r="AN54" i="9"/>
  <c r="AN55" i="9"/>
  <c r="AN42" i="9"/>
  <c r="AP5" i="7"/>
  <c r="CB120" i="6"/>
  <c r="CB119" i="6"/>
  <c r="CB117" i="6"/>
  <c r="CB110" i="6"/>
  <c r="CB109" i="6"/>
  <c r="CB108" i="6"/>
  <c r="CB107" i="6"/>
  <c r="CB59" i="6"/>
  <c r="CB58" i="6"/>
  <c r="CB47" i="6"/>
  <c r="CB46" i="6"/>
  <c r="CC36" i="6"/>
  <c r="CC35" i="6"/>
  <c r="CC34" i="6"/>
  <c r="CC30" i="6"/>
  <c r="CC29" i="6"/>
  <c r="CC28" i="6"/>
  <c r="CC24" i="6"/>
  <c r="CB23" i="6"/>
  <c r="CC23" i="6" s="1"/>
  <c r="CC22" i="6"/>
  <c r="CB22" i="6"/>
  <c r="CB19" i="6"/>
  <c r="CC19" i="6" s="1"/>
  <c r="CC18" i="6"/>
  <c r="CC17" i="6"/>
  <c r="CC16" i="6"/>
  <c r="CB12" i="6"/>
  <c r="CB60" i="6" s="1"/>
  <c r="CB7" i="6"/>
  <c r="H152" i="8"/>
  <c r="H151" i="8"/>
  <c r="H150" i="8"/>
  <c r="AB37" i="41" l="1"/>
  <c r="AA29" i="41"/>
  <c r="AB24" i="41"/>
  <c r="AB10" i="41" s="1"/>
  <c r="AB13" i="41" s="1"/>
  <c r="AB27" i="41"/>
  <c r="AB29" i="41" s="1"/>
  <c r="AB11" i="41"/>
  <c r="AA31" i="41"/>
  <c r="AA32" i="41" s="1"/>
  <c r="EE155" i="1"/>
  <c r="EE156" i="1"/>
  <c r="EF50" i="1"/>
  <c r="EF90" i="1"/>
  <c r="EF61" i="1"/>
  <c r="F151" i="8"/>
  <c r="T150" i="8" s="1"/>
  <c r="EF51" i="1"/>
  <c r="EE101" i="1"/>
  <c r="AL151" i="8" s="1"/>
  <c r="EF41" i="1"/>
  <c r="EF131" i="1"/>
  <c r="EE15" i="1"/>
  <c r="EF125" i="1" s="1"/>
  <c r="EF91" i="1"/>
  <c r="EF121" i="1"/>
  <c r="EF71" i="1"/>
  <c r="EF31" i="1"/>
  <c r="EF81" i="1"/>
  <c r="EF141" i="1"/>
  <c r="EE161" i="1"/>
  <c r="EF151" i="1"/>
  <c r="EF40" i="1"/>
  <c r="EF130" i="1"/>
  <c r="EF120" i="1"/>
  <c r="EF80" i="1"/>
  <c r="EE20" i="1"/>
  <c r="EF70" i="1"/>
  <c r="EF60" i="1"/>
  <c r="CB115" i="6"/>
  <c r="CB114" i="6"/>
  <c r="CB66" i="6" s="1"/>
  <c r="CC46" i="6"/>
  <c r="CB52" i="6"/>
  <c r="CB53" i="6"/>
  <c r="CC47" i="6"/>
  <c r="CB112" i="6"/>
  <c r="CB64" i="6" s="1"/>
  <c r="CB122" i="6"/>
  <c r="CB82" i="6" s="1"/>
  <c r="CB113" i="6"/>
  <c r="CB65" i="6" s="1"/>
  <c r="CB48" i="6"/>
  <c r="J151" i="8"/>
  <c r="J152" i="8"/>
  <c r="P151" i="8"/>
  <c r="P152" i="8"/>
  <c r="AB31" i="41" l="1"/>
  <c r="AB32" i="41" s="1"/>
  <c r="EF45" i="1"/>
  <c r="AH151" i="8"/>
  <c r="AJ150" i="8"/>
  <c r="EF95" i="1"/>
  <c r="EE181" i="1"/>
  <c r="EF161" i="1"/>
  <c r="EF85" i="1"/>
  <c r="EF135" i="1"/>
  <c r="EF55" i="1"/>
  <c r="EF35" i="1"/>
  <c r="EF75" i="1"/>
  <c r="EE111" i="1"/>
  <c r="EF65" i="1"/>
  <c r="EF101" i="1"/>
  <c r="EE25" i="1"/>
  <c r="EF25" i="1" s="1"/>
  <c r="EE100" i="1"/>
  <c r="EE140" i="1"/>
  <c r="F150" i="8"/>
  <c r="R151" i="8"/>
  <c r="EF181" i="1" l="1"/>
  <c r="EE160" i="1"/>
  <c r="EF150" i="1"/>
  <c r="EE145" i="1"/>
  <c r="EF140" i="1"/>
  <c r="EE110" i="1"/>
  <c r="AL150" i="8"/>
  <c r="EF100" i="1"/>
  <c r="EE105" i="1"/>
  <c r="DG94" i="1"/>
  <c r="EF105" i="1" l="1"/>
  <c r="EE115" i="1"/>
  <c r="EE180" i="1"/>
  <c r="EE165" i="1"/>
  <c r="EF165" i="1" s="1"/>
  <c r="EF160" i="1"/>
  <c r="EF155" i="1"/>
  <c r="EF145" i="1"/>
  <c r="EF180" i="1" l="1"/>
  <c r="EE185" i="1"/>
  <c r="EF185" i="1" s="1"/>
  <c r="DZ11" i="1"/>
  <c r="EF11" i="1" s="1"/>
  <c r="CD11" i="6" s="1"/>
  <c r="DZ91" i="1" l="1"/>
  <c r="BX23" i="6"/>
  <c r="BX41" i="6"/>
  <c r="AN57" i="7"/>
  <c r="AN51" i="7"/>
  <c r="AN15" i="7"/>
  <c r="AN9" i="7"/>
  <c r="EE32" i="1" l="1"/>
  <c r="EE82" i="1" l="1"/>
  <c r="EE86" i="1" s="1"/>
  <c r="EE36" i="1"/>
  <c r="EC31" i="1"/>
  <c r="CB118" i="6" s="1"/>
  <c r="BY11" i="6"/>
  <c r="EB11" i="1"/>
  <c r="EA21" i="1"/>
  <c r="EG21" i="1" s="1"/>
  <c r="CB125" i="6" l="1"/>
  <c r="CB124" i="6"/>
  <c r="CB84" i="6" s="1"/>
  <c r="CB123" i="6"/>
  <c r="CB83" i="6" s="1"/>
  <c r="R12" i="60" l="1"/>
  <c r="S12" i="60"/>
  <c r="T12" i="60"/>
  <c r="R16" i="60"/>
  <c r="S16" i="60"/>
  <c r="T16" i="60"/>
  <c r="R39" i="60"/>
  <c r="S39" i="60"/>
  <c r="T39" i="60"/>
  <c r="DZ80" i="1" l="1"/>
  <c r="DZ90" i="1" l="1"/>
  <c r="AN32" i="7"/>
  <c r="AN56" i="7" l="1"/>
  <c r="AN50" i="7"/>
  <c r="AN14" i="7"/>
  <c r="BT40" i="6"/>
  <c r="BX40" i="6"/>
  <c r="BX22" i="6"/>
  <c r="BY10" i="6"/>
  <c r="EE220" i="1"/>
  <c r="EC30" i="1"/>
  <c r="EE221" i="1" l="1"/>
  <c r="EE200" i="1"/>
  <c r="EE190" i="1"/>
  <c r="EE210" i="1"/>
  <c r="AH44" i="9"/>
  <c r="EE222" i="1" l="1"/>
  <c r="EE201" i="1"/>
  <c r="EE205" i="1" s="1"/>
  <c r="EE191" i="1"/>
  <c r="EE195" i="1" s="1"/>
  <c r="EF195" i="1" s="1"/>
  <c r="EE211" i="1"/>
  <c r="EE215" i="1" s="1"/>
  <c r="EF215" i="1" s="1"/>
  <c r="EE225" i="1"/>
  <c r="AH20" i="7"/>
  <c r="AH14" i="7"/>
  <c r="EE226" i="1" l="1"/>
  <c r="EE223" i="1"/>
  <c r="EE224" i="1" s="1"/>
  <c r="AH56" i="10"/>
  <c r="AH50" i="10"/>
  <c r="AH25" i="10"/>
  <c r="AG25" i="10"/>
  <c r="AH51" i="10"/>
  <c r="AG78" i="5" l="1"/>
  <c r="C36" i="81"/>
  <c r="AH10" i="10"/>
  <c r="AH83" i="9"/>
  <c r="AH84" i="9"/>
  <c r="DZ226" i="1"/>
  <c r="DX33" i="1"/>
  <c r="DU173" i="1"/>
  <c r="AH33" i="9"/>
  <c r="AH28" i="9"/>
  <c r="AL17" i="7"/>
  <c r="AL11" i="7"/>
  <c r="BT25" i="6"/>
  <c r="BT49" i="6"/>
  <c r="BT19" i="6"/>
  <c r="AQ19" i="10"/>
  <c r="AQ16" i="10"/>
  <c r="AQ15" i="10"/>
  <c r="AJ9" i="5"/>
  <c r="AI9" i="5"/>
  <c r="DW152" i="1"/>
  <c r="DR153" i="1"/>
  <c r="DR152" i="1"/>
  <c r="DR151" i="1"/>
  <c r="DI153" i="1"/>
  <c r="DI152" i="1"/>
  <c r="DI151" i="1"/>
  <c r="DE153" i="1"/>
  <c r="DE152" i="1"/>
  <c r="DE151" i="1"/>
  <c r="DA152" i="1"/>
  <c r="DA151" i="1"/>
  <c r="DA150" i="1"/>
  <c r="CW152" i="1"/>
  <c r="CW150" i="1"/>
  <c r="CS150" i="1"/>
  <c r="BM153" i="1"/>
  <c r="AG84" i="9"/>
  <c r="AJ46" i="9"/>
  <c r="AK46" i="9" s="1"/>
  <c r="AL46" i="9" s="1"/>
  <c r="AM46" i="9" s="1"/>
  <c r="AN46" i="9" s="1"/>
  <c r="AW37" i="5"/>
  <c r="AW38" i="5" s="1"/>
  <c r="AW17" i="5"/>
  <c r="GQ61" i="11"/>
  <c r="AS30" i="5"/>
  <c r="EM46" i="11" a="1"/>
  <c r="EP46" i="11" s="1"/>
  <c r="GC63" i="11"/>
  <c r="GB63" i="11"/>
  <c r="GC46" i="11"/>
  <c r="GB46" i="11"/>
  <c r="GC30" i="11"/>
  <c r="GB30" i="11"/>
  <c r="GC21" i="11"/>
  <c r="GB21" i="11"/>
  <c r="GC17" i="11"/>
  <c r="GB17" i="11"/>
  <c r="T181" i="60"/>
  <c r="S181" i="60"/>
  <c r="T179" i="60"/>
  <c r="S179" i="60"/>
  <c r="T132" i="60"/>
  <c r="S132" i="60"/>
  <c r="T45" i="60"/>
  <c r="T88" i="60" s="1"/>
  <c r="T131" i="60" s="1"/>
  <c r="S45" i="60"/>
  <c r="S88" i="60" s="1"/>
  <c r="S131" i="60" s="1"/>
  <c r="T180" i="60"/>
  <c r="T178" i="60" s="1"/>
  <c r="S180" i="60"/>
  <c r="T144" i="60"/>
  <c r="S101" i="60"/>
  <c r="T140" i="60"/>
  <c r="AN28" i="7"/>
  <c r="AN34" i="7" s="1"/>
  <c r="AN46" i="7" s="1"/>
  <c r="AN26" i="7"/>
  <c r="AN27" i="7"/>
  <c r="BX120" i="6"/>
  <c r="BX119" i="6"/>
  <c r="BX118" i="6"/>
  <c r="BX117" i="6"/>
  <c r="BX110" i="6"/>
  <c r="BX109" i="6"/>
  <c r="BX108" i="6"/>
  <c r="BX107" i="6"/>
  <c r="BX113" i="6" s="1"/>
  <c r="BX65" i="6" s="1"/>
  <c r="BX60" i="6"/>
  <c r="BX59" i="6"/>
  <c r="BX48" i="6"/>
  <c r="CC48" i="6" s="1"/>
  <c r="BX47" i="6"/>
  <c r="BY36" i="6"/>
  <c r="BY35" i="6"/>
  <c r="BY34" i="6"/>
  <c r="BY30" i="6"/>
  <c r="BY29" i="6"/>
  <c r="BY28" i="6"/>
  <c r="AJ13" i="5"/>
  <c r="AJ40" i="5"/>
  <c r="AI40" i="5"/>
  <c r="AM58" i="10"/>
  <c r="AL58" i="10"/>
  <c r="AM41" i="10"/>
  <c r="AL41" i="10"/>
  <c r="AM55" i="9"/>
  <c r="AL55" i="9"/>
  <c r="AM54" i="9"/>
  <c r="AL54" i="9"/>
  <c r="EB123" i="1"/>
  <c r="EB122" i="1"/>
  <c r="EB121" i="1"/>
  <c r="EB120" i="1"/>
  <c r="DW123" i="1"/>
  <c r="DW122" i="1"/>
  <c r="DW121" i="1"/>
  <c r="DW120" i="1"/>
  <c r="EJ33" i="1"/>
  <c r="EB10" i="1"/>
  <c r="EB12" i="1"/>
  <c r="EB13" i="1"/>
  <c r="S144" i="60"/>
  <c r="S58" i="60"/>
  <c r="AN33" i="7"/>
  <c r="AN45" i="7" s="1"/>
  <c r="AN44" i="7"/>
  <c r="AI13" i="5"/>
  <c r="DZ240" i="1"/>
  <c r="DZ81" i="1"/>
  <c r="DZ101" i="1" s="1"/>
  <c r="EG101" i="1" s="1"/>
  <c r="F255" i="3"/>
  <c r="F254" i="3"/>
  <c r="F253" i="3"/>
  <c r="F252" i="3"/>
  <c r="DZ225" i="1"/>
  <c r="DZ174" i="1"/>
  <c r="AF62" i="5" s="1"/>
  <c r="DZ136" i="1"/>
  <c r="DZ135" i="1"/>
  <c r="DZ134" i="1"/>
  <c r="AF50" i="5" s="1"/>
  <c r="P16" i="60" s="1"/>
  <c r="DZ126" i="1"/>
  <c r="EG126" i="1" s="1"/>
  <c r="DZ125" i="1"/>
  <c r="DZ124" i="1"/>
  <c r="EG124" i="1" s="1"/>
  <c r="DZ95" i="1"/>
  <c r="DZ76" i="1"/>
  <c r="DZ75" i="1"/>
  <c r="DZ74" i="1"/>
  <c r="DZ66" i="1"/>
  <c r="DZ65" i="1"/>
  <c r="DZ64" i="1"/>
  <c r="AF31" i="5" s="1"/>
  <c r="AI11" i="10" s="1"/>
  <c r="DZ56" i="1"/>
  <c r="DZ55" i="1"/>
  <c r="DZ54" i="1"/>
  <c r="AF28" i="5" s="1"/>
  <c r="DZ46" i="1"/>
  <c r="DZ45" i="1"/>
  <c r="DZ44" i="1"/>
  <c r="AF25" i="5" s="1"/>
  <c r="DZ34" i="1"/>
  <c r="F250" i="3"/>
  <c r="F249" i="3"/>
  <c r="F248" i="3"/>
  <c r="DW10" i="1"/>
  <c r="DW11" i="1"/>
  <c r="EJ11" i="1" s="1"/>
  <c r="DW12" i="1"/>
  <c r="DW13" i="1"/>
  <c r="AU50" i="5"/>
  <c r="AT50" i="5"/>
  <c r="AV50" i="5" s="1"/>
  <c r="AT48" i="5"/>
  <c r="F247" i="3"/>
  <c r="EB61" i="11"/>
  <c r="AL16" i="7"/>
  <c r="BT24" i="6"/>
  <c r="BY24" i="6" s="1"/>
  <c r="BU36" i="6"/>
  <c r="BU35" i="6"/>
  <c r="BU34" i="6"/>
  <c r="BU30" i="6"/>
  <c r="BU29" i="6"/>
  <c r="BU28" i="6"/>
  <c r="BT18" i="6"/>
  <c r="BY18" i="6" s="1"/>
  <c r="BU12" i="6"/>
  <c r="DU240" i="1"/>
  <c r="DU92" i="1"/>
  <c r="DX32" i="1"/>
  <c r="AL28" i="7"/>
  <c r="AL34" i="7" s="1"/>
  <c r="AL15" i="7"/>
  <c r="BT23" i="6"/>
  <c r="BY23" i="6" s="1"/>
  <c r="BT17" i="6"/>
  <c r="BY17" i="6" s="1"/>
  <c r="DU170" i="1"/>
  <c r="DU171" i="1"/>
  <c r="DX31" i="1"/>
  <c r="BU11" i="6"/>
  <c r="DU151" i="1"/>
  <c r="DW151" i="1" s="1"/>
  <c r="DU91" i="1"/>
  <c r="DP108" i="1"/>
  <c r="C110" i="1"/>
  <c r="G110" i="1"/>
  <c r="K110" i="1"/>
  <c r="O110" i="1"/>
  <c r="S110" i="1"/>
  <c r="W110" i="1"/>
  <c r="AA110" i="1"/>
  <c r="AE110" i="1"/>
  <c r="AI110" i="1"/>
  <c r="AM110" i="1"/>
  <c r="AQ110" i="1"/>
  <c r="AU110" i="1"/>
  <c r="AY110" i="1"/>
  <c r="BF45" i="11" s="1"/>
  <c r="BC110" i="1"/>
  <c r="BG110" i="1"/>
  <c r="BK110" i="1"/>
  <c r="BO110" i="1"/>
  <c r="BP45" i="11" s="1"/>
  <c r="BS110" i="1"/>
  <c r="BU45" i="11" s="1"/>
  <c r="C111" i="1"/>
  <c r="G111" i="1"/>
  <c r="K111" i="1"/>
  <c r="O111" i="1"/>
  <c r="S111" i="1"/>
  <c r="W111" i="1"/>
  <c r="AA111" i="1"/>
  <c r="AE111" i="1"/>
  <c r="AI111" i="1"/>
  <c r="AM111" i="1"/>
  <c r="AQ111" i="1"/>
  <c r="AU111" i="1"/>
  <c r="AY111" i="1"/>
  <c r="BG45" i="11" s="1"/>
  <c r="BC111" i="1"/>
  <c r="BG111" i="1"/>
  <c r="BK111" i="1"/>
  <c r="BL45" i="11" s="1"/>
  <c r="BO111" i="1"/>
  <c r="BQ45" i="11" s="1"/>
  <c r="BS111" i="1"/>
  <c r="C112" i="1"/>
  <c r="G112" i="1"/>
  <c r="K112" i="1"/>
  <c r="O112" i="1"/>
  <c r="S112" i="1"/>
  <c r="W112" i="1"/>
  <c r="AA112" i="1"/>
  <c r="AE112" i="1"/>
  <c r="AI112" i="1"/>
  <c r="AM112" i="1"/>
  <c r="AQ112" i="1"/>
  <c r="AU112" i="1"/>
  <c r="AY112" i="1"/>
  <c r="BH45" i="11" s="1"/>
  <c r="BC112" i="1"/>
  <c r="BG112" i="1"/>
  <c r="BK112" i="1"/>
  <c r="BO112" i="1"/>
  <c r="BR45" i="11" s="1"/>
  <c r="BS112" i="1"/>
  <c r="BW45" i="11" s="1"/>
  <c r="C113" i="1"/>
  <c r="G113" i="1"/>
  <c r="K113" i="1"/>
  <c r="O113" i="1"/>
  <c r="S113" i="1"/>
  <c r="W113" i="1"/>
  <c r="AA113" i="1"/>
  <c r="AE113" i="1"/>
  <c r="AI113" i="1"/>
  <c r="AM113" i="1"/>
  <c r="AQ113" i="1"/>
  <c r="AU113" i="1"/>
  <c r="AY113" i="1"/>
  <c r="BI45" i="11" s="1"/>
  <c r="BC113" i="1"/>
  <c r="BG113" i="1"/>
  <c r="BK113" i="1"/>
  <c r="BN45" i="11" s="1"/>
  <c r="BO113" i="1"/>
  <c r="BS45" i="11" s="1"/>
  <c r="BS113" i="1"/>
  <c r="C114" i="1"/>
  <c r="EW45" i="11" s="1"/>
  <c r="G114" i="1"/>
  <c r="EX45" i="11" s="1"/>
  <c r="K114" i="1"/>
  <c r="O114" i="1"/>
  <c r="S114" i="1"/>
  <c r="W114" i="1"/>
  <c r="AA114" i="1"/>
  <c r="AE114" i="1"/>
  <c r="AI114" i="1"/>
  <c r="AM114" i="1"/>
  <c r="AQ114" i="1"/>
  <c r="AU114" i="1"/>
  <c r="AY114" i="1"/>
  <c r="BC114" i="1"/>
  <c r="BG114" i="1"/>
  <c r="BK114" i="1"/>
  <c r="C115" i="1"/>
  <c r="G115" i="1"/>
  <c r="K115" i="1"/>
  <c r="O115" i="1"/>
  <c r="S115" i="1"/>
  <c r="W115" i="1"/>
  <c r="AA115" i="1"/>
  <c r="AE115" i="1"/>
  <c r="AI115" i="1"/>
  <c r="AM115" i="1"/>
  <c r="AQ115" i="1"/>
  <c r="AU115" i="1"/>
  <c r="AY115" i="1"/>
  <c r="BC115" i="1"/>
  <c r="BG115" i="1"/>
  <c r="BK115" i="1"/>
  <c r="BO115" i="1"/>
  <c r="BS115" i="1"/>
  <c r="C116" i="1"/>
  <c r="G116" i="1"/>
  <c r="K116" i="1"/>
  <c r="O116" i="1"/>
  <c r="S116" i="1"/>
  <c r="W116" i="1"/>
  <c r="AA116" i="1"/>
  <c r="AE116" i="1"/>
  <c r="AI116" i="1"/>
  <c r="AM116" i="1"/>
  <c r="AQ116" i="1"/>
  <c r="AU116" i="1"/>
  <c r="AY116" i="1"/>
  <c r="BC116" i="1"/>
  <c r="BG116" i="1"/>
  <c r="BK116" i="1"/>
  <c r="BO116" i="1"/>
  <c r="BS116" i="1"/>
  <c r="DP128" i="1"/>
  <c r="DC131" i="1"/>
  <c r="DD131" i="1" s="1"/>
  <c r="DG131" i="1"/>
  <c r="DH131" i="1"/>
  <c r="DC132" i="1"/>
  <c r="DD132" i="1" s="1"/>
  <c r="DH132" i="1"/>
  <c r="DK132" i="1"/>
  <c r="DK136" i="1"/>
  <c r="DC133" i="1"/>
  <c r="DD133" i="1" s="1"/>
  <c r="DH133" i="1"/>
  <c r="DP133" i="1"/>
  <c r="C134" i="1"/>
  <c r="G134" i="1"/>
  <c r="K134" i="1"/>
  <c r="O134" i="1"/>
  <c r="S134" i="1"/>
  <c r="W134" i="1"/>
  <c r="AA134" i="1"/>
  <c r="AI134" i="1"/>
  <c r="AM134" i="1"/>
  <c r="AQ134" i="1"/>
  <c r="AU134" i="1"/>
  <c r="AY134" i="1"/>
  <c r="BC134" i="1"/>
  <c r="BG134" i="1"/>
  <c r="BK134" i="1"/>
  <c r="BO134" i="1"/>
  <c r="BP134" i="1" s="1"/>
  <c r="BS134" i="1"/>
  <c r="BW134" i="1"/>
  <c r="CA134" i="1"/>
  <c r="CE134" i="1"/>
  <c r="CI134" i="1"/>
  <c r="CM134" i="1"/>
  <c r="CQ134" i="1"/>
  <c r="CU134" i="1"/>
  <c r="CY134" i="1"/>
  <c r="DU134" i="1"/>
  <c r="C135" i="1"/>
  <c r="G135" i="1"/>
  <c r="K135" i="1"/>
  <c r="O135" i="1"/>
  <c r="S135" i="1"/>
  <c r="W135" i="1"/>
  <c r="AA135" i="1"/>
  <c r="AI135" i="1"/>
  <c r="AM135" i="1"/>
  <c r="AQ135" i="1"/>
  <c r="AU135" i="1"/>
  <c r="AY135" i="1"/>
  <c r="BC135" i="1"/>
  <c r="BG135" i="1"/>
  <c r="BK135" i="1"/>
  <c r="BO135" i="1"/>
  <c r="BS135" i="1"/>
  <c r="BW135" i="1"/>
  <c r="CA135" i="1"/>
  <c r="CE135" i="1"/>
  <c r="CI135" i="1"/>
  <c r="CM135" i="1"/>
  <c r="CQ135" i="1"/>
  <c r="CU135" i="1"/>
  <c r="CY135" i="1"/>
  <c r="DG135" i="1"/>
  <c r="DK135" i="1"/>
  <c r="DP135" i="1"/>
  <c r="DU135" i="1"/>
  <c r="C136" i="1"/>
  <c r="G136" i="1"/>
  <c r="K136" i="1"/>
  <c r="O136" i="1"/>
  <c r="S136" i="1"/>
  <c r="W136" i="1"/>
  <c r="AA136" i="1"/>
  <c r="AI136" i="1"/>
  <c r="AM136" i="1"/>
  <c r="AQ136" i="1"/>
  <c r="AU136" i="1"/>
  <c r="AY136" i="1"/>
  <c r="BC136" i="1"/>
  <c r="BG136" i="1"/>
  <c r="BK136" i="1"/>
  <c r="BO136" i="1"/>
  <c r="BS136" i="1"/>
  <c r="BW136" i="1"/>
  <c r="CA136" i="1"/>
  <c r="CE136" i="1"/>
  <c r="CI136" i="1"/>
  <c r="CM136" i="1"/>
  <c r="CQ136" i="1"/>
  <c r="CU136" i="1"/>
  <c r="CY136" i="1"/>
  <c r="DP136" i="1"/>
  <c r="DU136" i="1"/>
  <c r="DU81" i="1"/>
  <c r="AH15" i="7"/>
  <c r="AJ15" i="7"/>
  <c r="AJ27" i="7"/>
  <c r="AH27" i="7"/>
  <c r="AH33" i="7" s="1"/>
  <c r="AJ28" i="7"/>
  <c r="AJ34" i="7" s="1"/>
  <c r="AJ46" i="7" s="1"/>
  <c r="AH28" i="7"/>
  <c r="AH34" i="7" s="1"/>
  <c r="AH16" i="7"/>
  <c r="AJ16" i="7"/>
  <c r="BT22" i="6"/>
  <c r="BY22" i="6" s="1"/>
  <c r="BT16" i="6"/>
  <c r="BY16" i="6" s="1"/>
  <c r="DP218" i="1"/>
  <c r="DP208" i="1"/>
  <c r="DP188" i="1"/>
  <c r="DP178" i="1"/>
  <c r="DP168" i="1"/>
  <c r="DP158" i="1"/>
  <c r="DP148" i="1"/>
  <c r="DP138" i="1"/>
  <c r="DP118" i="1"/>
  <c r="DP98" i="1"/>
  <c r="DP88" i="1"/>
  <c r="DP78" i="1"/>
  <c r="DP68" i="1"/>
  <c r="DP58" i="1"/>
  <c r="DP48" i="1"/>
  <c r="DP38" i="1"/>
  <c r="DP28" i="1"/>
  <c r="DP18" i="1"/>
  <c r="DP8" i="1"/>
  <c r="DU34" i="1"/>
  <c r="DU82" i="1"/>
  <c r="AJ14" i="7"/>
  <c r="AL20" i="7"/>
  <c r="AL14" i="7"/>
  <c r="EI140" i="1"/>
  <c r="EI141" i="1" s="1"/>
  <c r="EI142" i="1" s="1"/>
  <c r="BU10" i="6"/>
  <c r="DW150" i="1"/>
  <c r="DU90" i="1"/>
  <c r="DX30" i="1"/>
  <c r="EJ30" i="1" s="1"/>
  <c r="Y56" i="52"/>
  <c r="Z56" i="52" s="1"/>
  <c r="AT29" i="7"/>
  <c r="AS29" i="7"/>
  <c r="AG44" i="9"/>
  <c r="FU7" i="11"/>
  <c r="AI13" i="9"/>
  <c r="AJ13" i="9" s="1"/>
  <c r="AK13" i="9" s="1"/>
  <c r="AL13" i="9" s="1"/>
  <c r="AM13" i="9" s="1"/>
  <c r="AN13" i="9" s="1"/>
  <c r="AH58" i="10"/>
  <c r="H33" i="81"/>
  <c r="E23" i="81"/>
  <c r="F23" i="81" s="1"/>
  <c r="G23" i="81" s="1"/>
  <c r="H23" i="81" s="1"/>
  <c r="I23" i="81" s="1"/>
  <c r="J23" i="81" s="1"/>
  <c r="DU54" i="1"/>
  <c r="X74" i="52"/>
  <c r="AC73" i="52"/>
  <c r="AG33" i="9"/>
  <c r="AJ21" i="9"/>
  <c r="AK21" i="9" s="1"/>
  <c r="AL21" i="9" s="1"/>
  <c r="AM21" i="9" s="1"/>
  <c r="AN21" i="9" s="1"/>
  <c r="AF30" i="10"/>
  <c r="AL27" i="7"/>
  <c r="AL33" i="7" s="1"/>
  <c r="AL45" i="7" s="1"/>
  <c r="AL51" i="7" s="1"/>
  <c r="AL26" i="7"/>
  <c r="BP19" i="6"/>
  <c r="AG10" i="10"/>
  <c r="AG51" i="10"/>
  <c r="AH19" i="9"/>
  <c r="AJ19" i="9"/>
  <c r="AK19" i="9" s="1"/>
  <c r="AL19" i="9" s="1"/>
  <c r="AM19" i="9" s="1"/>
  <c r="AN19" i="9" s="1"/>
  <c r="DP43" i="1"/>
  <c r="DS33" i="1"/>
  <c r="EK33" i="1" s="1"/>
  <c r="DP13" i="1"/>
  <c r="DQ63" i="1" s="1"/>
  <c r="DP90" i="1"/>
  <c r="DK81" i="1"/>
  <c r="A46" i="11"/>
  <c r="BT118" i="6"/>
  <c r="AH9" i="5"/>
  <c r="BT47" i="6"/>
  <c r="BY47" i="6" s="1"/>
  <c r="AA114" i="64"/>
  <c r="AE5" i="5"/>
  <c r="EH46" i="11" a="1"/>
  <c r="DX46" i="11" a="1"/>
  <c r="EA46" i="11" s="1"/>
  <c r="V97" i="64"/>
  <c r="V12" i="64"/>
  <c r="V10" i="64"/>
  <c r="BP23" i="6"/>
  <c r="BU23" i="6" s="1"/>
  <c r="BP18" i="6"/>
  <c r="BU18" i="6" s="1"/>
  <c r="BQ12" i="6"/>
  <c r="DP92" i="1"/>
  <c r="DS32" i="1"/>
  <c r="BT59" i="6"/>
  <c r="DU44" i="1"/>
  <c r="DS31" i="1"/>
  <c r="DU6" i="1"/>
  <c r="DU176" i="1"/>
  <c r="DU175" i="1"/>
  <c r="DU174" i="1"/>
  <c r="AE62" i="5" s="1"/>
  <c r="FX30" i="11" s="1"/>
  <c r="DU126" i="1"/>
  <c r="DU125" i="1"/>
  <c r="EB125" i="1" s="1"/>
  <c r="DU124" i="1"/>
  <c r="DU76" i="1"/>
  <c r="DU75" i="1"/>
  <c r="DU74" i="1"/>
  <c r="DU84" i="1" s="1"/>
  <c r="DU65" i="1"/>
  <c r="DU56" i="1"/>
  <c r="DU55" i="1"/>
  <c r="DU46" i="1"/>
  <c r="DU45" i="1"/>
  <c r="U56" i="64"/>
  <c r="U28" i="64"/>
  <c r="U10" i="64"/>
  <c r="U97" i="64"/>
  <c r="U75" i="64"/>
  <c r="U38" i="64"/>
  <c r="S23" i="64"/>
  <c r="BP17" i="6"/>
  <c r="BU17" i="6" s="1"/>
  <c r="BQ11" i="6"/>
  <c r="DP11" i="1"/>
  <c r="DQ61" i="1" s="1"/>
  <c r="DP91" i="1"/>
  <c r="DQ37" i="1"/>
  <c r="BP58" i="6"/>
  <c r="DP53" i="1"/>
  <c r="DP54" i="1" s="1"/>
  <c r="BQ28" i="6"/>
  <c r="V77" i="64"/>
  <c r="T97" i="64"/>
  <c r="T101" i="64" s="1"/>
  <c r="T103" i="64" s="1"/>
  <c r="T113" i="64" s="1"/>
  <c r="T114" i="64" s="1"/>
  <c r="T75" i="64"/>
  <c r="T80" i="64"/>
  <c r="T87" i="64"/>
  <c r="X41" i="64"/>
  <c r="X16" i="64"/>
  <c r="T29" i="64"/>
  <c r="X29" i="64"/>
  <c r="T12" i="64"/>
  <c r="T10" i="64"/>
  <c r="U77" i="64"/>
  <c r="X28" i="64"/>
  <c r="W28" i="64" s="1"/>
  <c r="W58" i="64"/>
  <c r="W11" i="64"/>
  <c r="W93" i="64"/>
  <c r="X93" i="64" s="1"/>
  <c r="W92" i="64"/>
  <c r="X92" i="64" s="1"/>
  <c r="W85" i="64"/>
  <c r="X85" i="64" s="1"/>
  <c r="W83" i="64"/>
  <c r="X83" i="64" s="1"/>
  <c r="W78" i="64"/>
  <c r="U76" i="64"/>
  <c r="U80" i="64" s="1"/>
  <c r="U87" i="64" s="1"/>
  <c r="X73" i="64"/>
  <c r="W73" i="64"/>
  <c r="V73" i="64"/>
  <c r="U73" i="64"/>
  <c r="V58" i="64"/>
  <c r="U58" i="64"/>
  <c r="X56" i="64"/>
  <c r="X55" i="64"/>
  <c r="X54" i="64"/>
  <c r="X53" i="64"/>
  <c r="X52" i="64"/>
  <c r="X51" i="64"/>
  <c r="X50" i="64"/>
  <c r="X49" i="64"/>
  <c r="X58" i="64" s="1"/>
  <c r="V40" i="64"/>
  <c r="X25" i="64"/>
  <c r="X24" i="64"/>
  <c r="X23" i="64"/>
  <c r="X22" i="64"/>
  <c r="X21" i="64"/>
  <c r="X20" i="64"/>
  <c r="X19" i="64"/>
  <c r="X18" i="64"/>
  <c r="T120" i="64"/>
  <c r="T118" i="64"/>
  <c r="T117" i="64"/>
  <c r="T116" i="64"/>
  <c r="T95" i="64"/>
  <c r="T73" i="64"/>
  <c r="T58" i="64"/>
  <c r="T43" i="64"/>
  <c r="BP16" i="6"/>
  <c r="BU16" i="6" s="1"/>
  <c r="DP240" i="1"/>
  <c r="DK240" i="1"/>
  <c r="DS30" i="1"/>
  <c r="DN30" i="1"/>
  <c r="BQ10" i="6"/>
  <c r="AF44" i="9"/>
  <c r="AE44" i="9"/>
  <c r="AE46" i="9"/>
  <c r="R181" i="60"/>
  <c r="R45" i="60"/>
  <c r="R88" i="60"/>
  <c r="R131" i="60" s="1"/>
  <c r="R132" i="60"/>
  <c r="R180" i="60"/>
  <c r="R101" i="60"/>
  <c r="R54" i="60"/>
  <c r="GA63" i="11"/>
  <c r="GA30" i="11"/>
  <c r="GA21" i="11"/>
  <c r="GA17" i="11"/>
  <c r="AK41" i="10"/>
  <c r="AK55" i="9"/>
  <c r="AK54" i="9"/>
  <c r="AO5" i="5"/>
  <c r="AM5" i="5"/>
  <c r="AH40" i="5"/>
  <c r="R120" i="64"/>
  <c r="R97" i="64"/>
  <c r="S76" i="64"/>
  <c r="R118" i="64"/>
  <c r="R117" i="64"/>
  <c r="R95" i="64"/>
  <c r="R73" i="64"/>
  <c r="R55" i="64"/>
  <c r="R53" i="64"/>
  <c r="R50" i="64"/>
  <c r="R49" i="64"/>
  <c r="R41" i="64"/>
  <c r="R39" i="64"/>
  <c r="R38" i="64"/>
  <c r="R37" i="64"/>
  <c r="R36" i="64"/>
  <c r="R35" i="64"/>
  <c r="R34" i="64"/>
  <c r="R33" i="64"/>
  <c r="R32" i="64"/>
  <c r="R31" i="64"/>
  <c r="R30" i="64"/>
  <c r="R28" i="64"/>
  <c r="R22" i="64"/>
  <c r="R21" i="64"/>
  <c r="R20" i="64"/>
  <c r="R19" i="64"/>
  <c r="R18" i="64"/>
  <c r="R17" i="64"/>
  <c r="R16" i="64"/>
  <c r="R14" i="64"/>
  <c r="AF43" i="10"/>
  <c r="AF45" i="10" s="1"/>
  <c r="DN33" i="1"/>
  <c r="DM10" i="1"/>
  <c r="S51" i="64"/>
  <c r="S56" i="64"/>
  <c r="S29" i="64"/>
  <c r="S12" i="64"/>
  <c r="S10" i="64"/>
  <c r="BL36" i="6"/>
  <c r="DK13" i="1"/>
  <c r="AH23" i="7"/>
  <c r="BL19" i="6"/>
  <c r="BL49" i="6" s="1"/>
  <c r="BM13" i="6"/>
  <c r="AF12" i="10"/>
  <c r="AF56" i="10"/>
  <c r="AF51" i="10"/>
  <c r="AF17" i="10"/>
  <c r="AF10" i="10"/>
  <c r="AF88" i="9"/>
  <c r="AF84" i="9"/>
  <c r="AF33" i="9"/>
  <c r="AF10" i="9"/>
  <c r="DK83" i="1"/>
  <c r="Q181" i="60"/>
  <c r="Q132" i="60"/>
  <c r="Q131" i="60"/>
  <c r="N111" i="64"/>
  <c r="M120" i="64"/>
  <c r="O120" i="64"/>
  <c r="P120" i="64"/>
  <c r="Q120" i="64"/>
  <c r="Q99" i="64"/>
  <c r="Q98" i="64"/>
  <c r="Q97" i="64"/>
  <c r="Q93" i="64"/>
  <c r="Q95" i="64" s="1"/>
  <c r="Q103" i="64" s="1"/>
  <c r="Q113" i="64" s="1"/>
  <c r="Q114" i="64" s="1"/>
  <c r="L93" i="64"/>
  <c r="L95" i="64"/>
  <c r="Q56" i="64"/>
  <c r="Q29" i="64"/>
  <c r="Q10" i="64"/>
  <c r="R10" i="64" s="1"/>
  <c r="N10" i="64"/>
  <c r="O10" i="64"/>
  <c r="P10" i="64"/>
  <c r="N12" i="64"/>
  <c r="O12" i="64"/>
  <c r="N56" i="64"/>
  <c r="P56" i="64"/>
  <c r="BM12" i="6"/>
  <c r="AJ26" i="7"/>
  <c r="AJ50" i="7" s="1"/>
  <c r="AJ32" i="7"/>
  <c r="AJ56" i="7" s="1"/>
  <c r="AJ44" i="7"/>
  <c r="BQ35" i="6"/>
  <c r="BQ34" i="6"/>
  <c r="BP22" i="6"/>
  <c r="FZ30" i="11"/>
  <c r="AJ41" i="10"/>
  <c r="AJ55" i="9"/>
  <c r="AJ54" i="9"/>
  <c r="BP118" i="6"/>
  <c r="BP117" i="6"/>
  <c r="DR11" i="1"/>
  <c r="DR12" i="1"/>
  <c r="DR13" i="1"/>
  <c r="DR10" i="1"/>
  <c r="DP176" i="1"/>
  <c r="DP175" i="1"/>
  <c r="DP174" i="1"/>
  <c r="DP125" i="1"/>
  <c r="DR120" i="1"/>
  <c r="DP76" i="1"/>
  <c r="DP75" i="1"/>
  <c r="DP74" i="1"/>
  <c r="DP65" i="1"/>
  <c r="DP55" i="1"/>
  <c r="DP45" i="1"/>
  <c r="J32" i="52"/>
  <c r="H32" i="52"/>
  <c r="F32" i="52"/>
  <c r="D32" i="52"/>
  <c r="J29" i="52"/>
  <c r="H29" i="52"/>
  <c r="F29" i="52"/>
  <c r="D29" i="52"/>
  <c r="F55" i="52"/>
  <c r="BL17" i="6"/>
  <c r="L120" i="64"/>
  <c r="P99" i="64"/>
  <c r="P98" i="64"/>
  <c r="P97" i="64"/>
  <c r="K93" i="64"/>
  <c r="K92" i="64"/>
  <c r="P93" i="64"/>
  <c r="P95" i="64"/>
  <c r="P29" i="64"/>
  <c r="P11" i="64"/>
  <c r="BM11" i="6"/>
  <c r="L35" i="52"/>
  <c r="J35" i="52"/>
  <c r="J53" i="52" s="1"/>
  <c r="H35" i="52"/>
  <c r="H53" i="52"/>
  <c r="F35" i="52"/>
  <c r="F53" i="52" s="1"/>
  <c r="D48" i="52"/>
  <c r="F48" i="52" s="1"/>
  <c r="H48" i="52" s="1"/>
  <c r="J48" i="52" s="1"/>
  <c r="L48" i="52" s="1"/>
  <c r="Q48" i="52" s="1"/>
  <c r="S48" i="52" s="1"/>
  <c r="J39" i="52"/>
  <c r="H39" i="52" s="1"/>
  <c r="F39" i="52" s="1"/>
  <c r="S41" i="52"/>
  <c r="Q41" i="52"/>
  <c r="D35" i="52"/>
  <c r="X19" i="52"/>
  <c r="AH26" i="7"/>
  <c r="AH32" i="7" s="1"/>
  <c r="BL16" i="6"/>
  <c r="S93" i="64"/>
  <c r="O97" i="64"/>
  <c r="O101" i="64"/>
  <c r="O103" i="64" s="1"/>
  <c r="O113" i="64" s="1"/>
  <c r="O114" i="64" s="1"/>
  <c r="O92" i="64"/>
  <c r="O95" i="64"/>
  <c r="J85" i="64"/>
  <c r="BM10" i="6"/>
  <c r="O29" i="64"/>
  <c r="N144" i="44"/>
  <c r="L88" i="60"/>
  <c r="L131" i="60"/>
  <c r="L45" i="60"/>
  <c r="S58" i="10"/>
  <c r="T58" i="10"/>
  <c r="U58" i="10"/>
  <c r="V58" i="10"/>
  <c r="W58" i="10"/>
  <c r="X58" i="10"/>
  <c r="Y58" i="10"/>
  <c r="Z58" i="10"/>
  <c r="AA58" i="10"/>
  <c r="AB58" i="10"/>
  <c r="AC58" i="10"/>
  <c r="AF83" i="9"/>
  <c r="EH73" i="11"/>
  <c r="S82" i="64"/>
  <c r="M97" i="64"/>
  <c r="N97" i="64"/>
  <c r="N93" i="64"/>
  <c r="M92" i="64"/>
  <c r="N85" i="64"/>
  <c r="S85" i="64"/>
  <c r="N84" i="64"/>
  <c r="N83" i="64"/>
  <c r="S83" i="64"/>
  <c r="N82" i="64"/>
  <c r="N79" i="64"/>
  <c r="N78" i="64"/>
  <c r="N77" i="64"/>
  <c r="N76" i="64"/>
  <c r="N75" i="64"/>
  <c r="AE9" i="9" s="1"/>
  <c r="N149" i="44"/>
  <c r="AE33" i="9"/>
  <c r="AE28" i="9"/>
  <c r="AE60" i="9" s="1"/>
  <c r="AE10" i="9"/>
  <c r="AE30" i="10"/>
  <c r="AE53" i="10"/>
  <c r="AE56" i="10"/>
  <c r="AE51" i="10"/>
  <c r="AE58" i="10" s="1"/>
  <c r="AE49" i="10"/>
  <c r="AE17" i="10"/>
  <c r="AE10" i="10"/>
  <c r="BH25" i="6"/>
  <c r="BH19" i="6"/>
  <c r="N51" i="64"/>
  <c r="M51" i="64" s="1"/>
  <c r="M58" i="64" s="1"/>
  <c r="N49" i="64"/>
  <c r="N53" i="64"/>
  <c r="M53" i="64"/>
  <c r="M55" i="64"/>
  <c r="M50" i="64"/>
  <c r="N29" i="64"/>
  <c r="N45" i="64" s="1"/>
  <c r="M28" i="64"/>
  <c r="M30" i="64"/>
  <c r="M31" i="64"/>
  <c r="M32" i="64"/>
  <c r="M33" i="64"/>
  <c r="M34" i="64"/>
  <c r="M35" i="64"/>
  <c r="M36" i="64"/>
  <c r="M37" i="64"/>
  <c r="M38" i="64"/>
  <c r="M39" i="64"/>
  <c r="N23" i="64"/>
  <c r="M23" i="64" s="1"/>
  <c r="N17" i="64"/>
  <c r="M17" i="64" s="1"/>
  <c r="N16" i="64"/>
  <c r="M16" i="64" s="1"/>
  <c r="M14" i="64"/>
  <c r="M11" i="64"/>
  <c r="DG236" i="1"/>
  <c r="DH13" i="1"/>
  <c r="M116" i="64" s="1"/>
  <c r="DI13" i="1"/>
  <c r="DH23" i="1"/>
  <c r="DH33" i="1"/>
  <c r="N90" i="64"/>
  <c r="N120" i="64"/>
  <c r="AE84" i="9"/>
  <c r="S43" i="10"/>
  <c r="S45" i="10" s="1"/>
  <c r="T43" i="10"/>
  <c r="T45" i="10" s="1"/>
  <c r="U43" i="10"/>
  <c r="U45" i="10" s="1"/>
  <c r="V43" i="10"/>
  <c r="V45" i="10" s="1"/>
  <c r="W43" i="10"/>
  <c r="W45" i="10" s="1"/>
  <c r="X43" i="10"/>
  <c r="X45" i="10" s="1"/>
  <c r="Y43" i="10"/>
  <c r="Y45" i="10" s="1"/>
  <c r="Z43" i="10"/>
  <c r="Z45" i="10" s="1"/>
  <c r="AA43" i="10"/>
  <c r="AA45" i="10" s="1"/>
  <c r="AB43" i="10"/>
  <c r="AB45" i="10" s="1"/>
  <c r="AC43" i="10"/>
  <c r="AC45" i="10" s="1"/>
  <c r="AD43" i="10"/>
  <c r="DG34" i="1"/>
  <c r="DG74" i="1"/>
  <c r="DG64" i="1"/>
  <c r="DG54" i="1"/>
  <c r="DG44" i="1"/>
  <c r="DG24" i="1"/>
  <c r="DG124" i="1"/>
  <c r="DG83" i="1"/>
  <c r="DG103" i="1" s="1"/>
  <c r="DG154" i="1"/>
  <c r="DG174" i="1"/>
  <c r="BH120" i="6"/>
  <c r="AE43" i="10"/>
  <c r="AE45" i="10" s="1"/>
  <c r="N91" i="64"/>
  <c r="DG82" i="1"/>
  <c r="N43" i="64"/>
  <c r="I18" i="64"/>
  <c r="I19" i="64"/>
  <c r="I20" i="64"/>
  <c r="I21" i="64"/>
  <c r="I22" i="64"/>
  <c r="S204" i="3"/>
  <c r="DG243" i="1"/>
  <c r="DK242" i="1"/>
  <c r="S196" i="3"/>
  <c r="D111" i="8" s="1"/>
  <c r="DC34" i="1"/>
  <c r="DJ33" i="1"/>
  <c r="DJ32" i="1"/>
  <c r="DJ31" i="1"/>
  <c r="DJ30" i="1"/>
  <c r="N98" i="64"/>
  <c r="BD13" i="6"/>
  <c r="BD61" i="6"/>
  <c r="AF22" i="7"/>
  <c r="AF28" i="7" s="1"/>
  <c r="AF34" i="7" s="1"/>
  <c r="AF16" i="7"/>
  <c r="BO94" i="1"/>
  <c r="BO154" i="1"/>
  <c r="BT122" i="1"/>
  <c r="BS84" i="1"/>
  <c r="BS124" i="1"/>
  <c r="BS154" i="1"/>
  <c r="BX22" i="1"/>
  <c r="BW24" i="1"/>
  <c r="BW74" i="1"/>
  <c r="BW64" i="1"/>
  <c r="BW54" i="1"/>
  <c r="BW44" i="1"/>
  <c r="BW34" i="1"/>
  <c r="BW94" i="1"/>
  <c r="BW124" i="1"/>
  <c r="BW81" i="1"/>
  <c r="CA24" i="1"/>
  <c r="CA74" i="1"/>
  <c r="CA64" i="1"/>
  <c r="CA54" i="1"/>
  <c r="CA44" i="1"/>
  <c r="CA34" i="1"/>
  <c r="CA94" i="1"/>
  <c r="CA124" i="1"/>
  <c r="CA81" i="1"/>
  <c r="CA82" i="1"/>
  <c r="CA80" i="1"/>
  <c r="CE24" i="1"/>
  <c r="CE74" i="1"/>
  <c r="CE64" i="1"/>
  <c r="CE54" i="1"/>
  <c r="CE44" i="1"/>
  <c r="CE34" i="1"/>
  <c r="CE94" i="1"/>
  <c r="CE124" i="1"/>
  <c r="CE80" i="1"/>
  <c r="CI24" i="1"/>
  <c r="CI74" i="1"/>
  <c r="CI64" i="1"/>
  <c r="CI54" i="1"/>
  <c r="CI44" i="1"/>
  <c r="CI34" i="1"/>
  <c r="CI94" i="1"/>
  <c r="CI124" i="1"/>
  <c r="CK124" i="1"/>
  <c r="CM24" i="1"/>
  <c r="CM74" i="1"/>
  <c r="CM64" i="1"/>
  <c r="CM54" i="1"/>
  <c r="CM44" i="1"/>
  <c r="CM34" i="1"/>
  <c r="CM94" i="1"/>
  <c r="CM124" i="1"/>
  <c r="CM82" i="1"/>
  <c r="CM83" i="1"/>
  <c r="CQ24" i="1"/>
  <c r="CQ74" i="1"/>
  <c r="CQ64" i="1"/>
  <c r="CQ54" i="1"/>
  <c r="CQ34" i="1"/>
  <c r="CQ94" i="1"/>
  <c r="CQ124" i="1"/>
  <c r="CQ81" i="1"/>
  <c r="CV82" i="1"/>
  <c r="CU24" i="1"/>
  <c r="CU74" i="1"/>
  <c r="CU64" i="1"/>
  <c r="CU54" i="1"/>
  <c r="CU44" i="1"/>
  <c r="CU34" i="1"/>
  <c r="CU94" i="1"/>
  <c r="CU124" i="1"/>
  <c r="CY24" i="1"/>
  <c r="CY74" i="1"/>
  <c r="CY64" i="1"/>
  <c r="CY54" i="1"/>
  <c r="CY44" i="1"/>
  <c r="CY34" i="1"/>
  <c r="CY94" i="1"/>
  <c r="CY124" i="1"/>
  <c r="CY154" i="1"/>
  <c r="DC74" i="1"/>
  <c r="DC64" i="1"/>
  <c r="DC54" i="1"/>
  <c r="DC44" i="1"/>
  <c r="DC124" i="1"/>
  <c r="N24" i="64"/>
  <c r="N25" i="64"/>
  <c r="J10" i="64"/>
  <c r="K10" i="64"/>
  <c r="L10" i="64"/>
  <c r="K12" i="64"/>
  <c r="BH117" i="6"/>
  <c r="BH118" i="6"/>
  <c r="BH119" i="6"/>
  <c r="L76" i="64"/>
  <c r="L80" i="64" s="1"/>
  <c r="L87" i="64" s="1"/>
  <c r="L40" i="64"/>
  <c r="J41" i="64"/>
  <c r="DK74" i="1"/>
  <c r="DK94" i="1"/>
  <c r="S194" i="3"/>
  <c r="D109" i="8" s="1"/>
  <c r="S195" i="3"/>
  <c r="BI36" i="6"/>
  <c r="DH12" i="1"/>
  <c r="BI37" i="6"/>
  <c r="BH18" i="6"/>
  <c r="L56" i="64"/>
  <c r="M56" i="64" s="1"/>
  <c r="L58" i="64"/>
  <c r="BD120" i="6"/>
  <c r="BH122" i="6" s="1"/>
  <c r="J121" i="64" s="1"/>
  <c r="I109" i="64"/>
  <c r="DG80" i="1"/>
  <c r="DG81" i="1"/>
  <c r="DG101" i="1" s="1"/>
  <c r="BI12" i="6"/>
  <c r="L97" i="64"/>
  <c r="DH32" i="1"/>
  <c r="DH22" i="1"/>
  <c r="DI12" i="1"/>
  <c r="DH11" i="1"/>
  <c r="DC82" i="1"/>
  <c r="DD82" i="1" s="1"/>
  <c r="CY82" i="1"/>
  <c r="DE12" i="1"/>
  <c r="D118" i="8"/>
  <c r="D117" i="8"/>
  <c r="D116" i="8"/>
  <c r="D115" i="8"/>
  <c r="DC83" i="1"/>
  <c r="DC80" i="1"/>
  <c r="DC81" i="1"/>
  <c r="DD81" i="1" s="1"/>
  <c r="I24" i="64"/>
  <c r="I25" i="64"/>
  <c r="I10" i="64"/>
  <c r="I16" i="64"/>
  <c r="I43" i="64"/>
  <c r="I60" i="64"/>
  <c r="I3" i="41"/>
  <c r="I138" i="41"/>
  <c r="N3" i="41"/>
  <c r="N22" i="41" s="1"/>
  <c r="J6" i="41"/>
  <c r="K6" i="41"/>
  <c r="L6" i="41"/>
  <c r="L25" i="41" s="1"/>
  <c r="M6" i="41"/>
  <c r="M25" i="41"/>
  <c r="N6" i="41"/>
  <c r="O6" i="41"/>
  <c r="O25" i="41"/>
  <c r="P6" i="41"/>
  <c r="P25" i="41" s="1"/>
  <c r="Q6" i="41"/>
  <c r="Q25" i="41"/>
  <c r="R6" i="41"/>
  <c r="S6" i="41"/>
  <c r="S25" i="41" s="1"/>
  <c r="C10" i="41"/>
  <c r="J10" i="41"/>
  <c r="J15" i="41"/>
  <c r="K15" i="41"/>
  <c r="L15" i="41"/>
  <c r="M15" i="41"/>
  <c r="J22" i="41"/>
  <c r="K22" i="41"/>
  <c r="L22" i="41"/>
  <c r="M22" i="41"/>
  <c r="J35" i="41"/>
  <c r="K35" i="41"/>
  <c r="L35" i="41"/>
  <c r="M35" i="41"/>
  <c r="U38" i="41"/>
  <c r="V38" i="41" s="1"/>
  <c r="E39" i="41"/>
  <c r="F39" i="41"/>
  <c r="F105" i="41" s="1"/>
  <c r="T39" i="41"/>
  <c r="J41" i="41"/>
  <c r="K41" i="41"/>
  <c r="L41" i="41"/>
  <c r="L43" i="41" s="1"/>
  <c r="M41" i="41"/>
  <c r="N41" i="41"/>
  <c r="N43" i="41" s="1"/>
  <c r="O41" i="41"/>
  <c r="P41" i="41"/>
  <c r="Q41" i="41"/>
  <c r="Q43" i="41" s="1"/>
  <c r="R41" i="41"/>
  <c r="S41" i="41"/>
  <c r="D43" i="41"/>
  <c r="E43" i="41"/>
  <c r="F43" i="41"/>
  <c r="G43" i="41"/>
  <c r="H43" i="41"/>
  <c r="I43" i="41"/>
  <c r="J55" i="41"/>
  <c r="K55" i="41"/>
  <c r="L55" i="41"/>
  <c r="M55" i="41"/>
  <c r="N55" i="41"/>
  <c r="N56" i="41"/>
  <c r="O55" i="41"/>
  <c r="P55" i="41"/>
  <c r="P56" i="41" s="1"/>
  <c r="Q55" i="41"/>
  <c r="R56" i="41"/>
  <c r="R55" i="41"/>
  <c r="S55" i="41"/>
  <c r="S56" i="41"/>
  <c r="C58" i="41"/>
  <c r="D58" i="41"/>
  <c r="E58" i="41"/>
  <c r="E61" i="41"/>
  <c r="F58" i="41"/>
  <c r="F59" i="41" s="1"/>
  <c r="G58" i="41"/>
  <c r="G61" i="41"/>
  <c r="H58" i="41"/>
  <c r="H61" i="41" s="1"/>
  <c r="I58" i="41"/>
  <c r="L58" i="41"/>
  <c r="M58" i="41"/>
  <c r="N58" i="41"/>
  <c r="O58" i="41"/>
  <c r="P58" i="41"/>
  <c r="Q58" i="41"/>
  <c r="R58" i="41"/>
  <c r="S58" i="41"/>
  <c r="S59" i="41" s="1"/>
  <c r="J60" i="41"/>
  <c r="K60" i="41"/>
  <c r="I61" i="41"/>
  <c r="C63" i="41"/>
  <c r="C140" i="41"/>
  <c r="D63" i="41"/>
  <c r="D140" i="41" s="1"/>
  <c r="E63" i="41"/>
  <c r="E140" i="41"/>
  <c r="F63" i="41"/>
  <c r="F140" i="41" s="1"/>
  <c r="G63" i="41"/>
  <c r="G140" i="41"/>
  <c r="H63" i="41"/>
  <c r="H140" i="41" s="1"/>
  <c r="I63" i="41"/>
  <c r="I140" i="41"/>
  <c r="M63" i="41"/>
  <c r="M140" i="41" s="1"/>
  <c r="N63" i="41"/>
  <c r="N140" i="41"/>
  <c r="O63" i="41"/>
  <c r="O140" i="41" s="1"/>
  <c r="P63" i="41"/>
  <c r="P140" i="41"/>
  <c r="Q63" i="41"/>
  <c r="Q140" i="41" s="1"/>
  <c r="R63" i="41"/>
  <c r="R140" i="41"/>
  <c r="S140" i="41" s="1"/>
  <c r="T140" i="41" s="1"/>
  <c r="U140" i="41" s="1"/>
  <c r="V140" i="41" s="1"/>
  <c r="W140" i="41" s="1"/>
  <c r="X140" i="41" s="1"/>
  <c r="Y140" i="41" s="1"/>
  <c r="Z140" i="41" s="1"/>
  <c r="S63" i="41"/>
  <c r="T63" i="41"/>
  <c r="U63" i="41"/>
  <c r="V63" i="41" s="1"/>
  <c r="W63" i="41" s="1"/>
  <c r="X63" i="41" s="1"/>
  <c r="Y63" i="41" s="1"/>
  <c r="Z63" i="41" s="1"/>
  <c r="T64" i="41"/>
  <c r="U64" i="41"/>
  <c r="V64" i="41"/>
  <c r="W64" i="41" s="1"/>
  <c r="X64" i="41" s="1"/>
  <c r="Y64" i="41" s="1"/>
  <c r="Z64" i="41" s="1"/>
  <c r="J66" i="41"/>
  <c r="K66" i="41"/>
  <c r="L66" i="41"/>
  <c r="M66" i="41"/>
  <c r="C68" i="41"/>
  <c r="D68" i="41"/>
  <c r="D6" i="41"/>
  <c r="E68" i="41"/>
  <c r="F68" i="41"/>
  <c r="G68" i="41"/>
  <c r="G6" i="41"/>
  <c r="G25" i="41"/>
  <c r="H68" i="41"/>
  <c r="I68" i="41"/>
  <c r="I103" i="41"/>
  <c r="T68" i="41"/>
  <c r="T69" i="41"/>
  <c r="T70" i="41"/>
  <c r="T71" i="41"/>
  <c r="T72" i="41"/>
  <c r="U72" i="41" s="1"/>
  <c r="T73" i="41"/>
  <c r="U73" i="41"/>
  <c r="V73" i="41" s="1"/>
  <c r="W73" i="41" s="1"/>
  <c r="X73" i="41" s="1"/>
  <c r="C74" i="41"/>
  <c r="D74" i="41"/>
  <c r="E74" i="41"/>
  <c r="F74" i="41"/>
  <c r="F75" i="41" s="1"/>
  <c r="G74" i="41"/>
  <c r="H74" i="41"/>
  <c r="H75" i="41" s="1"/>
  <c r="I74" i="41"/>
  <c r="L74" i="41"/>
  <c r="L75" i="41"/>
  <c r="M74" i="41"/>
  <c r="M75" i="41" s="1"/>
  <c r="N74" i="41"/>
  <c r="O74" i="41"/>
  <c r="O75" i="41" s="1"/>
  <c r="P74" i="41"/>
  <c r="Q74" i="41"/>
  <c r="R108" i="41"/>
  <c r="R74" i="41"/>
  <c r="S108" i="41" s="1"/>
  <c r="R75" i="41"/>
  <c r="R76" i="41"/>
  <c r="S74" i="41"/>
  <c r="J102" i="41"/>
  <c r="K102" i="41"/>
  <c r="L102" i="41"/>
  <c r="M102" i="41"/>
  <c r="J103" i="41"/>
  <c r="K103" i="41"/>
  <c r="L103" i="41"/>
  <c r="M103" i="41"/>
  <c r="N103" i="41"/>
  <c r="O103" i="41"/>
  <c r="P103" i="41"/>
  <c r="Q103" i="41"/>
  <c r="R103" i="41"/>
  <c r="S103" i="41"/>
  <c r="B104" i="41"/>
  <c r="C104" i="41"/>
  <c r="D104" i="41"/>
  <c r="I104" i="41"/>
  <c r="J104" i="41"/>
  <c r="K104" i="41"/>
  <c r="L104" i="41"/>
  <c r="M104" i="41"/>
  <c r="N104" i="41"/>
  <c r="O104" i="41"/>
  <c r="P104" i="41"/>
  <c r="Q104" i="41"/>
  <c r="R104" i="41"/>
  <c r="S104" i="41"/>
  <c r="B105" i="41"/>
  <c r="C105" i="41"/>
  <c r="D105" i="41"/>
  <c r="I105" i="41"/>
  <c r="J105" i="41"/>
  <c r="K105" i="41"/>
  <c r="L105" i="41"/>
  <c r="M105" i="41"/>
  <c r="N105" i="41"/>
  <c r="O105" i="41"/>
  <c r="P105" i="41"/>
  <c r="Q105" i="41"/>
  <c r="R105" i="41"/>
  <c r="S105" i="41"/>
  <c r="B106" i="41"/>
  <c r="C106" i="41"/>
  <c r="D106" i="41"/>
  <c r="I106" i="41"/>
  <c r="J106" i="41"/>
  <c r="K106" i="41"/>
  <c r="L106" i="41"/>
  <c r="M106" i="41"/>
  <c r="N106" i="41"/>
  <c r="O106" i="41"/>
  <c r="P106" i="41"/>
  <c r="Q106" i="41"/>
  <c r="R106" i="41"/>
  <c r="S106" i="41"/>
  <c r="B107" i="41"/>
  <c r="C107" i="41"/>
  <c r="D107" i="41"/>
  <c r="I107" i="41"/>
  <c r="J107" i="41"/>
  <c r="K107" i="41"/>
  <c r="L107" i="41"/>
  <c r="M107" i="41"/>
  <c r="N107" i="41"/>
  <c r="O107" i="41"/>
  <c r="P107" i="41"/>
  <c r="Q107" i="41"/>
  <c r="R107" i="41"/>
  <c r="S107" i="41"/>
  <c r="B108" i="41"/>
  <c r="C108" i="41"/>
  <c r="J108" i="41"/>
  <c r="B109" i="41"/>
  <c r="B110" i="41"/>
  <c r="B111" i="41"/>
  <c r="B112" i="41"/>
  <c r="B113" i="41"/>
  <c r="B114" i="41"/>
  <c r="B115" i="41"/>
  <c r="B116" i="41"/>
  <c r="B117" i="41"/>
  <c r="B118" i="41"/>
  <c r="B119" i="41"/>
  <c r="B120" i="41"/>
  <c r="B121" i="41"/>
  <c r="A122" i="41"/>
  <c r="B122" i="41"/>
  <c r="J138" i="41"/>
  <c r="L138" i="41"/>
  <c r="M138" i="41"/>
  <c r="J140" i="41"/>
  <c r="K140" i="41"/>
  <c r="L140" i="41"/>
  <c r="B144" i="41"/>
  <c r="B145" i="41" s="1"/>
  <c r="B146" i="41" s="1"/>
  <c r="B147" i="41" s="1"/>
  <c r="B148" i="41" s="1"/>
  <c r="B149" i="41" s="1"/>
  <c r="B150" i="41" s="1"/>
  <c r="B151" i="41" s="1"/>
  <c r="B152" i="41" s="1"/>
  <c r="B153" i="41" s="1"/>
  <c r="B154" i="41" s="1"/>
  <c r="B155" i="41" s="1"/>
  <c r="B156" i="41" s="1"/>
  <c r="B157" i="41" s="1"/>
  <c r="B158" i="41" s="1"/>
  <c r="B159" i="41" s="1"/>
  <c r="B160" i="41" s="1"/>
  <c r="B161" i="41" s="1"/>
  <c r="B162" i="41" s="1"/>
  <c r="B163" i="41" s="1"/>
  <c r="B164" i="41" s="1"/>
  <c r="B165" i="41" s="1"/>
  <c r="B166" i="41" s="1"/>
  <c r="B167" i="41" s="1"/>
  <c r="B168" i="41" s="1"/>
  <c r="B169" i="41" s="1"/>
  <c r="B170" i="41" s="1"/>
  <c r="B171" i="41" s="1"/>
  <c r="B172" i="41" s="1"/>
  <c r="B173" i="41" s="1"/>
  <c r="F5" i="7"/>
  <c r="N5" i="7"/>
  <c r="P5" i="7"/>
  <c r="AF8" i="7"/>
  <c r="D43" i="52" s="1"/>
  <c r="F43" i="52" s="1"/>
  <c r="H43" i="52" s="1"/>
  <c r="AD10" i="7"/>
  <c r="AF14" i="7"/>
  <c r="AF15" i="7"/>
  <c r="AF27" i="7"/>
  <c r="AF33" i="7" s="1"/>
  <c r="AF45" i="7" s="1"/>
  <c r="AF51" i="7" s="1"/>
  <c r="AD17" i="7"/>
  <c r="AF20" i="7"/>
  <c r="AF26" i="7"/>
  <c r="AF21" i="7"/>
  <c r="AD22" i="7"/>
  <c r="AD28" i="7"/>
  <c r="AD34" i="7"/>
  <c r="AD46" i="7" s="1"/>
  <c r="D26" i="7"/>
  <c r="F26" i="7"/>
  <c r="F32" i="7"/>
  <c r="F44" i="7" s="1"/>
  <c r="H26" i="7"/>
  <c r="H32" i="7"/>
  <c r="J26" i="7"/>
  <c r="J32" i="7" s="1"/>
  <c r="L26" i="7"/>
  <c r="N26" i="7"/>
  <c r="N32" i="7"/>
  <c r="N44" i="7" s="1"/>
  <c r="P26" i="7"/>
  <c r="R26" i="7"/>
  <c r="R32" i="7"/>
  <c r="T26" i="7"/>
  <c r="T32" i="7" s="1"/>
  <c r="T44" i="7" s="1"/>
  <c r="T50" i="7" s="1"/>
  <c r="V26" i="7"/>
  <c r="X26" i="7"/>
  <c r="Z26" i="7"/>
  <c r="AB26" i="7"/>
  <c r="AB32" i="7" s="1"/>
  <c r="AD26" i="7"/>
  <c r="AD32" i="7"/>
  <c r="D27" i="7"/>
  <c r="D33" i="7" s="1"/>
  <c r="F27" i="7"/>
  <c r="H27" i="7"/>
  <c r="H33" i="7" s="1"/>
  <c r="J27" i="7"/>
  <c r="L27" i="7"/>
  <c r="N27" i="7"/>
  <c r="N33" i="7" s="1"/>
  <c r="P27" i="7"/>
  <c r="P33" i="7"/>
  <c r="R27" i="7"/>
  <c r="T27" i="7"/>
  <c r="T33" i="7" s="1"/>
  <c r="V27" i="7"/>
  <c r="V33" i="7" s="1"/>
  <c r="X27" i="7"/>
  <c r="Z27" i="7"/>
  <c r="Z33" i="7" s="1"/>
  <c r="AB27" i="7"/>
  <c r="AD27" i="7"/>
  <c r="D28" i="7"/>
  <c r="D34" i="7"/>
  <c r="F28" i="7"/>
  <c r="F34" i="7" s="1"/>
  <c r="H28" i="7"/>
  <c r="J28" i="7"/>
  <c r="J34" i="7" s="1"/>
  <c r="L28" i="7"/>
  <c r="L34" i="7"/>
  <c r="N28" i="7"/>
  <c r="N34" i="7" s="1"/>
  <c r="P28" i="7"/>
  <c r="R28" i="7"/>
  <c r="R34" i="7" s="1"/>
  <c r="T28" i="7"/>
  <c r="V28" i="7"/>
  <c r="V34" i="7" s="1"/>
  <c r="V46" i="7" s="1"/>
  <c r="V52" i="7" s="1"/>
  <c r="X28" i="7"/>
  <c r="X34" i="7"/>
  <c r="X46" i="7"/>
  <c r="Z28" i="7"/>
  <c r="AB28" i="7"/>
  <c r="AB34" i="7"/>
  <c r="D29" i="7"/>
  <c r="F29" i="7"/>
  <c r="H29" i="7"/>
  <c r="H35" i="7"/>
  <c r="J29" i="7"/>
  <c r="L29" i="7"/>
  <c r="L35" i="7" s="1"/>
  <c r="N29" i="7"/>
  <c r="N35" i="7" s="1"/>
  <c r="P29" i="7"/>
  <c r="P35" i="7" s="1"/>
  <c r="R29" i="7"/>
  <c r="R35" i="7"/>
  <c r="R47" i="7" s="1"/>
  <c r="T29" i="7"/>
  <c r="V29" i="7"/>
  <c r="V35" i="7" s="1"/>
  <c r="X29" i="7"/>
  <c r="Z29" i="7"/>
  <c r="Z35" i="7"/>
  <c r="AB29" i="7"/>
  <c r="AB35" i="7" s="1"/>
  <c r="V17" i="8"/>
  <c r="V18" i="8"/>
  <c r="V19" i="8"/>
  <c r="AB20" i="8"/>
  <c r="BC24" i="1"/>
  <c r="BC84" i="1"/>
  <c r="V24" i="8"/>
  <c r="V25" i="8"/>
  <c r="V26" i="8"/>
  <c r="AB27" i="8"/>
  <c r="BG24" i="1"/>
  <c r="BG84" i="1"/>
  <c r="V31" i="8"/>
  <c r="V32" i="8"/>
  <c r="V33" i="8"/>
  <c r="AB34" i="8"/>
  <c r="S120" i="3"/>
  <c r="D35" i="8" s="1"/>
  <c r="BK104" i="1"/>
  <c r="V38" i="8"/>
  <c r="V39" i="8"/>
  <c r="V40" i="8"/>
  <c r="AB41" i="8"/>
  <c r="S127" i="3"/>
  <c r="V45" i="8"/>
  <c r="V46" i="8"/>
  <c r="V47" i="8"/>
  <c r="V48" i="8"/>
  <c r="V49" i="8" s="1"/>
  <c r="AB48" i="8"/>
  <c r="V52" i="8"/>
  <c r="BW80" i="1"/>
  <c r="V53" i="8"/>
  <c r="V54" i="8"/>
  <c r="BW82" i="1"/>
  <c r="V55" i="8"/>
  <c r="V56" i="8" s="1"/>
  <c r="AB55" i="8"/>
  <c r="BW83" i="1"/>
  <c r="V59" i="8"/>
  <c r="V60" i="8"/>
  <c r="V61" i="8"/>
  <c r="V62" i="8"/>
  <c r="V63" i="8" s="1"/>
  <c r="AB62" i="8"/>
  <c r="CA83" i="1"/>
  <c r="V66" i="8"/>
  <c r="V67" i="8"/>
  <c r="CE81" i="1"/>
  <c r="V68" i="8"/>
  <c r="CE82" i="1"/>
  <c r="V69" i="8"/>
  <c r="V70" i="8" s="1"/>
  <c r="AB69" i="8"/>
  <c r="CE83" i="1"/>
  <c r="V73" i="8"/>
  <c r="CI80" i="1"/>
  <c r="V74" i="8"/>
  <c r="CI81" i="1"/>
  <c r="V75" i="8"/>
  <c r="CI82" i="1"/>
  <c r="V76" i="8"/>
  <c r="V77" i="8" s="1"/>
  <c r="AB76" i="8"/>
  <c r="CI83" i="1"/>
  <c r="V80" i="8"/>
  <c r="CM80" i="1"/>
  <c r="V81" i="8"/>
  <c r="CM81" i="1"/>
  <c r="V82" i="8"/>
  <c r="V83" i="8"/>
  <c r="V84" i="8" s="1"/>
  <c r="AB83" i="8"/>
  <c r="V87" i="8"/>
  <c r="CQ80" i="1"/>
  <c r="V88" i="8"/>
  <c r="V89" i="8"/>
  <c r="CQ82" i="1"/>
  <c r="V90" i="8"/>
  <c r="V91" i="8" s="1"/>
  <c r="AB90" i="8"/>
  <c r="CQ83" i="1"/>
  <c r="V94" i="8"/>
  <c r="CU80" i="1"/>
  <c r="V95" i="8"/>
  <c r="CU81" i="1"/>
  <c r="V96" i="8"/>
  <c r="CU82" i="1"/>
  <c r="V97" i="8"/>
  <c r="V98" i="8" s="1"/>
  <c r="AB97" i="8"/>
  <c r="CU83" i="1"/>
  <c r="V101" i="8"/>
  <c r="CY80" i="1"/>
  <c r="V102" i="8"/>
  <c r="CY81" i="1"/>
  <c r="V103" i="8"/>
  <c r="V104" i="8"/>
  <c r="V105" i="8" s="1"/>
  <c r="AB104" i="8"/>
  <c r="CY83" i="1"/>
  <c r="X7" i="6"/>
  <c r="T7" i="6" s="1"/>
  <c r="H7" i="6" s="1"/>
  <c r="D7" i="6" s="1"/>
  <c r="AF7" i="6"/>
  <c r="AJ7" i="6" s="1"/>
  <c r="AN7" i="6" s="1"/>
  <c r="AR7" i="6" s="1"/>
  <c r="AV7" i="6" s="1"/>
  <c r="AZ7" i="6" s="1"/>
  <c r="BD7" i="6" s="1"/>
  <c r="BH7" i="6" s="1"/>
  <c r="BL7" i="6" s="1"/>
  <c r="BP7" i="6" s="1"/>
  <c r="BT7" i="6" s="1"/>
  <c r="I10" i="6"/>
  <c r="M10" i="6"/>
  <c r="Q10" i="6"/>
  <c r="U10" i="6"/>
  <c r="Y10" i="6"/>
  <c r="AC10" i="6"/>
  <c r="AG10" i="6"/>
  <c r="AK10" i="6"/>
  <c r="AO10" i="6"/>
  <c r="AS10" i="6"/>
  <c r="AW10" i="6"/>
  <c r="BA10" i="6"/>
  <c r="BE10" i="6"/>
  <c r="E117" i="64" s="1"/>
  <c r="BI10" i="6"/>
  <c r="I11" i="6"/>
  <c r="M11" i="6"/>
  <c r="Q11" i="6"/>
  <c r="U11" i="6"/>
  <c r="Y11" i="6"/>
  <c r="AC11" i="6"/>
  <c r="AG11" i="6"/>
  <c r="AK11" i="6"/>
  <c r="AO11" i="6"/>
  <c r="AS11" i="6"/>
  <c r="AW11" i="6"/>
  <c r="BA11" i="6"/>
  <c r="BE11" i="6"/>
  <c r="F117" i="64" s="1"/>
  <c r="BI11" i="6"/>
  <c r="I12" i="6"/>
  <c r="M12" i="6"/>
  <c r="Q12" i="6"/>
  <c r="U12" i="6"/>
  <c r="Y12" i="6"/>
  <c r="AC12" i="6"/>
  <c r="AG12" i="6"/>
  <c r="AK12" i="6"/>
  <c r="AO12" i="6"/>
  <c r="AS12" i="6"/>
  <c r="AW12" i="6"/>
  <c r="BA12" i="6"/>
  <c r="BE12" i="6"/>
  <c r="G117" i="64"/>
  <c r="I13" i="6"/>
  <c r="M13" i="6"/>
  <c r="Q13" i="6"/>
  <c r="U13" i="6"/>
  <c r="Y13" i="6"/>
  <c r="AC13" i="6"/>
  <c r="AG13" i="6"/>
  <c r="AK13" i="6"/>
  <c r="AO13" i="6"/>
  <c r="AS13" i="6"/>
  <c r="AW13" i="6"/>
  <c r="BA13" i="6"/>
  <c r="I16" i="6"/>
  <c r="M16" i="6"/>
  <c r="Q16" i="6"/>
  <c r="U16" i="6"/>
  <c r="Y16" i="6"/>
  <c r="AC16" i="6"/>
  <c r="AG16" i="6"/>
  <c r="AK16" i="6"/>
  <c r="AO16" i="6"/>
  <c r="AS16" i="6"/>
  <c r="AW16" i="6"/>
  <c r="BA16" i="6"/>
  <c r="BE16" i="6"/>
  <c r="BH16" i="6"/>
  <c r="S79" i="64"/>
  <c r="I17" i="6"/>
  <c r="M17" i="6"/>
  <c r="Q17" i="6"/>
  <c r="U17" i="6"/>
  <c r="Y17" i="6"/>
  <c r="AC17" i="6"/>
  <c r="AG17" i="6"/>
  <c r="AK17" i="6"/>
  <c r="AO17" i="6"/>
  <c r="AS17" i="6"/>
  <c r="AW17" i="6"/>
  <c r="BA17" i="6"/>
  <c r="BD17" i="6"/>
  <c r="BH17" i="6"/>
  <c r="I18" i="6"/>
  <c r="M18" i="6"/>
  <c r="Q18" i="6"/>
  <c r="U18" i="6"/>
  <c r="Y18" i="6"/>
  <c r="AC18" i="6"/>
  <c r="AG18" i="6"/>
  <c r="AK18" i="6"/>
  <c r="AO18" i="6"/>
  <c r="AS18" i="6"/>
  <c r="AW18" i="6"/>
  <c r="BA18" i="6"/>
  <c r="BD18" i="6"/>
  <c r="I19" i="6"/>
  <c r="M19" i="6"/>
  <c r="Q19" i="6"/>
  <c r="U19" i="6"/>
  <c r="Y19" i="6"/>
  <c r="AC19" i="6"/>
  <c r="AG19" i="6"/>
  <c r="AK19" i="6"/>
  <c r="AO19" i="6"/>
  <c r="AS19" i="6"/>
  <c r="AW19" i="6"/>
  <c r="BA19" i="6"/>
  <c r="BD19" i="6"/>
  <c r="BE19" i="6"/>
  <c r="I22" i="6"/>
  <c r="M22" i="6"/>
  <c r="Q22" i="6"/>
  <c r="U22" i="6"/>
  <c r="X22" i="6"/>
  <c r="Y22" i="6" s="1"/>
  <c r="AB22" i="6"/>
  <c r="AF22" i="6"/>
  <c r="AJ22" i="6"/>
  <c r="AN22" i="6"/>
  <c r="AO22" i="6"/>
  <c r="AR22" i="6"/>
  <c r="AV22" i="6"/>
  <c r="AW22" i="6" s="1"/>
  <c r="AZ22" i="6"/>
  <c r="BD22" i="6"/>
  <c r="BH22" i="6"/>
  <c r="I23" i="6"/>
  <c r="M23" i="6"/>
  <c r="Q23" i="6"/>
  <c r="U23" i="6"/>
  <c r="X23" i="6"/>
  <c r="AB23" i="6"/>
  <c r="AF23" i="6"/>
  <c r="AG23" i="6" s="1"/>
  <c r="AJ23" i="6"/>
  <c r="AN23" i="6"/>
  <c r="AO23" i="6"/>
  <c r="AR23" i="6"/>
  <c r="AS23" i="6" s="1"/>
  <c r="AV23" i="6"/>
  <c r="AZ23" i="6"/>
  <c r="BD23" i="6"/>
  <c r="BH23" i="6"/>
  <c r="I24" i="6"/>
  <c r="M24" i="6"/>
  <c r="Q24" i="6"/>
  <c r="U24" i="6"/>
  <c r="X24" i="6"/>
  <c r="Y24" i="6"/>
  <c r="AB24" i="6"/>
  <c r="AF24" i="6"/>
  <c r="AJ24" i="6"/>
  <c r="AK24" i="6"/>
  <c r="AN24" i="6"/>
  <c r="AR24" i="6"/>
  <c r="AV24" i="6"/>
  <c r="AZ24" i="6"/>
  <c r="BD24" i="6"/>
  <c r="BH24" i="6"/>
  <c r="I25" i="6"/>
  <c r="M25" i="6"/>
  <c r="Q25" i="6"/>
  <c r="U25" i="6"/>
  <c r="X25" i="6"/>
  <c r="Y25" i="6" s="1"/>
  <c r="AC25" i="6"/>
  <c r="AB25" i="6"/>
  <c r="AF25" i="6"/>
  <c r="AJ25" i="6"/>
  <c r="AK25" i="6" s="1"/>
  <c r="AN25" i="6"/>
  <c r="AR25" i="6"/>
  <c r="AW25" i="6"/>
  <c r="AV25" i="6"/>
  <c r="AZ25" i="6"/>
  <c r="BD25" i="6"/>
  <c r="AC28" i="6"/>
  <c r="AG28" i="6"/>
  <c r="AK28" i="6"/>
  <c r="AO28" i="6"/>
  <c r="AS28" i="6"/>
  <c r="AW28" i="6"/>
  <c r="BA28" i="6"/>
  <c r="BE28" i="6"/>
  <c r="BI28" i="6"/>
  <c r="AC29" i="6"/>
  <c r="AG29" i="6"/>
  <c r="AK29" i="6"/>
  <c r="AO29" i="6"/>
  <c r="AS29" i="6"/>
  <c r="AW29" i="6"/>
  <c r="BA29" i="6"/>
  <c r="BE29" i="6"/>
  <c r="BI29" i="6"/>
  <c r="AC30" i="6"/>
  <c r="AG30" i="6"/>
  <c r="AK30" i="6"/>
  <c r="AO30" i="6"/>
  <c r="AS30" i="6"/>
  <c r="AW30" i="6"/>
  <c r="BA30" i="6"/>
  <c r="BE30" i="6"/>
  <c r="BI30" i="6"/>
  <c r="AC31" i="6"/>
  <c r="AG31" i="6"/>
  <c r="AK31" i="6"/>
  <c r="AO31" i="6"/>
  <c r="AS31" i="6"/>
  <c r="AW31" i="6"/>
  <c r="BA31" i="6"/>
  <c r="BE31" i="6"/>
  <c r="BI31" i="6"/>
  <c r="AC34" i="6"/>
  <c r="AG34" i="6"/>
  <c r="AK34" i="6"/>
  <c r="AO34" i="6"/>
  <c r="AS34" i="6"/>
  <c r="AW34" i="6"/>
  <c r="BA34" i="6"/>
  <c r="BE34" i="6"/>
  <c r="BI34" i="6"/>
  <c r="AC35" i="6"/>
  <c r="AG35" i="6"/>
  <c r="AK35" i="6"/>
  <c r="AO35" i="6"/>
  <c r="AS35" i="6"/>
  <c r="AW35" i="6"/>
  <c r="BA35" i="6"/>
  <c r="BE35" i="6"/>
  <c r="BI35" i="6"/>
  <c r="AC36" i="6"/>
  <c r="AG36" i="6"/>
  <c r="AK36" i="6"/>
  <c r="AO36" i="6"/>
  <c r="AS36" i="6"/>
  <c r="AW36" i="6"/>
  <c r="BA36" i="6"/>
  <c r="BE36" i="6"/>
  <c r="AC37" i="6"/>
  <c r="AG37" i="6"/>
  <c r="AK37" i="6"/>
  <c r="AO37" i="6"/>
  <c r="AS37" i="6"/>
  <c r="AW37" i="6"/>
  <c r="BA37" i="6"/>
  <c r="BE37" i="6"/>
  <c r="I40" i="6"/>
  <c r="M40" i="6"/>
  <c r="Q40" i="6"/>
  <c r="U40" i="6"/>
  <c r="AC40" i="6"/>
  <c r="I41" i="6"/>
  <c r="M41" i="6"/>
  <c r="Q41" i="6"/>
  <c r="U41" i="6"/>
  <c r="AC41" i="6"/>
  <c r="I42" i="6"/>
  <c r="M42" i="6"/>
  <c r="Q42" i="6"/>
  <c r="U42" i="6"/>
  <c r="Y42" i="6"/>
  <c r="AC42" i="6"/>
  <c r="I43" i="6"/>
  <c r="M43" i="6"/>
  <c r="Y43" i="6"/>
  <c r="AC43" i="6"/>
  <c r="L46" i="6"/>
  <c r="P46" i="6"/>
  <c r="T46" i="6"/>
  <c r="X46" i="6"/>
  <c r="AB46" i="6"/>
  <c r="AF46" i="6"/>
  <c r="AF52" i="6"/>
  <c r="AJ46" i="6"/>
  <c r="AN46" i="6"/>
  <c r="AR46" i="6"/>
  <c r="AR52" i="6"/>
  <c r="AV46" i="6"/>
  <c r="AZ46" i="6"/>
  <c r="BD46" i="6"/>
  <c r="BE46" i="6" s="1"/>
  <c r="L47" i="6"/>
  <c r="P47" i="6"/>
  <c r="P53" i="6" s="1"/>
  <c r="T47" i="6"/>
  <c r="X47" i="6"/>
  <c r="X53" i="6" s="1"/>
  <c r="AB47" i="6"/>
  <c r="AF47" i="6"/>
  <c r="AG47" i="6" s="1"/>
  <c r="AJ47" i="6"/>
  <c r="AN47" i="6"/>
  <c r="AR47" i="6"/>
  <c r="AV47" i="6"/>
  <c r="AZ47" i="6"/>
  <c r="L48" i="6"/>
  <c r="P48" i="6"/>
  <c r="T48" i="6"/>
  <c r="T54" i="6" s="1"/>
  <c r="X48" i="6"/>
  <c r="AB48" i="6"/>
  <c r="AF48" i="6"/>
  <c r="AJ48" i="6"/>
  <c r="AK48" i="6" s="1"/>
  <c r="AN48" i="6"/>
  <c r="AR48" i="6"/>
  <c r="AV48" i="6"/>
  <c r="AW48" i="6" s="1"/>
  <c r="AZ48" i="6"/>
  <c r="L49" i="6"/>
  <c r="P49" i="6"/>
  <c r="T49" i="6"/>
  <c r="X49" i="6"/>
  <c r="AB49" i="6"/>
  <c r="AF49" i="6"/>
  <c r="AJ49" i="6"/>
  <c r="AN49" i="6"/>
  <c r="AR49" i="6"/>
  <c r="AS49" i="6" s="1"/>
  <c r="AV49" i="6"/>
  <c r="AZ49" i="6"/>
  <c r="A58" i="6"/>
  <c r="A64" i="6" s="1"/>
  <c r="A70" i="6" s="1"/>
  <c r="A76" i="6" s="1"/>
  <c r="A82" i="6" s="1"/>
  <c r="B58" i="6"/>
  <c r="B107" i="6"/>
  <c r="B112" i="6"/>
  <c r="B117" i="6" s="1"/>
  <c r="B122" i="6" s="1"/>
  <c r="X58" i="6"/>
  <c r="AB58" i="6"/>
  <c r="AF58" i="6"/>
  <c r="AJ58" i="6"/>
  <c r="AN58" i="6"/>
  <c r="AR58" i="6"/>
  <c r="AV58" i="6"/>
  <c r="AZ58" i="6"/>
  <c r="BD58" i="6"/>
  <c r="BH58" i="6"/>
  <c r="A59" i="6"/>
  <c r="A65" i="6" s="1"/>
  <c r="A71" i="6" s="1"/>
  <c r="A77" i="6" s="1"/>
  <c r="A83" i="6" s="1"/>
  <c r="B59" i="6"/>
  <c r="X59" i="6"/>
  <c r="AB59" i="6"/>
  <c r="AF59" i="6"/>
  <c r="AJ59" i="6"/>
  <c r="AN59" i="6"/>
  <c r="AR59" i="6"/>
  <c r="AV59" i="6"/>
  <c r="AZ59" i="6"/>
  <c r="BD59" i="6"/>
  <c r="BH59" i="6"/>
  <c r="A60" i="6"/>
  <c r="A66" i="6" s="1"/>
  <c r="A72" i="6" s="1"/>
  <c r="A78" i="6" s="1"/>
  <c r="A84" i="6" s="1"/>
  <c r="B60" i="6"/>
  <c r="X60" i="6"/>
  <c r="AB60" i="6"/>
  <c r="AF60" i="6"/>
  <c r="AJ60" i="6"/>
  <c r="AN60" i="6"/>
  <c r="AR60" i="6"/>
  <c r="AV60" i="6"/>
  <c r="AZ60" i="6"/>
  <c r="BD60" i="6"/>
  <c r="BH60" i="6"/>
  <c r="A61" i="6"/>
  <c r="B61" i="6"/>
  <c r="X61" i="6"/>
  <c r="AB61" i="6"/>
  <c r="AF61" i="6"/>
  <c r="AJ61" i="6"/>
  <c r="AN61" i="6"/>
  <c r="AR61" i="6"/>
  <c r="AV61" i="6"/>
  <c r="AZ61" i="6"/>
  <c r="BH61" i="6"/>
  <c r="H107" i="6"/>
  <c r="D108" i="6"/>
  <c r="D109" i="6"/>
  <c r="H113" i="6" s="1"/>
  <c r="H65" i="6" s="1"/>
  <c r="H71" i="6" s="1"/>
  <c r="D110" i="6"/>
  <c r="L107" i="6"/>
  <c r="H108" i="6"/>
  <c r="H109" i="6"/>
  <c r="H110" i="6"/>
  <c r="P107" i="6"/>
  <c r="L108" i="6"/>
  <c r="L109" i="6"/>
  <c r="L110" i="6"/>
  <c r="T107" i="6"/>
  <c r="P108" i="6"/>
  <c r="P109" i="6"/>
  <c r="T112" i="6" s="1"/>
  <c r="T64" i="6" s="1"/>
  <c r="T70" i="6" s="1"/>
  <c r="P110" i="6"/>
  <c r="X107" i="6"/>
  <c r="T108" i="6"/>
  <c r="T109" i="6"/>
  <c r="T110" i="6"/>
  <c r="AB107" i="6"/>
  <c r="X108" i="6"/>
  <c r="X109" i="6"/>
  <c r="AB112" i="6" s="1"/>
  <c r="AB64" i="6" s="1"/>
  <c r="AB70" i="6" s="1"/>
  <c r="X110" i="6"/>
  <c r="AF107" i="6"/>
  <c r="AB108" i="6"/>
  <c r="AB109" i="6"/>
  <c r="AB110" i="6"/>
  <c r="AJ107" i="6"/>
  <c r="AF108" i="6"/>
  <c r="AF109" i="6"/>
  <c r="AJ112" i="6" s="1"/>
  <c r="AJ64" i="6" s="1"/>
  <c r="AJ70" i="6" s="1"/>
  <c r="AF110" i="6"/>
  <c r="AN107" i="6"/>
  <c r="AJ108" i="6"/>
  <c r="AJ109" i="6"/>
  <c r="AN112" i="6" s="1"/>
  <c r="AN64" i="6" s="1"/>
  <c r="AN70" i="6" s="1"/>
  <c r="AJ110" i="6"/>
  <c r="AR107" i="6"/>
  <c r="AN108" i="6"/>
  <c r="AN109" i="6"/>
  <c r="AN110" i="6"/>
  <c r="AV107" i="6"/>
  <c r="AR108" i="6"/>
  <c r="AR109" i="6"/>
  <c r="AR110" i="6"/>
  <c r="AZ107" i="6"/>
  <c r="AV108" i="6"/>
  <c r="AV109" i="6"/>
  <c r="AV110" i="6"/>
  <c r="AZ108" i="6"/>
  <c r="AZ109" i="6"/>
  <c r="AZ110" i="6"/>
  <c r="BD114" i="6" s="1"/>
  <c r="BD66" i="6" s="1"/>
  <c r="BD72" i="6" s="1"/>
  <c r="BH107" i="6"/>
  <c r="BH115" i="6" s="1"/>
  <c r="BH67" i="6" s="1"/>
  <c r="BH73" i="6" s="1"/>
  <c r="BD110" i="6"/>
  <c r="BH109" i="6"/>
  <c r="BH110" i="6"/>
  <c r="BH108" i="6"/>
  <c r="BL112" i="6" s="1"/>
  <c r="BL64" i="6" s="1"/>
  <c r="BL70" i="6" s="1"/>
  <c r="AB117" i="6"/>
  <c r="X118" i="6"/>
  <c r="X119" i="6"/>
  <c r="X120" i="6"/>
  <c r="AB124" i="6" s="1"/>
  <c r="AF117" i="6"/>
  <c r="AB118" i="6"/>
  <c r="AB119" i="6"/>
  <c r="AB120" i="6"/>
  <c r="AJ117" i="6"/>
  <c r="AF118" i="6"/>
  <c r="AF119" i="6"/>
  <c r="AF120" i="6"/>
  <c r="AN117" i="6"/>
  <c r="AJ118" i="6"/>
  <c r="AJ119" i="6"/>
  <c r="AJ120" i="6"/>
  <c r="AR117" i="6"/>
  <c r="AN118" i="6"/>
  <c r="AN119" i="6"/>
  <c r="AN120" i="6"/>
  <c r="AV117" i="6"/>
  <c r="AR118" i="6"/>
  <c r="AR119" i="6"/>
  <c r="AR120" i="6"/>
  <c r="AZ117" i="6"/>
  <c r="AV118" i="6"/>
  <c r="AV119" i="6"/>
  <c r="AV120" i="6"/>
  <c r="BD117" i="6"/>
  <c r="AZ118" i="6"/>
  <c r="AZ119" i="6"/>
  <c r="AZ120" i="6"/>
  <c r="BD124" i="6" s="1"/>
  <c r="G121" i="64" s="1"/>
  <c r="G122" i="64" s="1"/>
  <c r="BD118" i="6"/>
  <c r="BD119" i="6"/>
  <c r="X117" i="6"/>
  <c r="X125" i="6" s="1"/>
  <c r="D107" i="6"/>
  <c r="F165" i="3"/>
  <c r="F172" i="3"/>
  <c r="F173" i="3"/>
  <c r="S41" i="3"/>
  <c r="U41" i="3" s="1"/>
  <c r="AJ41" i="3" s="1"/>
  <c r="F167" i="3"/>
  <c r="O143" i="1"/>
  <c r="AN83" i="1"/>
  <c r="F168" i="3"/>
  <c r="F175" i="3"/>
  <c r="F85" i="3"/>
  <c r="DD23" i="1"/>
  <c r="DH21" i="1"/>
  <c r="DD33" i="1"/>
  <c r="DH31" i="1"/>
  <c r="DG242" i="1"/>
  <c r="F78" i="3"/>
  <c r="F92" i="3"/>
  <c r="AB21" i="5"/>
  <c r="M5" i="4"/>
  <c r="M39" i="4" s="1"/>
  <c r="M9" i="5" s="1"/>
  <c r="N5" i="4"/>
  <c r="O5" i="4"/>
  <c r="P5" i="4"/>
  <c r="Q5" i="4"/>
  <c r="Q39" i="4" s="1"/>
  <c r="Q9" i="5" s="1"/>
  <c r="R5" i="4"/>
  <c r="S5" i="4"/>
  <c r="D122" i="1"/>
  <c r="S47" i="3"/>
  <c r="X132" i="1"/>
  <c r="X133" i="1"/>
  <c r="AP197" i="3"/>
  <c r="AA9" i="4" s="1"/>
  <c r="AQ195" i="3"/>
  <c r="B17" i="4"/>
  <c r="C14" i="4" s="1"/>
  <c r="P17" i="4"/>
  <c r="C27" i="4"/>
  <c r="D27" i="4"/>
  <c r="D28" i="4" s="1"/>
  <c r="E27" i="4"/>
  <c r="F27" i="4"/>
  <c r="G27" i="4"/>
  <c r="H27" i="4"/>
  <c r="H28" i="4"/>
  <c r="I27" i="4"/>
  <c r="J27" i="4"/>
  <c r="J28" i="4" s="1"/>
  <c r="K27" i="4"/>
  <c r="L27" i="4"/>
  <c r="M27" i="4"/>
  <c r="N27" i="4"/>
  <c r="N28" i="4"/>
  <c r="O27" i="4"/>
  <c r="P27" i="4"/>
  <c r="Q27" i="4"/>
  <c r="R27" i="4"/>
  <c r="S27" i="4"/>
  <c r="S28" i="4" s="1"/>
  <c r="T27" i="4"/>
  <c r="U27" i="4"/>
  <c r="V28" i="4" s="1"/>
  <c r="V27" i="4"/>
  <c r="W27" i="4"/>
  <c r="X27" i="4"/>
  <c r="Y27" i="4"/>
  <c r="Y28" i="4" s="1"/>
  <c r="Z27" i="4"/>
  <c r="AA27" i="4"/>
  <c r="C31" i="4"/>
  <c r="D31" i="4"/>
  <c r="E31" i="4"/>
  <c r="F31" i="4"/>
  <c r="G31" i="4"/>
  <c r="H31" i="4"/>
  <c r="I31" i="4"/>
  <c r="J31" i="4"/>
  <c r="K31" i="4"/>
  <c r="L31" i="4"/>
  <c r="M31" i="4"/>
  <c r="N31" i="4"/>
  <c r="O31" i="4"/>
  <c r="P31" i="4"/>
  <c r="Q31" i="4"/>
  <c r="R31" i="4"/>
  <c r="S31" i="4"/>
  <c r="T31" i="4"/>
  <c r="U31" i="4"/>
  <c r="V31" i="4"/>
  <c r="W31" i="4"/>
  <c r="X31" i="4"/>
  <c r="Y31" i="4"/>
  <c r="Z31" i="4"/>
  <c r="AA31" i="4"/>
  <c r="AB45" i="4"/>
  <c r="C24" i="1"/>
  <c r="C84" i="1"/>
  <c r="G24" i="1"/>
  <c r="G84" i="1"/>
  <c r="K24" i="1"/>
  <c r="K84" i="1"/>
  <c r="O24" i="1"/>
  <c r="O84" i="1"/>
  <c r="S24" i="1"/>
  <c r="S84" i="1"/>
  <c r="W24" i="1"/>
  <c r="W84" i="1"/>
  <c r="AA24" i="1"/>
  <c r="AA84" i="1"/>
  <c r="AI24" i="1"/>
  <c r="AI84" i="1"/>
  <c r="AM24" i="1"/>
  <c r="AM84" i="1"/>
  <c r="AQ24" i="1"/>
  <c r="AQ84" i="1"/>
  <c r="AU24" i="1"/>
  <c r="AU84" i="1"/>
  <c r="AY24" i="1"/>
  <c r="AY84" i="1"/>
  <c r="E10" i="64"/>
  <c r="F10" i="64"/>
  <c r="G10" i="64"/>
  <c r="H10" i="64" s="1"/>
  <c r="H11" i="64"/>
  <c r="O11" i="64"/>
  <c r="R11" i="64" s="1"/>
  <c r="H12" i="64"/>
  <c r="F14" i="64"/>
  <c r="H14" i="64" s="1"/>
  <c r="E16" i="64"/>
  <c r="F16" i="64"/>
  <c r="H17" i="64"/>
  <c r="S25" i="64"/>
  <c r="E28" i="64"/>
  <c r="I28" i="64"/>
  <c r="H29" i="64"/>
  <c r="K29" i="64"/>
  <c r="H35" i="64"/>
  <c r="H36" i="64"/>
  <c r="H38" i="64"/>
  <c r="H39" i="64"/>
  <c r="H40" i="64"/>
  <c r="Q40" i="64"/>
  <c r="R40" i="64" s="1"/>
  <c r="R43" i="64" s="1"/>
  <c r="R45" i="64" s="1"/>
  <c r="H41" i="64"/>
  <c r="H42" i="64"/>
  <c r="E43" i="64"/>
  <c r="F43" i="64"/>
  <c r="F45" i="64"/>
  <c r="G43" i="64"/>
  <c r="G45" i="64" s="1"/>
  <c r="K43" i="64"/>
  <c r="K45" i="64"/>
  <c r="H49" i="64"/>
  <c r="J49" i="64"/>
  <c r="H50" i="64"/>
  <c r="G51" i="64"/>
  <c r="S52" i="64"/>
  <c r="I53" i="64"/>
  <c r="S54" i="64"/>
  <c r="H55" i="64"/>
  <c r="E56" i="64"/>
  <c r="E58" i="64" s="1"/>
  <c r="H58" i="64" s="1"/>
  <c r="F56" i="64"/>
  <c r="F58" i="64"/>
  <c r="G56" i="64"/>
  <c r="I56" i="64"/>
  <c r="J56" i="64"/>
  <c r="K56" i="64"/>
  <c r="K58" i="64" s="1"/>
  <c r="O58" i="64"/>
  <c r="Q58" i="64"/>
  <c r="E73" i="64"/>
  <c r="F73" i="64"/>
  <c r="G73" i="64"/>
  <c r="H73" i="64"/>
  <c r="I73" i="64"/>
  <c r="J73" i="64"/>
  <c r="K73" i="64"/>
  <c r="L73" i="64"/>
  <c r="M73" i="64"/>
  <c r="N73" i="64"/>
  <c r="O73" i="64"/>
  <c r="P73" i="64"/>
  <c r="Q73" i="64"/>
  <c r="S73" i="64"/>
  <c r="G75" i="64"/>
  <c r="G80" i="64" s="1"/>
  <c r="G87" i="64" s="1"/>
  <c r="I75" i="64"/>
  <c r="I76" i="64"/>
  <c r="I77" i="64"/>
  <c r="N117" i="64"/>
  <c r="I78" i="64"/>
  <c r="I79" i="64"/>
  <c r="E80" i="64"/>
  <c r="E87" i="64"/>
  <c r="F80" i="64"/>
  <c r="F87" i="64" s="1"/>
  <c r="H80" i="64"/>
  <c r="H87" i="64"/>
  <c r="I87" i="64" s="1"/>
  <c r="J80" i="64"/>
  <c r="K80" i="64"/>
  <c r="I82" i="64"/>
  <c r="I83" i="64"/>
  <c r="I84" i="64"/>
  <c r="I85" i="64"/>
  <c r="J87" i="64"/>
  <c r="K85" i="64"/>
  <c r="I86" i="64"/>
  <c r="I90" i="64"/>
  <c r="I91" i="64"/>
  <c r="I92" i="64"/>
  <c r="J92" i="64"/>
  <c r="J95" i="64" s="1"/>
  <c r="S92" i="64"/>
  <c r="I93" i="64"/>
  <c r="I94" i="64"/>
  <c r="E95" i="64"/>
  <c r="F95" i="64"/>
  <c r="G95" i="64"/>
  <c r="H95" i="64"/>
  <c r="I95" i="64"/>
  <c r="G97" i="64"/>
  <c r="G101" i="64" s="1"/>
  <c r="G103" i="64" s="1"/>
  <c r="H97" i="64"/>
  <c r="J97" i="64"/>
  <c r="J101" i="64" s="1"/>
  <c r="K97" i="64"/>
  <c r="K101" i="64" s="1"/>
  <c r="K103" i="64" s="1"/>
  <c r="K113" i="64" s="1"/>
  <c r="K114" i="64" s="1"/>
  <c r="I98" i="64"/>
  <c r="I99" i="64"/>
  <c r="N99" i="64"/>
  <c r="I100" i="64"/>
  <c r="E101" i="64"/>
  <c r="E103" i="64" s="1"/>
  <c r="F101" i="64"/>
  <c r="F103" i="64" s="1"/>
  <c r="L101" i="64"/>
  <c r="L103" i="64"/>
  <c r="L113" i="64" s="1"/>
  <c r="L114" i="64" s="1"/>
  <c r="E108" i="64"/>
  <c r="E111" i="64" s="1"/>
  <c r="E113" i="64" s="1"/>
  <c r="E114" i="64" s="1"/>
  <c r="F108" i="64"/>
  <c r="F111" i="64" s="1"/>
  <c r="F113" i="64" s="1"/>
  <c r="F114" i="64" s="1"/>
  <c r="G108" i="64"/>
  <c r="G111" i="64" s="1"/>
  <c r="H108" i="64"/>
  <c r="I108" i="64" s="1"/>
  <c r="J108" i="64" s="1"/>
  <c r="K108" i="64" s="1"/>
  <c r="L108" i="64" s="1"/>
  <c r="M108" i="64" s="1"/>
  <c r="N108" i="64" s="1"/>
  <c r="O108" i="64" s="1"/>
  <c r="P108" i="64" s="1"/>
  <c r="Q108" i="64" s="1"/>
  <c r="R108" i="64" s="1"/>
  <c r="S108" i="64" s="1"/>
  <c r="T108" i="64" s="1"/>
  <c r="U108" i="64" s="1"/>
  <c r="V108" i="64" s="1"/>
  <c r="W108" i="64" s="1"/>
  <c r="X108" i="64" s="1"/>
  <c r="G110" i="64"/>
  <c r="I110" i="64"/>
  <c r="DM11" i="1"/>
  <c r="P116" i="64" s="1"/>
  <c r="DM12" i="1"/>
  <c r="Q116" i="64" s="1"/>
  <c r="DM13" i="1"/>
  <c r="R116" i="64" s="1"/>
  <c r="J117" i="64"/>
  <c r="K117" i="64"/>
  <c r="L117" i="64"/>
  <c r="M117" i="64"/>
  <c r="J118" i="64"/>
  <c r="K118" i="64"/>
  <c r="L118" i="64"/>
  <c r="M118" i="64"/>
  <c r="E120" i="64"/>
  <c r="F120" i="64"/>
  <c r="G120" i="64"/>
  <c r="H120" i="64"/>
  <c r="J120" i="64"/>
  <c r="K120" i="64"/>
  <c r="DE11" i="1"/>
  <c r="W6" i="1"/>
  <c r="S6" i="1" s="1"/>
  <c r="O6" i="1" s="1"/>
  <c r="K6" i="1" s="1"/>
  <c r="G6" i="1" s="1"/>
  <c r="C6" i="1" s="1"/>
  <c r="BC6" i="1"/>
  <c r="AY6" i="1" s="1"/>
  <c r="AU6" i="1" s="1"/>
  <c r="AQ6" i="1" s="1"/>
  <c r="AM6" i="1" s="1"/>
  <c r="CA6" i="1"/>
  <c r="CE6" i="1"/>
  <c r="CI6" i="1" s="1"/>
  <c r="CM6" i="1" s="1"/>
  <c r="CQ6" i="1" s="1"/>
  <c r="CU6" i="1" s="1"/>
  <c r="CY6" i="1" s="1"/>
  <c r="D11" i="3"/>
  <c r="F11" i="3"/>
  <c r="F25" i="3"/>
  <c r="F32" i="3"/>
  <c r="F39" i="3"/>
  <c r="F46" i="3"/>
  <c r="F74" i="3"/>
  <c r="F81" i="3"/>
  <c r="F88" i="3"/>
  <c r="F102" i="3"/>
  <c r="F109" i="3"/>
  <c r="F130" i="3"/>
  <c r="F137" i="3"/>
  <c r="F158" i="3"/>
  <c r="F179" i="3"/>
  <c r="F186" i="3"/>
  <c r="F193" i="3"/>
  <c r="DG10" i="1"/>
  <c r="DI10" i="1"/>
  <c r="F19" i="3"/>
  <c r="F26" i="3"/>
  <c r="F33" i="3"/>
  <c r="F40" i="3"/>
  <c r="F54" i="3"/>
  <c r="F75" i="3"/>
  <c r="F82" i="3"/>
  <c r="F103" i="3"/>
  <c r="F110" i="3"/>
  <c r="BL63" i="11"/>
  <c r="F131" i="3"/>
  <c r="F138" i="3"/>
  <c r="F159" i="3"/>
  <c r="F180" i="3"/>
  <c r="F187" i="3"/>
  <c r="DI11" i="1"/>
  <c r="D13" i="3"/>
  <c r="F27" i="3"/>
  <c r="F34" i="3"/>
  <c r="F69" i="3"/>
  <c r="F76" i="3"/>
  <c r="F97" i="3"/>
  <c r="F104" i="3"/>
  <c r="F111" i="3"/>
  <c r="F132" i="3"/>
  <c r="F160" i="3"/>
  <c r="F174" i="3"/>
  <c r="F188" i="3"/>
  <c r="F28" i="3"/>
  <c r="F35" i="3"/>
  <c r="F42" i="3"/>
  <c r="F56" i="3"/>
  <c r="F77" i="3"/>
  <c r="F84" i="3"/>
  <c r="F98" i="3"/>
  <c r="F105" i="3"/>
  <c r="F112" i="3"/>
  <c r="F119" i="3"/>
  <c r="F126" i="3"/>
  <c r="F147" i="3"/>
  <c r="F154" i="3"/>
  <c r="F161" i="3"/>
  <c r="F189" i="3"/>
  <c r="DE13" i="1"/>
  <c r="BP14" i="1"/>
  <c r="D127" i="3" s="1"/>
  <c r="DC20" i="1"/>
  <c r="DC21" i="1"/>
  <c r="DC22" i="1"/>
  <c r="AE24" i="1"/>
  <c r="BL24" i="1"/>
  <c r="BP24" i="1"/>
  <c r="C25" i="1"/>
  <c r="G25" i="1"/>
  <c r="K25" i="1"/>
  <c r="O25" i="1"/>
  <c r="S25" i="1"/>
  <c r="W25" i="1"/>
  <c r="AA25" i="1"/>
  <c r="AE25" i="1"/>
  <c r="AI25" i="1"/>
  <c r="AM25" i="1"/>
  <c r="AQ25" i="1"/>
  <c r="AU25" i="1"/>
  <c r="AY25" i="1"/>
  <c r="BC25" i="1"/>
  <c r="BG25" i="1"/>
  <c r="BK25" i="1"/>
  <c r="BO25" i="1"/>
  <c r="BS25" i="1"/>
  <c r="BW25" i="1"/>
  <c r="CA25" i="1"/>
  <c r="CE25" i="1"/>
  <c r="CI25" i="1"/>
  <c r="CM25" i="1"/>
  <c r="CQ25" i="1"/>
  <c r="CU25" i="1"/>
  <c r="CY25" i="1"/>
  <c r="DG25" i="1"/>
  <c r="C26" i="1"/>
  <c r="G26" i="1"/>
  <c r="K26" i="1"/>
  <c r="O26" i="1"/>
  <c r="S26" i="1"/>
  <c r="W26" i="1"/>
  <c r="AA26" i="1"/>
  <c r="AE26" i="1"/>
  <c r="AI26" i="1"/>
  <c r="AM26" i="1"/>
  <c r="AQ26" i="1"/>
  <c r="AU26" i="1"/>
  <c r="AY26" i="1"/>
  <c r="BC26" i="1"/>
  <c r="BG26" i="1"/>
  <c r="BK26" i="1"/>
  <c r="BO26" i="1"/>
  <c r="BS26" i="1"/>
  <c r="BW26" i="1"/>
  <c r="CA26" i="1"/>
  <c r="CE26" i="1"/>
  <c r="CI26" i="1"/>
  <c r="CM26" i="1"/>
  <c r="CQ26" i="1"/>
  <c r="CU26" i="1"/>
  <c r="CY26" i="1"/>
  <c r="DG26" i="1"/>
  <c r="ER28" i="1"/>
  <c r="ER29" i="1"/>
  <c r="EU29" i="1" s="1"/>
  <c r="ER30" i="1"/>
  <c r="EU30" i="1" s="1"/>
  <c r="DD31" i="1"/>
  <c r="EQ31" i="1"/>
  <c r="EQ32" i="1"/>
  <c r="AA21" i="5" s="1"/>
  <c r="DD32" i="1"/>
  <c r="BW35" i="1"/>
  <c r="CA35" i="1"/>
  <c r="CE35" i="1"/>
  <c r="CI35" i="1"/>
  <c r="CM35" i="1"/>
  <c r="CQ35" i="1"/>
  <c r="CU35" i="1"/>
  <c r="CY35" i="1"/>
  <c r="DC35" i="1"/>
  <c r="DG35" i="1"/>
  <c r="BW36" i="1"/>
  <c r="CA36" i="1"/>
  <c r="CE36" i="1"/>
  <c r="CI36" i="1"/>
  <c r="CM36" i="1"/>
  <c r="CQ36" i="1"/>
  <c r="CU36" i="1"/>
  <c r="CY36" i="1"/>
  <c r="DC36" i="1"/>
  <c r="DG36" i="1"/>
  <c r="DD41" i="1"/>
  <c r="DH41" i="1"/>
  <c r="DD42" i="1"/>
  <c r="DH42" i="1"/>
  <c r="DD43" i="1"/>
  <c r="DH43" i="1"/>
  <c r="BW45" i="1"/>
  <c r="CA45" i="1"/>
  <c r="CE45" i="1"/>
  <c r="CI45" i="1"/>
  <c r="CM45" i="1"/>
  <c r="CQ45" i="1"/>
  <c r="CU45" i="1"/>
  <c r="CY45" i="1"/>
  <c r="DC45" i="1"/>
  <c r="DG45" i="1"/>
  <c r="BW46" i="1"/>
  <c r="CA46" i="1"/>
  <c r="CE46" i="1"/>
  <c r="CI46" i="1"/>
  <c r="CM46" i="1"/>
  <c r="CQ46" i="1"/>
  <c r="CU46" i="1"/>
  <c r="CY46" i="1"/>
  <c r="DC46" i="1"/>
  <c r="DG46" i="1"/>
  <c r="DD51" i="1"/>
  <c r="DH51" i="1"/>
  <c r="DD52" i="1"/>
  <c r="DH52" i="1"/>
  <c r="DD53" i="1"/>
  <c r="DH53" i="1"/>
  <c r="BW55" i="1"/>
  <c r="CA55" i="1"/>
  <c r="CE55" i="1"/>
  <c r="CI55" i="1"/>
  <c r="CM55" i="1"/>
  <c r="CQ55" i="1"/>
  <c r="CU55" i="1"/>
  <c r="CY55" i="1"/>
  <c r="DC55" i="1"/>
  <c r="DG55" i="1"/>
  <c r="BW56" i="1"/>
  <c r="CA56" i="1"/>
  <c r="CE56" i="1"/>
  <c r="CI56" i="1"/>
  <c r="CM56" i="1"/>
  <c r="CQ56" i="1"/>
  <c r="CU56" i="1"/>
  <c r="CY56" i="1"/>
  <c r="DC56" i="1"/>
  <c r="DG56" i="1"/>
  <c r="DD61" i="1"/>
  <c r="DH61" i="1"/>
  <c r="DD62" i="1"/>
  <c r="DH62" i="1"/>
  <c r="DD63" i="1"/>
  <c r="DH63" i="1"/>
  <c r="BW65" i="1"/>
  <c r="CA65" i="1"/>
  <c r="CE65" i="1"/>
  <c r="CI65" i="1"/>
  <c r="CM65" i="1"/>
  <c r="CQ65" i="1"/>
  <c r="CU65" i="1"/>
  <c r="CY65" i="1"/>
  <c r="DC65" i="1"/>
  <c r="DG65" i="1"/>
  <c r="DK65" i="1"/>
  <c r="BW66" i="1"/>
  <c r="CA66" i="1"/>
  <c r="CE66" i="1"/>
  <c r="CI66" i="1"/>
  <c r="CM66" i="1"/>
  <c r="CQ66" i="1"/>
  <c r="CU66" i="1"/>
  <c r="CY66" i="1"/>
  <c r="DC66" i="1"/>
  <c r="DG66" i="1"/>
  <c r="DK66" i="1"/>
  <c r="DD71" i="1"/>
  <c r="DH71" i="1"/>
  <c r="DD72" i="1"/>
  <c r="DH72" i="1"/>
  <c r="DD73" i="1"/>
  <c r="DH73" i="1"/>
  <c r="BW75" i="1"/>
  <c r="CA75" i="1"/>
  <c r="CE75" i="1"/>
  <c r="CI75" i="1"/>
  <c r="CM75" i="1"/>
  <c r="CQ75" i="1"/>
  <c r="CU75" i="1"/>
  <c r="CY75" i="1"/>
  <c r="DC75" i="1"/>
  <c r="DG75" i="1"/>
  <c r="DK75" i="1"/>
  <c r="BW76" i="1"/>
  <c r="CA76" i="1"/>
  <c r="CE76" i="1"/>
  <c r="CI76" i="1"/>
  <c r="CM76" i="1"/>
  <c r="CQ76" i="1"/>
  <c r="CU76" i="1"/>
  <c r="CY76" i="1"/>
  <c r="DC76" i="1"/>
  <c r="DG76" i="1"/>
  <c r="DK76" i="1"/>
  <c r="AE84" i="1"/>
  <c r="BL84" i="1"/>
  <c r="BQ84" i="1" s="1"/>
  <c r="BP84" i="1"/>
  <c r="C85" i="1"/>
  <c r="G85" i="1"/>
  <c r="K85" i="1"/>
  <c r="O85" i="1"/>
  <c r="S85" i="1"/>
  <c r="W85" i="1"/>
  <c r="AA85" i="1"/>
  <c r="AE85" i="1"/>
  <c r="AI85" i="1"/>
  <c r="AM85" i="1"/>
  <c r="AQ85" i="1"/>
  <c r="AU85" i="1"/>
  <c r="AY85" i="1"/>
  <c r="BC85" i="1"/>
  <c r="BG85" i="1"/>
  <c r="BK85" i="1"/>
  <c r="BO85" i="1"/>
  <c r="BS85" i="1"/>
  <c r="C86" i="1"/>
  <c r="G86" i="1"/>
  <c r="K86" i="1"/>
  <c r="O86" i="1"/>
  <c r="S86" i="1"/>
  <c r="W86" i="1"/>
  <c r="AA86" i="1"/>
  <c r="AE86" i="1"/>
  <c r="AI86" i="1"/>
  <c r="AM86" i="1"/>
  <c r="AQ86" i="1"/>
  <c r="AU86" i="1"/>
  <c r="AY86" i="1"/>
  <c r="BC86" i="1"/>
  <c r="BG86" i="1"/>
  <c r="BK86" i="1"/>
  <c r="BO86" i="1"/>
  <c r="BS86" i="1"/>
  <c r="DC91" i="1"/>
  <c r="DH91" i="1"/>
  <c r="DC92" i="1"/>
  <c r="DH92" i="1"/>
  <c r="DC93" i="1"/>
  <c r="DD93" i="1" s="1"/>
  <c r="DH93" i="1"/>
  <c r="BL94" i="1"/>
  <c r="BK95" i="1"/>
  <c r="BO95" i="1"/>
  <c r="BS95" i="1"/>
  <c r="BW95" i="1"/>
  <c r="CA95" i="1"/>
  <c r="CE95" i="1"/>
  <c r="CI95" i="1"/>
  <c r="CM95" i="1"/>
  <c r="CQ95" i="1"/>
  <c r="CU95" i="1"/>
  <c r="CY95" i="1"/>
  <c r="DG95" i="1"/>
  <c r="DK95" i="1"/>
  <c r="BK96" i="1"/>
  <c r="BO96" i="1"/>
  <c r="BS96" i="1"/>
  <c r="BW96" i="1"/>
  <c r="CA96" i="1"/>
  <c r="CE96" i="1"/>
  <c r="CI96" i="1"/>
  <c r="CM96" i="1"/>
  <c r="CQ96" i="1"/>
  <c r="CU96" i="1"/>
  <c r="CY96" i="1"/>
  <c r="DG96" i="1"/>
  <c r="DK96" i="1"/>
  <c r="I120" i="1"/>
  <c r="M120" i="1"/>
  <c r="Q120" i="1"/>
  <c r="U120" i="1"/>
  <c r="Y120" i="1"/>
  <c r="AC120" i="1"/>
  <c r="AK120" i="1"/>
  <c r="AO120" i="1"/>
  <c r="AS120" i="1"/>
  <c r="AW120" i="1"/>
  <c r="BA120" i="1"/>
  <c r="BE120" i="1"/>
  <c r="BI120" i="1"/>
  <c r="BM120" i="1"/>
  <c r="BQ120" i="1"/>
  <c r="BU120" i="1"/>
  <c r="BY120" i="1"/>
  <c r="CC120" i="1"/>
  <c r="CG120" i="1"/>
  <c r="CK120" i="1"/>
  <c r="CO120" i="1"/>
  <c r="CS120" i="1"/>
  <c r="CW120" i="1"/>
  <c r="DA120" i="1"/>
  <c r="DE120" i="1"/>
  <c r="DI120" i="1"/>
  <c r="I121" i="1"/>
  <c r="M121" i="1"/>
  <c r="Q121" i="1"/>
  <c r="U121" i="1"/>
  <c r="Y121" i="1"/>
  <c r="AC121" i="1"/>
  <c r="AK121" i="1"/>
  <c r="AO121" i="1"/>
  <c r="AS121" i="1"/>
  <c r="AW121" i="1"/>
  <c r="BA121" i="1"/>
  <c r="BE121" i="1"/>
  <c r="BI121" i="1"/>
  <c r="BM121" i="1"/>
  <c r="BQ121" i="1"/>
  <c r="BU121" i="1"/>
  <c r="BY121" i="1"/>
  <c r="CC121" i="1"/>
  <c r="CG121" i="1"/>
  <c r="CK121" i="1"/>
  <c r="CO121" i="1"/>
  <c r="CS121" i="1"/>
  <c r="CW121" i="1"/>
  <c r="DA121" i="1"/>
  <c r="DD121" i="1"/>
  <c r="DE121" i="1"/>
  <c r="DH121" i="1"/>
  <c r="DI121" i="1"/>
  <c r="I122" i="1"/>
  <c r="M122" i="1"/>
  <c r="Q122" i="1"/>
  <c r="U122" i="1"/>
  <c r="Y122" i="1"/>
  <c r="AC122" i="1"/>
  <c r="AK122" i="1"/>
  <c r="AO122" i="1"/>
  <c r="AS122" i="1"/>
  <c r="AW122" i="1"/>
  <c r="BA122" i="1"/>
  <c r="BE122" i="1"/>
  <c r="BI122" i="1"/>
  <c r="BM122" i="1"/>
  <c r="BQ122" i="1"/>
  <c r="BU122" i="1"/>
  <c r="BY122" i="1"/>
  <c r="CC122" i="1"/>
  <c r="CG122" i="1"/>
  <c r="CK122" i="1"/>
  <c r="CO122" i="1"/>
  <c r="CS122" i="1"/>
  <c r="CW122" i="1"/>
  <c r="DA122" i="1"/>
  <c r="DD122" i="1"/>
  <c r="DE122" i="1"/>
  <c r="DH122" i="1"/>
  <c r="DI122" i="1"/>
  <c r="I123" i="1"/>
  <c r="M123" i="1"/>
  <c r="Q123" i="1"/>
  <c r="U123" i="1"/>
  <c r="AC123" i="1"/>
  <c r="AK123" i="1"/>
  <c r="AO123" i="1"/>
  <c r="AS123" i="1"/>
  <c r="AW123" i="1"/>
  <c r="BA123" i="1"/>
  <c r="BE123" i="1"/>
  <c r="BI123" i="1"/>
  <c r="BM123" i="1"/>
  <c r="BQ123" i="1"/>
  <c r="BU123" i="1"/>
  <c r="BY123" i="1"/>
  <c r="CC123" i="1"/>
  <c r="CG123" i="1"/>
  <c r="CK123" i="1"/>
  <c r="CO123" i="1"/>
  <c r="CS123" i="1"/>
  <c r="CW123" i="1"/>
  <c r="DA123" i="1"/>
  <c r="DD123" i="1"/>
  <c r="DE123" i="1"/>
  <c r="DH123" i="1"/>
  <c r="DI123" i="1"/>
  <c r="C124" i="1"/>
  <c r="G124" i="1"/>
  <c r="K124" i="1"/>
  <c r="O124" i="1"/>
  <c r="S124" i="1"/>
  <c r="W124" i="1"/>
  <c r="AA124" i="1"/>
  <c r="AI124" i="1"/>
  <c r="AM124" i="1"/>
  <c r="AQ124" i="1"/>
  <c r="AU124" i="1"/>
  <c r="AY124" i="1"/>
  <c r="BC124" i="1"/>
  <c r="BG124" i="1"/>
  <c r="BL124" i="1"/>
  <c r="BP124" i="1"/>
  <c r="BQ124" i="1"/>
  <c r="C125" i="1"/>
  <c r="G125" i="1"/>
  <c r="K125" i="1"/>
  <c r="O125" i="1"/>
  <c r="S125" i="1"/>
  <c r="W125" i="1"/>
  <c r="AA125" i="1"/>
  <c r="AI125" i="1"/>
  <c r="AM125" i="1"/>
  <c r="AS125" i="1" s="1"/>
  <c r="AQ125" i="1"/>
  <c r="AU125" i="1"/>
  <c r="AY125" i="1"/>
  <c r="BC125" i="1"/>
  <c r="BG125" i="1"/>
  <c r="BK125" i="1"/>
  <c r="BO125" i="1"/>
  <c r="BS125" i="1"/>
  <c r="BW125" i="1"/>
  <c r="CA125" i="1"/>
  <c r="CE125" i="1"/>
  <c r="CI125" i="1"/>
  <c r="CM125" i="1"/>
  <c r="CQ125" i="1"/>
  <c r="CU125" i="1"/>
  <c r="CY125" i="1"/>
  <c r="DC125" i="1"/>
  <c r="DG125" i="1"/>
  <c r="C126" i="1"/>
  <c r="G126" i="1"/>
  <c r="K126" i="1"/>
  <c r="O126" i="1"/>
  <c r="S126" i="1"/>
  <c r="U126" i="1" s="1"/>
  <c r="W126" i="1"/>
  <c r="AA126" i="1"/>
  <c r="AI126" i="1"/>
  <c r="AM126" i="1"/>
  <c r="AQ126" i="1"/>
  <c r="AU126" i="1"/>
  <c r="AY126" i="1"/>
  <c r="BC126" i="1"/>
  <c r="BG126" i="1"/>
  <c r="BK126" i="1"/>
  <c r="BO126" i="1"/>
  <c r="BS126" i="1"/>
  <c r="BW126" i="1"/>
  <c r="CA126" i="1"/>
  <c r="CE126" i="1"/>
  <c r="CI126" i="1"/>
  <c r="CM126" i="1"/>
  <c r="CQ126" i="1"/>
  <c r="CU126" i="1"/>
  <c r="CY126" i="1"/>
  <c r="DC126" i="1"/>
  <c r="DG126" i="1"/>
  <c r="I150" i="1"/>
  <c r="M150" i="1"/>
  <c r="Q150" i="1"/>
  <c r="U150" i="1"/>
  <c r="Y150" i="1"/>
  <c r="AC150" i="1"/>
  <c r="AK150" i="1"/>
  <c r="AW150" i="1"/>
  <c r="BQ150" i="1"/>
  <c r="BU150" i="1"/>
  <c r="BY150" i="1"/>
  <c r="CO150" i="1"/>
  <c r="DC150" i="1"/>
  <c r="I151" i="1"/>
  <c r="M151" i="1"/>
  <c r="Q151" i="1"/>
  <c r="U151" i="1"/>
  <c r="Y151" i="1"/>
  <c r="AC151" i="1"/>
  <c r="AK151" i="1"/>
  <c r="BK151" i="1"/>
  <c r="BU151" i="1"/>
  <c r="CK151" i="1"/>
  <c r="CO151" i="1"/>
  <c r="I152" i="1"/>
  <c r="M152" i="1"/>
  <c r="Q152" i="1"/>
  <c r="U152" i="1"/>
  <c r="Y152" i="1"/>
  <c r="AC152" i="1"/>
  <c r="AI152" i="1"/>
  <c r="AI156" i="1"/>
  <c r="AW152" i="1"/>
  <c r="BQ152" i="1"/>
  <c r="BU152" i="1"/>
  <c r="BY152" i="1"/>
  <c r="CI152" i="1"/>
  <c r="CI156" i="1" s="1"/>
  <c r="I153" i="1"/>
  <c r="M153" i="1"/>
  <c r="Q153" i="1"/>
  <c r="U153" i="1"/>
  <c r="Y153" i="1"/>
  <c r="AC153" i="1"/>
  <c r="AI153" i="1"/>
  <c r="AK153" i="1" s="1"/>
  <c r="BQ153" i="1"/>
  <c r="BU153" i="1"/>
  <c r="BY153" i="1"/>
  <c r="CC153" i="1"/>
  <c r="CG153" i="1"/>
  <c r="CK153" i="1"/>
  <c r="CQ153" i="1"/>
  <c r="CU153" i="1"/>
  <c r="C154" i="1"/>
  <c r="G154" i="1"/>
  <c r="I154" i="1" s="1"/>
  <c r="K154" i="1"/>
  <c r="O154" i="1"/>
  <c r="S154" i="1"/>
  <c r="W154" i="1"/>
  <c r="AC154" i="1" s="1"/>
  <c r="AA154" i="1"/>
  <c r="C155" i="1"/>
  <c r="G155" i="1"/>
  <c r="I155" i="1" s="1"/>
  <c r="K155" i="1"/>
  <c r="O155" i="1"/>
  <c r="S155" i="1"/>
  <c r="W155" i="1"/>
  <c r="Y155" i="1" s="1"/>
  <c r="AA155" i="1"/>
  <c r="AI155" i="1"/>
  <c r="AQ155" i="1"/>
  <c r="BO155" i="1"/>
  <c r="BS155" i="1"/>
  <c r="CI155" i="1"/>
  <c r="CM155" i="1"/>
  <c r="CU155" i="1"/>
  <c r="CY155" i="1"/>
  <c r="DG155" i="1"/>
  <c r="C156" i="1"/>
  <c r="G156" i="1"/>
  <c r="K156" i="1"/>
  <c r="O156" i="1"/>
  <c r="S156" i="1"/>
  <c r="W156" i="1"/>
  <c r="AA156" i="1"/>
  <c r="AQ156" i="1"/>
  <c r="BO156" i="1"/>
  <c r="BS156" i="1"/>
  <c r="CU156" i="1"/>
  <c r="CY156" i="1"/>
  <c r="DG156" i="1"/>
  <c r="G174" i="1"/>
  <c r="K174" i="1"/>
  <c r="S174" i="1"/>
  <c r="W174" i="1"/>
  <c r="AA174" i="1"/>
  <c r="AI174" i="1"/>
  <c r="AM174" i="1"/>
  <c r="AQ174" i="1"/>
  <c r="AU174" i="1"/>
  <c r="AY174" i="1"/>
  <c r="BC174" i="1"/>
  <c r="BG174" i="1"/>
  <c r="BK174" i="1"/>
  <c r="BO174" i="1"/>
  <c r="BS174" i="1"/>
  <c r="BW174" i="1"/>
  <c r="CA174" i="1"/>
  <c r="CE174" i="1"/>
  <c r="CI174" i="1"/>
  <c r="CM174" i="1"/>
  <c r="CQ174" i="1"/>
  <c r="CU174" i="1"/>
  <c r="CY174" i="1"/>
  <c r="DC174" i="1"/>
  <c r="DK174" i="1"/>
  <c r="C175" i="1"/>
  <c r="G175" i="1"/>
  <c r="K175" i="1"/>
  <c r="O175" i="1"/>
  <c r="S175" i="1"/>
  <c r="W175" i="1"/>
  <c r="AA175" i="1"/>
  <c r="AI175" i="1"/>
  <c r="AM175" i="1"/>
  <c r="AQ175" i="1"/>
  <c r="AU175" i="1"/>
  <c r="AY175" i="1"/>
  <c r="BC175" i="1"/>
  <c r="BG175" i="1"/>
  <c r="BK175" i="1"/>
  <c r="BO175" i="1"/>
  <c r="BS175" i="1"/>
  <c r="BW175" i="1"/>
  <c r="CA175" i="1"/>
  <c r="CE175" i="1"/>
  <c r="CI175" i="1"/>
  <c r="CM175" i="1"/>
  <c r="CQ175" i="1"/>
  <c r="CU175" i="1"/>
  <c r="CY175" i="1"/>
  <c r="DC175" i="1"/>
  <c r="DG175" i="1"/>
  <c r="DK175" i="1"/>
  <c r="C176" i="1"/>
  <c r="G176" i="1"/>
  <c r="K176" i="1"/>
  <c r="O176" i="1"/>
  <c r="S176" i="1"/>
  <c r="W176" i="1"/>
  <c r="AA176" i="1"/>
  <c r="AI176" i="1"/>
  <c r="AM176" i="1"/>
  <c r="AQ176" i="1"/>
  <c r="AU176" i="1"/>
  <c r="AY176" i="1"/>
  <c r="BC176" i="1"/>
  <c r="BG176" i="1"/>
  <c r="BK176" i="1"/>
  <c r="BO176" i="1"/>
  <c r="BS176" i="1"/>
  <c r="BW176" i="1"/>
  <c r="CA176" i="1"/>
  <c r="CE176" i="1"/>
  <c r="CI176" i="1"/>
  <c r="CM176" i="1"/>
  <c r="CQ176" i="1"/>
  <c r="CU176" i="1"/>
  <c r="CY176" i="1"/>
  <c r="DC176" i="1"/>
  <c r="DG176" i="1"/>
  <c r="DK176" i="1"/>
  <c r="AE224" i="1"/>
  <c r="BW225" i="1"/>
  <c r="CA225" i="1"/>
  <c r="CE225" i="1"/>
  <c r="CI225" i="1"/>
  <c r="CM225" i="1"/>
  <c r="CQ225" i="1"/>
  <c r="CU225" i="1"/>
  <c r="CY225" i="1"/>
  <c r="DC225" i="1"/>
  <c r="DG225" i="1"/>
  <c r="BW226" i="1"/>
  <c r="CA226" i="1"/>
  <c r="CE226" i="1"/>
  <c r="CI226" i="1"/>
  <c r="CM226" i="1"/>
  <c r="CQ226" i="1"/>
  <c r="CU226" i="1"/>
  <c r="CY226" i="1"/>
  <c r="DC226" i="1"/>
  <c r="DG226" i="1"/>
  <c r="BW235" i="1"/>
  <c r="CA235" i="1"/>
  <c r="CE235" i="1"/>
  <c r="CI235" i="1"/>
  <c r="CM235" i="1"/>
  <c r="CQ235" i="1"/>
  <c r="CU235" i="1"/>
  <c r="CY235" i="1"/>
  <c r="DC235" i="1"/>
  <c r="DG235" i="1"/>
  <c r="BW236" i="1"/>
  <c r="CA236" i="1"/>
  <c r="CE236" i="1"/>
  <c r="CI236" i="1"/>
  <c r="CM236" i="1"/>
  <c r="CQ236" i="1"/>
  <c r="CU236" i="1"/>
  <c r="CY236" i="1"/>
  <c r="DC236" i="1"/>
  <c r="DG240" i="1"/>
  <c r="DG241" i="1"/>
  <c r="BW244" i="1"/>
  <c r="CI244" i="1"/>
  <c r="CM244" i="1"/>
  <c r="CQ244" i="1"/>
  <c r="CU244" i="1"/>
  <c r="BW245" i="1"/>
  <c r="CA245" i="1"/>
  <c r="CE245" i="1"/>
  <c r="CI245" i="1"/>
  <c r="CM245" i="1"/>
  <c r="CQ245" i="1"/>
  <c r="CU245" i="1"/>
  <c r="CY245" i="1"/>
  <c r="DC245" i="1"/>
  <c r="BW246" i="1"/>
  <c r="CA246" i="1"/>
  <c r="CE246" i="1"/>
  <c r="CI246" i="1"/>
  <c r="CM246" i="1"/>
  <c r="CQ246" i="1"/>
  <c r="CU246" i="1"/>
  <c r="CY246" i="1"/>
  <c r="DC246" i="1"/>
  <c r="D15" i="3"/>
  <c r="F15" i="3"/>
  <c r="L15" i="3"/>
  <c r="AA18" i="3"/>
  <c r="AC18" i="3" s="1"/>
  <c r="J21" i="3"/>
  <c r="J28" i="3" s="1"/>
  <c r="F22" i="3"/>
  <c r="AA25" i="3"/>
  <c r="F29" i="3"/>
  <c r="AA32" i="3"/>
  <c r="F36" i="3"/>
  <c r="AR36" i="3"/>
  <c r="AA39" i="3"/>
  <c r="AA40" i="3" s="1"/>
  <c r="F43" i="3"/>
  <c r="AR43" i="3"/>
  <c r="A45" i="3"/>
  <c r="A38" i="3" s="1"/>
  <c r="A31" i="3" s="1"/>
  <c r="A24" i="3" s="1"/>
  <c r="A17" i="3" s="1"/>
  <c r="A10" i="3" s="1"/>
  <c r="AA46" i="3"/>
  <c r="AR50" i="3"/>
  <c r="AA53" i="3"/>
  <c r="AC53" i="3"/>
  <c r="F57" i="3"/>
  <c r="AR57" i="3"/>
  <c r="AR64" i="3"/>
  <c r="AA67" i="3"/>
  <c r="AA68" i="3" s="1"/>
  <c r="F71" i="3"/>
  <c r="AR71" i="3"/>
  <c r="AA74" i="3"/>
  <c r="AA75" i="3" s="1"/>
  <c r="AR78" i="3"/>
  <c r="AA81" i="3"/>
  <c r="AA82" i="3" s="1"/>
  <c r="AR85" i="3"/>
  <c r="AA88" i="3"/>
  <c r="AR92" i="3"/>
  <c r="AA95" i="3"/>
  <c r="F99" i="3"/>
  <c r="AR99" i="3"/>
  <c r="A101" i="3"/>
  <c r="A94" i="3" s="1"/>
  <c r="A87" i="3" s="1"/>
  <c r="A80" i="3" s="1"/>
  <c r="A73" i="3" s="1"/>
  <c r="AA102" i="3"/>
  <c r="F106" i="3"/>
  <c r="AR106" i="3"/>
  <c r="AA109" i="3"/>
  <c r="AC109" i="3" s="1"/>
  <c r="F113" i="3"/>
  <c r="AR113" i="3"/>
  <c r="AA116" i="3"/>
  <c r="AC116" i="3" s="1"/>
  <c r="J119" i="3"/>
  <c r="F120" i="3"/>
  <c r="AR120" i="3"/>
  <c r="AA123" i="3"/>
  <c r="AA124" i="3" s="1"/>
  <c r="F127" i="3"/>
  <c r="AR127" i="3"/>
  <c r="AA130" i="3"/>
  <c r="K131" i="3"/>
  <c r="L131" i="3"/>
  <c r="K132" i="3"/>
  <c r="L132" i="3"/>
  <c r="K133" i="3"/>
  <c r="L133" i="3"/>
  <c r="F134" i="3"/>
  <c r="AR134" i="3"/>
  <c r="K137" i="3"/>
  <c r="L137" i="3"/>
  <c r="AA137" i="3"/>
  <c r="K138" i="3"/>
  <c r="L138" i="3"/>
  <c r="K139" i="3"/>
  <c r="L139" i="3"/>
  <c r="K140" i="3"/>
  <c r="L140" i="3"/>
  <c r="F141" i="3"/>
  <c r="AR141" i="3"/>
  <c r="K144" i="3"/>
  <c r="L144" i="3"/>
  <c r="N144" i="3" s="1"/>
  <c r="AA144" i="3"/>
  <c r="AA145" i="3" s="1"/>
  <c r="K145" i="3"/>
  <c r="L145" i="3"/>
  <c r="K146" i="3"/>
  <c r="L146" i="3"/>
  <c r="K147" i="3"/>
  <c r="L147" i="3"/>
  <c r="N147" i="3" s="1"/>
  <c r="F148" i="3"/>
  <c r="AR148" i="3"/>
  <c r="K151" i="3"/>
  <c r="L151" i="3"/>
  <c r="AA151" i="3"/>
  <c r="K152" i="3"/>
  <c r="L152" i="3"/>
  <c r="K153" i="3"/>
  <c r="L153" i="3"/>
  <c r="N153" i="3" s="1"/>
  <c r="K154" i="3"/>
  <c r="L154" i="3"/>
  <c r="AR155" i="3"/>
  <c r="K158" i="3"/>
  <c r="L158" i="3"/>
  <c r="AA158" i="3"/>
  <c r="K159" i="3"/>
  <c r="L159" i="3"/>
  <c r="K160" i="3"/>
  <c r="L160" i="3"/>
  <c r="N160" i="3" s="1"/>
  <c r="K161" i="3"/>
  <c r="L161" i="3"/>
  <c r="AR162" i="3"/>
  <c r="K165" i="3"/>
  <c r="L165" i="3"/>
  <c r="AA165" i="3"/>
  <c r="AB80" i="8" s="1"/>
  <c r="K166" i="3"/>
  <c r="L166" i="3"/>
  <c r="K167" i="3"/>
  <c r="L167" i="3"/>
  <c r="K168" i="3"/>
  <c r="L168" i="3"/>
  <c r="F169" i="3"/>
  <c r="K172" i="3"/>
  <c r="L172" i="3"/>
  <c r="AA172" i="3"/>
  <c r="AC172" i="3" s="1"/>
  <c r="K173" i="3"/>
  <c r="L173" i="3"/>
  <c r="K174" i="3"/>
  <c r="L174" i="3"/>
  <c r="K175" i="3"/>
  <c r="L175" i="3"/>
  <c r="F176" i="3"/>
  <c r="K179" i="3"/>
  <c r="L179" i="3"/>
  <c r="AA179" i="3"/>
  <c r="K180" i="3"/>
  <c r="L180" i="3"/>
  <c r="K181" i="3"/>
  <c r="L181" i="3"/>
  <c r="K182" i="3"/>
  <c r="L182" i="3"/>
  <c r="F183" i="3"/>
  <c r="K186" i="3"/>
  <c r="L186" i="3"/>
  <c r="N186" i="3" s="1"/>
  <c r="AA186" i="3"/>
  <c r="K187" i="3"/>
  <c r="L187" i="3"/>
  <c r="N187" i="3" s="1"/>
  <c r="K188" i="3"/>
  <c r="L188" i="3"/>
  <c r="K189" i="3"/>
  <c r="L189" i="3"/>
  <c r="F190" i="3"/>
  <c r="K190" i="3"/>
  <c r="J196" i="3"/>
  <c r="V111" i="8" s="1"/>
  <c r="AA196" i="3"/>
  <c r="AB111" i="8" s="1"/>
  <c r="J200" i="3"/>
  <c r="V115" i="8" s="1"/>
  <c r="BF6" i="11"/>
  <c r="BK6" i="11"/>
  <c r="BL6" i="11" s="1"/>
  <c r="BP6" i="11"/>
  <c r="BQ6" i="11" s="1"/>
  <c r="BZ6" i="11"/>
  <c r="CA6" i="11"/>
  <c r="CE6" i="11"/>
  <c r="CF6" i="11" s="1"/>
  <c r="BA7" i="11"/>
  <c r="BU7" i="11"/>
  <c r="CJ7" i="11"/>
  <c r="EX7" i="11"/>
  <c r="EY7" i="11" s="1"/>
  <c r="FL7" i="11"/>
  <c r="FI10" i="11"/>
  <c r="FI52" i="11" s="1"/>
  <c r="FJ10" i="11"/>
  <c r="FI12" i="11"/>
  <c r="FI14" i="11" s="1"/>
  <c r="FI51" i="11" s="1"/>
  <c r="FJ12" i="11"/>
  <c r="FK12" i="11"/>
  <c r="FI21" i="11"/>
  <c r="FJ21" i="11"/>
  <c r="EW30" i="11"/>
  <c r="FV30" i="11"/>
  <c r="FW30" i="11"/>
  <c r="FY30" i="11"/>
  <c r="G37" i="11"/>
  <c r="L37" i="11"/>
  <c r="Q37" i="11"/>
  <c r="V37" i="11"/>
  <c r="AA37" i="11"/>
  <c r="AF37" i="11"/>
  <c r="AK37" i="11"/>
  <c r="AP37" i="11"/>
  <c r="AU37" i="11"/>
  <c r="AZ37" i="11"/>
  <c r="BE37" i="11"/>
  <c r="BJ37" i="11"/>
  <c r="BO37" i="11"/>
  <c r="BT37" i="11"/>
  <c r="BY37" i="11"/>
  <c r="CD37" i="11"/>
  <c r="CI37" i="11"/>
  <c r="CN37" i="11"/>
  <c r="CS37" i="11"/>
  <c r="CX37" i="11"/>
  <c r="DC37" i="11"/>
  <c r="DH37" i="11"/>
  <c r="DD46" i="11"/>
  <c r="DE46" i="11"/>
  <c r="DF46" i="11"/>
  <c r="DG46" i="11"/>
  <c r="DI46" i="11"/>
  <c r="DJ46" i="11"/>
  <c r="DK46" i="11"/>
  <c r="DL46" i="11"/>
  <c r="DN46" i="11"/>
  <c r="DO46" i="11"/>
  <c r="DP46" i="11"/>
  <c r="DQ46" i="11"/>
  <c r="DS46" i="11"/>
  <c r="DT46" i="11"/>
  <c r="DU46" i="11"/>
  <c r="DV46" i="11"/>
  <c r="H64" i="11"/>
  <c r="I64" i="11"/>
  <c r="J64" i="11"/>
  <c r="K64" i="11"/>
  <c r="M64" i="11"/>
  <c r="N64" i="11"/>
  <c r="O64" i="11"/>
  <c r="P64" i="11"/>
  <c r="R64" i="11"/>
  <c r="S64" i="11"/>
  <c r="T64" i="11"/>
  <c r="U64" i="11"/>
  <c r="W64" i="11"/>
  <c r="X64" i="11"/>
  <c r="Y64" i="11"/>
  <c r="Z64" i="11"/>
  <c r="AB64" i="11"/>
  <c r="AC64" i="11"/>
  <c r="AD64" i="11"/>
  <c r="AE64" i="11"/>
  <c r="AG64" i="11"/>
  <c r="AH64" i="11"/>
  <c r="AI64" i="11"/>
  <c r="AJ64" i="11"/>
  <c r="AL64" i="11"/>
  <c r="AM64" i="11"/>
  <c r="AN64" i="11"/>
  <c r="AO64" i="11"/>
  <c r="AQ64" i="11"/>
  <c r="AR64" i="11"/>
  <c r="AS64" i="11"/>
  <c r="AT64" i="11"/>
  <c r="AV64" i="11"/>
  <c r="AW64" i="11"/>
  <c r="AX64" i="11"/>
  <c r="AY64" i="11"/>
  <c r="BA64" i="11"/>
  <c r="BB64" i="11"/>
  <c r="BC64" i="11"/>
  <c r="BD64" i="11"/>
  <c r="BF64" i="11"/>
  <c r="BG64" i="11"/>
  <c r="BH64" i="11"/>
  <c r="BI64" i="11"/>
  <c r="BK64" i="11"/>
  <c r="BL64" i="11"/>
  <c r="BM64" i="11"/>
  <c r="BN64" i="11"/>
  <c r="BP64" i="11"/>
  <c r="BQ64" i="11"/>
  <c r="BR64" i="11"/>
  <c r="BS64" i="11"/>
  <c r="BU64" i="11"/>
  <c r="BV64" i="11"/>
  <c r="BW64" i="11"/>
  <c r="BX64" i="11"/>
  <c r="EX64" i="11"/>
  <c r="EY64" i="11"/>
  <c r="EZ64" i="11"/>
  <c r="FA64" i="11"/>
  <c r="FB64" i="11"/>
  <c r="FC64" i="11"/>
  <c r="FD64" i="11"/>
  <c r="FE64" i="11"/>
  <c r="FF64" i="11"/>
  <c r="FG64" i="11"/>
  <c r="FH64" i="11"/>
  <c r="FI64" i="11"/>
  <c r="EX67" i="11"/>
  <c r="EY67" i="11"/>
  <c r="EZ67" i="11"/>
  <c r="FA67" i="11"/>
  <c r="FB67" i="11"/>
  <c r="FC67" i="11"/>
  <c r="FD67" i="11"/>
  <c r="FE67" i="11"/>
  <c r="FF67" i="11"/>
  <c r="FG67" i="11"/>
  <c r="FH67" i="11"/>
  <c r="FI67" i="11"/>
  <c r="FJ67" i="11"/>
  <c r="FK67" i="11"/>
  <c r="DU71" i="11"/>
  <c r="EW71" i="11"/>
  <c r="FI71" i="11"/>
  <c r="FJ71" i="11"/>
  <c r="FK71" i="11"/>
  <c r="FT71" i="11"/>
  <c r="EW73" i="11"/>
  <c r="EW81" i="11" s="1"/>
  <c r="EX73" i="11"/>
  <c r="EX81" i="11" s="1"/>
  <c r="EY73" i="11"/>
  <c r="EY81" i="11" s="1"/>
  <c r="EZ73" i="11"/>
  <c r="FA73" i="11"/>
  <c r="FA81" i="11"/>
  <c r="FB73" i="11"/>
  <c r="FB81" i="11" s="1"/>
  <c r="FC73" i="11"/>
  <c r="FC81" i="11" s="1"/>
  <c r="FD73" i="11"/>
  <c r="FE73" i="11"/>
  <c r="FE74" i="11" s="1"/>
  <c r="FF73" i="11"/>
  <c r="FF81" i="11" s="1"/>
  <c r="FG73" i="11"/>
  <c r="FG81" i="11" s="1"/>
  <c r="FH73" i="11"/>
  <c r="FH81" i="11" s="1"/>
  <c r="FI73" i="11"/>
  <c r="FI81" i="11" s="1"/>
  <c r="FJ73" i="11"/>
  <c r="FJ81" i="11" s="1"/>
  <c r="FK73" i="11"/>
  <c r="FK81" i="11" s="1"/>
  <c r="FL73" i="11"/>
  <c r="FM73" i="11"/>
  <c r="FM74" i="11" s="1"/>
  <c r="FN73" i="11"/>
  <c r="FO73" i="11"/>
  <c r="FO81" i="11" s="1"/>
  <c r="FP73" i="11"/>
  <c r="FP81" i="11" s="1"/>
  <c r="FQ73" i="11"/>
  <c r="FQ81" i="11" s="1"/>
  <c r="FR73" i="11"/>
  <c r="FR81" i="11" s="1"/>
  <c r="FS73" i="11"/>
  <c r="FS81" i="11" s="1"/>
  <c r="FT73" i="11"/>
  <c r="E43" i="10"/>
  <c r="E45" i="10" s="1"/>
  <c r="E58" i="10"/>
  <c r="F43" i="10"/>
  <c r="F45" i="10" s="1"/>
  <c r="F58" i="10"/>
  <c r="G43" i="10"/>
  <c r="G45" i="10" s="1"/>
  <c r="G58" i="10"/>
  <c r="H43" i="10"/>
  <c r="H45" i="10" s="1"/>
  <c r="H58" i="10"/>
  <c r="I43" i="10"/>
  <c r="I45" i="10" s="1"/>
  <c r="I58" i="10"/>
  <c r="J43" i="10"/>
  <c r="J45" i="10" s="1"/>
  <c r="J58" i="10"/>
  <c r="K43" i="10"/>
  <c r="K45" i="10" s="1"/>
  <c r="K58" i="10"/>
  <c r="L43" i="10"/>
  <c r="L45" i="10" s="1"/>
  <c r="L58" i="10"/>
  <c r="M43" i="10"/>
  <c r="M45" i="10" s="1"/>
  <c r="M58" i="10"/>
  <c r="N43" i="10"/>
  <c r="N45" i="10" s="1"/>
  <c r="N58" i="10"/>
  <c r="O43" i="10"/>
  <c r="O45" i="10" s="1"/>
  <c r="O58" i="10"/>
  <c r="P43" i="10"/>
  <c r="P45" i="10" s="1"/>
  <c r="P58" i="10"/>
  <c r="Q58" i="10"/>
  <c r="R27" i="10"/>
  <c r="R43" i="10"/>
  <c r="R45" i="10" s="1"/>
  <c r="R58" i="10"/>
  <c r="AF42" i="9"/>
  <c r="R6" i="10"/>
  <c r="S6" i="10"/>
  <c r="T6" i="10"/>
  <c r="AD10" i="10"/>
  <c r="AD16" i="10"/>
  <c r="AD30" i="10"/>
  <c r="Q42" i="10"/>
  <c r="Q43" i="10" s="1"/>
  <c r="Q45" i="10" s="1"/>
  <c r="AD49" i="10"/>
  <c r="AD56" i="10"/>
  <c r="R67" i="10"/>
  <c r="S67" i="10"/>
  <c r="T67" i="10"/>
  <c r="U67" i="10"/>
  <c r="Q6" i="9"/>
  <c r="P6" i="9" s="1"/>
  <c r="U6" i="9"/>
  <c r="AD10" i="9"/>
  <c r="E16" i="9"/>
  <c r="F16" i="9"/>
  <c r="F23" i="9" s="1"/>
  <c r="F63" i="9" s="1"/>
  <c r="E23" i="9"/>
  <c r="E63" i="9" s="1"/>
  <c r="AD27" i="9"/>
  <c r="AD31" i="9" s="1"/>
  <c r="AD39" i="9" s="1"/>
  <c r="E31" i="9"/>
  <c r="F31" i="9"/>
  <c r="G31" i="9"/>
  <c r="H31" i="9"/>
  <c r="I31" i="9"/>
  <c r="J31" i="9"/>
  <c r="K31" i="9"/>
  <c r="L31" i="9"/>
  <c r="M31" i="9"/>
  <c r="N31" i="9"/>
  <c r="O31" i="9"/>
  <c r="P31" i="9"/>
  <c r="Q31" i="9"/>
  <c r="R31" i="9"/>
  <c r="S31" i="9"/>
  <c r="S39" i="9"/>
  <c r="T31" i="9"/>
  <c r="U31" i="9"/>
  <c r="V31" i="9"/>
  <c r="W31" i="9"/>
  <c r="X31" i="9"/>
  <c r="Y31" i="9"/>
  <c r="Z31" i="9"/>
  <c r="AA31" i="9"/>
  <c r="AB31" i="9"/>
  <c r="AC31" i="9"/>
  <c r="AE31" i="9"/>
  <c r="AD33" i="9"/>
  <c r="E37" i="9"/>
  <c r="E39" i="9" s="1"/>
  <c r="F37" i="9"/>
  <c r="F39" i="9"/>
  <c r="G37" i="9"/>
  <c r="G39" i="9" s="1"/>
  <c r="H37" i="9"/>
  <c r="I37" i="9"/>
  <c r="I39" i="9" s="1"/>
  <c r="J37" i="9"/>
  <c r="J39" i="9" s="1"/>
  <c r="J49" i="9" s="1"/>
  <c r="K37" i="9"/>
  <c r="L37" i="9"/>
  <c r="M37" i="9"/>
  <c r="M39" i="9" s="1"/>
  <c r="N37" i="9"/>
  <c r="N39" i="9" s="1"/>
  <c r="N64" i="9" s="1"/>
  <c r="O37" i="9"/>
  <c r="P37" i="9"/>
  <c r="Q37" i="9"/>
  <c r="R37" i="9"/>
  <c r="R39" i="9" s="1"/>
  <c r="R64" i="9" s="1"/>
  <c r="S37" i="9"/>
  <c r="T37" i="9"/>
  <c r="T39" i="9" s="1"/>
  <c r="U37" i="9"/>
  <c r="U39" i="9" s="1"/>
  <c r="U49" i="9" s="1"/>
  <c r="V37" i="9"/>
  <c r="V39" i="9"/>
  <c r="W37" i="9"/>
  <c r="X37" i="9"/>
  <c r="X39" i="9" s="1"/>
  <c r="Y37" i="9"/>
  <c r="Z37" i="9"/>
  <c r="Z39" i="9" s="1"/>
  <c r="AA37" i="9"/>
  <c r="AB37" i="9"/>
  <c r="AB39" i="9" s="1"/>
  <c r="AC37" i="9"/>
  <c r="AE37" i="9"/>
  <c r="O43" i="9"/>
  <c r="K44" i="9"/>
  <c r="K47" i="9" s="1"/>
  <c r="L44" i="9"/>
  <c r="L47" i="9"/>
  <c r="N44" i="9"/>
  <c r="N47" i="9" s="1"/>
  <c r="O44" i="9"/>
  <c r="P44" i="9"/>
  <c r="AC44" i="9"/>
  <c r="AD44" i="9"/>
  <c r="AD47" i="9"/>
  <c r="AC46" i="9"/>
  <c r="AC47" i="9" s="1"/>
  <c r="AC49" i="9" s="1"/>
  <c r="E47" i="9"/>
  <c r="F47" i="9"/>
  <c r="G47" i="9"/>
  <c r="H47" i="9"/>
  <c r="I47" i="9"/>
  <c r="J47" i="9"/>
  <c r="M47" i="9"/>
  <c r="S47" i="9"/>
  <c r="T47" i="9"/>
  <c r="U47" i="9"/>
  <c r="V47" i="9"/>
  <c r="W47" i="9"/>
  <c r="X47" i="9"/>
  <c r="Y47" i="9"/>
  <c r="Z47" i="9"/>
  <c r="Z62" i="9"/>
  <c r="AA47" i="9"/>
  <c r="AA62" i="9" s="1"/>
  <c r="AA65" i="9" s="1"/>
  <c r="AB47" i="9"/>
  <c r="E54" i="9"/>
  <c r="F54" i="9"/>
  <c r="G54" i="9"/>
  <c r="H54" i="9"/>
  <c r="I54" i="9"/>
  <c r="J54" i="9"/>
  <c r="K54" i="9"/>
  <c r="L54" i="9"/>
  <c r="M54" i="9"/>
  <c r="N54" i="9"/>
  <c r="O54" i="9"/>
  <c r="P54" i="9"/>
  <c r="Q54" i="9"/>
  <c r="R54" i="9"/>
  <c r="S54" i="9"/>
  <c r="T54" i="9"/>
  <c r="U54" i="9"/>
  <c r="V54" i="9"/>
  <c r="W54" i="9"/>
  <c r="X54" i="9"/>
  <c r="Y54" i="9"/>
  <c r="Z54" i="9"/>
  <c r="AA54" i="9"/>
  <c r="AB54" i="9"/>
  <c r="AC54" i="9"/>
  <c r="AD54" i="9"/>
  <c r="AF54" i="9"/>
  <c r="AG54" i="9"/>
  <c r="AH54" i="9"/>
  <c r="AI54" i="9"/>
  <c r="E55" i="9"/>
  <c r="F55" i="9"/>
  <c r="G55" i="9"/>
  <c r="H55" i="9"/>
  <c r="I55" i="9"/>
  <c r="J55" i="9"/>
  <c r="K55" i="9"/>
  <c r="L55" i="9"/>
  <c r="M55" i="9"/>
  <c r="N55" i="9"/>
  <c r="O55" i="9"/>
  <c r="P55" i="9"/>
  <c r="Q55" i="9"/>
  <c r="R55" i="9"/>
  <c r="S55" i="9"/>
  <c r="T55" i="9"/>
  <c r="U55" i="9"/>
  <c r="V55" i="9"/>
  <c r="W55" i="9"/>
  <c r="X55" i="9"/>
  <c r="Y55" i="9"/>
  <c r="Z55" i="9"/>
  <c r="AA55" i="9"/>
  <c r="AB55" i="9"/>
  <c r="AC55" i="9"/>
  <c r="AD55" i="9"/>
  <c r="AF55" i="9"/>
  <c r="AG55" i="9"/>
  <c r="AH55" i="9"/>
  <c r="AI55" i="9"/>
  <c r="E60" i="9"/>
  <c r="F60" i="9"/>
  <c r="G60" i="9"/>
  <c r="H60" i="9"/>
  <c r="I60" i="9"/>
  <c r="J60" i="9"/>
  <c r="J64" i="9" s="1"/>
  <c r="K60" i="9"/>
  <c r="L60" i="9"/>
  <c r="M60" i="9"/>
  <c r="N60" i="9"/>
  <c r="N62" i="9" s="1"/>
  <c r="N65" i="9" s="1"/>
  <c r="O60" i="9"/>
  <c r="P60" i="9"/>
  <c r="Q60" i="9"/>
  <c r="R60" i="9"/>
  <c r="S60" i="9"/>
  <c r="S64" i="9" s="1"/>
  <c r="T60" i="9"/>
  <c r="U60" i="9"/>
  <c r="U64" i="9" s="1"/>
  <c r="V60" i="9"/>
  <c r="W60" i="9"/>
  <c r="W62" i="9" s="1"/>
  <c r="W65" i="9" s="1"/>
  <c r="X60" i="9"/>
  <c r="Y60" i="9"/>
  <c r="Z60" i="9"/>
  <c r="Z65" i="9" s="1"/>
  <c r="AA60" i="9"/>
  <c r="AB60" i="9"/>
  <c r="AC60" i="9"/>
  <c r="AC62" i="9" s="1"/>
  <c r="AC65" i="9" s="1"/>
  <c r="E83" i="9"/>
  <c r="F83" i="9"/>
  <c r="G83" i="9"/>
  <c r="H83" i="9"/>
  <c r="I83" i="9"/>
  <c r="J83" i="9"/>
  <c r="K83" i="9"/>
  <c r="L83" i="9"/>
  <c r="M83" i="9"/>
  <c r="N83" i="9"/>
  <c r="O83" i="9"/>
  <c r="P83" i="9"/>
  <c r="Q83" i="9"/>
  <c r="R83" i="9"/>
  <c r="S83" i="9"/>
  <c r="T83" i="9"/>
  <c r="U83" i="9"/>
  <c r="V83" i="9"/>
  <c r="W83" i="9"/>
  <c r="DN73" i="11"/>
  <c r="X83" i="9"/>
  <c r="DO73" i="11" s="1"/>
  <c r="Y83" i="9"/>
  <c r="DP73" i="11"/>
  <c r="Z83" i="9"/>
  <c r="DQ73" i="11" s="1"/>
  <c r="AA83" i="9"/>
  <c r="DS73" i="11"/>
  <c r="AB83" i="9"/>
  <c r="DT73" i="11" s="1"/>
  <c r="AC83" i="9"/>
  <c r="DU73" i="11"/>
  <c r="AD83" i="9"/>
  <c r="DV73" i="11" s="1"/>
  <c r="AE83" i="9"/>
  <c r="DX73" i="11"/>
  <c r="V84" i="9"/>
  <c r="W84" i="9"/>
  <c r="X84" i="9"/>
  <c r="Y84" i="9"/>
  <c r="Z84" i="9"/>
  <c r="AA84" i="9"/>
  <c r="AB84" i="9"/>
  <c r="AC84" i="9"/>
  <c r="AD84" i="9"/>
  <c r="X88" i="9"/>
  <c r="Y88" i="9"/>
  <c r="Z88" i="9"/>
  <c r="AA88" i="9"/>
  <c r="AB88" i="9"/>
  <c r="AC88" i="9"/>
  <c r="AD88" i="9"/>
  <c r="AE88" i="9"/>
  <c r="L5" i="5"/>
  <c r="T5" i="5"/>
  <c r="U5" i="5"/>
  <c r="U5" i="4" s="1"/>
  <c r="AA22" i="5"/>
  <c r="N10" i="44"/>
  <c r="N11" i="44"/>
  <c r="N12" i="44"/>
  <c r="N13" i="44"/>
  <c r="N14" i="44"/>
  <c r="N15" i="44"/>
  <c r="N16" i="44"/>
  <c r="N17" i="44"/>
  <c r="N18" i="44"/>
  <c r="N19" i="44"/>
  <c r="N20" i="44"/>
  <c r="B22" i="44"/>
  <c r="B36" i="44" s="1"/>
  <c r="B50" i="44" s="1"/>
  <c r="B64" i="44" s="1"/>
  <c r="B78" i="44" s="1"/>
  <c r="J22" i="44"/>
  <c r="J36" i="44" s="1"/>
  <c r="J50" i="44" s="1"/>
  <c r="J64" i="44" s="1"/>
  <c r="J78" i="44" s="1"/>
  <c r="J92" i="44" s="1"/>
  <c r="J106" i="44" s="1"/>
  <c r="J120" i="44" s="1"/>
  <c r="J134" i="44" s="1"/>
  <c r="J140" i="44" s="1"/>
  <c r="J146" i="44" s="1"/>
  <c r="J152" i="44" s="1"/>
  <c r="J158" i="44" s="1"/>
  <c r="J164" i="44" s="1"/>
  <c r="E23" i="44"/>
  <c r="F23" i="44"/>
  <c r="E24" i="44"/>
  <c r="E25" i="44"/>
  <c r="N26" i="44" s="1"/>
  <c r="F26" i="44"/>
  <c r="F27" i="44"/>
  <c r="N27" i="44"/>
  <c r="F28" i="44"/>
  <c r="N28" i="44"/>
  <c r="E29" i="44"/>
  <c r="E30" i="44"/>
  <c r="E32" i="44"/>
  <c r="F46" i="44"/>
  <c r="E33" i="44"/>
  <c r="E34" i="44"/>
  <c r="E37" i="44"/>
  <c r="E38" i="44"/>
  <c r="F40" i="44"/>
  <c r="N40" i="44"/>
  <c r="E41" i="44"/>
  <c r="F55" i="44" s="1"/>
  <c r="F42" i="44"/>
  <c r="N43" i="44"/>
  <c r="N44" i="44"/>
  <c r="N45" i="44"/>
  <c r="N46" i="44"/>
  <c r="N47" i="44"/>
  <c r="N48" i="44"/>
  <c r="N51" i="44"/>
  <c r="N52" i="44"/>
  <c r="F53" i="44"/>
  <c r="N53" i="44"/>
  <c r="F54" i="44"/>
  <c r="N54" i="44"/>
  <c r="N55" i="44"/>
  <c r="F56" i="44"/>
  <c r="N56" i="44"/>
  <c r="F57" i="44"/>
  <c r="N57" i="44"/>
  <c r="F58" i="44"/>
  <c r="N58" i="44"/>
  <c r="F59" i="44"/>
  <c r="N59" i="44"/>
  <c r="F60" i="44"/>
  <c r="N60" i="44"/>
  <c r="F61" i="44"/>
  <c r="N61" i="44"/>
  <c r="F62" i="44"/>
  <c r="N62" i="44"/>
  <c r="F65" i="44"/>
  <c r="N65" i="44"/>
  <c r="F66" i="44"/>
  <c r="N66" i="44"/>
  <c r="F67" i="44"/>
  <c r="N67" i="44"/>
  <c r="F68" i="44"/>
  <c r="N68" i="44"/>
  <c r="F69" i="44"/>
  <c r="N69" i="44"/>
  <c r="F70" i="44"/>
  <c r="N70" i="44"/>
  <c r="F71" i="44"/>
  <c r="N71" i="44"/>
  <c r="F72" i="44"/>
  <c r="N72" i="44"/>
  <c r="F73" i="44"/>
  <c r="N73" i="44"/>
  <c r="F74" i="44"/>
  <c r="N74" i="44"/>
  <c r="E75" i="44"/>
  <c r="F89" i="44" s="1"/>
  <c r="F76" i="44"/>
  <c r="F79" i="44"/>
  <c r="N79" i="44"/>
  <c r="F80" i="44"/>
  <c r="N80" i="44"/>
  <c r="F81" i="44"/>
  <c r="N81" i="44"/>
  <c r="F82" i="44"/>
  <c r="N82" i="44"/>
  <c r="F83" i="44"/>
  <c r="N83" i="44"/>
  <c r="F84" i="44"/>
  <c r="N84" i="44"/>
  <c r="F85" i="44"/>
  <c r="N85" i="44"/>
  <c r="F86" i="44"/>
  <c r="N86" i="44"/>
  <c r="F87" i="44"/>
  <c r="N87" i="44"/>
  <c r="E88" i="44"/>
  <c r="N89" i="44" s="1"/>
  <c r="F90" i="44"/>
  <c r="N90" i="44"/>
  <c r="F93" i="44"/>
  <c r="N93" i="44"/>
  <c r="F94" i="44"/>
  <c r="N94" i="44"/>
  <c r="F95" i="44"/>
  <c r="N95" i="44"/>
  <c r="E96" i="44"/>
  <c r="F97" i="44"/>
  <c r="F98" i="44"/>
  <c r="N98" i="44"/>
  <c r="E99" i="44"/>
  <c r="F99" i="44" s="1"/>
  <c r="F103" i="44"/>
  <c r="F104" i="44"/>
  <c r="N104" i="44"/>
  <c r="E107" i="44"/>
  <c r="E281" i="44" s="1"/>
  <c r="F108" i="44"/>
  <c r="F109" i="44"/>
  <c r="N109" i="44"/>
  <c r="N110" i="44"/>
  <c r="F111" i="44"/>
  <c r="N111" i="44"/>
  <c r="F112" i="44"/>
  <c r="N112" i="44"/>
  <c r="N113" i="44"/>
  <c r="N114" i="44"/>
  <c r="E115" i="44"/>
  <c r="F118" i="44"/>
  <c r="N121" i="44"/>
  <c r="F122" i="44"/>
  <c r="N122" i="44"/>
  <c r="F123" i="44"/>
  <c r="N123" i="44"/>
  <c r="F124" i="44"/>
  <c r="N124" i="44"/>
  <c r="F125" i="44"/>
  <c r="N125" i="44"/>
  <c r="F126" i="44"/>
  <c r="N126" i="44"/>
  <c r="E127" i="44"/>
  <c r="N127" i="44" s="1"/>
  <c r="F132" i="44"/>
  <c r="P132" i="44"/>
  <c r="N135" i="44"/>
  <c r="E135" i="44" s="1"/>
  <c r="N136" i="44"/>
  <c r="N137" i="44"/>
  <c r="F138" i="44"/>
  <c r="N138" i="44"/>
  <c r="N141" i="44"/>
  <c r="N142" i="44"/>
  <c r="E142" i="44" s="1"/>
  <c r="N143" i="44"/>
  <c r="N150" i="44"/>
  <c r="E183" i="44"/>
  <c r="E184" i="44" s="1"/>
  <c r="B196" i="44"/>
  <c r="B210" i="44" s="1"/>
  <c r="B224" i="44" s="1"/>
  <c r="B238" i="44" s="1"/>
  <c r="B252" i="44" s="1"/>
  <c r="B266" i="44" s="1"/>
  <c r="B280" i="44" s="1"/>
  <c r="B294" i="44" s="1"/>
  <c r="B308" i="44" s="1"/>
  <c r="B314" i="44" s="1"/>
  <c r="B320" i="44" s="1"/>
  <c r="B326" i="44" s="1"/>
  <c r="B332" i="44" s="1"/>
  <c r="B338" i="44" s="1"/>
  <c r="F208" i="44"/>
  <c r="F222" i="44"/>
  <c r="E225" i="44"/>
  <c r="E226" i="44" s="1"/>
  <c r="E227" i="44" s="1"/>
  <c r="E228" i="44" s="1"/>
  <c r="E229" i="44" s="1"/>
  <c r="E230" i="44" s="1"/>
  <c r="E231" i="44" s="1"/>
  <c r="E232" i="44" s="1"/>
  <c r="E233" i="44" s="1"/>
  <c r="E234" i="44" s="1"/>
  <c r="E235" i="44" s="1"/>
  <c r="F236" i="44"/>
  <c r="E239" i="44"/>
  <c r="E240" i="44" s="1"/>
  <c r="F250" i="44"/>
  <c r="E253" i="44"/>
  <c r="E254" i="44" s="1"/>
  <c r="E255" i="44" s="1"/>
  <c r="F264" i="44"/>
  <c r="E267" i="44"/>
  <c r="E268" i="44" s="1"/>
  <c r="F278" i="44"/>
  <c r="F292" i="44"/>
  <c r="E295" i="44"/>
  <c r="E296" i="44" s="1"/>
  <c r="F306" i="44"/>
  <c r="F312" i="44"/>
  <c r="E315" i="44"/>
  <c r="AA200" i="3" s="1"/>
  <c r="C131" i="60"/>
  <c r="D131" i="60"/>
  <c r="E131" i="60"/>
  <c r="F131" i="60"/>
  <c r="G131" i="60"/>
  <c r="H131" i="60"/>
  <c r="I131" i="60"/>
  <c r="J131" i="60"/>
  <c r="K131" i="60"/>
  <c r="M131" i="60"/>
  <c r="N131" i="60"/>
  <c r="O131" i="60"/>
  <c r="P131" i="60"/>
  <c r="C132" i="60"/>
  <c r="D132" i="60"/>
  <c r="E132" i="60"/>
  <c r="F132" i="60"/>
  <c r="G132" i="60"/>
  <c r="H132" i="60"/>
  <c r="I132" i="60"/>
  <c r="J132" i="60"/>
  <c r="K132" i="60"/>
  <c r="L132" i="60"/>
  <c r="M132" i="60"/>
  <c r="N132" i="60"/>
  <c r="O132" i="60"/>
  <c r="P132" i="60"/>
  <c r="X159" i="60"/>
  <c r="AF41" i="7"/>
  <c r="M80" i="64"/>
  <c r="M87" i="64" s="1"/>
  <c r="AC39" i="3"/>
  <c r="AA117" i="3"/>
  <c r="E197" i="44"/>
  <c r="Q6" i="10"/>
  <c r="F39" i="44"/>
  <c r="AG42" i="9"/>
  <c r="AH42" i="9" s="1"/>
  <c r="AI42" i="9" s="1"/>
  <c r="AJ42" i="9" s="1"/>
  <c r="AK42" i="9" s="1"/>
  <c r="AL42" i="9" s="1"/>
  <c r="AM42" i="9" s="1"/>
  <c r="AC186" i="3"/>
  <c r="AC67" i="3"/>
  <c r="P75" i="41"/>
  <c r="E75" i="41"/>
  <c r="F109" i="41" s="1"/>
  <c r="F61" i="41"/>
  <c r="P61" i="41"/>
  <c r="L61" i="41"/>
  <c r="D61" i="41"/>
  <c r="R25" i="41"/>
  <c r="N25" i="41"/>
  <c r="Q75" i="41"/>
  <c r="DK241" i="1"/>
  <c r="I15" i="41"/>
  <c r="F25" i="44"/>
  <c r="F33" i="44"/>
  <c r="I28" i="4"/>
  <c r="Z47" i="7"/>
  <c r="Z53" i="7" s="1"/>
  <c r="I108" i="41"/>
  <c r="G59" i="41"/>
  <c r="X33" i="7"/>
  <c r="X45" i="7" s="1"/>
  <c r="J33" i="7"/>
  <c r="Q108" i="41"/>
  <c r="P43" i="41"/>
  <c r="F108" i="41"/>
  <c r="E105" i="41"/>
  <c r="N66" i="41"/>
  <c r="N102" i="41"/>
  <c r="O3" i="41"/>
  <c r="P3" i="41" s="1"/>
  <c r="R43" i="41"/>
  <c r="J43" i="41"/>
  <c r="J74" i="41"/>
  <c r="AF23" i="7"/>
  <c r="AB94" i="8"/>
  <c r="O117" i="64"/>
  <c r="O118" i="64"/>
  <c r="N101" i="64"/>
  <c r="P45" i="7"/>
  <c r="P57" i="7" s="1"/>
  <c r="B18" i="4"/>
  <c r="B33" i="4" s="1"/>
  <c r="Q14" i="4"/>
  <c r="Q17" i="4" s="1"/>
  <c r="K42" i="41" s="1"/>
  <c r="K44" i="41" s="1"/>
  <c r="K45" i="41" s="1"/>
  <c r="AS22" i="6"/>
  <c r="BH132" i="1"/>
  <c r="E103" i="41"/>
  <c r="U39" i="41"/>
  <c r="I35" i="41"/>
  <c r="DK46" i="1"/>
  <c r="I66" i="41"/>
  <c r="P18" i="4"/>
  <c r="P33" i="4" s="1"/>
  <c r="FI75" i="11" s="1"/>
  <c r="T107" i="41"/>
  <c r="I102" i="41"/>
  <c r="I22" i="41"/>
  <c r="CV93" i="1"/>
  <c r="M18" i="64"/>
  <c r="M19" i="64"/>
  <c r="M20" i="64"/>
  <c r="M21" i="64"/>
  <c r="M22" i="64"/>
  <c r="AC81" i="3"/>
  <c r="N39" i="44"/>
  <c r="F52" i="44"/>
  <c r="AC74" i="3"/>
  <c r="M40" i="64"/>
  <c r="L43" i="64"/>
  <c r="L45" i="64" s="1"/>
  <c r="N76" i="44"/>
  <c r="N172" i="3"/>
  <c r="Z28" i="4"/>
  <c r="Q56" i="41"/>
  <c r="K43" i="41"/>
  <c r="DK64" i="1"/>
  <c r="F43" i="44"/>
  <c r="AA173" i="3"/>
  <c r="AC123" i="3"/>
  <c r="H111" i="64"/>
  <c r="U68" i="41"/>
  <c r="T103" i="41"/>
  <c r="T6" i="41"/>
  <c r="T25" i="41"/>
  <c r="DK54" i="1"/>
  <c r="DK55" i="1"/>
  <c r="E61" i="9"/>
  <c r="AD23" i="7"/>
  <c r="AD29" i="7" s="1"/>
  <c r="AG25" i="6"/>
  <c r="N168" i="3"/>
  <c r="H3" i="41"/>
  <c r="H35" i="41" s="1"/>
  <c r="M49" i="64"/>
  <c r="U6" i="41"/>
  <c r="DK56" i="1"/>
  <c r="H15" i="41"/>
  <c r="H22" i="41"/>
  <c r="H102" i="41"/>
  <c r="BM31" i="6"/>
  <c r="P76" i="64"/>
  <c r="Q118" i="64"/>
  <c r="BL30" i="6"/>
  <c r="BQ30" i="6" s="1"/>
  <c r="AA26" i="3"/>
  <c r="AA27" i="3" s="1"/>
  <c r="AC25" i="3"/>
  <c r="Q76" i="41"/>
  <c r="R109" i="41"/>
  <c r="AA103" i="3"/>
  <c r="T5" i="4"/>
  <c r="T39" i="4" s="1"/>
  <c r="T9" i="5" s="1"/>
  <c r="AC144" i="3"/>
  <c r="H6" i="41"/>
  <c r="H55" i="41"/>
  <c r="D103" i="41"/>
  <c r="D55" i="41"/>
  <c r="AA131" i="3"/>
  <c r="AA89" i="3"/>
  <c r="AA90" i="3" s="1"/>
  <c r="AA33" i="3"/>
  <c r="AC32" i="3"/>
  <c r="K87" i="64"/>
  <c r="V32" i="7"/>
  <c r="V44" i="7" s="1"/>
  <c r="N15" i="41"/>
  <c r="N35" i="41"/>
  <c r="N138" i="41"/>
  <c r="N75" i="41"/>
  <c r="AA34" i="3"/>
  <c r="AC35" i="3" s="1"/>
  <c r="V5" i="5"/>
  <c r="W5" i="5" s="1"/>
  <c r="AC33" i="3"/>
  <c r="BL60" i="6"/>
  <c r="V5" i="4"/>
  <c r="O138" i="41"/>
  <c r="F24" i="44"/>
  <c r="N24" i="44"/>
  <c r="N25" i="44"/>
  <c r="O66" i="41"/>
  <c r="O15" i="41"/>
  <c r="O22" i="41"/>
  <c r="F32" i="44"/>
  <c r="DK45" i="1"/>
  <c r="T55" i="41"/>
  <c r="U55" i="41"/>
  <c r="V55" i="41" s="1"/>
  <c r="W55" i="41" s="1"/>
  <c r="X55" i="41" s="1"/>
  <c r="Y55" i="41" s="1"/>
  <c r="Z55" i="41" s="1"/>
  <c r="S103" i="3"/>
  <c r="DM120" i="1"/>
  <c r="S78" i="64"/>
  <c r="P117" i="64"/>
  <c r="DK235" i="1"/>
  <c r="DK236" i="1"/>
  <c r="DK44" i="1"/>
  <c r="DK10" i="1"/>
  <c r="DL130" i="1" s="1"/>
  <c r="D122" i="8"/>
  <c r="P118" i="64"/>
  <c r="BL58" i="6"/>
  <c r="BM28" i="6"/>
  <c r="DK225" i="1"/>
  <c r="BM29" i="6"/>
  <c r="BL59" i="6"/>
  <c r="BL107" i="6"/>
  <c r="DK80" i="1"/>
  <c r="BL117" i="6"/>
  <c r="DM150" i="1"/>
  <c r="BL22" i="6"/>
  <c r="BM22" i="6" s="1"/>
  <c r="BM34" i="6"/>
  <c r="O43" i="64"/>
  <c r="O45" i="64" s="1"/>
  <c r="O80" i="64"/>
  <c r="O87" i="64"/>
  <c r="J42" i="41"/>
  <c r="J44" i="41" s="1"/>
  <c r="J45" i="41" s="1"/>
  <c r="FI72" i="11"/>
  <c r="FI80" i="11" s="1"/>
  <c r="P43" i="9"/>
  <c r="AC46" i="3"/>
  <c r="AA47" i="3"/>
  <c r="AC47" i="3" s="1"/>
  <c r="AE54" i="3" s="1"/>
  <c r="F35" i="7"/>
  <c r="M29" i="64"/>
  <c r="N140" i="3"/>
  <c r="H28" i="64"/>
  <c r="G55" i="41"/>
  <c r="DK243" i="1"/>
  <c r="D59" i="52"/>
  <c r="M101" i="64"/>
  <c r="AA48" i="3"/>
  <c r="AC49" i="3" s="1"/>
  <c r="G39" i="41"/>
  <c r="G103" i="41" s="1"/>
  <c r="F104" i="41"/>
  <c r="N23" i="44"/>
  <c r="D123" i="8"/>
  <c r="DK11" i="1"/>
  <c r="DL21" i="1" s="1"/>
  <c r="DM21" i="1" s="1"/>
  <c r="BL108" i="6"/>
  <c r="DK25" i="1"/>
  <c r="BL118" i="6"/>
  <c r="DN31" i="1"/>
  <c r="DK35" i="1"/>
  <c r="DM121" i="1"/>
  <c r="DK125" i="1"/>
  <c r="DM151" i="1"/>
  <c r="DK155" i="1"/>
  <c r="DM155" i="1" s="1"/>
  <c r="DK226" i="1"/>
  <c r="BM35" i="6"/>
  <c r="BL23" i="6"/>
  <c r="P43" i="64"/>
  <c r="P45" i="64" s="1"/>
  <c r="P101" i="64"/>
  <c r="AJ33" i="7"/>
  <c r="AJ45" i="7"/>
  <c r="AJ51" i="7" s="1"/>
  <c r="DR121" i="1"/>
  <c r="DP81" i="1"/>
  <c r="DP80" i="1"/>
  <c r="DP35" i="1"/>
  <c r="DP56" i="1"/>
  <c r="S99" i="64"/>
  <c r="DM123" i="1"/>
  <c r="DM122" i="1"/>
  <c r="DK124" i="1"/>
  <c r="DK126" i="1"/>
  <c r="BL61" i="6"/>
  <c r="Q117" i="64"/>
  <c r="AF58" i="10"/>
  <c r="Q101" i="64"/>
  <c r="S90" i="64"/>
  <c r="AF60" i="9"/>
  <c r="F59" i="52"/>
  <c r="DP241" i="1"/>
  <c r="AH29" i="7"/>
  <c r="AH35" i="7" s="1"/>
  <c r="DP235" i="1"/>
  <c r="D124" i="8"/>
  <c r="DK12" i="1"/>
  <c r="DL132" i="1" s="1"/>
  <c r="DK26" i="1"/>
  <c r="BL109" i="6"/>
  <c r="DK82" i="1"/>
  <c r="DN32" i="1"/>
  <c r="DK36" i="1"/>
  <c r="BL119" i="6"/>
  <c r="DK156" i="1"/>
  <c r="DM156" i="1" s="1"/>
  <c r="DM152" i="1"/>
  <c r="Q43" i="64"/>
  <c r="Q45" i="64" s="1"/>
  <c r="S77" i="64"/>
  <c r="S117" i="64" s="1"/>
  <c r="AE67" i="3"/>
  <c r="AE53" i="3"/>
  <c r="AC151" i="3"/>
  <c r="AC88" i="3"/>
  <c r="L155" i="3"/>
  <c r="AA54" i="3"/>
  <c r="AB66" i="8"/>
  <c r="AB59" i="8"/>
  <c r="AA110" i="3"/>
  <c r="AA111" i="3" s="1"/>
  <c r="AA152" i="3"/>
  <c r="AE74" i="3"/>
  <c r="L22" i="3"/>
  <c r="N88" i="44"/>
  <c r="F253" i="44"/>
  <c r="Q179" i="60"/>
  <c r="AB67" i="8"/>
  <c r="BL110" i="6"/>
  <c r="BL120" i="6"/>
  <c r="DK24" i="1"/>
  <c r="S211" i="3"/>
  <c r="D126" i="8" s="1"/>
  <c r="D125" i="8"/>
  <c r="DK34" i="1"/>
  <c r="AK29" i="10"/>
  <c r="AF37" i="9"/>
  <c r="AF39" i="9" s="1"/>
  <c r="BQ19" i="6"/>
  <c r="DM14" i="1"/>
  <c r="S116" i="64" s="1"/>
  <c r="DM153" i="1"/>
  <c r="DK154" i="1"/>
  <c r="DM154" i="1" s="1"/>
  <c r="AF31" i="9"/>
  <c r="S91" i="64"/>
  <c r="BM37" i="6"/>
  <c r="BL25" i="6"/>
  <c r="DR122" i="1"/>
  <c r="DR123" i="1"/>
  <c r="S98" i="64"/>
  <c r="S43" i="64"/>
  <c r="S45" i="64" s="1"/>
  <c r="D129" i="8"/>
  <c r="DP10" i="1"/>
  <c r="DQ20" i="1" s="1"/>
  <c r="R179" i="60"/>
  <c r="BP107" i="6"/>
  <c r="DP232" i="1"/>
  <c r="DR150" i="1"/>
  <c r="DP225" i="1"/>
  <c r="D130" i="8"/>
  <c r="DP25" i="1"/>
  <c r="BP108" i="6"/>
  <c r="U118" i="64"/>
  <c r="DP124" i="1"/>
  <c r="DP126" i="1"/>
  <c r="DR126" i="1"/>
  <c r="DP46" i="1"/>
  <c r="BP59" i="6"/>
  <c r="BP47" i="6"/>
  <c r="BU47" i="6" s="1"/>
  <c r="BX53" i="6" s="1"/>
  <c r="BQ29" i="6"/>
  <c r="U95" i="64"/>
  <c r="U103" i="64" s="1"/>
  <c r="U113" i="64" s="1"/>
  <c r="DP155" i="1"/>
  <c r="DR155" i="1" s="1"/>
  <c r="U101" i="64"/>
  <c r="ER31" i="1"/>
  <c r="ES31" i="1" s="1"/>
  <c r="DP82" i="1"/>
  <c r="DP34" i="1"/>
  <c r="DP37" i="1" s="1"/>
  <c r="DP66" i="1"/>
  <c r="BP119" i="6"/>
  <c r="DP36" i="1"/>
  <c r="DP64" i="1"/>
  <c r="DP226" i="1"/>
  <c r="BP24" i="6"/>
  <c r="BU24" i="6" s="1"/>
  <c r="W79" i="64"/>
  <c r="X79" i="64" s="1"/>
  <c r="BE17" i="6"/>
  <c r="BD47" i="6"/>
  <c r="U47" i="6"/>
  <c r="T53" i="6"/>
  <c r="AZ53" i="6"/>
  <c r="AC49" i="6"/>
  <c r="AS48" i="6"/>
  <c r="Q48" i="6"/>
  <c r="BQ16" i="6"/>
  <c r="AN54" i="6"/>
  <c r="A107" i="6"/>
  <c r="A112" i="6" s="1"/>
  <c r="A117" i="6" s="1"/>
  <c r="A122" i="6" s="1"/>
  <c r="AO48" i="6"/>
  <c r="BA47" i="6"/>
  <c r="AS46" i="6"/>
  <c r="AK23" i="6"/>
  <c r="BP46" i="6"/>
  <c r="BD49" i="6"/>
  <c r="AJ52" i="6"/>
  <c r="AK46" i="6"/>
  <c r="AO46" i="6"/>
  <c r="AN52" i="6"/>
  <c r="BL24" i="6"/>
  <c r="V117" i="64"/>
  <c r="BI22" i="6"/>
  <c r="AK22" i="6"/>
  <c r="AV55" i="6"/>
  <c r="BH49" i="6"/>
  <c r="BI19" i="6"/>
  <c r="BM19" i="6"/>
  <c r="BA48" i="6"/>
  <c r="AZ54" i="6"/>
  <c r="AO47" i="6"/>
  <c r="B109" i="6"/>
  <c r="B114" i="6" s="1"/>
  <c r="B119" i="6" s="1"/>
  <c r="B124" i="6" s="1"/>
  <c r="B66" i="6"/>
  <c r="B72" i="6" s="1"/>
  <c r="B78" i="6" s="1"/>
  <c r="B84" i="6" s="1"/>
  <c r="X54" i="6"/>
  <c r="AN53" i="6"/>
  <c r="AF55" i="6"/>
  <c r="BA46" i="6"/>
  <c r="AZ52" i="6"/>
  <c r="AV52" i="6"/>
  <c r="AV54" i="6"/>
  <c r="BQ22" i="6"/>
  <c r="Y47" i="6"/>
  <c r="BQ17" i="6"/>
  <c r="BL47" i="6"/>
  <c r="BE18" i="6"/>
  <c r="BD48" i="6"/>
  <c r="AG5" i="5"/>
  <c r="BM24" i="6"/>
  <c r="V118" i="64"/>
  <c r="BP60" i="6"/>
  <c r="BP48" i="6"/>
  <c r="V95" i="64"/>
  <c r="D131" i="8"/>
  <c r="DP12" i="1"/>
  <c r="DQ62" i="1" s="1"/>
  <c r="BP109" i="6"/>
  <c r="BP115" i="6" s="1"/>
  <c r="BP67" i="6" s="1"/>
  <c r="BP73" i="6" s="1"/>
  <c r="DP26" i="1"/>
  <c r="DP156" i="1"/>
  <c r="DR156" i="1" s="1"/>
  <c r="V101" i="64"/>
  <c r="V103" i="64" s="1"/>
  <c r="V113" i="64" s="1"/>
  <c r="AG36" i="10"/>
  <c r="BP13" i="6"/>
  <c r="BU13" i="6" s="1"/>
  <c r="AG83" i="9"/>
  <c r="EI73" i="11" s="1"/>
  <c r="BK154" i="1"/>
  <c r="BJ13" i="6"/>
  <c r="DU66" i="1"/>
  <c r="DU64" i="1"/>
  <c r="AV7" i="11"/>
  <c r="BP120" i="6"/>
  <c r="AQ194" i="3"/>
  <c r="S218" i="3"/>
  <c r="D133" i="8"/>
  <c r="L133" i="8" s="1"/>
  <c r="D132" i="8"/>
  <c r="DR14" i="1"/>
  <c r="BP110" i="6"/>
  <c r="DP24" i="1"/>
  <c r="DP154" i="1"/>
  <c r="DR154" i="1" s="1"/>
  <c r="W17" i="64"/>
  <c r="BQ37" i="6"/>
  <c r="BP61" i="6"/>
  <c r="AG39" i="10"/>
  <c r="AG43" i="10" s="1"/>
  <c r="AG45" i="10" s="1"/>
  <c r="W90" i="64"/>
  <c r="AG31" i="9"/>
  <c r="AJ17" i="7"/>
  <c r="AJ23" i="7"/>
  <c r="AG58" i="10"/>
  <c r="H59" i="52"/>
  <c r="AG60" i="9"/>
  <c r="H62" i="9"/>
  <c r="H65" i="9"/>
  <c r="L62" i="9"/>
  <c r="L65" i="9" s="1"/>
  <c r="V62" i="9"/>
  <c r="V65" i="9"/>
  <c r="G62" i="9"/>
  <c r="G65" i="9" s="1"/>
  <c r="U62" i="9"/>
  <c r="U65" i="9" s="1"/>
  <c r="AD41" i="7"/>
  <c r="F64" i="9"/>
  <c r="F49" i="9"/>
  <c r="F56" i="9" s="1"/>
  <c r="S49" i="9"/>
  <c r="I62" i="9"/>
  <c r="I65" i="9" s="1"/>
  <c r="Y62" i="9"/>
  <c r="Y65" i="9" s="1"/>
  <c r="BE13" i="6"/>
  <c r="H117" i="64" s="1"/>
  <c r="I117" i="64" s="1"/>
  <c r="V64" i="9"/>
  <c r="DH83" i="1"/>
  <c r="AG37" i="9"/>
  <c r="AG39" i="9" s="1"/>
  <c r="AJ34" i="9"/>
  <c r="AK34" i="9" s="1"/>
  <c r="AL34" i="9" s="1"/>
  <c r="AM34" i="9" s="1"/>
  <c r="AN34" i="9" s="1"/>
  <c r="BQ31" i="6"/>
  <c r="AI58" i="10"/>
  <c r="AJ58" i="10"/>
  <c r="AK58" i="10"/>
  <c r="BT117" i="6"/>
  <c r="BT122" i="6" s="1"/>
  <c r="BT82" i="6" s="1"/>
  <c r="M108" i="41"/>
  <c r="L76" i="41"/>
  <c r="I6" i="41"/>
  <c r="I25" i="41" s="1"/>
  <c r="I55" i="41"/>
  <c r="P59" i="41"/>
  <c r="O61" i="41"/>
  <c r="O59" i="41"/>
  <c r="L46" i="7"/>
  <c r="L58" i="7" s="1"/>
  <c r="AP209" i="3"/>
  <c r="AP216" i="3" s="1"/>
  <c r="AQ202" i="3"/>
  <c r="U202" i="3"/>
  <c r="AJ202" i="3" s="1"/>
  <c r="AH5" i="5"/>
  <c r="AI5" i="5" s="1"/>
  <c r="AG5" i="4"/>
  <c r="BH47" i="6"/>
  <c r="BI17" i="6"/>
  <c r="W38" i="64"/>
  <c r="X38" i="64" s="1"/>
  <c r="X90" i="64"/>
  <c r="BQ23" i="6"/>
  <c r="BM23" i="6"/>
  <c r="B123" i="41"/>
  <c r="A123" i="41"/>
  <c r="BI25" i="6"/>
  <c r="AC158" i="3"/>
  <c r="AB73" i="8"/>
  <c r="BA49" i="6"/>
  <c r="AZ55" i="6"/>
  <c r="U49" i="6"/>
  <c r="T55" i="6"/>
  <c r="Y49" i="6"/>
  <c r="AS47" i="6"/>
  <c r="AR53" i="6"/>
  <c r="AW47" i="6"/>
  <c r="AA64" i="9"/>
  <c r="DD70" i="1"/>
  <c r="A108" i="6"/>
  <c r="A113" i="6"/>
  <c r="A118" i="6" s="1"/>
  <c r="A123" i="6" s="1"/>
  <c r="F28" i="4"/>
  <c r="L5" i="4"/>
  <c r="K5" i="5"/>
  <c r="X55" i="6"/>
  <c r="AA159" i="3"/>
  <c r="F37" i="44"/>
  <c r="N37" i="44"/>
  <c r="F51" i="44"/>
  <c r="N38" i="44"/>
  <c r="AA39" i="9"/>
  <c r="BM47" i="6"/>
  <c r="BL53" i="6"/>
  <c r="Q76" i="64"/>
  <c r="P80" i="64"/>
  <c r="P87" i="64" s="1"/>
  <c r="F127" i="44"/>
  <c r="F34" i="44"/>
  <c r="F48" i="44"/>
  <c r="E211" i="44"/>
  <c r="E212" i="44" s="1"/>
  <c r="BT58" i="6"/>
  <c r="BT46" i="6"/>
  <c r="BU46" i="6" s="1"/>
  <c r="Q47" i="6"/>
  <c r="N107" i="44"/>
  <c r="AB45" i="8"/>
  <c r="AC130" i="3"/>
  <c r="C103" i="41"/>
  <c r="C6" i="41"/>
  <c r="C55" i="41"/>
  <c r="D56" i="41" s="1"/>
  <c r="Q61" i="41"/>
  <c r="Q59" i="41"/>
  <c r="BM16" i="6"/>
  <c r="BL46" i="6"/>
  <c r="R101" i="64"/>
  <c r="S97" i="64"/>
  <c r="S101" i="64"/>
  <c r="K39" i="9"/>
  <c r="K64" i="9" s="1"/>
  <c r="I120" i="64"/>
  <c r="BM36" i="6"/>
  <c r="BQ36" i="6"/>
  <c r="Q77" i="41"/>
  <c r="Q78" i="41" s="1"/>
  <c r="AA49" i="9"/>
  <c r="C61" i="41"/>
  <c r="D59" i="41"/>
  <c r="L56" i="41"/>
  <c r="M56" i="41"/>
  <c r="BT60" i="6"/>
  <c r="BT48" i="6"/>
  <c r="BY48" i="6" s="1"/>
  <c r="CB54" i="6" s="1"/>
  <c r="AF62" i="9"/>
  <c r="AF65" i="9" s="1"/>
  <c r="F29" i="44"/>
  <c r="N29" i="44"/>
  <c r="Q39" i="9"/>
  <c r="Q64" i="9" s="1"/>
  <c r="N189" i="3"/>
  <c r="N182" i="3"/>
  <c r="AB87" i="8"/>
  <c r="DH50" i="1"/>
  <c r="AC152" i="3"/>
  <c r="AA153" i="3"/>
  <c r="AC153" i="3" s="1"/>
  <c r="N115" i="44"/>
  <c r="E116" i="44"/>
  <c r="N116" i="44" s="1"/>
  <c r="L141" i="3"/>
  <c r="AJ55" i="6"/>
  <c r="AK49" i="6"/>
  <c r="AG49" i="6"/>
  <c r="N138" i="3"/>
  <c r="AR54" i="6"/>
  <c r="J13" i="41"/>
  <c r="Y39" i="9"/>
  <c r="AB101" i="8"/>
  <c r="AA187" i="3"/>
  <c r="BH46" i="6"/>
  <c r="BM46" i="6" s="1"/>
  <c r="BI16" i="6"/>
  <c r="BM17" i="6"/>
  <c r="R103" i="64"/>
  <c r="R113" i="64" s="1"/>
  <c r="AA19" i="3"/>
  <c r="AC34" i="3"/>
  <c r="AC36" i="3" s="1"/>
  <c r="O47" i="9"/>
  <c r="H39" i="9"/>
  <c r="H64" i="9" s="1"/>
  <c r="L176" i="3"/>
  <c r="AC95" i="3"/>
  <c r="AA96" i="3"/>
  <c r="BI13" i="6"/>
  <c r="N118" i="64"/>
  <c r="BQ24" i="6"/>
  <c r="O102" i="41"/>
  <c r="O35" i="41"/>
  <c r="I80" i="64"/>
  <c r="J62" i="9"/>
  <c r="J65" i="9" s="1"/>
  <c r="L39" i="9"/>
  <c r="L49" i="9" s="1"/>
  <c r="N161" i="3"/>
  <c r="N152" i="3"/>
  <c r="L148" i="3"/>
  <c r="N155" i="3" s="1"/>
  <c r="N22" i="3"/>
  <c r="H56" i="64"/>
  <c r="AW46" i="6"/>
  <c r="P52" i="6"/>
  <c r="M43" i="41"/>
  <c r="N80" i="64"/>
  <c r="R29" i="64"/>
  <c r="V49" i="9"/>
  <c r="P39" i="9"/>
  <c r="P64" i="9" s="1"/>
  <c r="N151" i="3"/>
  <c r="AC89" i="3"/>
  <c r="J58" i="64"/>
  <c r="AB55" i="6"/>
  <c r="AJ54" i="6"/>
  <c r="AV53" i="6"/>
  <c r="AG46" i="6"/>
  <c r="L122" i="8"/>
  <c r="K95" i="64"/>
  <c r="T45" i="64"/>
  <c r="E45" i="64"/>
  <c r="R28" i="4"/>
  <c r="AR55" i="6"/>
  <c r="Y48" i="6"/>
  <c r="BD52" i="6"/>
  <c r="AW24" i="6"/>
  <c r="E59" i="41"/>
  <c r="O56" i="41"/>
  <c r="R56" i="64"/>
  <c r="N96" i="44"/>
  <c r="F110" i="44"/>
  <c r="N97" i="44"/>
  <c r="F96" i="44"/>
  <c r="Z34" i="7"/>
  <c r="X78" i="64"/>
  <c r="Q109" i="41"/>
  <c r="V6" i="9"/>
  <c r="U6" i="10"/>
  <c r="R111" i="41"/>
  <c r="AC22" i="6"/>
  <c r="AG22" i="6"/>
  <c r="P58" i="64"/>
  <c r="AC48" i="6"/>
  <c r="AF54" i="6"/>
  <c r="AG48" i="6"/>
  <c r="AB54" i="6"/>
  <c r="AC46" i="6"/>
  <c r="AB52" i="6"/>
  <c r="X52" i="6"/>
  <c r="Y46" i="6"/>
  <c r="BA24" i="6"/>
  <c r="AW23" i="6"/>
  <c r="AC23" i="6"/>
  <c r="Y23" i="6"/>
  <c r="W54" i="52"/>
  <c r="AU29" i="7"/>
  <c r="AJ29" i="7"/>
  <c r="BI49" i="6"/>
  <c r="BE49" i="6"/>
  <c r="D25" i="41"/>
  <c r="U25" i="41"/>
  <c r="H44" i="7"/>
  <c r="M41" i="64"/>
  <c r="M43" i="64"/>
  <c r="M45" i="64" s="1"/>
  <c r="J43" i="64"/>
  <c r="J45" i="64" s="1"/>
  <c r="BD55" i="6"/>
  <c r="H56" i="41"/>
  <c r="I56" i="41"/>
  <c r="AB52" i="8"/>
  <c r="AA138" i="3"/>
  <c r="AC138" i="3" s="1"/>
  <c r="AC137" i="3"/>
  <c r="N87" i="64"/>
  <c r="K108" i="41"/>
  <c r="J109" i="41"/>
  <c r="J75" i="41"/>
  <c r="BD20" i="1"/>
  <c r="F204" i="3"/>
  <c r="DI14" i="1" s="1"/>
  <c r="FU63" i="11" s="1"/>
  <c r="D119" i="8"/>
  <c r="W118" i="64"/>
  <c r="P103" i="64"/>
  <c r="P113" i="64" s="1"/>
  <c r="H25" i="41"/>
  <c r="AE81" i="3"/>
  <c r="BH53" i="6"/>
  <c r="BE47" i="6"/>
  <c r="BD53" i="6"/>
  <c r="BI47" i="6"/>
  <c r="BQ47" i="6"/>
  <c r="BP53" i="6"/>
  <c r="S120" i="64"/>
  <c r="S95" i="64"/>
  <c r="S118" i="64"/>
  <c r="H53" i="64"/>
  <c r="I58" i="64"/>
  <c r="D32" i="7"/>
  <c r="D56" i="7" s="1"/>
  <c r="E108" i="41"/>
  <c r="D75" i="41"/>
  <c r="D76" i="41" s="1"/>
  <c r="DU35" i="1"/>
  <c r="DU80" i="1"/>
  <c r="S76" i="3"/>
  <c r="U76" i="3" s="1"/>
  <c r="AJ76" i="3" s="1"/>
  <c r="I111" i="64"/>
  <c r="BP49" i="6"/>
  <c r="BU49" i="6" s="1"/>
  <c r="BH55" i="6"/>
  <c r="A110" i="6"/>
  <c r="A115" i="6" s="1"/>
  <c r="A120" i="6" s="1"/>
  <c r="A125" i="6" s="1"/>
  <c r="A67" i="6"/>
  <c r="A73" i="6" s="1"/>
  <c r="A79" i="6" s="1"/>
  <c r="A85" i="6" s="1"/>
  <c r="B65" i="6"/>
  <c r="B71" i="6" s="1"/>
  <c r="B77" i="6" s="1"/>
  <c r="B83" i="6" s="1"/>
  <c r="B108" i="6"/>
  <c r="B113" i="6" s="1"/>
  <c r="B118" i="6" s="1"/>
  <c r="B123" i="6" s="1"/>
  <c r="AC24" i="6"/>
  <c r="AG24" i="6"/>
  <c r="BI23" i="6"/>
  <c r="BE23" i="6"/>
  <c r="BM10" i="11"/>
  <c r="C75" i="41"/>
  <c r="D108" i="41"/>
  <c r="C109" i="41"/>
  <c r="K56" i="41"/>
  <c r="J56" i="41"/>
  <c r="K25" i="41"/>
  <c r="I45" i="64"/>
  <c r="H43" i="64"/>
  <c r="H45" i="64" s="1"/>
  <c r="BP25" i="6"/>
  <c r="BE48" i="6"/>
  <c r="BD54" i="6"/>
  <c r="AA55" i="3"/>
  <c r="AC56" i="3" s="1"/>
  <c r="AC54" i="3"/>
  <c r="AC131" i="3"/>
  <c r="AB46" i="8"/>
  <c r="AA132" i="3"/>
  <c r="AC132" i="3" s="1"/>
  <c r="AB102" i="8"/>
  <c r="L190" i="3"/>
  <c r="N188" i="3"/>
  <c r="L183" i="3"/>
  <c r="N183" i="3"/>
  <c r="N179" i="3"/>
  <c r="L169" i="3"/>
  <c r="N167" i="3"/>
  <c r="N139" i="3"/>
  <c r="N146" i="3"/>
  <c r="AE103" i="1"/>
  <c r="AF103" i="1" s="1"/>
  <c r="BE25" i="6"/>
  <c r="BA25" i="6"/>
  <c r="BE24" i="6"/>
  <c r="BA23" i="6"/>
  <c r="BE22" i="6"/>
  <c r="BA22" i="6"/>
  <c r="AD33" i="7"/>
  <c r="I75" i="41"/>
  <c r="W40" i="64"/>
  <c r="X40" i="64"/>
  <c r="V70" i="64"/>
  <c r="V71" i="64" s="1"/>
  <c r="W97" i="64"/>
  <c r="AE95" i="3"/>
  <c r="AE88" i="3"/>
  <c r="AE39" i="3"/>
  <c r="AE46" i="3"/>
  <c r="N33" i="44"/>
  <c r="F47" i="44"/>
  <c r="N34" i="44"/>
  <c r="I97" i="64"/>
  <c r="H101" i="64"/>
  <c r="Q49" i="6"/>
  <c r="P55" i="6"/>
  <c r="AK47" i="6"/>
  <c r="AJ53" i="6"/>
  <c r="T52" i="6"/>
  <c r="U46" i="6"/>
  <c r="D46" i="7"/>
  <c r="D52" i="7" s="1"/>
  <c r="D58" i="7"/>
  <c r="P32" i="7"/>
  <c r="S43" i="41"/>
  <c r="T41" i="41"/>
  <c r="AC48" i="3"/>
  <c r="L77" i="41"/>
  <c r="V34" i="8"/>
  <c r="V35" i="8" s="1"/>
  <c r="J126" i="3"/>
  <c r="AC103" i="3"/>
  <c r="AC102" i="3"/>
  <c r="AN55" i="6"/>
  <c r="AO49" i="6"/>
  <c r="P54" i="6"/>
  <c r="U48" i="6"/>
  <c r="AC47" i="6"/>
  <c r="AB53" i="6"/>
  <c r="AO25" i="6"/>
  <c r="AS25" i="6"/>
  <c r="AO24" i="6"/>
  <c r="AS24" i="6"/>
  <c r="L32" i="7"/>
  <c r="U71" i="41"/>
  <c r="T106" i="41"/>
  <c r="F55" i="41"/>
  <c r="F6" i="41"/>
  <c r="F103" i="41"/>
  <c r="AF17" i="7"/>
  <c r="AF29" i="7"/>
  <c r="BM25" i="6"/>
  <c r="AE151" i="3"/>
  <c r="AA104" i="3"/>
  <c r="AC105" i="3" s="1"/>
  <c r="AE32" i="3"/>
  <c r="AE130" i="3"/>
  <c r="C13" i="41"/>
  <c r="T62" i="9"/>
  <c r="T65" i="9" s="1"/>
  <c r="H51" i="64"/>
  <c r="G58" i="64"/>
  <c r="X28" i="4"/>
  <c r="W28" i="4"/>
  <c r="AF81" i="1"/>
  <c r="T35" i="7"/>
  <c r="AB33" i="7"/>
  <c r="T108" i="41"/>
  <c r="S109" i="41"/>
  <c r="S75" i="41"/>
  <c r="M109" i="41"/>
  <c r="N108" i="41"/>
  <c r="U70" i="41"/>
  <c r="T105" i="41"/>
  <c r="E6" i="41"/>
  <c r="E55" i="41"/>
  <c r="E56" i="41" s="1"/>
  <c r="G107" i="41"/>
  <c r="G104" i="41"/>
  <c r="G105" i="41"/>
  <c r="H39" i="41"/>
  <c r="G106" i="41"/>
  <c r="G108" i="41"/>
  <c r="Q43" i="9"/>
  <c r="P47" i="9"/>
  <c r="AC179" i="3"/>
  <c r="AA180" i="3"/>
  <c r="AB95" i="8" s="1"/>
  <c r="AC180" i="3"/>
  <c r="N173" i="3"/>
  <c r="N180" i="3"/>
  <c r="B110" i="6"/>
  <c r="B115" i="6" s="1"/>
  <c r="B120" i="6" s="1"/>
  <c r="B125" i="6" s="1"/>
  <c r="B67" i="6"/>
  <c r="B73" i="6" s="1"/>
  <c r="B79" i="6" s="1"/>
  <c r="B85" i="6" s="1"/>
  <c r="R110" i="41"/>
  <c r="R77" i="41"/>
  <c r="T104" i="41"/>
  <c r="U69" i="41"/>
  <c r="J58" i="41"/>
  <c r="J59" i="41" s="1"/>
  <c r="M59" i="41"/>
  <c r="M61" i="41"/>
  <c r="O43" i="41"/>
  <c r="R51" i="64"/>
  <c r="R58" i="64" s="1"/>
  <c r="S58" i="64"/>
  <c r="U117" i="64"/>
  <c r="U35" i="64"/>
  <c r="V35" i="64"/>
  <c r="V43" i="64" s="1"/>
  <c r="V45" i="64" s="1"/>
  <c r="X70" i="52"/>
  <c r="U103" i="41"/>
  <c r="V68" i="41"/>
  <c r="F106" i="41"/>
  <c r="F107" i="41"/>
  <c r="AA118" i="3"/>
  <c r="AC117" i="3"/>
  <c r="AB62" i="9"/>
  <c r="AB65" i="9" s="1"/>
  <c r="AD58" i="10"/>
  <c r="N165" i="3"/>
  <c r="L162" i="3"/>
  <c r="N169" i="3" s="1"/>
  <c r="Q28" i="4"/>
  <c r="P28" i="4"/>
  <c r="AF53" i="6"/>
  <c r="Q46" i="6"/>
  <c r="Z59" i="7"/>
  <c r="K58" i="41"/>
  <c r="K61" i="41" s="1"/>
  <c r="K74" i="41"/>
  <c r="K75" i="41" s="1"/>
  <c r="N61" i="41"/>
  <c r="N59" i="41"/>
  <c r="E104" i="41"/>
  <c r="E106" i="41"/>
  <c r="E107" i="41"/>
  <c r="M95" i="64"/>
  <c r="M103" i="64" s="1"/>
  <c r="M113" i="64" s="1"/>
  <c r="M114" i="64" s="1"/>
  <c r="N92" i="64"/>
  <c r="N95" i="64" s="1"/>
  <c r="N103" i="64" s="1"/>
  <c r="N113" i="64" s="1"/>
  <c r="N114" i="64" s="1"/>
  <c r="E100" i="44"/>
  <c r="N100" i="44" s="1"/>
  <c r="AE39" i="9"/>
  <c r="N175" i="3"/>
  <c r="H34" i="7"/>
  <c r="P76" i="41"/>
  <c r="S61" i="41"/>
  <c r="T61" i="41" s="1"/>
  <c r="T58" i="41"/>
  <c r="U58" i="41" s="1"/>
  <c r="V58" i="41" s="1"/>
  <c r="W58" i="41" s="1"/>
  <c r="X58" i="41" s="1"/>
  <c r="Y58" i="41" s="1"/>
  <c r="Z58" i="41" s="1"/>
  <c r="N58" i="64"/>
  <c r="AJ44" i="9"/>
  <c r="AK44" i="9" s="1"/>
  <c r="AL44" i="9" s="1"/>
  <c r="AM44" i="9" s="1"/>
  <c r="AN44" i="9" s="1"/>
  <c r="AG47" i="9"/>
  <c r="E117" i="44"/>
  <c r="N42" i="44"/>
  <c r="F41" i="44"/>
  <c r="N41" i="44"/>
  <c r="F30" i="44"/>
  <c r="N30" i="44"/>
  <c r="E31" i="44"/>
  <c r="N32" i="44" s="1"/>
  <c r="F44" i="44"/>
  <c r="F61" i="9"/>
  <c r="F62" i="9"/>
  <c r="F65" i="9"/>
  <c r="AC39" i="9"/>
  <c r="W39" i="9"/>
  <c r="U28" i="4"/>
  <c r="M28" i="4"/>
  <c r="AW49" i="6"/>
  <c r="O109" i="41"/>
  <c r="P108" i="41"/>
  <c r="R61" i="41"/>
  <c r="R59" i="41"/>
  <c r="BH48" i="6"/>
  <c r="BI18" i="6"/>
  <c r="G56" i="41"/>
  <c r="AC173" i="3"/>
  <c r="E76" i="41"/>
  <c r="E77" i="41"/>
  <c r="E198" i="44"/>
  <c r="F38" i="44"/>
  <c r="S62" i="9"/>
  <c r="S65" i="9"/>
  <c r="M62" i="9"/>
  <c r="M65" i="9" s="1"/>
  <c r="E62" i="9"/>
  <c r="E66" i="9" s="1"/>
  <c r="O39" i="9"/>
  <c r="O64" i="9" s="1"/>
  <c r="AD60" i="9"/>
  <c r="AD37" i="9"/>
  <c r="N181" i="3"/>
  <c r="N174" i="3"/>
  <c r="AC165" i="3"/>
  <c r="AA166" i="3"/>
  <c r="N159" i="3"/>
  <c r="T28" i="4"/>
  <c r="E28" i="4"/>
  <c r="BI24" i="6"/>
  <c r="P34" i="7"/>
  <c r="F33" i="7"/>
  <c r="O108" i="41"/>
  <c r="N76" i="41"/>
  <c r="N77" i="41" s="1"/>
  <c r="N78" i="41" s="1"/>
  <c r="G75" i="41"/>
  <c r="H109" i="41" s="1"/>
  <c r="H59" i="41"/>
  <c r="I59" i="41"/>
  <c r="X62" i="9"/>
  <c r="X65" i="9" s="1"/>
  <c r="F211" i="44"/>
  <c r="AE158" i="3"/>
  <c r="H49" i="9"/>
  <c r="L78" i="41"/>
  <c r="L80" i="41" s="1"/>
  <c r="AA188" i="3"/>
  <c r="AC188" i="3" s="1"/>
  <c r="AC187" i="3"/>
  <c r="X118" i="64"/>
  <c r="BL52" i="6"/>
  <c r="O62" i="9"/>
  <c r="O65" i="9"/>
  <c r="O49" i="9"/>
  <c r="R78" i="41"/>
  <c r="BI46" i="6"/>
  <c r="BH52" i="6"/>
  <c r="BQ46" i="6"/>
  <c r="BP52" i="6"/>
  <c r="G76" i="41"/>
  <c r="J110" i="41"/>
  <c r="J76" i="41"/>
  <c r="J111" i="41" s="1"/>
  <c r="AA97" i="3"/>
  <c r="AC97" i="3" s="1"/>
  <c r="AC96" i="3"/>
  <c r="AE103" i="3" s="1"/>
  <c r="AB74" i="8"/>
  <c r="AA160" i="3"/>
  <c r="AC159" i="3"/>
  <c r="AC64" i="9"/>
  <c r="P49" i="9"/>
  <c r="Y49" i="9"/>
  <c r="Y64" i="9"/>
  <c r="BL18" i="6"/>
  <c r="Q80" i="64"/>
  <c r="Q87" i="64"/>
  <c r="A124" i="41"/>
  <c r="B124" i="41"/>
  <c r="U209" i="3"/>
  <c r="AJ209" i="3" s="1"/>
  <c r="N148" i="3"/>
  <c r="AC154" i="3"/>
  <c r="AB68" i="8"/>
  <c r="AC19" i="3"/>
  <c r="AA20" i="3"/>
  <c r="AC21" i="3" s="1"/>
  <c r="J5" i="5"/>
  <c r="K5" i="4"/>
  <c r="BT53" i="6"/>
  <c r="AE137" i="3"/>
  <c r="AE144" i="3"/>
  <c r="AB53" i="8"/>
  <c r="AA139" i="3"/>
  <c r="AC139" i="3" s="1"/>
  <c r="AE139" i="3" s="1"/>
  <c r="BI48" i="6"/>
  <c r="BH54" i="6"/>
  <c r="AJ41" i="7"/>
  <c r="EI75" i="11"/>
  <c r="AG62" i="9"/>
  <c r="AG65" i="9"/>
  <c r="K109" i="41"/>
  <c r="L108" i="41"/>
  <c r="AC119" i="3"/>
  <c r="AC118" i="3"/>
  <c r="J77" i="41"/>
  <c r="AA181" i="3"/>
  <c r="AB96" i="8" s="1"/>
  <c r="AC181" i="3"/>
  <c r="S110" i="41"/>
  <c r="AE102" i="3"/>
  <c r="T43" i="41"/>
  <c r="U41" i="41"/>
  <c r="I76" i="41"/>
  <c r="AC133" i="3"/>
  <c r="AB47" i="8"/>
  <c r="S103" i="64"/>
  <c r="C110" i="41"/>
  <c r="W64" i="9"/>
  <c r="W49" i="9"/>
  <c r="CF41" i="1"/>
  <c r="Q110" i="41"/>
  <c r="F25" i="41"/>
  <c r="F45" i="7"/>
  <c r="F51" i="7" s="1"/>
  <c r="AA167" i="3"/>
  <c r="AC167" i="3" s="1"/>
  <c r="AC166" i="3"/>
  <c r="AB81" i="8"/>
  <c r="AD62" i="9"/>
  <c r="AD65" i="9" s="1"/>
  <c r="F66" i="9"/>
  <c r="K59" i="41"/>
  <c r="L59" i="41"/>
  <c r="U104" i="41"/>
  <c r="V69" i="41"/>
  <c r="Q47" i="9"/>
  <c r="R43" i="9"/>
  <c r="R47" i="9" s="1"/>
  <c r="E25" i="41"/>
  <c r="F56" i="41"/>
  <c r="V41" i="8"/>
  <c r="V42" i="8" s="1"/>
  <c r="L127" i="3"/>
  <c r="K130" i="3"/>
  <c r="L130" i="3"/>
  <c r="AE159" i="3"/>
  <c r="D109" i="41"/>
  <c r="F162" i="3"/>
  <c r="CE16" i="1"/>
  <c r="CF56" i="1" s="1"/>
  <c r="U43" i="64"/>
  <c r="N117" i="44"/>
  <c r="F117" i="44"/>
  <c r="N118" i="44"/>
  <c r="J61" i="41"/>
  <c r="I101" i="64"/>
  <c r="H103" i="64"/>
  <c r="V6" i="10"/>
  <c r="W6" i="9"/>
  <c r="AE165" i="3"/>
  <c r="E199" i="44"/>
  <c r="P77" i="41"/>
  <c r="X97" i="64"/>
  <c r="BQ25" i="6"/>
  <c r="C76" i="41"/>
  <c r="C111" i="41" s="1"/>
  <c r="E109" i="41"/>
  <c r="D44" i="7"/>
  <c r="D50" i="7" s="1"/>
  <c r="N176" i="3"/>
  <c r="H104" i="41"/>
  <c r="H106" i="41"/>
  <c r="H103" i="41"/>
  <c r="H105" i="41"/>
  <c r="H107" i="41"/>
  <c r="H108" i="41"/>
  <c r="AC189" i="3"/>
  <c r="P46" i="7"/>
  <c r="AE117" i="3"/>
  <c r="E78" i="41"/>
  <c r="E79" i="41"/>
  <c r="E80" i="41" s="1"/>
  <c r="H46" i="7"/>
  <c r="H52" i="7" s="1"/>
  <c r="AE186" i="3"/>
  <c r="N190" i="3"/>
  <c r="N31" i="44"/>
  <c r="F31" i="44"/>
  <c r="F45" i="44"/>
  <c r="AE49" i="9"/>
  <c r="W68" i="41"/>
  <c r="V6" i="41"/>
  <c r="V70" i="41"/>
  <c r="U105" i="41"/>
  <c r="AC104" i="3"/>
  <c r="AC106" i="3" s="1"/>
  <c r="V71" i="41"/>
  <c r="U106" i="41"/>
  <c r="AQ196" i="3"/>
  <c r="L79" i="41"/>
  <c r="L81" i="41" s="1"/>
  <c r="P44" i="7"/>
  <c r="P56" i="7" s="1"/>
  <c r="P50" i="7"/>
  <c r="P62" i="9"/>
  <c r="P65" i="9" s="1"/>
  <c r="AD45" i="7"/>
  <c r="AD51" i="7"/>
  <c r="AD57" i="7"/>
  <c r="CF133" i="1"/>
  <c r="F155" i="3"/>
  <c r="F57" i="7"/>
  <c r="I5" i="5"/>
  <c r="J5" i="4"/>
  <c r="J39" i="4" s="1"/>
  <c r="J9" i="5" s="1"/>
  <c r="A125" i="41"/>
  <c r="B125" i="41"/>
  <c r="AC98" i="3"/>
  <c r="AC160" i="3"/>
  <c r="AB75" i="8"/>
  <c r="AC161" i="3"/>
  <c r="P58" i="7"/>
  <c r="AB103" i="8"/>
  <c r="BM18" i="6"/>
  <c r="BL48" i="6"/>
  <c r="BQ18" i="6"/>
  <c r="AE96" i="3"/>
  <c r="R79" i="41"/>
  <c r="R80" i="41"/>
  <c r="U45" i="64"/>
  <c r="V25" i="41"/>
  <c r="Q111" i="41"/>
  <c r="W69" i="41"/>
  <c r="Q62" i="9"/>
  <c r="Q65" i="9"/>
  <c r="Q49" i="9"/>
  <c r="C77" i="41"/>
  <c r="E200" i="44"/>
  <c r="AC182" i="3"/>
  <c r="AE189" i="3" s="1"/>
  <c r="W6" i="10"/>
  <c r="X6" i="9"/>
  <c r="W6" i="41"/>
  <c r="X68" i="41"/>
  <c r="E81" i="41"/>
  <c r="Y73" i="41"/>
  <c r="U43" i="41"/>
  <c r="V41" i="41"/>
  <c r="AC168" i="3"/>
  <c r="AB82" i="8"/>
  <c r="W71" i="41"/>
  <c r="W70" i="41"/>
  <c r="J78" i="41"/>
  <c r="J79" i="41"/>
  <c r="I77" i="41"/>
  <c r="D110" i="41"/>
  <c r="P78" i="41"/>
  <c r="AE161" i="3"/>
  <c r="L134" i="3"/>
  <c r="N134" i="3" s="1"/>
  <c r="N137" i="3"/>
  <c r="N158" i="3"/>
  <c r="J112" i="41"/>
  <c r="AE104" i="3"/>
  <c r="I103" i="64"/>
  <c r="I113" i="64"/>
  <c r="I114" i="64" s="1"/>
  <c r="H113" i="64"/>
  <c r="H114" i="64" s="1"/>
  <c r="AC120" i="3"/>
  <c r="AB54" i="8"/>
  <c r="AC140" i="3"/>
  <c r="AE140" i="3" s="1"/>
  <c r="N79" i="41"/>
  <c r="J114" i="41"/>
  <c r="J80" i="41"/>
  <c r="J115" i="41"/>
  <c r="AE160" i="3"/>
  <c r="AC162" i="3"/>
  <c r="H5" i="5"/>
  <c r="I5" i="4"/>
  <c r="R81" i="41"/>
  <c r="R82" i="41"/>
  <c r="BQ48" i="6"/>
  <c r="BP54" i="6"/>
  <c r="BL54" i="6"/>
  <c r="BM48" i="6"/>
  <c r="A126" i="41"/>
  <c r="B126" i="41"/>
  <c r="AE105" i="3"/>
  <c r="Q112" i="41"/>
  <c r="P79" i="41"/>
  <c r="P80" i="41"/>
  <c r="AE168" i="3"/>
  <c r="X6" i="10"/>
  <c r="Y6" i="9"/>
  <c r="Z6" i="9" s="1"/>
  <c r="AA6" i="9" s="1"/>
  <c r="C112" i="41"/>
  <c r="D111" i="41"/>
  <c r="C78" i="41"/>
  <c r="I78" i="41"/>
  <c r="J113" i="41"/>
  <c r="J81" i="41"/>
  <c r="J82" i="41"/>
  <c r="V43" i="41"/>
  <c r="W41" i="41"/>
  <c r="E82" i="41"/>
  <c r="X70" i="41"/>
  <c r="X71" i="41"/>
  <c r="Y71" i="41" s="1"/>
  <c r="Y68" i="41"/>
  <c r="X6" i="41"/>
  <c r="E201" i="44"/>
  <c r="E202" i="44" s="1"/>
  <c r="E203" i="44" s="1"/>
  <c r="E204" i="44" s="1"/>
  <c r="E205" i="44" s="1"/>
  <c r="E206" i="44" s="1"/>
  <c r="E207" i="44" s="1"/>
  <c r="Z73" i="41"/>
  <c r="W25" i="41"/>
  <c r="X69" i="41"/>
  <c r="G5" i="5"/>
  <c r="H5" i="4"/>
  <c r="A127" i="41"/>
  <c r="B127" i="41"/>
  <c r="Y69" i="41"/>
  <c r="W43" i="41"/>
  <c r="X41" i="41"/>
  <c r="Y41" i="41" s="1"/>
  <c r="Z41" i="41" s="1"/>
  <c r="Z43" i="41" s="1"/>
  <c r="J116" i="41"/>
  <c r="C113" i="41"/>
  <c r="C79" i="41"/>
  <c r="Q113" i="41"/>
  <c r="X25" i="41"/>
  <c r="Z68" i="41"/>
  <c r="Y6" i="41"/>
  <c r="A128" i="41"/>
  <c r="B128" i="41"/>
  <c r="G5" i="4"/>
  <c r="F5" i="5"/>
  <c r="Z71" i="41"/>
  <c r="Z6" i="41"/>
  <c r="X43" i="41"/>
  <c r="C114" i="41"/>
  <c r="C80" i="41"/>
  <c r="C81" i="41"/>
  <c r="Y25" i="41"/>
  <c r="F5" i="4"/>
  <c r="E5" i="5"/>
  <c r="B129" i="41"/>
  <c r="A129" i="41"/>
  <c r="A130" i="41" s="1"/>
  <c r="B131" i="41" s="1"/>
  <c r="C115" i="41"/>
  <c r="B130" i="41"/>
  <c r="E5" i="4"/>
  <c r="D5" i="5"/>
  <c r="C5" i="5" s="1"/>
  <c r="D5" i="4"/>
  <c r="D136" i="8"/>
  <c r="L136" i="8" s="1"/>
  <c r="DU10" i="1"/>
  <c r="DV20" i="1" s="1"/>
  <c r="D138" i="8"/>
  <c r="BT107" i="6"/>
  <c r="Z46" i="7"/>
  <c r="Z58" i="7" s="1"/>
  <c r="Z52" i="7"/>
  <c r="V56" i="7"/>
  <c r="V50" i="7"/>
  <c r="T34" i="7"/>
  <c r="AD44" i="7"/>
  <c r="AD56" i="7" s="1"/>
  <c r="H56" i="7"/>
  <c r="D44" i="52"/>
  <c r="F44" i="52" s="1"/>
  <c r="AF32" i="7"/>
  <c r="T56" i="7"/>
  <c r="AB46" i="7"/>
  <c r="H50" i="7"/>
  <c r="P52" i="7"/>
  <c r="Z32" i="7"/>
  <c r="AF57" i="7"/>
  <c r="AB45" i="7"/>
  <c r="J46" i="7"/>
  <c r="J52" i="7" s="1"/>
  <c r="J58" i="7"/>
  <c r="R44" i="7"/>
  <c r="R50" i="7" s="1"/>
  <c r="R56" i="7"/>
  <c r="F47" i="7"/>
  <c r="F53" i="7"/>
  <c r="J45" i="7"/>
  <c r="F50" i="7"/>
  <c r="F56" i="7"/>
  <c r="J35" i="7"/>
  <c r="X58" i="7"/>
  <c r="X52" i="7"/>
  <c r="N46" i="7"/>
  <c r="N52" i="7"/>
  <c r="N58" i="7"/>
  <c r="X35" i="7"/>
  <c r="V45" i="7"/>
  <c r="V57" i="7"/>
  <c r="AF46" i="7"/>
  <c r="AF52" i="7" s="1"/>
  <c r="AF58" i="7"/>
  <c r="H45" i="7"/>
  <c r="H51" i="7" s="1"/>
  <c r="X32" i="7"/>
  <c r="V58" i="7"/>
  <c r="T47" i="7"/>
  <c r="T53" i="7"/>
  <c r="L44" i="7"/>
  <c r="L50" i="7"/>
  <c r="AD50" i="7"/>
  <c r="H47" i="7"/>
  <c r="H59" i="7" s="1"/>
  <c r="R59" i="7"/>
  <c r="D35" i="7"/>
  <c r="R33" i="7"/>
  <c r="R5" i="7"/>
  <c r="AH60" i="9"/>
  <c r="Z44" i="7"/>
  <c r="D47" i="7"/>
  <c r="F59" i="7"/>
  <c r="V51" i="7"/>
  <c r="X44" i="7"/>
  <c r="X50" i="7" s="1"/>
  <c r="AF44" i="7"/>
  <c r="L56" i="7"/>
  <c r="X47" i="7"/>
  <c r="X53" i="7" s="1"/>
  <c r="T5" i="7"/>
  <c r="H57" i="7"/>
  <c r="T59" i="7"/>
  <c r="GA46" i="11"/>
  <c r="V5" i="7"/>
  <c r="X5" i="7" s="1"/>
  <c r="Z5" i="7" s="1"/>
  <c r="AB5" i="7" s="1"/>
  <c r="AD5" i="7" s="1"/>
  <c r="AF5" i="7" s="1"/>
  <c r="AH5" i="7" s="1"/>
  <c r="AJ5" i="7" s="1"/>
  <c r="AL5" i="7" s="1"/>
  <c r="AN5" i="7" s="1"/>
  <c r="X56" i="7"/>
  <c r="AJ57" i="7"/>
  <c r="BT52" i="6"/>
  <c r="DU241" i="1"/>
  <c r="DU245" i="1" s="1"/>
  <c r="DU235" i="1"/>
  <c r="DU225" i="1"/>
  <c r="DU11" i="1"/>
  <c r="DV81" i="1" s="1"/>
  <c r="D137" i="8"/>
  <c r="L137" i="8" s="1"/>
  <c r="BT108" i="6"/>
  <c r="DU25" i="1"/>
  <c r="CF71" i="1"/>
  <c r="CF51" i="1"/>
  <c r="CF31" i="1"/>
  <c r="L120" i="1"/>
  <c r="AC126" i="1"/>
  <c r="DG245" i="1"/>
  <c r="ES30" i="1"/>
  <c r="S102" i="3"/>
  <c r="D17" i="8" s="1"/>
  <c r="CN40" i="1"/>
  <c r="CN30" i="1"/>
  <c r="CU143" i="1"/>
  <c r="DK134" i="1"/>
  <c r="CZ121" i="1"/>
  <c r="CN80" i="1"/>
  <c r="BC143" i="1"/>
  <c r="G15" i="1"/>
  <c r="DL122" i="1"/>
  <c r="DP245" i="1"/>
  <c r="BD133" i="1"/>
  <c r="DL91" i="1"/>
  <c r="D203" i="3"/>
  <c r="H203" i="3" s="1"/>
  <c r="W14" i="64"/>
  <c r="AC156" i="1"/>
  <c r="Y154" i="1"/>
  <c r="CW126" i="1"/>
  <c r="BQ126" i="1"/>
  <c r="AK126" i="1"/>
  <c r="CU85" i="1"/>
  <c r="DC135" i="1"/>
  <c r="CO155" i="1"/>
  <c r="DC136" i="1"/>
  <c r="CI154" i="1"/>
  <c r="AY103" i="1"/>
  <c r="AZ103" i="1" s="1"/>
  <c r="ER36" i="1"/>
  <c r="ES36" i="1" s="1"/>
  <c r="U155" i="1"/>
  <c r="ES29" i="1"/>
  <c r="DR124" i="1"/>
  <c r="DC134" i="1"/>
  <c r="D14" i="3"/>
  <c r="S61" i="3"/>
  <c r="U61" i="3" s="1"/>
  <c r="AJ61" i="3" s="1"/>
  <c r="DP83" i="1"/>
  <c r="DL62" i="1"/>
  <c r="BQ151" i="1"/>
  <c r="BK155" i="1"/>
  <c r="BQ155" i="1" s="1"/>
  <c r="DC155" i="1"/>
  <c r="DE155" i="1" s="1"/>
  <c r="DC154" i="1"/>
  <c r="DE154" i="1" s="1"/>
  <c r="DC156" i="1"/>
  <c r="DE156" i="1" s="1"/>
  <c r="DG143" i="1"/>
  <c r="DH153" i="1" s="1"/>
  <c r="BK156" i="1"/>
  <c r="CZ132" i="1"/>
  <c r="DD12" i="1"/>
  <c r="AC155" i="1"/>
  <c r="AK155" i="1"/>
  <c r="Q124" i="1"/>
  <c r="BD80" i="1"/>
  <c r="BC100" i="1"/>
  <c r="AL17" i="8" s="1"/>
  <c r="BP132" i="1"/>
  <c r="X83" i="1"/>
  <c r="CJ131" i="1"/>
  <c r="DC100" i="1"/>
  <c r="CV30" i="1"/>
  <c r="EC46" i="11" a="1"/>
  <c r="EE46" i="11" s="1"/>
  <c r="BC140" i="1"/>
  <c r="S130" i="3"/>
  <c r="CA103" i="1"/>
  <c r="DL82" i="1"/>
  <c r="CZ82" i="1"/>
  <c r="M154" i="1"/>
  <c r="BE126" i="1"/>
  <c r="BQ125" i="1"/>
  <c r="CV133" i="1"/>
  <c r="CU154" i="1"/>
  <c r="U154" i="1"/>
  <c r="CZ22" i="1"/>
  <c r="CZ62" i="1"/>
  <c r="CJ11" i="1"/>
  <c r="AK152" i="1"/>
  <c r="BO142" i="1"/>
  <c r="BP22" i="1"/>
  <c r="H120" i="1"/>
  <c r="L10" i="1"/>
  <c r="D25" i="3" s="1"/>
  <c r="DC85" i="1"/>
  <c r="DR125" i="1"/>
  <c r="AK156" i="1"/>
  <c r="DL92" i="1"/>
  <c r="BD123" i="1"/>
  <c r="AK125" i="1"/>
  <c r="CQ86" i="1"/>
  <c r="CQ84" i="1"/>
  <c r="CQ85" i="1"/>
  <c r="BT120" i="6"/>
  <c r="BD107" i="6"/>
  <c r="BD115" i="6" s="1"/>
  <c r="BD67" i="6" s="1"/>
  <c r="BD73" i="6" s="1"/>
  <c r="BP122" i="1"/>
  <c r="DL42" i="1"/>
  <c r="DQ40" i="1"/>
  <c r="F47" i="3"/>
  <c r="DG14" i="1"/>
  <c r="I126" i="1"/>
  <c r="CK125" i="1"/>
  <c r="BM125" i="1"/>
  <c r="I156" i="1"/>
  <c r="Q155" i="1"/>
  <c r="M156" i="1"/>
  <c r="BL104" i="1"/>
  <c r="FI18" i="11"/>
  <c r="FI53" i="11" s="1"/>
  <c r="DD92" i="1"/>
  <c r="DC142" i="1"/>
  <c r="DC202" i="1" s="1"/>
  <c r="BL22" i="1"/>
  <c r="CM85" i="1"/>
  <c r="CM84" i="1"/>
  <c r="CM86" i="1"/>
  <c r="DG102" i="1"/>
  <c r="DG142" i="1"/>
  <c r="DI124" i="1"/>
  <c r="DU94" i="1"/>
  <c r="DU242" i="1"/>
  <c r="DU244" i="1" s="1"/>
  <c r="DU236" i="1"/>
  <c r="BU155" i="1"/>
  <c r="DP242" i="1"/>
  <c r="DP236" i="1"/>
  <c r="DP243" i="1"/>
  <c r="BD82" i="1"/>
  <c r="S104" i="3"/>
  <c r="U104" i="3" s="1"/>
  <c r="AJ104" i="3" s="1"/>
  <c r="AL104" i="3" s="1"/>
  <c r="BC102" i="1"/>
  <c r="BU156" i="1"/>
  <c r="T122" i="1"/>
  <c r="DH80" i="1"/>
  <c r="DG86" i="1"/>
  <c r="DG140" i="1"/>
  <c r="DH150" i="1" s="1"/>
  <c r="L116" i="64"/>
  <c r="D202" i="3"/>
  <c r="H202" i="3" s="1"/>
  <c r="BJ12" i="6"/>
  <c r="BJ30" i="6" s="1"/>
  <c r="CY100" i="1"/>
  <c r="CY110" i="1" s="1"/>
  <c r="AI154" i="1"/>
  <c r="AK154" i="1" s="1"/>
  <c r="U124" i="1"/>
  <c r="AW125" i="1"/>
  <c r="M125" i="1"/>
  <c r="S144" i="3"/>
  <c r="DD90" i="1"/>
  <c r="DC14" i="1"/>
  <c r="S180" i="3"/>
  <c r="D95" i="8" s="1"/>
  <c r="Q154" i="1"/>
  <c r="CO124" i="1"/>
  <c r="DG246" i="1"/>
  <c r="DM125" i="1"/>
  <c r="M126" i="1"/>
  <c r="Y156" i="1"/>
  <c r="BQ154" i="1"/>
  <c r="CF43" i="1"/>
  <c r="CF73" i="1"/>
  <c r="CE143" i="1"/>
  <c r="CB33" i="1"/>
  <c r="CB53" i="1"/>
  <c r="CB93" i="1"/>
  <c r="CB63" i="1"/>
  <c r="CB123" i="1"/>
  <c r="CB83" i="1"/>
  <c r="F18" i="3"/>
  <c r="F20" i="3"/>
  <c r="F117" i="3"/>
  <c r="W140" i="1"/>
  <c r="X150" i="1" s="1"/>
  <c r="X120" i="1"/>
  <c r="S68" i="3"/>
  <c r="U68" i="3" s="1"/>
  <c r="AJ68" i="3" s="1"/>
  <c r="AJ81" i="1"/>
  <c r="AI141" i="1"/>
  <c r="AI101" i="1"/>
  <c r="AJ101" i="1" s="1"/>
  <c r="CY84" i="1"/>
  <c r="CY86" i="1"/>
  <c r="CY85" i="1"/>
  <c r="CU84" i="1"/>
  <c r="CU86" i="1"/>
  <c r="DC103" i="1"/>
  <c r="DD83" i="1"/>
  <c r="K116" i="64"/>
  <c r="BJ11" i="6"/>
  <c r="BJ29" i="6" s="1"/>
  <c r="D201" i="3"/>
  <c r="H201" i="3" s="1"/>
  <c r="DP95" i="1"/>
  <c r="DP96" i="1"/>
  <c r="DP94" i="1"/>
  <c r="DC143" i="1"/>
  <c r="DD153" i="1" s="1"/>
  <c r="DC95" i="1"/>
  <c r="DC94" i="1"/>
  <c r="DD94" i="1" s="1"/>
  <c r="DC96" i="1"/>
  <c r="DD91" i="1"/>
  <c r="ES28" i="1"/>
  <c r="ER32" i="1"/>
  <c r="F53" i="3"/>
  <c r="AZ121" i="1"/>
  <c r="AZ21" i="1"/>
  <c r="AZ81" i="1"/>
  <c r="S96" i="3"/>
  <c r="AY141" i="1"/>
  <c r="S126" i="3"/>
  <c r="U126" i="3" s="1"/>
  <c r="AJ126" i="3" s="1"/>
  <c r="BO103" i="1"/>
  <c r="CJ91" i="1"/>
  <c r="CJ41" i="1"/>
  <c r="CJ21" i="1"/>
  <c r="CJ31" i="1"/>
  <c r="CK31" i="1" s="1"/>
  <c r="CI101" i="1"/>
  <c r="AL74" i="8" s="1"/>
  <c r="CJ81" i="1"/>
  <c r="CJ71" i="1"/>
  <c r="S159" i="3"/>
  <c r="DL71" i="1"/>
  <c r="BT119" i="6"/>
  <c r="DU36" i="1"/>
  <c r="T81" i="1"/>
  <c r="S141" i="1"/>
  <c r="BX81" i="1"/>
  <c r="Q156" i="1"/>
  <c r="U156" i="1"/>
  <c r="DI125" i="1"/>
  <c r="O39" i="5"/>
  <c r="AI142" i="1"/>
  <c r="AJ142" i="1" s="1"/>
  <c r="CY142" i="1"/>
  <c r="EU31" i="1"/>
  <c r="BU126" i="1"/>
  <c r="AS126" i="1"/>
  <c r="AO126" i="1"/>
  <c r="Y125" i="1"/>
  <c r="BI124" i="1"/>
  <c r="DG100" i="1"/>
  <c r="DG110" i="1" s="1"/>
  <c r="DG85" i="1"/>
  <c r="M155" i="1"/>
  <c r="CS126" i="1"/>
  <c r="G101" i="1"/>
  <c r="H101" i="1" s="1"/>
  <c r="DD50" i="1"/>
  <c r="DD80" i="1"/>
  <c r="AW124" i="1"/>
  <c r="CN70" i="1"/>
  <c r="CM140" i="1"/>
  <c r="CN140" i="1" s="1"/>
  <c r="CB40" i="1"/>
  <c r="DI32" i="1"/>
  <c r="CV71" i="1"/>
  <c r="CV121" i="1"/>
  <c r="DU95" i="1"/>
  <c r="DU96" i="1"/>
  <c r="DH82" i="1"/>
  <c r="DA126" i="1"/>
  <c r="CC124" i="1"/>
  <c r="CG124" i="1"/>
  <c r="DM124" i="1"/>
  <c r="DM126" i="1"/>
  <c r="DI126" i="1"/>
  <c r="CG126" i="1"/>
  <c r="CC126" i="1"/>
  <c r="DA124" i="1"/>
  <c r="DE124" i="1"/>
  <c r="BA124" i="1"/>
  <c r="BM124" i="1"/>
  <c r="BE124" i="1"/>
  <c r="AW126" i="1"/>
  <c r="BA126" i="1"/>
  <c r="CS125" i="1"/>
  <c r="BI126" i="1"/>
  <c r="DA125" i="1"/>
  <c r="DE125" i="1"/>
  <c r="BU125" i="1"/>
  <c r="BY125" i="1"/>
  <c r="I125" i="1"/>
  <c r="DE126" i="1"/>
  <c r="BY126" i="1"/>
  <c r="Q126" i="1"/>
  <c r="CW125" i="1"/>
  <c r="BI125" i="1"/>
  <c r="BE125" i="1"/>
  <c r="AC124" i="1"/>
  <c r="AK124" i="1"/>
  <c r="CG125" i="1"/>
  <c r="CC125" i="1"/>
  <c r="BA125" i="1"/>
  <c r="CW124" i="1"/>
  <c r="CS124" i="1"/>
  <c r="Y124" i="1"/>
  <c r="Y126" i="1"/>
  <c r="Q125" i="1"/>
  <c r="CO126" i="1"/>
  <c r="BM126" i="1"/>
  <c r="S83" i="3"/>
  <c r="U83" i="3" s="1"/>
  <c r="AJ83" i="3" s="1"/>
  <c r="AR82" i="1"/>
  <c r="AQ102" i="1"/>
  <c r="AR102" i="1" s="1"/>
  <c r="AQ142" i="1"/>
  <c r="AR152" i="1" s="1"/>
  <c r="AI15" i="1"/>
  <c r="AK15" i="1" s="1"/>
  <c r="AI14" i="1"/>
  <c r="AJ24" i="1" s="1"/>
  <c r="CF83" i="1"/>
  <c r="CF53" i="1"/>
  <c r="CF93" i="1"/>
  <c r="CF13" i="1"/>
  <c r="AH13" i="6" s="1"/>
  <c r="AH25" i="6" s="1"/>
  <c r="CF63" i="1"/>
  <c r="CE103" i="1"/>
  <c r="CM18" i="11" s="1"/>
  <c r="CF23" i="1"/>
  <c r="CF33" i="1"/>
  <c r="S154" i="3"/>
  <c r="U154" i="3" s="1"/>
  <c r="CF123" i="1"/>
  <c r="O100" i="1"/>
  <c r="S32" i="3"/>
  <c r="U32" i="3" s="1"/>
  <c r="AJ32" i="3" s="1"/>
  <c r="AL32" i="3" s="1"/>
  <c r="P10" i="1"/>
  <c r="D32" i="3" s="1"/>
  <c r="F182" i="3"/>
  <c r="S33" i="3"/>
  <c r="O141" i="1"/>
  <c r="P141" i="1" s="1"/>
  <c r="O101" i="1"/>
  <c r="P21" i="1"/>
  <c r="P122" i="1"/>
  <c r="O142" i="1"/>
  <c r="P142" i="1" s="1"/>
  <c r="S34" i="3"/>
  <c r="U34" i="3" s="1"/>
  <c r="AJ34" i="3" s="1"/>
  <c r="AL34" i="3" s="1"/>
  <c r="P22" i="1"/>
  <c r="O102" i="1"/>
  <c r="P102" i="1" s="1"/>
  <c r="T12" i="1"/>
  <c r="D41" i="3" s="1"/>
  <c r="S140" i="1"/>
  <c r="T80" i="1"/>
  <c r="T120" i="1"/>
  <c r="T10" i="1"/>
  <c r="S100" i="1"/>
  <c r="CZ63" i="1"/>
  <c r="S189" i="3"/>
  <c r="D104" i="8" s="1"/>
  <c r="CU140" i="1"/>
  <c r="CV70" i="1"/>
  <c r="CU15" i="1"/>
  <c r="CV40" i="1"/>
  <c r="S179" i="3"/>
  <c r="D94" i="8" s="1"/>
  <c r="CV80" i="1"/>
  <c r="S152" i="3"/>
  <c r="CF61" i="1"/>
  <c r="D120" i="1"/>
  <c r="D80" i="1"/>
  <c r="AQ141" i="1"/>
  <c r="AR141" i="1" s="1"/>
  <c r="AR21" i="1"/>
  <c r="AA143" i="1"/>
  <c r="AB123" i="1"/>
  <c r="CB91" i="1"/>
  <c r="CB21" i="1"/>
  <c r="AJ23" i="1"/>
  <c r="DL10" i="1"/>
  <c r="BN10" i="6" s="1"/>
  <c r="BN22" i="6" s="1"/>
  <c r="S182" i="3"/>
  <c r="CV33" i="1"/>
  <c r="CV43" i="1"/>
  <c r="CV73" i="1"/>
  <c r="CV23" i="1"/>
  <c r="CV123" i="1"/>
  <c r="CV83" i="1"/>
  <c r="CV53" i="1"/>
  <c r="S111" i="3"/>
  <c r="U111" i="3" s="1"/>
  <c r="AJ111" i="3" s="1"/>
  <c r="BH82" i="1"/>
  <c r="BG102" i="1"/>
  <c r="BH22" i="1"/>
  <c r="BH12" i="1"/>
  <c r="BH122" i="1"/>
  <c r="BG142" i="1"/>
  <c r="BH142" i="1" s="1"/>
  <c r="S98" i="3"/>
  <c r="AZ123" i="1"/>
  <c r="AZ83" i="1"/>
  <c r="AY143" i="1"/>
  <c r="CU103" i="1"/>
  <c r="AL97" i="8" s="1"/>
  <c r="CV63" i="1"/>
  <c r="DQ22" i="1"/>
  <c r="H23" i="1"/>
  <c r="CN20" i="1"/>
  <c r="CN50" i="1"/>
  <c r="K140" i="1"/>
  <c r="X80" i="1"/>
  <c r="AI102" i="1"/>
  <c r="AJ82" i="1"/>
  <c r="AJ22" i="1"/>
  <c r="CV41" i="1"/>
  <c r="CV31" i="1"/>
  <c r="DU243" i="1"/>
  <c r="DC162" i="1"/>
  <c r="DH124" i="1"/>
  <c r="BF12" i="6"/>
  <c r="DH44" i="1"/>
  <c r="DH34" i="1"/>
  <c r="W160" i="1"/>
  <c r="X160" i="1" s="1"/>
  <c r="CM160" i="1"/>
  <c r="DC110" i="1"/>
  <c r="DD64" i="1"/>
  <c r="DH94" i="1"/>
  <c r="AL11" i="6"/>
  <c r="AL17" i="6" s="1"/>
  <c r="AL35" i="6" s="1"/>
  <c r="AL41" i="6" s="1"/>
  <c r="AL47" i="6" s="1"/>
  <c r="D159" i="3"/>
  <c r="DG162" i="1"/>
  <c r="DH162" i="1" s="1"/>
  <c r="DI142" i="1"/>
  <c r="DD54" i="1"/>
  <c r="ES32" i="1"/>
  <c r="BJ23" i="6"/>
  <c r="BJ17" i="6"/>
  <c r="BJ35" i="6" s="1"/>
  <c r="BJ41" i="6" s="1"/>
  <c r="BJ47" i="6" s="1"/>
  <c r="CN150" i="1"/>
  <c r="CM200" i="1" s="1"/>
  <c r="AJ102" i="1"/>
  <c r="D69" i="8"/>
  <c r="P152" i="1"/>
  <c r="J12" i="6"/>
  <c r="J24" i="6" s="1"/>
  <c r="D111" i="3"/>
  <c r="BH102" i="1"/>
  <c r="CV125" i="1"/>
  <c r="AY153" i="1"/>
  <c r="DU226" i="1"/>
  <c r="DU155" i="1"/>
  <c r="DW155" i="1" s="1"/>
  <c r="W190" i="1"/>
  <c r="AL29" i="6"/>
  <c r="FM7" i="11"/>
  <c r="BU6" i="11"/>
  <c r="BV6" i="11" s="1"/>
  <c r="BV80" i="11" s="1"/>
  <c r="DY46" i="11"/>
  <c r="AB113" i="6"/>
  <c r="AB65" i="6" s="1"/>
  <c r="AB71" i="6" s="1"/>
  <c r="BL125" i="6"/>
  <c r="H127" i="3"/>
  <c r="BT112" i="6"/>
  <c r="BT64" i="6" s="1"/>
  <c r="BT70" i="6" s="1"/>
  <c r="BT113" i="6"/>
  <c r="BT65" i="6" s="1"/>
  <c r="BT71" i="6" s="1"/>
  <c r="X11" i="64"/>
  <c r="DI33" i="1"/>
  <c r="DQ121" i="1"/>
  <c r="F83" i="3"/>
  <c r="AV132" i="1"/>
  <c r="AQ100" i="1"/>
  <c r="AR130" i="1"/>
  <c r="AR20" i="1"/>
  <c r="AR80" i="1"/>
  <c r="AQ16" i="1"/>
  <c r="AR86" i="1" s="1"/>
  <c r="AR120" i="1"/>
  <c r="CJ83" i="1"/>
  <c r="CJ80" i="1"/>
  <c r="CI100" i="1"/>
  <c r="CJ100" i="1" s="1"/>
  <c r="CI85" i="1"/>
  <c r="CI86" i="1"/>
  <c r="CI84" i="1"/>
  <c r="CF81" i="1"/>
  <c r="CE101" i="1"/>
  <c r="CE111" i="1" s="1"/>
  <c r="CE85" i="1"/>
  <c r="CE86" i="1"/>
  <c r="CE84" i="1"/>
  <c r="CE141" i="1"/>
  <c r="BU154" i="1"/>
  <c r="BO104" i="1"/>
  <c r="BO144" i="1"/>
  <c r="BP94" i="1"/>
  <c r="DG84" i="1"/>
  <c r="DH54" i="1"/>
  <c r="DI23" i="1"/>
  <c r="DK246" i="1"/>
  <c r="DK245" i="1"/>
  <c r="DP134" i="1"/>
  <c r="DN34" i="1"/>
  <c r="DK84" i="1"/>
  <c r="DS34" i="1"/>
  <c r="E36" i="5"/>
  <c r="G31" i="5"/>
  <c r="G32" i="5" s="1"/>
  <c r="G25" i="5"/>
  <c r="G26" i="5" s="1"/>
  <c r="D25" i="5"/>
  <c r="D26" i="5" s="1"/>
  <c r="F25" i="5"/>
  <c r="F26" i="5" s="1"/>
  <c r="F15" i="5"/>
  <c r="I36" i="5"/>
  <c r="F50" i="5"/>
  <c r="C39" i="5"/>
  <c r="C40" i="5" s="1"/>
  <c r="E39" i="5"/>
  <c r="F39" i="5"/>
  <c r="F40" i="5" s="1"/>
  <c r="H39" i="4"/>
  <c r="H9" i="5" s="1"/>
  <c r="BG41" i="11"/>
  <c r="F31" i="5"/>
  <c r="F32" i="5" s="1"/>
  <c r="I25" i="5"/>
  <c r="I26" i="5" s="1"/>
  <c r="F78" i="5"/>
  <c r="E34" i="5"/>
  <c r="D31" i="5"/>
  <c r="D32" i="5" s="1"/>
  <c r="H15" i="5"/>
  <c r="EW42" i="11"/>
  <c r="E28" i="5"/>
  <c r="E29" i="5" s="1"/>
  <c r="F28" i="5"/>
  <c r="F29" i="5" s="1"/>
  <c r="I62" i="5"/>
  <c r="I78" i="5"/>
  <c r="C31" i="5"/>
  <c r="C32" i="5" s="1"/>
  <c r="C28" i="5"/>
  <c r="C29" i="5" s="1"/>
  <c r="H47" i="5"/>
  <c r="G50" i="5"/>
  <c r="C34" i="5"/>
  <c r="I15" i="5"/>
  <c r="L71" i="9" s="1"/>
  <c r="H39" i="5"/>
  <c r="H40" i="5" s="1"/>
  <c r="E25" i="5"/>
  <c r="E26" i="5" s="1"/>
  <c r="D28" i="5"/>
  <c r="D29" i="5" s="1"/>
  <c r="H78" i="5"/>
  <c r="I47" i="5"/>
  <c r="I48" i="5" s="1"/>
  <c r="H31" i="5"/>
  <c r="H32" i="5" s="1"/>
  <c r="C15" i="5"/>
  <c r="I31" i="5"/>
  <c r="I32" i="5" s="1"/>
  <c r="T15" i="5"/>
  <c r="W71" i="9" s="1"/>
  <c r="W81" i="9" s="1"/>
  <c r="F34" i="5"/>
  <c r="E39" i="4"/>
  <c r="E9" i="5" s="1"/>
  <c r="C25" i="5"/>
  <c r="C26" i="5" s="1"/>
  <c r="G11" i="5"/>
  <c r="J70" i="9" s="1"/>
  <c r="J76" i="9" s="1"/>
  <c r="J80" i="9" s="1"/>
  <c r="H50" i="5"/>
  <c r="I11" i="5"/>
  <c r="L70" i="9" s="1"/>
  <c r="F56" i="5"/>
  <c r="CE30" i="11"/>
  <c r="CF30" i="11"/>
  <c r="C62" i="5"/>
  <c r="E56" i="5"/>
  <c r="E78" i="5"/>
  <c r="I28" i="5"/>
  <c r="I29" i="5" s="1"/>
  <c r="G62" i="5"/>
  <c r="G34" i="5"/>
  <c r="F11" i="5"/>
  <c r="I70" i="9" s="1"/>
  <c r="C50" i="5"/>
  <c r="C36" i="5"/>
  <c r="M39" i="5"/>
  <c r="CF12" i="11"/>
  <c r="H25" i="5"/>
  <c r="H26" i="5" s="1"/>
  <c r="D39" i="5"/>
  <c r="D40" i="5" s="1"/>
  <c r="E50" i="5"/>
  <c r="H56" i="5"/>
  <c r="D34" i="5"/>
  <c r="E47" i="5"/>
  <c r="BG30" i="11"/>
  <c r="BK24" i="11"/>
  <c r="BW17" i="11"/>
  <c r="M31" i="5"/>
  <c r="M32" i="5" s="1"/>
  <c r="BR34" i="11"/>
  <c r="BR37" i="11" s="1"/>
  <c r="CG43" i="11"/>
  <c r="BA21" i="11"/>
  <c r="BR36" i="11"/>
  <c r="R15" i="5"/>
  <c r="U71" i="9" s="1"/>
  <c r="Q31" i="5"/>
  <c r="U11" i="5"/>
  <c r="BR41" i="11"/>
  <c r="CG42" i="11"/>
  <c r="BF21" i="11"/>
  <c r="L39" i="4"/>
  <c r="L9" i="5" s="1"/>
  <c r="BZ42" i="11"/>
  <c r="M78" i="5"/>
  <c r="K36" i="5"/>
  <c r="G39" i="5"/>
  <c r="D62" i="5"/>
  <c r="BK21" i="11"/>
  <c r="CA15" i="11"/>
  <c r="CA64" i="11" s="1"/>
  <c r="N15" i="5"/>
  <c r="Q71" i="9" s="1"/>
  <c r="BI21" i="11"/>
  <c r="J31" i="5"/>
  <c r="J32" i="5" s="1"/>
  <c r="BF41" i="11"/>
  <c r="P36" i="5"/>
  <c r="Q36" i="5"/>
  <c r="BZ30" i="11"/>
  <c r="P15" i="5"/>
  <c r="S71" i="9" s="1"/>
  <c r="L28" i="5"/>
  <c r="L29" i="5" s="1"/>
  <c r="CH42" i="11"/>
  <c r="M34" i="5"/>
  <c r="U28" i="5"/>
  <c r="F27" i="8"/>
  <c r="BQ24" i="11"/>
  <c r="F60" i="8"/>
  <c r="BL42" i="11"/>
  <c r="D47" i="5"/>
  <c r="I50" i="5"/>
  <c r="C56" i="5"/>
  <c r="H62" i="5"/>
  <c r="E15" i="5"/>
  <c r="E17" i="5" s="1"/>
  <c r="U15" i="5"/>
  <c r="BM21" i="11"/>
  <c r="L11" i="5"/>
  <c r="O70" i="9" s="1"/>
  <c r="BG42" i="11"/>
  <c r="BP12" i="11"/>
  <c r="BP43" i="11"/>
  <c r="CF10" i="11"/>
  <c r="FK17" i="11"/>
  <c r="BN24" i="11"/>
  <c r="K39" i="5"/>
  <c r="K40" i="5" s="1"/>
  <c r="BV42" i="11"/>
  <c r="BM41" i="11"/>
  <c r="Q28" i="5"/>
  <c r="Q29" i="5" s="1"/>
  <c r="K39" i="4"/>
  <c r="K9" i="5" s="1"/>
  <c r="R31" i="5"/>
  <c r="BH21" i="11"/>
  <c r="S78" i="5"/>
  <c r="C26" i="60" s="1"/>
  <c r="P11" i="5"/>
  <c r="S70" i="9" s="1"/>
  <c r="S76" i="9" s="1"/>
  <c r="S80" i="9" s="1"/>
  <c r="L25" i="5"/>
  <c r="L26" i="5" s="1"/>
  <c r="BP41" i="11"/>
  <c r="K28" i="5"/>
  <c r="K29" i="5" s="1"/>
  <c r="I39" i="5"/>
  <c r="I40" i="5" s="1"/>
  <c r="H11" i="5"/>
  <c r="K70" i="9" s="1"/>
  <c r="F53" i="8"/>
  <c r="R62" i="5"/>
  <c r="BN20" i="11"/>
  <c r="S39" i="4"/>
  <c r="S9" i="5" s="1"/>
  <c r="Q50" i="5"/>
  <c r="BA63" i="11"/>
  <c r="BH17" i="11"/>
  <c r="CF43" i="11"/>
  <c r="F84" i="8"/>
  <c r="CH43" i="11"/>
  <c r="T25" i="5"/>
  <c r="W67" i="10" s="1"/>
  <c r="P50" i="5"/>
  <c r="BC42" i="11"/>
  <c r="J11" i="5"/>
  <c r="M70" i="9" s="1"/>
  <c r="M76" i="9" s="1"/>
  <c r="M80" i="9" s="1"/>
  <c r="F56" i="8"/>
  <c r="P28" i="5"/>
  <c r="P29" i="5" s="1"/>
  <c r="F32" i="8"/>
  <c r="BA42" i="11"/>
  <c r="BF42" i="11"/>
  <c r="CH24" i="11"/>
  <c r="G15" i="5"/>
  <c r="G17" i="5" s="1"/>
  <c r="C11" i="5"/>
  <c r="F70" i="9" s="1"/>
  <c r="F75" i="9" s="1"/>
  <c r="F79" i="9" s="1"/>
  <c r="F36" i="5"/>
  <c r="CF20" i="11"/>
  <c r="V31" i="5"/>
  <c r="F28" i="60" s="1"/>
  <c r="F69" i="60" s="1"/>
  <c r="F112" i="60" s="1"/>
  <c r="F158" i="60" s="1"/>
  <c r="CA41" i="11"/>
  <c r="BL41" i="11"/>
  <c r="BR43" i="11"/>
  <c r="BK42" i="11"/>
  <c r="P78" i="5"/>
  <c r="W11" i="5"/>
  <c r="G8" i="60" s="1"/>
  <c r="G50" i="60" s="1"/>
  <c r="K15" i="5"/>
  <c r="K17" i="5" s="1"/>
  <c r="BW42" i="11"/>
  <c r="K34" i="5"/>
  <c r="BS42" i="11"/>
  <c r="CE21" i="11"/>
  <c r="CH21" i="11"/>
  <c r="M36" i="5"/>
  <c r="CB17" i="11"/>
  <c r="F21" i="8"/>
  <c r="CJ12" i="11"/>
  <c r="BG21" i="11"/>
  <c r="BF12" i="11"/>
  <c r="CC41" i="11"/>
  <c r="CG15" i="11"/>
  <c r="H28" i="5"/>
  <c r="H29" i="5" s="1"/>
  <c r="F63" i="8"/>
  <c r="O47" i="5"/>
  <c r="U62" i="5"/>
  <c r="J28" i="5"/>
  <c r="J29" i="5" s="1"/>
  <c r="U39" i="4"/>
  <c r="T31" i="5"/>
  <c r="D28" i="60" s="1"/>
  <c r="D69" i="60" s="1"/>
  <c r="D112" i="60" s="1"/>
  <c r="D158" i="60" s="1"/>
  <c r="J34" i="5"/>
  <c r="K62" i="5"/>
  <c r="U34" i="5"/>
  <c r="P7" i="5"/>
  <c r="P11" i="4" s="1"/>
  <c r="P36" i="4" s="1"/>
  <c r="FI76" i="11" s="1"/>
  <c r="S50" i="5"/>
  <c r="C16" i="60" s="1"/>
  <c r="C101" i="60" s="1"/>
  <c r="T78" i="5"/>
  <c r="D26" i="60" s="1"/>
  <c r="F28" i="8"/>
  <c r="CB15" i="11"/>
  <c r="BH42" i="11"/>
  <c r="F77" i="8"/>
  <c r="BH63" i="11"/>
  <c r="FJ46" i="11"/>
  <c r="BP20" i="11"/>
  <c r="BD43" i="11"/>
  <c r="F47" i="8"/>
  <c r="CB24" i="11"/>
  <c r="F42" i="8"/>
  <c r="CE42" i="11"/>
  <c r="BX17" i="11"/>
  <c r="F55" i="8"/>
  <c r="CA21" i="11"/>
  <c r="BC12" i="11"/>
  <c r="L39" i="5"/>
  <c r="I34" i="5"/>
  <c r="H36" i="5"/>
  <c r="G28" i="5"/>
  <c r="G29" i="5" s="1"/>
  <c r="D50" i="5"/>
  <c r="D56" i="5"/>
  <c r="R56" i="5"/>
  <c r="FK63" i="11"/>
  <c r="CE15" i="11"/>
  <c r="CC21" i="11"/>
  <c r="J50" i="5"/>
  <c r="U78" i="5"/>
  <c r="E26" i="60" s="1"/>
  <c r="BR10" i="11"/>
  <c r="F20" i="8"/>
  <c r="BQ17" i="11"/>
  <c r="BS10" i="11"/>
  <c r="BS52" i="11" s="1"/>
  <c r="S28" i="5"/>
  <c r="L78" i="5"/>
  <c r="BC45" i="11"/>
  <c r="BK41" i="11"/>
  <c r="BR17" i="11"/>
  <c r="T34" i="5"/>
  <c r="CG21" i="11"/>
  <c r="BC20" i="11"/>
  <c r="BI41" i="11"/>
  <c r="BQ42" i="11"/>
  <c r="BS17" i="11"/>
  <c r="L34" i="5"/>
  <c r="U50" i="5"/>
  <c r="E16" i="60" s="1"/>
  <c r="T62" i="5"/>
  <c r="BS34" i="11"/>
  <c r="BS37" i="11" s="1"/>
  <c r="BK30" i="11"/>
  <c r="R78" i="5"/>
  <c r="S25" i="5"/>
  <c r="V67" i="10" s="1"/>
  <c r="BA20" i="11"/>
  <c r="CG41" i="11"/>
  <c r="O39" i="4"/>
  <c r="O9" i="5" s="1"/>
  <c r="BS43" i="11"/>
  <c r="CB30" i="11"/>
  <c r="P34" i="5"/>
  <c r="CB43" i="11"/>
  <c r="K47" i="5"/>
  <c r="BF17" i="11"/>
  <c r="L50" i="5"/>
  <c r="BQ43" i="11"/>
  <c r="BB41" i="11"/>
  <c r="BL30" i="11"/>
  <c r="FK42" i="11"/>
  <c r="V15" i="5"/>
  <c r="BD17" i="11"/>
  <c r="Q34" i="5"/>
  <c r="CC42" i="11"/>
  <c r="L36" i="5"/>
  <c r="O11" i="5"/>
  <c r="R70" i="9" s="1"/>
  <c r="R76" i="9" s="1"/>
  <c r="R80" i="9" s="1"/>
  <c r="BV24" i="11"/>
  <c r="F67" i="8"/>
  <c r="M15" i="5"/>
  <c r="BG17" i="11"/>
  <c r="V47" i="5"/>
  <c r="BR24" i="11"/>
  <c r="BU12" i="11"/>
  <c r="BR30" i="11"/>
  <c r="BP30" i="11"/>
  <c r="CA30" i="11"/>
  <c r="L62" i="5"/>
  <c r="F39" i="8"/>
  <c r="FL43" i="11"/>
  <c r="F40" i="8"/>
  <c r="CA17" i="11"/>
  <c r="CK41" i="11"/>
  <c r="FJ63" i="11"/>
  <c r="K50" i="5"/>
  <c r="BH41" i="11"/>
  <c r="CG20" i="11"/>
  <c r="F97" i="8"/>
  <c r="FK15" i="11"/>
  <c r="Q39" i="5"/>
  <c r="M50" i="5"/>
  <c r="CM30" i="11"/>
  <c r="Q78" i="5"/>
  <c r="O34" i="5"/>
  <c r="T50" i="5"/>
  <c r="D16" i="60" s="1"/>
  <c r="D101" i="60" s="1"/>
  <c r="BN41" i="11"/>
  <c r="O78" i="5"/>
  <c r="BQ41" i="11"/>
  <c r="EW63" i="11"/>
  <c r="L47" i="5"/>
  <c r="D39" i="4"/>
  <c r="D9" i="5" s="1"/>
  <c r="BW63" i="11"/>
  <c r="T28" i="5"/>
  <c r="CH30" i="11"/>
  <c r="BX42" i="11"/>
  <c r="BD41" i="11"/>
  <c r="FK46" i="11"/>
  <c r="N31" i="5"/>
  <c r="N32" i="5" s="1"/>
  <c r="FJ15" i="11"/>
  <c r="FJ64" i="11" s="1"/>
  <c r="BM17" i="11"/>
  <c r="P39" i="5"/>
  <c r="BP24" i="11"/>
  <c r="BV17" i="11"/>
  <c r="M28" i="5"/>
  <c r="M29" i="5" s="1"/>
  <c r="BG12" i="11"/>
  <c r="CK12" i="11"/>
  <c r="BM43" i="11"/>
  <c r="N11" i="5"/>
  <c r="Q70" i="9" s="1"/>
  <c r="F41" i="8"/>
  <c r="BZ17" i="11"/>
  <c r="V34" i="5"/>
  <c r="CH17" i="11"/>
  <c r="F96" i="8"/>
  <c r="F98" i="8"/>
  <c r="BK10" i="11"/>
  <c r="BK52" i="11" s="1"/>
  <c r="FI45" i="11"/>
  <c r="FI58" i="11" s="1"/>
  <c r="F25" i="8"/>
  <c r="BM30" i="11"/>
  <c r="BZ20" i="11"/>
  <c r="AL35" i="8"/>
  <c r="BZ63" i="11"/>
  <c r="V62" i="5"/>
  <c r="D15" i="5"/>
  <c r="D17" i="5" s="1"/>
  <c r="C78" i="5"/>
  <c r="S11" i="5"/>
  <c r="V70" i="9" s="1"/>
  <c r="V75" i="9" s="1"/>
  <c r="V79" i="9" s="1"/>
  <c r="BK20" i="11"/>
  <c r="N50" i="5"/>
  <c r="F54" i="8"/>
  <c r="BL43" i="11"/>
  <c r="J36" i="5"/>
  <c r="F95" i="8"/>
  <c r="BI30" i="11"/>
  <c r="R11" i="5"/>
  <c r="U70" i="9" s="1"/>
  <c r="BQ21" i="11"/>
  <c r="BL21" i="11"/>
  <c r="CG17" i="11"/>
  <c r="BZ12" i="11"/>
  <c r="BR12" i="11"/>
  <c r="BZ21" i="11"/>
  <c r="CB12" i="11"/>
  <c r="R34" i="5"/>
  <c r="M11" i="5"/>
  <c r="P70" i="9" s="1"/>
  <c r="N78" i="5"/>
  <c r="CL41" i="11"/>
  <c r="CB42" i="11"/>
  <c r="BS30" i="11"/>
  <c r="BN63" i="11"/>
  <c r="BK43" i="11"/>
  <c r="BG43" i="11"/>
  <c r="U25" i="5"/>
  <c r="X67" i="10" s="1"/>
  <c r="L15" i="5"/>
  <c r="L17" i="5" s="1"/>
  <c r="J62" i="5"/>
  <c r="W15" i="5"/>
  <c r="S62" i="5"/>
  <c r="D11" i="5"/>
  <c r="G70" i="9" s="1"/>
  <c r="F91" i="8"/>
  <c r="Q11" i="5"/>
  <c r="T70" i="9" s="1"/>
  <c r="T76" i="9" s="1"/>
  <c r="T80" i="9" s="1"/>
  <c r="F35" i="8"/>
  <c r="BF30" i="11"/>
  <c r="F19" i="8"/>
  <c r="N62" i="5"/>
  <c r="T47" i="5"/>
  <c r="D15" i="60" s="1"/>
  <c r="F47" i="5"/>
  <c r="BI63" i="11"/>
  <c r="G78" i="5"/>
  <c r="EW41" i="11"/>
  <c r="BK17" i="11"/>
  <c r="F48" i="8"/>
  <c r="G56" i="5"/>
  <c r="FJ41" i="11"/>
  <c r="J25" i="5"/>
  <c r="J26" i="5" s="1"/>
  <c r="F18" i="8"/>
  <c r="BI17" i="11"/>
  <c r="BZ15" i="11"/>
  <c r="BZ64" i="11" s="1"/>
  <c r="W39" i="5"/>
  <c r="BR20" i="11"/>
  <c r="CH41" i="11"/>
  <c r="N34" i="5"/>
  <c r="FI42" i="11"/>
  <c r="CE41" i="11"/>
  <c r="BM12" i="11"/>
  <c r="R47" i="5"/>
  <c r="S47" i="5"/>
  <c r="C15" i="60" s="1"/>
  <c r="BS63" i="11"/>
  <c r="BS20" i="11"/>
  <c r="CJ30" i="11"/>
  <c r="K78" i="5"/>
  <c r="F73" i="8"/>
  <c r="R50" i="5"/>
  <c r="F88" i="8"/>
  <c r="F90" i="8"/>
  <c r="BC43" i="11"/>
  <c r="CE17" i="11"/>
  <c r="Q56" i="5"/>
  <c r="U47" i="5"/>
  <c r="E15" i="60" s="1"/>
  <c r="R36" i="5"/>
  <c r="S31" i="5"/>
  <c r="C28" i="60" s="1"/>
  <c r="C69" i="60" s="1"/>
  <c r="C112" i="60" s="1"/>
  <c r="C158" i="60" s="1"/>
  <c r="FI17" i="11"/>
  <c r="J39" i="5"/>
  <c r="J40" i="5" s="1"/>
  <c r="O31" i="5"/>
  <c r="O32" i="5" s="1"/>
  <c r="BB43" i="11"/>
  <c r="U39" i="5"/>
  <c r="E12" i="60" s="1"/>
  <c r="E54" i="60" s="1"/>
  <c r="CF15" i="11"/>
  <c r="BS41" i="11"/>
  <c r="BQ30" i="11"/>
  <c r="K25" i="5"/>
  <c r="K26" i="5" s="1"/>
  <c r="BI43" i="11"/>
  <c r="BV41" i="11"/>
  <c r="BK12" i="11"/>
  <c r="CC43" i="11"/>
  <c r="N47" i="5"/>
  <c r="CG30" i="11"/>
  <c r="F52" i="8"/>
  <c r="V50" i="5"/>
  <c r="F16" i="60" s="1"/>
  <c r="F101" i="60" s="1"/>
  <c r="F45" i="8"/>
  <c r="CA10" i="11"/>
  <c r="BP21" i="11"/>
  <c r="P56" i="5"/>
  <c r="CE43" i="11"/>
  <c r="BN21" i="11"/>
  <c r="BH30" i="11"/>
  <c r="FI63" i="11"/>
  <c r="N25" i="5"/>
  <c r="N26" i="5" s="1"/>
  <c r="F69" i="8"/>
  <c r="BN42" i="11"/>
  <c r="BN17" i="11"/>
  <c r="BK45" i="11"/>
  <c r="M47" i="5"/>
  <c r="E11" i="5"/>
  <c r="H70" i="9" s="1"/>
  <c r="CH20" i="11"/>
  <c r="F31" i="8"/>
  <c r="W50" i="5"/>
  <c r="G16" i="60" s="1"/>
  <c r="G58" i="60" s="1"/>
  <c r="BN12" i="11"/>
  <c r="BM42" i="11"/>
  <c r="BL24" i="11"/>
  <c r="F33" i="8"/>
  <c r="CA42" i="11"/>
  <c r="S34" i="5"/>
  <c r="BL17" i="11"/>
  <c r="BD21" i="11"/>
  <c r="BN43" i="11"/>
  <c r="CH15" i="11"/>
  <c r="CF21" i="11"/>
  <c r="CE20" i="11"/>
  <c r="R28" i="5"/>
  <c r="R29" i="5" s="1"/>
  <c r="U31" i="5"/>
  <c r="BV20" i="11"/>
  <c r="J78" i="5"/>
  <c r="CC17" i="11"/>
  <c r="BI12" i="11"/>
  <c r="FI43" i="11"/>
  <c r="FJ42" i="11"/>
  <c r="BP42" i="11"/>
  <c r="BG20" i="11"/>
  <c r="CC20" i="11"/>
  <c r="CM17" i="11"/>
  <c r="F66" i="8"/>
  <c r="W62" i="5"/>
  <c r="E31" i="5"/>
  <c r="E32" i="5" s="1"/>
  <c r="D78" i="5"/>
  <c r="P31" i="5"/>
  <c r="P32" i="5" s="1"/>
  <c r="V39" i="5"/>
  <c r="F12" i="60" s="1"/>
  <c r="F83" i="8"/>
  <c r="W28" i="5"/>
  <c r="FK36" i="11"/>
  <c r="F17" i="8"/>
  <c r="FK41" i="11"/>
  <c r="F68" i="8"/>
  <c r="FJ43" i="11"/>
  <c r="Q62" i="5"/>
  <c r="M25" i="5"/>
  <c r="M26" i="5" s="1"/>
  <c r="F75" i="8"/>
  <c r="BI42" i="11"/>
  <c r="CE12" i="11"/>
  <c r="BF20" i="11"/>
  <c r="CC15" i="11"/>
  <c r="CC64" i="11" s="1"/>
  <c r="BS21" i="11"/>
  <c r="P47" i="5"/>
  <c r="Q7" i="5"/>
  <c r="Q11" i="4" s="1"/>
  <c r="F62" i="8"/>
  <c r="T11" i="5"/>
  <c r="W70" i="9" s="1"/>
  <c r="W76" i="9" s="1"/>
  <c r="W80" i="9" s="1"/>
  <c r="F76" i="8"/>
  <c r="N28" i="5"/>
  <c r="N29" i="5" s="1"/>
  <c r="CF42" i="11"/>
  <c r="O15" i="5"/>
  <c r="CC30" i="11"/>
  <c r="F34" i="8"/>
  <c r="BS36" i="11"/>
  <c r="CH10" i="11"/>
  <c r="F61" i="8"/>
  <c r="F62" i="5"/>
  <c r="C47" i="5"/>
  <c r="D36" i="5"/>
  <c r="BC41" i="11"/>
  <c r="T39" i="5"/>
  <c r="D12" i="60" s="1"/>
  <c r="CL30" i="11"/>
  <c r="BH20" i="11"/>
  <c r="S39" i="5"/>
  <c r="C12" i="60" s="1"/>
  <c r="C97" i="60" s="1"/>
  <c r="F38" i="8"/>
  <c r="CB21" i="11"/>
  <c r="F26" i="8"/>
  <c r="BL20" i="11"/>
  <c r="BP17" i="11"/>
  <c r="BM45" i="11"/>
  <c r="F74" i="8"/>
  <c r="AW20" i="11"/>
  <c r="BQ12" i="11"/>
  <c r="O28" i="5"/>
  <c r="O29" i="5" s="1"/>
  <c r="AL42" i="8"/>
  <c r="FT46" i="11"/>
  <c r="G36" i="5"/>
  <c r="W47" i="5"/>
  <c r="G15" i="60" s="1"/>
  <c r="G57" i="60" s="1"/>
  <c r="F49" i="8"/>
  <c r="BZ41" i="11"/>
  <c r="K11" i="5"/>
  <c r="N70" i="9" s="1"/>
  <c r="CF17" i="11"/>
  <c r="BB21" i="11"/>
  <c r="BG10" i="11"/>
  <c r="BG52" i="11" s="1"/>
  <c r="F87" i="8"/>
  <c r="BF43" i="11"/>
  <c r="E62" i="5"/>
  <c r="CA43" i="11"/>
  <c r="CA12" i="11"/>
  <c r="S15" i="5"/>
  <c r="CC12" i="11"/>
  <c r="EW17" i="11"/>
  <c r="O36" i="5"/>
  <c r="BD42" i="11"/>
  <c r="BH43" i="11"/>
  <c r="CH12" i="11"/>
  <c r="CF41" i="11"/>
  <c r="CC24" i="11"/>
  <c r="BS24" i="11"/>
  <c r="AD50" i="5"/>
  <c r="FW21" i="11" s="1"/>
  <c r="BS12" i="11"/>
  <c r="BC30" i="11"/>
  <c r="F70" i="8"/>
  <c r="BH12" i="11"/>
  <c r="BA41" i="11"/>
  <c r="G47" i="5"/>
  <c r="F118" i="8"/>
  <c r="F108" i="8"/>
  <c r="FT63" i="11"/>
  <c r="BS18" i="11"/>
  <c r="J15" i="5"/>
  <c r="L31" i="5"/>
  <c r="L32" i="5" s="1"/>
  <c r="BL12" i="11"/>
  <c r="N39" i="5"/>
  <c r="F94" i="8"/>
  <c r="F24" i="8"/>
  <c r="BI18" i="11"/>
  <c r="BR21" i="11"/>
  <c r="BM20" i="11"/>
  <c r="CA20" i="11"/>
  <c r="CG12" i="11"/>
  <c r="BN30" i="11"/>
  <c r="O50" i="5"/>
  <c r="BW12" i="11"/>
  <c r="BA45" i="11"/>
  <c r="CA63" i="11"/>
  <c r="I56" i="5"/>
  <c r="N36" i="5"/>
  <c r="CB41" i="11"/>
  <c r="Q47" i="5"/>
  <c r="K31" i="5"/>
  <c r="K32" i="5" s="1"/>
  <c r="BU17" i="11"/>
  <c r="FJ17" i="11"/>
  <c r="F81" i="8"/>
  <c r="F89" i="8"/>
  <c r="R39" i="5"/>
  <c r="O62" i="5"/>
  <c r="F115" i="8"/>
  <c r="BQ20" i="11"/>
  <c r="BB17" i="11"/>
  <c r="FK43" i="11"/>
  <c r="M62" i="5"/>
  <c r="BX12" i="11"/>
  <c r="AL116" i="8"/>
  <c r="BM24" i="11"/>
  <c r="BI20" i="11"/>
  <c r="CH63" i="11"/>
  <c r="P62" i="5"/>
  <c r="F59" i="8"/>
  <c r="BI10" i="11"/>
  <c r="BI52" i="11" s="1"/>
  <c r="BZ24" i="11"/>
  <c r="BZ43" i="11"/>
  <c r="FI41" i="11"/>
  <c r="J47" i="5"/>
  <c r="F46" i="8"/>
  <c r="H34" i="5"/>
  <c r="BA43" i="11"/>
  <c r="EW43" i="11"/>
  <c r="F80" i="8"/>
  <c r="BR42" i="11"/>
  <c r="AL26" i="8"/>
  <c r="Q15" i="5"/>
  <c r="T71" i="9" s="1"/>
  <c r="BP113" i="6"/>
  <c r="BP65" i="6" s="1"/>
  <c r="BP71" i="6" s="1"/>
  <c r="CB20" i="11"/>
  <c r="DK86" i="1"/>
  <c r="DK100" i="1"/>
  <c r="DK85" i="1"/>
  <c r="D41" i="8"/>
  <c r="BJ18" i="6"/>
  <c r="BJ36" i="6" s="1"/>
  <c r="BJ42" i="6" s="1"/>
  <c r="BJ48" i="6" s="1"/>
  <c r="BJ24" i="6"/>
  <c r="I124" i="1"/>
  <c r="M124" i="1"/>
  <c r="DC26" i="1"/>
  <c r="BD108" i="6"/>
  <c r="DC141" i="1"/>
  <c r="DD141" i="1" s="1"/>
  <c r="DC101" i="1"/>
  <c r="DC24" i="1"/>
  <c r="DC25" i="1"/>
  <c r="DD21" i="1"/>
  <c r="AB132" i="1"/>
  <c r="AB82" i="1"/>
  <c r="AA142" i="1"/>
  <c r="AA162" i="1" s="1"/>
  <c r="AA182" i="1" s="1"/>
  <c r="S55" i="3"/>
  <c r="AA102" i="1"/>
  <c r="DI31" i="1"/>
  <c r="S70" i="3"/>
  <c r="U70" i="3" s="1"/>
  <c r="AJ70" i="3" s="1"/>
  <c r="AI143" i="1"/>
  <c r="AJ153" i="1" s="1"/>
  <c r="AJ13" i="1"/>
  <c r="D70" i="3" s="1"/>
  <c r="AI103" i="1"/>
  <c r="AJ83" i="1"/>
  <c r="AJ133" i="1"/>
  <c r="AJ123" i="1"/>
  <c r="F166" i="3"/>
  <c r="BW86" i="1"/>
  <c r="BW85" i="1"/>
  <c r="BW84" i="1"/>
  <c r="D42" i="8"/>
  <c r="U127" i="3"/>
  <c r="W127" i="3" s="1"/>
  <c r="CA84" i="1"/>
  <c r="BU124" i="1"/>
  <c r="BY124" i="1"/>
  <c r="DJ34" i="1"/>
  <c r="DC84" i="1"/>
  <c r="DD84" i="1" s="1"/>
  <c r="DH64" i="1"/>
  <c r="BK144" i="1"/>
  <c r="BL154" i="1" s="1"/>
  <c r="BL134" i="1"/>
  <c r="DG136" i="1"/>
  <c r="DG141" i="1"/>
  <c r="DG134" i="1"/>
  <c r="DH134" i="1" s="1"/>
  <c r="DH85" i="1"/>
  <c r="DP246" i="1"/>
  <c r="DP244" i="1"/>
  <c r="T151" i="1"/>
  <c r="DH24" i="1"/>
  <c r="DH74" i="1"/>
  <c r="DI83" i="1"/>
  <c r="BD132" i="1"/>
  <c r="BC142" i="1"/>
  <c r="BD142" i="1" s="1"/>
  <c r="AS124" i="1"/>
  <c r="AO124" i="1"/>
  <c r="AB133" i="1"/>
  <c r="AA103" i="1"/>
  <c r="AB83" i="1"/>
  <c r="AC83" i="1" s="1"/>
  <c r="AB13" i="1"/>
  <c r="D56" i="3" s="1"/>
  <c r="CB31" i="1"/>
  <c r="CB41" i="1"/>
  <c r="CB51" i="1"/>
  <c r="CB131" i="1"/>
  <c r="CF11" i="1"/>
  <c r="CB71" i="1"/>
  <c r="S145" i="3"/>
  <c r="CB121" i="1"/>
  <c r="CB11" i="1"/>
  <c r="D145" i="3" s="1"/>
  <c r="AB131" i="1"/>
  <c r="AB121" i="1"/>
  <c r="AB81" i="1"/>
  <c r="F89" i="3"/>
  <c r="DH130" i="1"/>
  <c r="DH90" i="1"/>
  <c r="DH70" i="1"/>
  <c r="DH30" i="1"/>
  <c r="DH60" i="1"/>
  <c r="DH40" i="1"/>
  <c r="DG15" i="1"/>
  <c r="DH20" i="1"/>
  <c r="DH120" i="1"/>
  <c r="DG16" i="1"/>
  <c r="DH96" i="1" s="1"/>
  <c r="AF11" i="1"/>
  <c r="AE141" i="1"/>
  <c r="W143" i="1"/>
  <c r="S49" i="3"/>
  <c r="U49" i="3" s="1"/>
  <c r="AJ49" i="3" s="1"/>
  <c r="AL49" i="3" s="1"/>
  <c r="X23" i="1"/>
  <c r="DC86" i="1"/>
  <c r="DC140" i="1"/>
  <c r="CA85" i="1"/>
  <c r="CA86" i="1"/>
  <c r="BD109" i="6"/>
  <c r="DD22" i="1"/>
  <c r="DC102" i="1"/>
  <c r="DD102" i="1" s="1"/>
  <c r="CF131" i="1"/>
  <c r="CF21" i="1"/>
  <c r="CK21" i="1" s="1"/>
  <c r="CF91" i="1"/>
  <c r="CF121" i="1"/>
  <c r="S147" i="3"/>
  <c r="D62" i="8" s="1"/>
  <c r="CB23" i="1"/>
  <c r="U125" i="1"/>
  <c r="BD120" i="1"/>
  <c r="BD130" i="1"/>
  <c r="AF13" i="1"/>
  <c r="BQ24" i="1"/>
  <c r="DQ70" i="1"/>
  <c r="BL133" i="1"/>
  <c r="BL13" i="1"/>
  <c r="N13" i="6" s="1"/>
  <c r="N25" i="6" s="1"/>
  <c r="BL83" i="1"/>
  <c r="BP13" i="1"/>
  <c r="R13" i="6" s="1"/>
  <c r="S119" i="3"/>
  <c r="BK143" i="1"/>
  <c r="CF92" i="1"/>
  <c r="CF32" i="1"/>
  <c r="CF122" i="1"/>
  <c r="CF82" i="1"/>
  <c r="CF52" i="1"/>
  <c r="CF132" i="1"/>
  <c r="S103" i="1"/>
  <c r="T13" i="1"/>
  <c r="D42" i="3" s="1"/>
  <c r="T83" i="1"/>
  <c r="T123" i="1"/>
  <c r="T133" i="1"/>
  <c r="X13" i="1"/>
  <c r="D49" i="3" s="1"/>
  <c r="S42" i="3"/>
  <c r="U42" i="3" s="1"/>
  <c r="AJ42" i="3" s="1"/>
  <c r="S143" i="1"/>
  <c r="Y143" i="1" s="1"/>
  <c r="T23" i="1"/>
  <c r="DU12" i="1"/>
  <c r="DV72" i="1" s="1"/>
  <c r="P11" i="1"/>
  <c r="D33" i="3" s="1"/>
  <c r="H33" i="3" s="1"/>
  <c r="C143" i="1"/>
  <c r="D133" i="1"/>
  <c r="D123" i="1"/>
  <c r="S14" i="3"/>
  <c r="U14" i="3" s="1"/>
  <c r="AJ14" i="3" s="1"/>
  <c r="C103" i="1"/>
  <c r="H13" i="1"/>
  <c r="D21" i="3" s="1"/>
  <c r="D83" i="1"/>
  <c r="D23" i="1"/>
  <c r="CV135" i="1"/>
  <c r="CV95" i="1"/>
  <c r="CV55" i="1"/>
  <c r="U100" i="1"/>
  <c r="T100" i="1"/>
  <c r="U33" i="3"/>
  <c r="AJ33" i="3" s="1"/>
  <c r="AL33" i="3" s="1"/>
  <c r="BH120" i="1"/>
  <c r="BG140" i="1"/>
  <c r="BH10" i="1"/>
  <c r="BH80" i="1"/>
  <c r="BH20" i="1"/>
  <c r="BI20" i="1" s="1"/>
  <c r="BH130" i="1"/>
  <c r="BG100" i="1"/>
  <c r="S109" i="3"/>
  <c r="D24" i="8" s="1"/>
  <c r="D97" i="8"/>
  <c r="W99" i="64"/>
  <c r="X14" i="64"/>
  <c r="CC63" i="11"/>
  <c r="F140" i="3"/>
  <c r="BO141" i="1"/>
  <c r="S124" i="3"/>
  <c r="U124" i="3" s="1"/>
  <c r="AJ124" i="3" s="1"/>
  <c r="BQ10" i="11"/>
  <c r="BQ52" i="11" s="1"/>
  <c r="BO101" i="1"/>
  <c r="BP21" i="1"/>
  <c r="BP131" i="1"/>
  <c r="BP81" i="1"/>
  <c r="F13" i="3"/>
  <c r="CA113" i="1"/>
  <c r="CH45" i="11" s="1"/>
  <c r="AQ15" i="1"/>
  <c r="AR125" i="1" s="1"/>
  <c r="AB20" i="1"/>
  <c r="AA100" i="1"/>
  <c r="F48" i="3"/>
  <c r="DV131" i="1"/>
  <c r="T132" i="1"/>
  <c r="S142" i="1"/>
  <c r="CZ61" i="1"/>
  <c r="CZ71" i="1"/>
  <c r="CZ41" i="1"/>
  <c r="CZ21" i="1"/>
  <c r="DE21" i="1" s="1"/>
  <c r="CZ11" i="1"/>
  <c r="CZ131" i="1"/>
  <c r="S187" i="3"/>
  <c r="D102" i="8" s="1"/>
  <c r="CZ31" i="1"/>
  <c r="F41" i="3"/>
  <c r="BT21" i="1"/>
  <c r="BU21" i="1" s="1"/>
  <c r="T121" i="1"/>
  <c r="S40" i="3"/>
  <c r="G140" i="1"/>
  <c r="H150" i="1" s="1"/>
  <c r="G100" i="1"/>
  <c r="AA141" i="1"/>
  <c r="AA101" i="1"/>
  <c r="AB101" i="1" s="1"/>
  <c r="BL144" i="1"/>
  <c r="BK164" i="1"/>
  <c r="AB152" i="1"/>
  <c r="AB142" i="1"/>
  <c r="DC161" i="1"/>
  <c r="BP154" i="1"/>
  <c r="AL67" i="8"/>
  <c r="AR26" i="1"/>
  <c r="AG81" i="1"/>
  <c r="D152" i="3"/>
  <c r="AH11" i="6"/>
  <c r="BO114" i="1"/>
  <c r="FJ45" i="11" s="1"/>
  <c r="BP104" i="1"/>
  <c r="BQ104" i="1"/>
  <c r="FJ18" i="11"/>
  <c r="FJ53" i="11" s="1"/>
  <c r="DC112" i="1"/>
  <c r="BD113" i="6"/>
  <c r="BD65" i="6" s="1"/>
  <c r="BD71" i="6" s="1"/>
  <c r="DH26" i="1"/>
  <c r="DH46" i="1"/>
  <c r="DH151" i="1"/>
  <c r="DH84" i="1"/>
  <c r="AD11" i="6"/>
  <c r="AD17" i="6" s="1"/>
  <c r="AD35" i="6" s="1"/>
  <c r="AD41" i="6" s="1"/>
  <c r="AD47" i="6" s="1"/>
  <c r="DI21" i="1"/>
  <c r="W163" i="1"/>
  <c r="W183" i="1" s="1"/>
  <c r="X153" i="1"/>
  <c r="X143" i="1"/>
  <c r="DH75" i="1"/>
  <c r="DH65" i="1"/>
  <c r="BI142" i="1"/>
  <c r="BC152" i="1"/>
  <c r="BD152" i="1" s="1"/>
  <c r="AR135" i="1"/>
  <c r="AR25" i="1"/>
  <c r="BO161" i="1"/>
  <c r="J10" i="6"/>
  <c r="J16" i="6" s="1"/>
  <c r="J40" i="6" s="1"/>
  <c r="Y23" i="1"/>
  <c r="T103" i="1"/>
  <c r="D119" i="3"/>
  <c r="G160" i="1"/>
  <c r="G190" i="1" s="1"/>
  <c r="H140" i="1"/>
  <c r="BP101" i="1"/>
  <c r="BQ18" i="11"/>
  <c r="Y83" i="1"/>
  <c r="D39" i="8"/>
  <c r="D103" i="1"/>
  <c r="T153" i="1"/>
  <c r="BK184" i="1"/>
  <c r="BL184" i="1" s="1"/>
  <c r="BK194" i="1"/>
  <c r="FI26" i="11"/>
  <c r="BL164" i="1"/>
  <c r="AD23" i="6"/>
  <c r="N19" i="6"/>
  <c r="N43" i="6" s="1"/>
  <c r="N49" i="6" s="1"/>
  <c r="DU26" i="1"/>
  <c r="BT109" i="6"/>
  <c r="FI34" i="11"/>
  <c r="W213" i="1"/>
  <c r="BT114" i="6"/>
  <c r="BT66" i="6" s="1"/>
  <c r="BT72" i="6" s="1"/>
  <c r="AL57" i="7"/>
  <c r="CO7" i="11"/>
  <c r="CP24" i="11"/>
  <c r="CJ6" i="11"/>
  <c r="CK42" i="11"/>
  <c r="CM21" i="11"/>
  <c r="CL12" i="11"/>
  <c r="CL20" i="11"/>
  <c r="CM10" i="11"/>
  <c r="CL43" i="11"/>
  <c r="CK17" i="11"/>
  <c r="CL21" i="11"/>
  <c r="CK30" i="11"/>
  <c r="CJ42" i="11"/>
  <c r="CK24" i="11"/>
  <c r="CJ15" i="11"/>
  <c r="CM42" i="11"/>
  <c r="CL17" i="11"/>
  <c r="CM24" i="11"/>
  <c r="CK10" i="11"/>
  <c r="CJ20" i="11"/>
  <c r="CJ21" i="11"/>
  <c r="CK21" i="11"/>
  <c r="CJ43" i="11"/>
  <c r="CL15" i="11"/>
  <c r="CL24" i="11"/>
  <c r="CK18" i="11"/>
  <c r="CM20" i="11"/>
  <c r="CK20" i="11"/>
  <c r="CJ41" i="11"/>
  <c r="CJ17" i="11"/>
  <c r="CK43" i="11"/>
  <c r="CM15" i="11"/>
  <c r="CK15" i="11"/>
  <c r="CM12" i="11"/>
  <c r="CL42" i="11"/>
  <c r="CM41" i="11"/>
  <c r="CM43" i="11"/>
  <c r="CK45" i="11"/>
  <c r="EX63" i="11"/>
  <c r="AX10" i="11"/>
  <c r="AX52" i="11" s="1"/>
  <c r="AW21" i="11"/>
  <c r="DX46" i="11"/>
  <c r="DZ46" i="11"/>
  <c r="CP30" i="11"/>
  <c r="R58" i="60"/>
  <c r="R144" i="60"/>
  <c r="R140" i="60"/>
  <c r="R97" i="60"/>
  <c r="DU156" i="1"/>
  <c r="DW156" i="1" s="1"/>
  <c r="BU48" i="6"/>
  <c r="BX54" i="6" s="1"/>
  <c r="DV31" i="1"/>
  <c r="DV21" i="1"/>
  <c r="DX34" i="1"/>
  <c r="DU83" i="1"/>
  <c r="AL109" i="8"/>
  <c r="CG31" i="1"/>
  <c r="DD162" i="1"/>
  <c r="CF153" i="1"/>
  <c r="CE203" i="1" s="1"/>
  <c r="CH18" i="11"/>
  <c r="BV12" i="11"/>
  <c r="DH101" i="1"/>
  <c r="DG111" i="1"/>
  <c r="DH81" i="1"/>
  <c r="H33" i="8"/>
  <c r="H83" i="8"/>
  <c r="H53" i="8"/>
  <c r="X53" i="8" s="1"/>
  <c r="H103" i="8"/>
  <c r="H25" i="8"/>
  <c r="H82" i="8"/>
  <c r="H41" i="8"/>
  <c r="H129" i="8"/>
  <c r="H119" i="8"/>
  <c r="H110" i="8"/>
  <c r="H38" i="8"/>
  <c r="H101" i="8"/>
  <c r="H90" i="8"/>
  <c r="H20" i="8"/>
  <c r="H98" i="8"/>
  <c r="H21" i="8"/>
  <c r="H18" i="8"/>
  <c r="H111" i="8"/>
  <c r="H48" i="8"/>
  <c r="X48" i="8" s="1"/>
  <c r="H54" i="8"/>
  <c r="AD54" i="8" s="1"/>
  <c r="H31" i="8"/>
  <c r="H124" i="8"/>
  <c r="H62" i="8"/>
  <c r="H131" i="8"/>
  <c r="H39" i="8"/>
  <c r="H108" i="8"/>
  <c r="H60" i="8"/>
  <c r="N60" i="8" s="1"/>
  <c r="H24" i="8"/>
  <c r="H69" i="8"/>
  <c r="H88" i="8"/>
  <c r="H40" i="8"/>
  <c r="J41" i="8" s="1"/>
  <c r="H104" i="8"/>
  <c r="H70" i="8"/>
  <c r="H42" i="8"/>
  <c r="H56" i="8"/>
  <c r="H52" i="8"/>
  <c r="H67" i="8"/>
  <c r="H125" i="8"/>
  <c r="H45" i="8"/>
  <c r="H126" i="8"/>
  <c r="H95" i="8"/>
  <c r="H61" i="8"/>
  <c r="H49" i="8"/>
  <c r="H89" i="8"/>
  <c r="H63" i="8"/>
  <c r="H75" i="8"/>
  <c r="H123" i="8"/>
  <c r="H32" i="8"/>
  <c r="H28" i="8"/>
  <c r="H47" i="8"/>
  <c r="H26" i="8"/>
  <c r="H109" i="8"/>
  <c r="H77" i="8"/>
  <c r="H66" i="8"/>
  <c r="H96" i="8"/>
  <c r="H97" i="8"/>
  <c r="H76" i="8"/>
  <c r="H133" i="8"/>
  <c r="H27" i="8"/>
  <c r="H35" i="8"/>
  <c r="H115" i="8"/>
  <c r="H81" i="8"/>
  <c r="H112" i="8"/>
  <c r="H19" i="8"/>
  <c r="H116" i="8"/>
  <c r="H87" i="8"/>
  <c r="H132" i="8"/>
  <c r="H46" i="8"/>
  <c r="H91" i="8"/>
  <c r="H84" i="8"/>
  <c r="H55" i="8"/>
  <c r="H94" i="8"/>
  <c r="H68" i="8"/>
  <c r="H118" i="8"/>
  <c r="N118" i="8" s="1"/>
  <c r="H102" i="8"/>
  <c r="H80" i="8"/>
  <c r="H130" i="8"/>
  <c r="H34" i="8"/>
  <c r="X34" i="8" s="1"/>
  <c r="H59" i="8"/>
  <c r="H73" i="8"/>
  <c r="H117" i="8"/>
  <c r="H122" i="8"/>
  <c r="H17" i="8"/>
  <c r="H74" i="8"/>
  <c r="H105" i="8"/>
  <c r="BM30" i="6"/>
  <c r="A109" i="6"/>
  <c r="A114" i="6"/>
  <c r="A119" i="6" s="1"/>
  <c r="A124" i="6" s="1"/>
  <c r="B64" i="6"/>
  <c r="B70" i="6"/>
  <c r="B76" i="6" s="1"/>
  <c r="B82" i="6"/>
  <c r="AH5" i="4"/>
  <c r="F39" i="4"/>
  <c r="F9" i="5" s="1"/>
  <c r="G28" i="4"/>
  <c r="Q18" i="4"/>
  <c r="Q19" i="4" s="1"/>
  <c r="K28" i="4"/>
  <c r="O28" i="4"/>
  <c r="AA28" i="4"/>
  <c r="R14" i="4"/>
  <c r="R17" i="4" s="1"/>
  <c r="L42" i="41" s="1"/>
  <c r="L44" i="41" s="1"/>
  <c r="L45" i="41" s="1"/>
  <c r="L46" i="41" s="1"/>
  <c r="FJ72" i="11"/>
  <c r="FJ80" i="11" s="1"/>
  <c r="L28" i="4"/>
  <c r="R39" i="4"/>
  <c r="R9" i="5" s="1"/>
  <c r="FN81" i="11"/>
  <c r="U147" i="3"/>
  <c r="AJ147" i="3" s="1"/>
  <c r="AJ123" i="6"/>
  <c r="AZ115" i="6"/>
  <c r="AZ67" i="6" s="1"/>
  <c r="AZ73" i="6" s="1"/>
  <c r="AN125" i="6"/>
  <c r="AJ124" i="6"/>
  <c r="AV113" i="6"/>
  <c r="AV65" i="6" s="1"/>
  <c r="AV71" i="6" s="1"/>
  <c r="BD112" i="6"/>
  <c r="BD64" i="6" s="1"/>
  <c r="BD70" i="6" s="1"/>
  <c r="AJ154" i="3"/>
  <c r="AL154" i="3" s="1"/>
  <c r="W154" i="3"/>
  <c r="C17" i="4"/>
  <c r="D14" i="4"/>
  <c r="D17" i="4" s="1"/>
  <c r="E14" i="4" s="1"/>
  <c r="J47" i="41"/>
  <c r="K46" i="41"/>
  <c r="K47" i="41"/>
  <c r="FJ62" i="11"/>
  <c r="CB6" i="11"/>
  <c r="FB74" i="11"/>
  <c r="DZ82" i="1"/>
  <c r="CV140" i="1"/>
  <c r="CV150" i="1"/>
  <c r="CU200" i="1" s="1"/>
  <c r="CU160" i="1"/>
  <c r="CU190" i="1" s="1"/>
  <c r="D154" i="3"/>
  <c r="DZ94" i="1"/>
  <c r="DZ96" i="1"/>
  <c r="DZ175" i="1"/>
  <c r="DZ176" i="1"/>
  <c r="D139" i="8"/>
  <c r="Q33" i="4"/>
  <c r="Q34" i="4" s="1"/>
  <c r="C18" i="4"/>
  <c r="D18" i="4"/>
  <c r="D33" i="4" s="1"/>
  <c r="EW75" i="11" s="1"/>
  <c r="FK72" i="11"/>
  <c r="FK80" i="11" s="1"/>
  <c r="S14" i="4"/>
  <c r="FJ75" i="11"/>
  <c r="R18" i="4"/>
  <c r="R19" i="4" s="1"/>
  <c r="EW72" i="11"/>
  <c r="EW80" i="11" s="1"/>
  <c r="R33" i="4"/>
  <c r="R34" i="4" s="1"/>
  <c r="AI26" i="5"/>
  <c r="AH26" i="5"/>
  <c r="AJ26" i="5"/>
  <c r="BX46" i="6"/>
  <c r="BX58" i="6"/>
  <c r="DU13" i="1"/>
  <c r="DV53" i="1" s="1"/>
  <c r="S225" i="3"/>
  <c r="S178" i="60"/>
  <c r="T54" i="60"/>
  <c r="T58" i="60"/>
  <c r="T97" i="60"/>
  <c r="T101" i="60"/>
  <c r="FL74" i="11"/>
  <c r="FD81" i="11"/>
  <c r="EX41" i="11"/>
  <c r="FL81" i="11"/>
  <c r="FU71" i="11"/>
  <c r="EX42" i="11"/>
  <c r="EX43" i="11"/>
  <c r="EX71" i="11"/>
  <c r="EX17" i="11"/>
  <c r="CP20" i="11"/>
  <c r="CO21" i="11"/>
  <c r="CP10" i="11"/>
  <c r="CP12" i="11"/>
  <c r="CP43" i="11"/>
  <c r="CR10" i="11"/>
  <c r="CR15" i="11"/>
  <c r="CP41" i="11"/>
  <c r="CO41" i="11"/>
  <c r="DT71" i="11"/>
  <c r="DS71" i="11" s="1"/>
  <c r="DQ71" i="11" s="1"/>
  <c r="DP71" i="11" s="1"/>
  <c r="DO71" i="11" s="1"/>
  <c r="DN71" i="11" s="1"/>
  <c r="FC74" i="11"/>
  <c r="BZ80" i="11"/>
  <c r="CE80" i="11"/>
  <c r="CJ80" i="11"/>
  <c r="FD74" i="11"/>
  <c r="CK6" i="11"/>
  <c r="CL6" i="11" s="1"/>
  <c r="CL80" i="11" s="1"/>
  <c r="BW6" i="11"/>
  <c r="BG6" i="11"/>
  <c r="BV30" i="11"/>
  <c r="BW41" i="11"/>
  <c r="BX30" i="11"/>
  <c r="BX20" i="11"/>
  <c r="BW24" i="11"/>
  <c r="BW30" i="11"/>
  <c r="BU21" i="11"/>
  <c r="BX21" i="11"/>
  <c r="BW20" i="11"/>
  <c r="BU30" i="11"/>
  <c r="BW21" i="11"/>
  <c r="BV43" i="11"/>
  <c r="BW43" i="11"/>
  <c r="BU20" i="11"/>
  <c r="BU24" i="11"/>
  <c r="BU42" i="11"/>
  <c r="BX24" i="11"/>
  <c r="BU41" i="11"/>
  <c r="BV21" i="11"/>
  <c r="BU63" i="11"/>
  <c r="BV45" i="11"/>
  <c r="BU43" i="11"/>
  <c r="BX41" i="11"/>
  <c r="BX45" i="11"/>
  <c r="BX43" i="11"/>
  <c r="EY42" i="11"/>
  <c r="EY71" i="11"/>
  <c r="EY43" i="11"/>
  <c r="EY41" i="11"/>
  <c r="EY63" i="11"/>
  <c r="EY17" i="11"/>
  <c r="EZ7" i="11"/>
  <c r="BR6" i="11"/>
  <c r="BM6" i="11"/>
  <c r="BN6" i="11" s="1"/>
  <c r="BH6" i="11"/>
  <c r="BI6" i="11" s="1"/>
  <c r="D140" i="8"/>
  <c r="DW14" i="1"/>
  <c r="O39" i="60" s="1"/>
  <c r="DT74" i="11"/>
  <c r="BS6" i="11"/>
  <c r="CM6" i="11"/>
  <c r="CM80" i="11" s="1"/>
  <c r="J43" i="52"/>
  <c r="L43" i="52" s="1"/>
  <c r="Q43" i="52" s="1"/>
  <c r="S43" i="52" s="1"/>
  <c r="T43" i="52" s="1"/>
  <c r="CA80" i="11"/>
  <c r="FM46" i="11"/>
  <c r="FM42" i="11"/>
  <c r="FM17" i="11"/>
  <c r="FM41" i="11"/>
  <c r="CF80" i="11"/>
  <c r="CG6" i="11"/>
  <c r="CH6" i="11" s="1"/>
  <c r="AY30" i="11"/>
  <c r="AW41" i="11"/>
  <c r="AY41" i="11"/>
  <c r="AW43" i="11"/>
  <c r="AV21" i="11"/>
  <c r="AY10" i="11"/>
  <c r="AY12" i="11"/>
  <c r="AX17" i="11"/>
  <c r="AV12" i="11"/>
  <c r="AW30" i="11"/>
  <c r="AX43" i="11"/>
  <c r="AV10" i="11"/>
  <c r="AV43" i="11"/>
  <c r="AV63" i="11"/>
  <c r="FS74" i="11"/>
  <c r="AX21" i="11"/>
  <c r="AV17" i="11"/>
  <c r="AX42" i="11"/>
  <c r="AY21" i="11"/>
  <c r="DZ35" i="1"/>
  <c r="EB124" i="1"/>
  <c r="DZ36" i="1"/>
  <c r="CG80" i="11"/>
  <c r="S97" i="60"/>
  <c r="S54" i="60"/>
  <c r="S140" i="60"/>
  <c r="AJ28" i="9"/>
  <c r="AK28" i="9" s="1"/>
  <c r="AL28" i="9" s="1"/>
  <c r="AM28" i="9" s="1"/>
  <c r="AN28" i="9" s="1"/>
  <c r="J59" i="52"/>
  <c r="AH37" i="9"/>
  <c r="AL29" i="7"/>
  <c r="AJ15" i="9"/>
  <c r="AJ37" i="10" s="1"/>
  <c r="AK84" i="9"/>
  <c r="AL29" i="10"/>
  <c r="AL84" i="9"/>
  <c r="AM84" i="9" s="1"/>
  <c r="EJ73" i="11"/>
  <c r="AJ14" i="9"/>
  <c r="CB13" i="6" s="1"/>
  <c r="AJ36" i="10"/>
  <c r="BX13" i="6"/>
  <c r="AJ26" i="9"/>
  <c r="AK14" i="9"/>
  <c r="AK36" i="10" s="1"/>
  <c r="BT61" i="6"/>
  <c r="BU31" i="6"/>
  <c r="AJ33" i="9"/>
  <c r="BU19" i="6"/>
  <c r="BY19" i="6"/>
  <c r="AI83" i="9"/>
  <c r="EK73" i="11" s="1"/>
  <c r="DZ242" i="1"/>
  <c r="DZ246" i="1" s="1"/>
  <c r="DZ235" i="1"/>
  <c r="DZ241" i="1"/>
  <c r="AK15" i="9"/>
  <c r="AL14" i="9"/>
  <c r="AL26" i="9" s="1"/>
  <c r="AK26" i="9"/>
  <c r="AF39" i="5"/>
  <c r="AF47" i="5"/>
  <c r="AH47" i="5" s="1"/>
  <c r="AJ58" i="7"/>
  <c r="H146" i="8"/>
  <c r="H138" i="8"/>
  <c r="H140" i="8"/>
  <c r="H145" i="8"/>
  <c r="N152" i="8" s="1"/>
  <c r="H137" i="8"/>
  <c r="H136" i="8"/>
  <c r="H139" i="8"/>
  <c r="H147" i="8"/>
  <c r="AH31" i="9"/>
  <c r="AH39" i="9"/>
  <c r="AH64" i="9" s="1"/>
  <c r="F139" i="8"/>
  <c r="BT110" i="6"/>
  <c r="DU24" i="1"/>
  <c r="AE11" i="5" s="1"/>
  <c r="DZ245" i="1"/>
  <c r="AL15" i="9"/>
  <c r="AL37" i="10"/>
  <c r="AL36" i="10"/>
  <c r="AM14" i="9"/>
  <c r="AK39" i="10"/>
  <c r="AK83" i="9"/>
  <c r="AF34" i="5"/>
  <c r="H144" i="8"/>
  <c r="N151" i="8" s="1"/>
  <c r="H143" i="8"/>
  <c r="N150" i="8" s="1"/>
  <c r="AM15" i="9"/>
  <c r="AM37" i="10" s="1"/>
  <c r="AM36" i="10"/>
  <c r="DW153" i="1"/>
  <c r="DU154" i="1"/>
  <c r="AE56" i="5" s="1"/>
  <c r="O19" i="60" s="1"/>
  <c r="BU37" i="6"/>
  <c r="BU25" i="6"/>
  <c r="AL35" i="7"/>
  <c r="AL47" i="7" s="1"/>
  <c r="AL23" i="6" l="1"/>
  <c r="DA82" i="1"/>
  <c r="AO83" i="1"/>
  <c r="R47" i="10"/>
  <c r="R71" i="10" s="1"/>
  <c r="AM29" i="10"/>
  <c r="AN29" i="10" s="1"/>
  <c r="G15" i="81"/>
  <c r="H15" i="81"/>
  <c r="I15" i="81" s="1"/>
  <c r="F15" i="81"/>
  <c r="N59" i="52"/>
  <c r="L59" i="52"/>
  <c r="AG34" i="5"/>
  <c r="AG25" i="5"/>
  <c r="AG50" i="5"/>
  <c r="AG28" i="5"/>
  <c r="AG31" i="5"/>
  <c r="C13" i="81" s="1"/>
  <c r="AG39" i="5"/>
  <c r="AD45" i="10"/>
  <c r="AN23" i="7"/>
  <c r="AN17" i="7"/>
  <c r="AN37" i="10"/>
  <c r="AN15" i="9"/>
  <c r="AL83" i="9"/>
  <c r="AL39" i="10"/>
  <c r="H154" i="8"/>
  <c r="CC13" i="6"/>
  <c r="H153" i="8"/>
  <c r="CB67" i="6"/>
  <c r="AJ39" i="10"/>
  <c r="CB31" i="6"/>
  <c r="AM26" i="9"/>
  <c r="AN14" i="9"/>
  <c r="AN26" i="9" s="1"/>
  <c r="BX31" i="6"/>
  <c r="BY31" i="6" s="1"/>
  <c r="P101" i="60"/>
  <c r="P58" i="60"/>
  <c r="P144" i="60"/>
  <c r="FY21" i="11"/>
  <c r="L80" i="52"/>
  <c r="L82" i="52" s="1"/>
  <c r="Q59" i="52"/>
  <c r="S59" i="52" s="1"/>
  <c r="R61" i="10"/>
  <c r="R65" i="10" s="1"/>
  <c r="EE230" i="1"/>
  <c r="DZ83" i="1"/>
  <c r="EE33" i="1"/>
  <c r="EC34" i="1"/>
  <c r="EK34" i="1" s="1"/>
  <c r="F45" i="52"/>
  <c r="H44" i="52"/>
  <c r="T48" i="52"/>
  <c r="D45" i="52"/>
  <c r="P117" i="8"/>
  <c r="EZ43" i="11"/>
  <c r="EZ41" i="11"/>
  <c r="EZ45" i="11"/>
  <c r="FA7" i="11"/>
  <c r="CQ24" i="11"/>
  <c r="CR30" i="11"/>
  <c r="CR24" i="11"/>
  <c r="CP17" i="11"/>
  <c r="CR17" i="11"/>
  <c r="CQ42" i="11"/>
  <c r="CR42" i="11"/>
  <c r="CO6" i="11"/>
  <c r="CP21" i="11"/>
  <c r="CR12" i="11"/>
  <c r="CR14" i="11" s="1"/>
  <c r="CO30" i="11"/>
  <c r="CQ41" i="11"/>
  <c r="CR41" i="11"/>
  <c r="CO24" i="11"/>
  <c r="CR43" i="11"/>
  <c r="CQ12" i="11"/>
  <c r="CP42" i="11"/>
  <c r="CO63" i="11"/>
  <c r="CO10" i="11"/>
  <c r="CO15" i="11"/>
  <c r="CQ17" i="11"/>
  <c r="CQ30" i="11"/>
  <c r="CO17" i="11"/>
  <c r="CO43" i="11"/>
  <c r="CQ15" i="11"/>
  <c r="CQ64" i="11" s="1"/>
  <c r="DS74" i="11"/>
  <c r="CR21" i="11"/>
  <c r="CP15" i="11"/>
  <c r="CP64" i="11" s="1"/>
  <c r="CQ43" i="11"/>
  <c r="CT7" i="11"/>
  <c r="CR20" i="11"/>
  <c r="FM63" i="11"/>
  <c r="FN7" i="11"/>
  <c r="FM71" i="11"/>
  <c r="FM43" i="11"/>
  <c r="DP74" i="11"/>
  <c r="CK80" i="11"/>
  <c r="BW80" i="11"/>
  <c r="BX6" i="11"/>
  <c r="BX80" i="11" s="1"/>
  <c r="CQ20" i="11"/>
  <c r="CO42" i="11"/>
  <c r="CO20" i="11"/>
  <c r="CO12" i="11"/>
  <c r="CC6" i="11"/>
  <c r="CC80" i="11" s="1"/>
  <c r="CB80" i="11"/>
  <c r="CT35" i="11"/>
  <c r="AV6" i="11"/>
  <c r="AW6" i="11" s="1"/>
  <c r="AX6" i="11" s="1"/>
  <c r="AY6" i="11" s="1"/>
  <c r="AX24" i="11"/>
  <c r="AX30" i="11"/>
  <c r="AX12" i="11"/>
  <c r="AX14" i="11" s="1"/>
  <c r="AX51" i="11" s="1"/>
  <c r="AW12" i="11"/>
  <c r="AW63" i="11"/>
  <c r="AQ7" i="11"/>
  <c r="AV42" i="11"/>
  <c r="AY17" i="11"/>
  <c r="AX20" i="11"/>
  <c r="AV30" i="11"/>
  <c r="AY42" i="11"/>
  <c r="AW24" i="11"/>
  <c r="AV24" i="11"/>
  <c r="AW17" i="11"/>
  <c r="AW42" i="11"/>
  <c r="AX41" i="11"/>
  <c r="AV41" i="11"/>
  <c r="AY20" i="11"/>
  <c r="AY43" i="11"/>
  <c r="AY63" i="11"/>
  <c r="AV20" i="11"/>
  <c r="FL41" i="11"/>
  <c r="FL17" i="11"/>
  <c r="FL71" i="11"/>
  <c r="FL42" i="11"/>
  <c r="FL46" i="11"/>
  <c r="FL63" i="11"/>
  <c r="BA12" i="11"/>
  <c r="BB30" i="11"/>
  <c r="BA30" i="11"/>
  <c r="BA24" i="11"/>
  <c r="BB63" i="11"/>
  <c r="BD30" i="11"/>
  <c r="BC21" i="11"/>
  <c r="BA6" i="11"/>
  <c r="BB6" i="11" s="1"/>
  <c r="BC6" i="11" s="1"/>
  <c r="BD6" i="11" s="1"/>
  <c r="BC24" i="11"/>
  <c r="BA17" i="11"/>
  <c r="BC17" i="11"/>
  <c r="BB12" i="11"/>
  <c r="BB20" i="11"/>
  <c r="BD20" i="11"/>
  <c r="BD12" i="11"/>
  <c r="BB42" i="11"/>
  <c r="FV7" i="11"/>
  <c r="EY45" i="11"/>
  <c r="AX45" i="11"/>
  <c r="AX58" i="11" s="1"/>
  <c r="AV45" i="11"/>
  <c r="BA68" i="11" s="1"/>
  <c r="BD45" i="11"/>
  <c r="BI68" i="11" s="1"/>
  <c r="BB45" i="11"/>
  <c r="BG68" i="11" s="1"/>
  <c r="BU80" i="11"/>
  <c r="FA45" i="11"/>
  <c r="AY45" i="11"/>
  <c r="AY58" i="11" s="1"/>
  <c r="AW45" i="11"/>
  <c r="AX63" i="11"/>
  <c r="BS53" i="11"/>
  <c r="DW20" i="1"/>
  <c r="U216" i="3"/>
  <c r="AJ216" i="3" s="1"/>
  <c r="AP223" i="3"/>
  <c r="DU15" i="1"/>
  <c r="FV63" i="11"/>
  <c r="DQ60" i="1"/>
  <c r="U196" i="3"/>
  <c r="AJ196" i="3" s="1"/>
  <c r="AD46" i="8"/>
  <c r="DV51" i="1"/>
  <c r="DU101" i="1"/>
  <c r="CF14" i="11"/>
  <c r="CF51" i="11" s="1"/>
  <c r="D26" i="8"/>
  <c r="DQ90" i="1"/>
  <c r="DL22" i="1"/>
  <c r="DM22" i="1" s="1"/>
  <c r="DQ130" i="1"/>
  <c r="X102" i="8"/>
  <c r="DV61" i="1"/>
  <c r="DQ31" i="1"/>
  <c r="U102" i="3"/>
  <c r="AJ102" i="3" s="1"/>
  <c r="AL102" i="3" s="1"/>
  <c r="DQ120" i="1"/>
  <c r="DL52" i="1"/>
  <c r="DL72" i="1"/>
  <c r="U120" i="3"/>
  <c r="AP190" i="3"/>
  <c r="AQ197" i="3" s="1"/>
  <c r="AQ201" i="3"/>
  <c r="AD75" i="8"/>
  <c r="D19" i="8"/>
  <c r="DQ132" i="1"/>
  <c r="DQ51" i="1"/>
  <c r="DQ41" i="1"/>
  <c r="H111" i="3"/>
  <c r="DQ12" i="1"/>
  <c r="AQ193" i="3"/>
  <c r="AP208" i="3"/>
  <c r="L139" i="8"/>
  <c r="DW31" i="1"/>
  <c r="DP15" i="1"/>
  <c r="DP101" i="1"/>
  <c r="DP111" i="1" s="1"/>
  <c r="D207" i="3"/>
  <c r="H207" i="3" s="1"/>
  <c r="DQ92" i="1"/>
  <c r="DQ10" i="1"/>
  <c r="D214" i="3" s="1"/>
  <c r="H214" i="3" s="1"/>
  <c r="DK141" i="1"/>
  <c r="DL151" i="1" s="1"/>
  <c r="U201" i="3"/>
  <c r="AJ201" i="3" s="1"/>
  <c r="H15" i="3"/>
  <c r="AD27" i="8"/>
  <c r="X45" i="8"/>
  <c r="X62" i="8"/>
  <c r="CK53" i="11"/>
  <c r="L109" i="8"/>
  <c r="DK140" i="1"/>
  <c r="DL150" i="1" s="1"/>
  <c r="DQ91" i="1"/>
  <c r="DL60" i="1"/>
  <c r="DL61" i="1"/>
  <c r="L123" i="8"/>
  <c r="L118" i="8"/>
  <c r="L116" i="8"/>
  <c r="AB84" i="6"/>
  <c r="AB78" i="6"/>
  <c r="U143" i="1"/>
  <c r="P143" i="1"/>
  <c r="P153" i="1"/>
  <c r="O163" i="1"/>
  <c r="X79" i="6"/>
  <c r="X85" i="6"/>
  <c r="DV95" i="1"/>
  <c r="DV55" i="1"/>
  <c r="U96" i="3"/>
  <c r="AJ96" i="3" s="1"/>
  <c r="D11" i="8"/>
  <c r="F123" i="3"/>
  <c r="BP63" i="11"/>
  <c r="S27" i="3"/>
  <c r="L122" i="1"/>
  <c r="L82" i="1"/>
  <c r="G102" i="1"/>
  <c r="G142" i="1"/>
  <c r="AE100" i="1"/>
  <c r="AF100" i="1" s="1"/>
  <c r="AF10" i="1"/>
  <c r="S60" i="3"/>
  <c r="U60" i="3" s="1"/>
  <c r="AJ60" i="3" s="1"/>
  <c r="AE142" i="1"/>
  <c r="AF152" i="1" s="1"/>
  <c r="S62" i="3"/>
  <c r="U62" i="3" s="1"/>
  <c r="AJ62" i="3" s="1"/>
  <c r="AF22" i="1"/>
  <c r="AE102" i="1"/>
  <c r="AK102" i="1" s="1"/>
  <c r="AF12" i="1"/>
  <c r="AV11" i="1"/>
  <c r="D89" i="3" s="1"/>
  <c r="H89" i="3" s="1"/>
  <c r="AV121" i="1"/>
  <c r="AV81" i="1"/>
  <c r="BA81" i="1" s="1"/>
  <c r="BB10" i="11"/>
  <c r="BB52" i="11" s="1"/>
  <c r="AV21" i="1"/>
  <c r="S74" i="3"/>
  <c r="U74" i="3" s="1"/>
  <c r="AJ74" i="3" s="1"/>
  <c r="AM100" i="1"/>
  <c r="AN120" i="1"/>
  <c r="AN130" i="1"/>
  <c r="S117" i="3"/>
  <c r="BP11" i="1"/>
  <c r="BK101" i="1"/>
  <c r="BL121" i="1"/>
  <c r="AY102" i="1"/>
  <c r="BE102" i="1" s="1"/>
  <c r="S97" i="3"/>
  <c r="BH10" i="11"/>
  <c r="BH52" i="11" s="1"/>
  <c r="DU14" i="1"/>
  <c r="DV63" i="1"/>
  <c r="DV73" i="1"/>
  <c r="C16" i="1"/>
  <c r="D136" i="1" s="1"/>
  <c r="BF24" i="6"/>
  <c r="BF18" i="6"/>
  <c r="BF36" i="6" s="1"/>
  <c r="BF42" i="6" s="1"/>
  <c r="BF48" i="6" s="1"/>
  <c r="D13" i="8"/>
  <c r="U98" i="3"/>
  <c r="AJ98" i="3" s="1"/>
  <c r="AL98" i="3" s="1"/>
  <c r="AJ135" i="1"/>
  <c r="AJ25" i="1"/>
  <c r="AJ85" i="1"/>
  <c r="AJ125" i="1"/>
  <c r="U159" i="3"/>
  <c r="D74" i="8"/>
  <c r="BP103" i="1"/>
  <c r="AL41" i="8"/>
  <c r="H135" i="1"/>
  <c r="H125" i="1"/>
  <c r="H25" i="1"/>
  <c r="CJ23" i="1"/>
  <c r="CK23" i="1" s="1"/>
  <c r="CJ123" i="1"/>
  <c r="CI143" i="1"/>
  <c r="CI163" i="1" s="1"/>
  <c r="CI183" i="1" s="1"/>
  <c r="CI213" i="1" s="1"/>
  <c r="CI103" i="1"/>
  <c r="CR18" i="11" s="1"/>
  <c r="CJ33" i="1"/>
  <c r="S160" i="3"/>
  <c r="U160" i="3" s="1"/>
  <c r="CQ10" i="11"/>
  <c r="CJ12" i="1"/>
  <c r="CI142" i="1"/>
  <c r="CI162" i="1" s="1"/>
  <c r="CJ62" i="1"/>
  <c r="CJ42" i="1"/>
  <c r="CJ82" i="1"/>
  <c r="CK82" i="1" s="1"/>
  <c r="CJ32" i="1"/>
  <c r="CK32" i="1" s="1"/>
  <c r="BK140" i="1"/>
  <c r="BK15" i="1"/>
  <c r="BK16" i="1"/>
  <c r="S123" i="3"/>
  <c r="BP120" i="1"/>
  <c r="BO140" i="1"/>
  <c r="BP140" i="1" s="1"/>
  <c r="BP80" i="1"/>
  <c r="BP10" i="11"/>
  <c r="BP52" i="11" s="1"/>
  <c r="BP10" i="1"/>
  <c r="AJ20" i="1"/>
  <c r="AK20" i="1" s="1"/>
  <c r="AI16" i="1"/>
  <c r="AY100" i="1"/>
  <c r="BE100" i="1" s="1"/>
  <c r="AZ80" i="1"/>
  <c r="BE80" i="1" s="1"/>
  <c r="AV23" i="1"/>
  <c r="AV83" i="1"/>
  <c r="AV133" i="1"/>
  <c r="AV13" i="1"/>
  <c r="D91" i="3" s="1"/>
  <c r="AV123" i="1"/>
  <c r="AA140" i="1"/>
  <c r="AB150" i="1" s="1"/>
  <c r="AA16" i="1"/>
  <c r="AA15" i="1"/>
  <c r="S53" i="3"/>
  <c r="U53" i="3" s="1"/>
  <c r="AJ53" i="3" s="1"/>
  <c r="AL53" i="3" s="1"/>
  <c r="AB120" i="1"/>
  <c r="F21" i="3"/>
  <c r="H21" i="3" s="1"/>
  <c r="F116" i="3"/>
  <c r="BK63" i="11"/>
  <c r="BM15" i="1"/>
  <c r="H11" i="3"/>
  <c r="L131" i="1"/>
  <c r="S26" i="3"/>
  <c r="U26" i="3" s="1"/>
  <c r="AJ26" i="3" s="1"/>
  <c r="L21" i="1"/>
  <c r="Q21" i="1" s="1"/>
  <c r="L11" i="1"/>
  <c r="L121" i="1"/>
  <c r="K14" i="1"/>
  <c r="L134" i="1" s="1"/>
  <c r="K141" i="1"/>
  <c r="K101" i="1"/>
  <c r="C141" i="1"/>
  <c r="C161" i="1" s="1"/>
  <c r="D131" i="1"/>
  <c r="S12" i="3"/>
  <c r="U12" i="3" s="1"/>
  <c r="AJ12" i="3" s="1"/>
  <c r="D121" i="1"/>
  <c r="D21" i="1"/>
  <c r="C14" i="1"/>
  <c r="D134" i="1" s="1"/>
  <c r="AC15" i="1"/>
  <c r="D81" i="1"/>
  <c r="AN122" i="1"/>
  <c r="AM142" i="1"/>
  <c r="AR12" i="1"/>
  <c r="D83" i="3" s="1"/>
  <c r="AN12" i="1"/>
  <c r="D76" i="3" s="1"/>
  <c r="H76" i="3" s="1"/>
  <c r="BD123" i="6"/>
  <c r="BD122" i="6"/>
  <c r="E121" i="64" s="1"/>
  <c r="E122" i="64" s="1"/>
  <c r="AZ122" i="6"/>
  <c r="AF124" i="6"/>
  <c r="AF84" i="6" s="1"/>
  <c r="AJ122" i="6"/>
  <c r="AB125" i="6"/>
  <c r="AB79" i="6" s="1"/>
  <c r="AR115" i="6"/>
  <c r="AR67" i="6" s="1"/>
  <c r="AR73" i="6" s="1"/>
  <c r="AB115" i="6"/>
  <c r="AB67" i="6" s="1"/>
  <c r="AB73" i="6" s="1"/>
  <c r="H114" i="6"/>
  <c r="H66" i="6" s="1"/>
  <c r="H72" i="6" s="1"/>
  <c r="H115" i="6"/>
  <c r="H67" i="6" s="1"/>
  <c r="H73" i="6" s="1"/>
  <c r="D110" i="8"/>
  <c r="L117" i="8" s="1"/>
  <c r="U195" i="3"/>
  <c r="AJ195" i="3" s="1"/>
  <c r="BT131" i="1"/>
  <c r="S131" i="3"/>
  <c r="BS141" i="1"/>
  <c r="BV10" i="11"/>
  <c r="BV52" i="11" s="1"/>
  <c r="BT121" i="1"/>
  <c r="BT91" i="1"/>
  <c r="BT81" i="1"/>
  <c r="BU81" i="1" s="1"/>
  <c r="BS101" i="1"/>
  <c r="BX11" i="1"/>
  <c r="Z11" i="6" s="1"/>
  <c r="CW63" i="11"/>
  <c r="DV43" i="1"/>
  <c r="CP18" i="11"/>
  <c r="AF123" i="6"/>
  <c r="AF113" i="6"/>
  <c r="AF65" i="6" s="1"/>
  <c r="AF71" i="6" s="1"/>
  <c r="AB114" i="6"/>
  <c r="AB66" i="6" s="1"/>
  <c r="AB72" i="6" s="1"/>
  <c r="BT11" i="1"/>
  <c r="L81" i="1"/>
  <c r="BL153" i="1"/>
  <c r="BK163" i="1"/>
  <c r="BL163" i="1" s="1"/>
  <c r="AZ124" i="6"/>
  <c r="BF30" i="6"/>
  <c r="CB103" i="1"/>
  <c r="AL62" i="8"/>
  <c r="AG100" i="1"/>
  <c r="DV32" i="1"/>
  <c r="DV52" i="1"/>
  <c r="DV62" i="1"/>
  <c r="DV22" i="1"/>
  <c r="DW22" i="1" s="1"/>
  <c r="DV122" i="1"/>
  <c r="DV82" i="1"/>
  <c r="DL100" i="1"/>
  <c r="DK110" i="1"/>
  <c r="BL79" i="6"/>
  <c r="R121" i="64"/>
  <c r="BL85" i="6"/>
  <c r="AJ134" i="1"/>
  <c r="AJ84" i="1"/>
  <c r="AI144" i="1"/>
  <c r="I7" i="5"/>
  <c r="AI104" i="1"/>
  <c r="AJ104" i="1" s="1"/>
  <c r="AJ124" i="1"/>
  <c r="F153" i="3"/>
  <c r="CL63" i="11"/>
  <c r="F125" i="3"/>
  <c r="BR63" i="11"/>
  <c r="F12" i="3"/>
  <c r="F151" i="3"/>
  <c r="CJ63" i="11"/>
  <c r="F95" i="3"/>
  <c r="BF63" i="11"/>
  <c r="W102" i="1"/>
  <c r="X102" i="1" s="1"/>
  <c r="X122" i="1"/>
  <c r="X22" i="1"/>
  <c r="S48" i="3"/>
  <c r="U48" i="3" s="1"/>
  <c r="AJ48" i="3" s="1"/>
  <c r="AL48" i="3" s="1"/>
  <c r="X82" i="1"/>
  <c r="W142" i="1"/>
  <c r="W162" i="1" s="1"/>
  <c r="W192" i="1" s="1"/>
  <c r="D22" i="1"/>
  <c r="C102" i="1"/>
  <c r="D102" i="1" s="1"/>
  <c r="BH121" i="1"/>
  <c r="BG15" i="1"/>
  <c r="BG16" i="1"/>
  <c r="BH81" i="1"/>
  <c r="CZ20" i="1"/>
  <c r="CZ90" i="1"/>
  <c r="CZ10" i="1"/>
  <c r="CY15" i="1"/>
  <c r="CZ60" i="1"/>
  <c r="CY14" i="1"/>
  <c r="CY144" i="1" s="1"/>
  <c r="CZ154" i="1" s="1"/>
  <c r="BX123" i="1"/>
  <c r="BX133" i="1"/>
  <c r="CP63" i="11"/>
  <c r="AB123" i="6"/>
  <c r="AB77" i="6" s="1"/>
  <c r="S121" i="64"/>
  <c r="AU101" i="1"/>
  <c r="BB18" i="11" s="1"/>
  <c r="BL10" i="11"/>
  <c r="BL52" i="11" s="1"/>
  <c r="AZ12" i="1"/>
  <c r="D97" i="3" s="1"/>
  <c r="H97" i="3" s="1"/>
  <c r="CZ70" i="1"/>
  <c r="CF60" i="1"/>
  <c r="CF120" i="1"/>
  <c r="CF90" i="1"/>
  <c r="CJ10" i="11"/>
  <c r="CJ14" i="11" s="1"/>
  <c r="CJ51" i="11" s="1"/>
  <c r="CF80" i="1"/>
  <c r="CK80" i="1" s="1"/>
  <c r="S151" i="3"/>
  <c r="U151" i="3" s="1"/>
  <c r="BJ31" i="6"/>
  <c r="BJ25" i="6"/>
  <c r="AU15" i="1"/>
  <c r="AV85" i="1" s="1"/>
  <c r="BA10" i="11"/>
  <c r="BA52" i="11" s="1"/>
  <c r="AV10" i="1"/>
  <c r="AR10" i="11"/>
  <c r="AR52" i="11" s="1"/>
  <c r="AM141" i="1"/>
  <c r="AM151" i="1" s="1"/>
  <c r="AM161" i="1" s="1"/>
  <c r="AN121" i="1"/>
  <c r="F49" i="3"/>
  <c r="F50" i="3" s="1"/>
  <c r="F68" i="3"/>
  <c r="D12" i="3"/>
  <c r="H12" i="3" s="1"/>
  <c r="EW62" i="11"/>
  <c r="F144" i="3"/>
  <c r="CE63" i="11"/>
  <c r="AK16" i="1"/>
  <c r="F67" i="3"/>
  <c r="AB11" i="1"/>
  <c r="X21" i="1"/>
  <c r="X11" i="1"/>
  <c r="X131" i="1"/>
  <c r="X121" i="1"/>
  <c r="W141" i="1"/>
  <c r="W161" i="1" s="1"/>
  <c r="W166" i="1" s="1"/>
  <c r="W101" i="1"/>
  <c r="AC101" i="1" s="1"/>
  <c r="H131" i="1"/>
  <c r="H81" i="1"/>
  <c r="G141" i="1"/>
  <c r="G161" i="1" s="1"/>
  <c r="G191" i="1" s="1"/>
  <c r="H121" i="1"/>
  <c r="H21" i="1"/>
  <c r="H11" i="1"/>
  <c r="S19" i="3"/>
  <c r="U19" i="3" s="1"/>
  <c r="AJ19" i="3" s="1"/>
  <c r="AL19" i="3" s="1"/>
  <c r="P123" i="1"/>
  <c r="P83" i="1"/>
  <c r="O103" i="1"/>
  <c r="U103" i="1" s="1"/>
  <c r="P133" i="1"/>
  <c r="AR125" i="6"/>
  <c r="AV115" i="6"/>
  <c r="AV67" i="6" s="1"/>
  <c r="AV73" i="6" s="1"/>
  <c r="AZ113" i="6"/>
  <c r="AZ65" i="6" s="1"/>
  <c r="AZ71" i="6" s="1"/>
  <c r="AV114" i="6"/>
  <c r="AV66" i="6" s="1"/>
  <c r="AV72" i="6" s="1"/>
  <c r="AZ112" i="6"/>
  <c r="AZ64" i="6" s="1"/>
  <c r="AZ70" i="6" s="1"/>
  <c r="AR112" i="6"/>
  <c r="AR64" i="6" s="1"/>
  <c r="AR70" i="6" s="1"/>
  <c r="AR113" i="6"/>
  <c r="AR65" i="6" s="1"/>
  <c r="AR71" i="6" s="1"/>
  <c r="AF115" i="6"/>
  <c r="AF67" i="6" s="1"/>
  <c r="AF73" i="6" s="1"/>
  <c r="AF114" i="6"/>
  <c r="AF66" i="6" s="1"/>
  <c r="AF72" i="6" s="1"/>
  <c r="T114" i="6"/>
  <c r="T66" i="6" s="1"/>
  <c r="T72" i="6" s="1"/>
  <c r="T115" i="6"/>
  <c r="T67" i="6" s="1"/>
  <c r="T73" i="6" s="1"/>
  <c r="P113" i="6"/>
  <c r="P65" i="6" s="1"/>
  <c r="P71" i="6" s="1"/>
  <c r="P112" i="6"/>
  <c r="P64" i="6" s="1"/>
  <c r="P70" i="6" s="1"/>
  <c r="BL122" i="6"/>
  <c r="DD13" i="1"/>
  <c r="BF13" i="6" s="1"/>
  <c r="CZ93" i="1"/>
  <c r="CZ13" i="1"/>
  <c r="BB13" i="6" s="1"/>
  <c r="CZ83" i="1"/>
  <c r="DA83" i="1" s="1"/>
  <c r="CZ123" i="1"/>
  <c r="CZ53" i="1"/>
  <c r="CZ33" i="1"/>
  <c r="CY103" i="1"/>
  <c r="CZ23" i="1"/>
  <c r="CZ43" i="1"/>
  <c r="CZ73" i="1"/>
  <c r="CY143" i="1"/>
  <c r="CZ143" i="1" s="1"/>
  <c r="BX92" i="1"/>
  <c r="BX122" i="1"/>
  <c r="BX52" i="1"/>
  <c r="CB10" i="11"/>
  <c r="CB14" i="11" s="1"/>
  <c r="BX32" i="1"/>
  <c r="BX12" i="1"/>
  <c r="D139" i="3" s="1"/>
  <c r="BW102" i="1"/>
  <c r="CB18" i="11" s="1"/>
  <c r="BX42" i="1"/>
  <c r="S139" i="3"/>
  <c r="BX132" i="1"/>
  <c r="BX72" i="1"/>
  <c r="BX62" i="1"/>
  <c r="BW142" i="1"/>
  <c r="BX152" i="1" s="1"/>
  <c r="BW202" i="1" s="1"/>
  <c r="CB35" i="11" s="1"/>
  <c r="BX82" i="1"/>
  <c r="DL73" i="1"/>
  <c r="DL93" i="1"/>
  <c r="X10" i="64"/>
  <c r="AR63" i="11"/>
  <c r="DV93" i="1"/>
  <c r="BV63" i="11"/>
  <c r="L114" i="6"/>
  <c r="L66" i="6" s="1"/>
  <c r="L72" i="6" s="1"/>
  <c r="CM63" i="11"/>
  <c r="AS16" i="1"/>
  <c r="BS15" i="1"/>
  <c r="X81" i="1"/>
  <c r="Y81" i="1" s="1"/>
  <c r="CW15" i="1"/>
  <c r="CE14" i="1"/>
  <c r="U7" i="5" s="1"/>
  <c r="BH124" i="6"/>
  <c r="L121" i="64" s="1"/>
  <c r="BG101" i="1"/>
  <c r="AL25" i="8" s="1"/>
  <c r="AN20" i="1"/>
  <c r="AE15" i="1"/>
  <c r="AA14" i="1"/>
  <c r="C101" i="1"/>
  <c r="BJ19" i="6"/>
  <c r="BJ37" i="6" s="1"/>
  <c r="BJ43" i="6" s="1"/>
  <c r="BJ49" i="6" s="1"/>
  <c r="AM140" i="1"/>
  <c r="AM150" i="1" s="1"/>
  <c r="AO150" i="1" s="1"/>
  <c r="CY162" i="1"/>
  <c r="CZ152" i="1"/>
  <c r="BT12" i="1"/>
  <c r="CZ133" i="1"/>
  <c r="CF141" i="1"/>
  <c r="CE161" i="1"/>
  <c r="CE191" i="1" s="1"/>
  <c r="CK34" i="11" s="1"/>
  <c r="CK37" i="11" s="1"/>
  <c r="CF151" i="1"/>
  <c r="CE201" i="1" s="1"/>
  <c r="CK35" i="11" s="1"/>
  <c r="H83" i="3"/>
  <c r="CE163" i="1"/>
  <c r="CE193" i="1" s="1"/>
  <c r="CF143" i="1"/>
  <c r="BP114" i="6"/>
  <c r="BP66" i="6" s="1"/>
  <c r="BP72" i="6" s="1"/>
  <c r="AZ123" i="6"/>
  <c r="AN124" i="6"/>
  <c r="AN84" i="6" s="1"/>
  <c r="AN122" i="6"/>
  <c r="AR114" i="6"/>
  <c r="AR66" i="6" s="1"/>
  <c r="AR72" i="6" s="1"/>
  <c r="AF112" i="6"/>
  <c r="AF64" i="6" s="1"/>
  <c r="AF70" i="6" s="1"/>
  <c r="X113" i="6"/>
  <c r="X65" i="6" s="1"/>
  <c r="X71" i="6" s="1"/>
  <c r="P115" i="6"/>
  <c r="P67" i="6" s="1"/>
  <c r="P73" i="6" s="1"/>
  <c r="BH123" i="6"/>
  <c r="K121" i="64" s="1"/>
  <c r="H154" i="3"/>
  <c r="BR10" i="6"/>
  <c r="D67" i="8"/>
  <c r="U152" i="3"/>
  <c r="CV25" i="1"/>
  <c r="CV65" i="1"/>
  <c r="CV35" i="1"/>
  <c r="CV85" i="1"/>
  <c r="CV45" i="1"/>
  <c r="CV75" i="1"/>
  <c r="H32" i="3"/>
  <c r="U144" i="3"/>
  <c r="W144" i="3" s="1"/>
  <c r="D59" i="8"/>
  <c r="ET30" i="1"/>
  <c r="G116" i="64"/>
  <c r="D195" i="3"/>
  <c r="H195" i="3" s="1"/>
  <c r="I23" i="1"/>
  <c r="L42" i="8"/>
  <c r="CO80" i="1"/>
  <c r="DD44" i="1"/>
  <c r="DD124" i="1"/>
  <c r="DD74" i="1"/>
  <c r="DD34" i="1"/>
  <c r="DI34" i="1" s="1"/>
  <c r="D45" i="8"/>
  <c r="U130" i="3"/>
  <c r="DV50" i="1"/>
  <c r="DV70" i="1"/>
  <c r="DV30" i="1"/>
  <c r="BK103" i="1"/>
  <c r="BQ103" i="1" s="1"/>
  <c r="BN10" i="11"/>
  <c r="BL123" i="1"/>
  <c r="CI16" i="1"/>
  <c r="CJ90" i="1"/>
  <c r="CF42" i="1"/>
  <c r="CF22" i="1"/>
  <c r="S153" i="3"/>
  <c r="U153" i="3" s="1"/>
  <c r="W153" i="3" s="1"/>
  <c r="CF72" i="1"/>
  <c r="DQ42" i="1"/>
  <c r="DQ52" i="1"/>
  <c r="DQ122" i="1"/>
  <c r="DQ32" i="1"/>
  <c r="DK15" i="1"/>
  <c r="DL20" i="1"/>
  <c r="DM20" i="1" s="1"/>
  <c r="DL70" i="1"/>
  <c r="DL40" i="1"/>
  <c r="DL80" i="1"/>
  <c r="DM80" i="1" s="1"/>
  <c r="F145" i="3"/>
  <c r="H145" i="3" s="1"/>
  <c r="CF63" i="11"/>
  <c r="AB22" i="1"/>
  <c r="AB12" i="1"/>
  <c r="D55" i="3" s="1"/>
  <c r="AJ12" i="1"/>
  <c r="X130" i="1"/>
  <c r="W100" i="1"/>
  <c r="X100" i="1" s="1"/>
  <c r="S46" i="3"/>
  <c r="W15" i="1"/>
  <c r="K100" i="1"/>
  <c r="L80" i="1"/>
  <c r="L130" i="1"/>
  <c r="K16" i="1"/>
  <c r="H130" i="1"/>
  <c r="H80" i="1"/>
  <c r="G16" i="1"/>
  <c r="I16" i="1" s="1"/>
  <c r="H10" i="1"/>
  <c r="D18" i="3" s="1"/>
  <c r="H18" i="3" s="1"/>
  <c r="C140" i="1"/>
  <c r="D130" i="1"/>
  <c r="S11" i="3"/>
  <c r="U11" i="3" s="1"/>
  <c r="AJ11" i="3" s="1"/>
  <c r="C100" i="1"/>
  <c r="C15" i="1"/>
  <c r="D125" i="1" s="1"/>
  <c r="AR121" i="1"/>
  <c r="AQ101" i="1"/>
  <c r="AW18" i="11" s="1"/>
  <c r="AW22" i="11" s="1"/>
  <c r="AR131" i="1"/>
  <c r="AV82" i="1"/>
  <c r="AV122" i="1"/>
  <c r="AQ140" i="1"/>
  <c r="AQ160" i="1" s="1"/>
  <c r="AR160" i="1" s="1"/>
  <c r="AR10" i="1"/>
  <c r="D81" i="3" s="1"/>
  <c r="H81" i="3" s="1"/>
  <c r="AG81" i="3" s="1"/>
  <c r="AV124" i="6"/>
  <c r="AV78" i="6" s="1"/>
  <c r="AR123" i="6"/>
  <c r="AN114" i="6"/>
  <c r="AN66" i="6" s="1"/>
  <c r="AN72" i="6" s="1"/>
  <c r="T113" i="6"/>
  <c r="T65" i="6" s="1"/>
  <c r="T71" i="6" s="1"/>
  <c r="L112" i="6"/>
  <c r="L64" i="6" s="1"/>
  <c r="L70" i="6" s="1"/>
  <c r="CZ32" i="1"/>
  <c r="DE32" i="1" s="1"/>
  <c r="CZ122" i="1"/>
  <c r="CZ92" i="1"/>
  <c r="CY102" i="1"/>
  <c r="CZ72" i="1"/>
  <c r="CZ52" i="1"/>
  <c r="CV61" i="1"/>
  <c r="CV131" i="1"/>
  <c r="CV91" i="1"/>
  <c r="CU101" i="1"/>
  <c r="AL95" i="8" s="1"/>
  <c r="CV21" i="1"/>
  <c r="CB50" i="1"/>
  <c r="CB120" i="1"/>
  <c r="CA15" i="1"/>
  <c r="CB65" i="1" s="1"/>
  <c r="BW101" i="1"/>
  <c r="S138" i="3"/>
  <c r="BT20" i="1"/>
  <c r="BT90" i="1"/>
  <c r="BT80" i="1"/>
  <c r="BT10" i="1"/>
  <c r="DQ131" i="1"/>
  <c r="DQ11" i="1"/>
  <c r="DP16" i="1"/>
  <c r="DR16" i="1" s="1"/>
  <c r="DQ71" i="1"/>
  <c r="AW10" i="11"/>
  <c r="AW52" i="11" s="1"/>
  <c r="BU10" i="11"/>
  <c r="BU58" i="11" s="1"/>
  <c r="AN123" i="6"/>
  <c r="AN83" i="6" s="1"/>
  <c r="X115" i="6"/>
  <c r="X67" i="6" s="1"/>
  <c r="X73" i="6" s="1"/>
  <c r="AV112" i="6"/>
  <c r="AV64" i="6" s="1"/>
  <c r="AV70" i="6" s="1"/>
  <c r="AV122" i="6"/>
  <c r="AV76" i="6" s="1"/>
  <c r="AN115" i="6"/>
  <c r="AN67" i="6" s="1"/>
  <c r="AN73" i="6" s="1"/>
  <c r="X114" i="6"/>
  <c r="X66" i="6" s="1"/>
  <c r="X72" i="6" s="1"/>
  <c r="AN113" i="6"/>
  <c r="AN65" i="6" s="1"/>
  <c r="AN71" i="6" s="1"/>
  <c r="DL11" i="1"/>
  <c r="DL15" i="1" s="1"/>
  <c r="DV91" i="1"/>
  <c r="CL10" i="11"/>
  <c r="CL14" i="11" s="1"/>
  <c r="CL51" i="11" s="1"/>
  <c r="AD29" i="6"/>
  <c r="H20" i="1"/>
  <c r="DA31" i="1"/>
  <c r="DV41" i="1"/>
  <c r="AR81" i="1"/>
  <c r="L24" i="8"/>
  <c r="W14" i="1"/>
  <c r="G7" i="5" s="1"/>
  <c r="G11" i="4" s="1"/>
  <c r="G36" i="4" s="1"/>
  <c r="EZ76" i="11" s="1"/>
  <c r="W16" i="1"/>
  <c r="Y16" i="1" s="1"/>
  <c r="K15" i="1"/>
  <c r="L135" i="1" s="1"/>
  <c r="CE142" i="1"/>
  <c r="CE162" i="1" s="1"/>
  <c r="CF162" i="1" s="1"/>
  <c r="CF62" i="1"/>
  <c r="CE102" i="1"/>
  <c r="CL18" i="11" s="1"/>
  <c r="CL22" i="11" s="1"/>
  <c r="BL23" i="1"/>
  <c r="BL93" i="1"/>
  <c r="BH113" i="6"/>
  <c r="BH65" i="6" s="1"/>
  <c r="BH71" i="6" s="1"/>
  <c r="AB122" i="1"/>
  <c r="BS14" i="11"/>
  <c r="BS51" i="11" s="1"/>
  <c r="D48" i="5"/>
  <c r="CE10" i="11"/>
  <c r="CE52" i="11" s="1"/>
  <c r="S81" i="3"/>
  <c r="U81" i="3" s="1"/>
  <c r="AJ81" i="3" s="1"/>
  <c r="AL81" i="3" s="1"/>
  <c r="S90" i="3"/>
  <c r="U90" i="3" s="1"/>
  <c r="AJ90" i="3" s="1"/>
  <c r="DQ81" i="1"/>
  <c r="DP141" i="1"/>
  <c r="DQ151" i="1" s="1"/>
  <c r="DQ21" i="1"/>
  <c r="DR21" i="1" s="1"/>
  <c r="W180" i="1"/>
  <c r="W210" i="1" s="1"/>
  <c r="EU32" i="1"/>
  <c r="DH14" i="1"/>
  <c r="D204" i="3" s="1"/>
  <c r="H204" i="3" s="1"/>
  <c r="DD134" i="1"/>
  <c r="CV51" i="1"/>
  <c r="L20" i="1"/>
  <c r="DQ72" i="1"/>
  <c r="DL120" i="1"/>
  <c r="DL30" i="1"/>
  <c r="S82" i="3"/>
  <c r="U82" i="3" s="1"/>
  <c r="AJ82" i="3" s="1"/>
  <c r="D20" i="1"/>
  <c r="CV81" i="1"/>
  <c r="U194" i="3"/>
  <c r="AJ194" i="3" s="1"/>
  <c r="S25" i="3"/>
  <c r="U25" i="3" s="1"/>
  <c r="AJ25" i="3" s="1"/>
  <c r="AL25" i="3" s="1"/>
  <c r="AN32" i="3" s="1"/>
  <c r="BX41" i="1"/>
  <c r="DL41" i="1"/>
  <c r="DV60" i="1"/>
  <c r="X20" i="1"/>
  <c r="AC20" i="1" s="1"/>
  <c r="CJ40" i="1"/>
  <c r="S18" i="3"/>
  <c r="U18" i="3" s="1"/>
  <c r="AJ18" i="3" s="1"/>
  <c r="AL18" i="3" s="1"/>
  <c r="CU141" i="1"/>
  <c r="CU145" i="1" s="1"/>
  <c r="CZ42" i="1"/>
  <c r="S188" i="3"/>
  <c r="D103" i="8" s="1"/>
  <c r="DL131" i="1"/>
  <c r="H159" i="3"/>
  <c r="CI141" i="1"/>
  <c r="CJ151" i="1" s="1"/>
  <c r="CI201" i="1" s="1"/>
  <c r="CJ121" i="1"/>
  <c r="CJ61" i="1"/>
  <c r="CJ51" i="1"/>
  <c r="AZ131" i="1"/>
  <c r="AY101" i="1"/>
  <c r="BG18" i="11" s="1"/>
  <c r="BG22" i="11" s="1"/>
  <c r="BG55" i="11" s="1"/>
  <c r="AR132" i="1"/>
  <c r="AR122" i="1"/>
  <c r="AR22" i="1"/>
  <c r="CB133" i="1"/>
  <c r="CA143" i="1"/>
  <c r="CB43" i="1"/>
  <c r="CB73" i="1"/>
  <c r="S54" i="3"/>
  <c r="U54" i="3" s="1"/>
  <c r="AJ54" i="3" s="1"/>
  <c r="AL54" i="3" s="1"/>
  <c r="AB21" i="1"/>
  <c r="DQ50" i="1"/>
  <c r="DQ30" i="1"/>
  <c r="AZ133" i="1"/>
  <c r="AZ23" i="1"/>
  <c r="P132" i="1"/>
  <c r="P82" i="1"/>
  <c r="AV123" i="6"/>
  <c r="AV83" i="6" s="1"/>
  <c r="BW141" i="1"/>
  <c r="BY141" i="1" s="1"/>
  <c r="DA15" i="1"/>
  <c r="CJ43" i="1"/>
  <c r="CJ133" i="1"/>
  <c r="S161" i="3"/>
  <c r="CJ13" i="1"/>
  <c r="CJ63" i="1"/>
  <c r="CI102" i="1"/>
  <c r="CI106" i="1" s="1"/>
  <c r="CJ122" i="1"/>
  <c r="CJ92" i="1"/>
  <c r="CJ52" i="1"/>
  <c r="S116" i="3"/>
  <c r="BK100" i="1"/>
  <c r="BO100" i="1"/>
  <c r="BP20" i="1"/>
  <c r="BU20" i="1" s="1"/>
  <c r="BP90" i="1"/>
  <c r="BP130" i="1"/>
  <c r="BO16" i="1"/>
  <c r="BO15" i="1"/>
  <c r="BQ15" i="1" s="1"/>
  <c r="AJ130" i="1"/>
  <c r="AI100" i="1"/>
  <c r="AI140" i="1"/>
  <c r="AJ10" i="1"/>
  <c r="AJ80" i="1"/>
  <c r="S67" i="3"/>
  <c r="U67" i="3" s="1"/>
  <c r="AJ67" i="3" s="1"/>
  <c r="AL67" i="3" s="1"/>
  <c r="AJ120" i="1"/>
  <c r="AB130" i="1"/>
  <c r="AB10" i="1"/>
  <c r="D53" i="3" s="1"/>
  <c r="H53" i="3" s="1"/>
  <c r="AB80" i="1"/>
  <c r="K102" i="1"/>
  <c r="P12" i="1"/>
  <c r="D34" i="3" s="1"/>
  <c r="H34" i="3" s="1"/>
  <c r="L22" i="1"/>
  <c r="Q22" i="1" s="1"/>
  <c r="H122" i="1"/>
  <c r="H12" i="1"/>
  <c r="D132" i="1"/>
  <c r="S13" i="3"/>
  <c r="D82" i="1"/>
  <c r="C142" i="1"/>
  <c r="AF80" i="1"/>
  <c r="AF20" i="1"/>
  <c r="AG20" i="1" s="1"/>
  <c r="AE140" i="1"/>
  <c r="AF140" i="1" s="1"/>
  <c r="AN10" i="1"/>
  <c r="D74" i="3" s="1"/>
  <c r="H74" i="3" s="1"/>
  <c r="AG74" i="3" s="1"/>
  <c r="AN80" i="1"/>
  <c r="BL21" i="1"/>
  <c r="BL91" i="1"/>
  <c r="BL11" i="1"/>
  <c r="BK141" i="1"/>
  <c r="BL81" i="1"/>
  <c r="BM81" i="1" s="1"/>
  <c r="BG141" i="1"/>
  <c r="BH21" i="1"/>
  <c r="AZ82" i="1"/>
  <c r="AZ122" i="1"/>
  <c r="AY142" i="1"/>
  <c r="CZ130" i="1"/>
  <c r="CZ120" i="1"/>
  <c r="CY140" i="1"/>
  <c r="S186" i="3"/>
  <c r="D101" i="8" s="1"/>
  <c r="CZ30" i="1"/>
  <c r="DA30" i="1" s="1"/>
  <c r="CZ50" i="1"/>
  <c r="CZ40" i="1"/>
  <c r="CZ80" i="1"/>
  <c r="DA80" i="1" s="1"/>
  <c r="CY16" i="1"/>
  <c r="AV29" i="7"/>
  <c r="CZ135" i="1"/>
  <c r="DV120" i="1"/>
  <c r="DU140" i="1"/>
  <c r="DV140" i="1" s="1"/>
  <c r="AF21" i="1"/>
  <c r="AE101" i="1"/>
  <c r="CB30" i="1"/>
  <c r="CB70" i="1"/>
  <c r="CB130" i="1"/>
  <c r="CB60" i="1"/>
  <c r="CA100" i="1"/>
  <c r="AL59" i="8" s="1"/>
  <c r="CB20" i="1"/>
  <c r="CB80" i="1"/>
  <c r="CA140" i="1"/>
  <c r="CB90" i="1"/>
  <c r="BX131" i="1"/>
  <c r="BX61" i="1"/>
  <c r="BX31" i="1"/>
  <c r="CC31" i="1" s="1"/>
  <c r="BX51" i="1"/>
  <c r="BX121" i="1"/>
  <c r="BX91" i="1"/>
  <c r="BX21" i="1"/>
  <c r="BX71" i="1"/>
  <c r="BT130" i="1"/>
  <c r="BT120" i="1"/>
  <c r="BS140" i="1"/>
  <c r="BS100" i="1"/>
  <c r="BQ21" i="1"/>
  <c r="CB81" i="1"/>
  <c r="CC81" i="1" s="1"/>
  <c r="CB61" i="1"/>
  <c r="CA141" i="1"/>
  <c r="CA101" i="1"/>
  <c r="AL60" i="8" s="1"/>
  <c r="BP123" i="1"/>
  <c r="BP23" i="1"/>
  <c r="P130" i="1"/>
  <c r="P120" i="1"/>
  <c r="P80" i="1"/>
  <c r="Q80" i="1" s="1"/>
  <c r="O16" i="1"/>
  <c r="O140" i="1"/>
  <c r="P20" i="1"/>
  <c r="BP91" i="1"/>
  <c r="BP121" i="1"/>
  <c r="W98" i="64"/>
  <c r="X98" i="64" s="1"/>
  <c r="X17" i="64"/>
  <c r="DK102" i="1"/>
  <c r="DK112" i="1" s="1"/>
  <c r="DL12" i="1"/>
  <c r="DK142" i="1"/>
  <c r="DL142" i="1" s="1"/>
  <c r="DL32" i="1"/>
  <c r="DM32" i="1" s="1"/>
  <c r="DK16" i="1"/>
  <c r="DM16" i="1" s="1"/>
  <c r="S125" i="3"/>
  <c r="BO102" i="1"/>
  <c r="BP92" i="1"/>
  <c r="BP82" i="1"/>
  <c r="BD22" i="1"/>
  <c r="BI22" i="1" s="1"/>
  <c r="BD122" i="1"/>
  <c r="BD12" i="1"/>
  <c r="T130" i="1"/>
  <c r="T20" i="1"/>
  <c r="X10" i="1"/>
  <c r="D46" i="3" s="1"/>
  <c r="H46" i="3" s="1"/>
  <c r="S15" i="1"/>
  <c r="U15" i="1" s="1"/>
  <c r="S39" i="3"/>
  <c r="U39" i="3" s="1"/>
  <c r="AJ39" i="3" s="1"/>
  <c r="S21" i="3"/>
  <c r="U21" i="3" s="1"/>
  <c r="AJ21" i="3" s="1"/>
  <c r="AL21" i="3" s="1"/>
  <c r="H83" i="1"/>
  <c r="AJ132" i="1"/>
  <c r="S69" i="3"/>
  <c r="U69" i="3" s="1"/>
  <c r="AJ69" i="3" s="1"/>
  <c r="AJ122" i="1"/>
  <c r="AJ131" i="1"/>
  <c r="AJ121" i="1"/>
  <c r="AJ11" i="1"/>
  <c r="D68" i="3" s="1"/>
  <c r="H68" i="3" s="1"/>
  <c r="AJ21" i="1"/>
  <c r="AK21" i="1" s="1"/>
  <c r="T21" i="1"/>
  <c r="Y21" i="1" s="1"/>
  <c r="T131" i="1"/>
  <c r="S101" i="1"/>
  <c r="AJ114" i="6"/>
  <c r="AJ66" i="6" s="1"/>
  <c r="AJ72" i="6" s="1"/>
  <c r="AJ115" i="6"/>
  <c r="AJ67" i="6" s="1"/>
  <c r="AJ73" i="6" s="1"/>
  <c r="AJ113" i="6"/>
  <c r="AJ65" i="6" s="1"/>
  <c r="AJ71" i="6" s="1"/>
  <c r="S193" i="3"/>
  <c r="DD20" i="1"/>
  <c r="DD120" i="1"/>
  <c r="DD40" i="1"/>
  <c r="DC15" i="1"/>
  <c r="DC16" i="1"/>
  <c r="DD36" i="1" s="1"/>
  <c r="DD30" i="1"/>
  <c r="CZ91" i="1"/>
  <c r="DD11" i="1"/>
  <c r="CZ81" i="1"/>
  <c r="DE81" i="1" s="1"/>
  <c r="CY141" i="1"/>
  <c r="CY161" i="1" s="1"/>
  <c r="CV90" i="1"/>
  <c r="CV130" i="1"/>
  <c r="CV120" i="1"/>
  <c r="CV50" i="1"/>
  <c r="CV20" i="1"/>
  <c r="CU14" i="1"/>
  <c r="CU100" i="1"/>
  <c r="CU110" i="1" s="1"/>
  <c r="CV60" i="1"/>
  <c r="CM100" i="1"/>
  <c r="CN90" i="1"/>
  <c r="S165" i="3"/>
  <c r="D80" i="8" s="1"/>
  <c r="CN130" i="1"/>
  <c r="CN120" i="1"/>
  <c r="CN60" i="1"/>
  <c r="CG80" i="1"/>
  <c r="BM21" i="1"/>
  <c r="AN77" i="6"/>
  <c r="AS100" i="1"/>
  <c r="DA21" i="1"/>
  <c r="F14" i="3"/>
  <c r="H14" i="3" s="1"/>
  <c r="AZ11" i="1"/>
  <c r="D96" i="3" s="1"/>
  <c r="DK103" i="1"/>
  <c r="BH112" i="6"/>
  <c r="BH64" i="6" s="1"/>
  <c r="BH70" i="6" s="1"/>
  <c r="Q20" i="1"/>
  <c r="AY105" i="1"/>
  <c r="BA23" i="1"/>
  <c r="BT124" i="6"/>
  <c r="BT84" i="6" s="1"/>
  <c r="EK13" i="1"/>
  <c r="AG21" i="1"/>
  <c r="R19" i="6"/>
  <c r="R43" i="6" s="1"/>
  <c r="R49" i="6" s="1"/>
  <c r="R25" i="6"/>
  <c r="CF36" i="1"/>
  <c r="CF26" i="1"/>
  <c r="CF126" i="1"/>
  <c r="CF86" i="1"/>
  <c r="CF136" i="1"/>
  <c r="CF46" i="1"/>
  <c r="CF94" i="1"/>
  <c r="CF124" i="1"/>
  <c r="CF54" i="1"/>
  <c r="AK103" i="1"/>
  <c r="AJ103" i="1"/>
  <c r="D18" i="8"/>
  <c r="F133" i="3"/>
  <c r="BX63" i="11"/>
  <c r="F91" i="3"/>
  <c r="BD63" i="11"/>
  <c r="F70" i="3"/>
  <c r="H70" i="3" s="1"/>
  <c r="F118" i="3"/>
  <c r="BM16" i="1"/>
  <c r="BM63" i="11"/>
  <c r="F55" i="3"/>
  <c r="AC16" i="1"/>
  <c r="F124" i="3"/>
  <c r="BQ63" i="11"/>
  <c r="BT133" i="1"/>
  <c r="BT23" i="1"/>
  <c r="BT93" i="1"/>
  <c r="BT83" i="1"/>
  <c r="S133" i="3"/>
  <c r="BT13" i="1"/>
  <c r="D133" i="3" s="1"/>
  <c r="BS143" i="1"/>
  <c r="BS103" i="1"/>
  <c r="BX10" i="11"/>
  <c r="BX14" i="11" s="1"/>
  <c r="BX51" i="11" s="1"/>
  <c r="BT123" i="1"/>
  <c r="BP124" i="6"/>
  <c r="BP125" i="6"/>
  <c r="BP123" i="6"/>
  <c r="BP122" i="6"/>
  <c r="BP76" i="6" s="1"/>
  <c r="CR63" i="11"/>
  <c r="AB16" i="1"/>
  <c r="CF84" i="1"/>
  <c r="D124" i="1"/>
  <c r="D24" i="1"/>
  <c r="AV84" i="6"/>
  <c r="AW15" i="1"/>
  <c r="AV25" i="1"/>
  <c r="AW25" i="1" s="1"/>
  <c r="L125" i="1"/>
  <c r="CF76" i="1"/>
  <c r="D126" i="3"/>
  <c r="H126" i="3" s="1"/>
  <c r="Z17" i="6"/>
  <c r="Z35" i="6" s="1"/>
  <c r="Z41" i="6" s="1"/>
  <c r="Z47" i="6" s="1"/>
  <c r="Z29" i="6"/>
  <c r="Z23" i="6"/>
  <c r="AF102" i="1"/>
  <c r="CI110" i="1"/>
  <c r="CO45" i="11" s="1"/>
  <c r="AL73" i="8"/>
  <c r="CO18" i="11"/>
  <c r="CO53" i="11" s="1"/>
  <c r="D88" i="3"/>
  <c r="H88" i="3" s="1"/>
  <c r="AG88" i="3" s="1"/>
  <c r="AV15" i="1"/>
  <c r="K160" i="1"/>
  <c r="K180" i="1" s="1"/>
  <c r="L180" i="1" s="1"/>
  <c r="CZ54" i="1"/>
  <c r="CZ34" i="1"/>
  <c r="EV32" i="1" s="1"/>
  <c r="CZ94" i="1"/>
  <c r="CZ44" i="1"/>
  <c r="CZ84" i="1"/>
  <c r="CZ64" i="1"/>
  <c r="CY113" i="1"/>
  <c r="CZ103" i="1"/>
  <c r="D39" i="3"/>
  <c r="H39" i="3" s="1"/>
  <c r="R10" i="6"/>
  <c r="R22" i="6" s="1"/>
  <c r="D123" i="3"/>
  <c r="F181" i="3"/>
  <c r="F146" i="3"/>
  <c r="CG63" i="11"/>
  <c r="F90" i="3"/>
  <c r="BC63" i="11"/>
  <c r="CG16" i="1"/>
  <c r="CK63" i="11"/>
  <c r="F152" i="3"/>
  <c r="H152" i="3" s="1"/>
  <c r="P152" i="3" s="1"/>
  <c r="F96" i="3"/>
  <c r="BG63" i="11"/>
  <c r="BX130" i="1"/>
  <c r="BX70" i="1"/>
  <c r="BW16" i="1"/>
  <c r="BX30" i="1"/>
  <c r="CB10" i="1"/>
  <c r="S137" i="3"/>
  <c r="BX120" i="1"/>
  <c r="BW15" i="1"/>
  <c r="BX85" i="1" s="1"/>
  <c r="BX40" i="1"/>
  <c r="BX90" i="1"/>
  <c r="BX10" i="1"/>
  <c r="BX60" i="1"/>
  <c r="BW140" i="1"/>
  <c r="BX150" i="1" s="1"/>
  <c r="BW200" i="1" s="1"/>
  <c r="BZ10" i="11"/>
  <c r="BX20" i="1"/>
  <c r="BX80" i="1"/>
  <c r="CC80" i="1" s="1"/>
  <c r="BX50" i="1"/>
  <c r="BW14" i="1"/>
  <c r="BW100" i="1"/>
  <c r="O116" i="64"/>
  <c r="EI46" i="11"/>
  <c r="EH46" i="11"/>
  <c r="EJ46" i="11"/>
  <c r="DQ43" i="1"/>
  <c r="DQ93" i="1"/>
  <c r="DQ53" i="1"/>
  <c r="DP103" i="1"/>
  <c r="DP113" i="1" s="1"/>
  <c r="DQ123" i="1"/>
  <c r="DQ33" i="1"/>
  <c r="DQ23" i="1"/>
  <c r="DP14" i="1"/>
  <c r="DQ73" i="1"/>
  <c r="DQ13" i="1"/>
  <c r="U103" i="3"/>
  <c r="AJ103" i="3" s="1"/>
  <c r="AL103" i="3" s="1"/>
  <c r="DI15" i="1"/>
  <c r="CF66" i="1"/>
  <c r="BO181" i="1"/>
  <c r="BP181" i="1" s="1"/>
  <c r="BO191" i="1"/>
  <c r="BQ34" i="11" s="1"/>
  <c r="G123" i="64"/>
  <c r="BL143" i="1"/>
  <c r="CF96" i="1"/>
  <c r="C104" i="1"/>
  <c r="D104" i="1" s="1"/>
  <c r="DQ133" i="1"/>
  <c r="D132" i="3"/>
  <c r="H132" i="3" s="1"/>
  <c r="V12" i="6"/>
  <c r="O121" i="64"/>
  <c r="BL76" i="6"/>
  <c r="BL82" i="6"/>
  <c r="CU104" i="1"/>
  <c r="CU114" i="1" s="1"/>
  <c r="AZ141" i="1"/>
  <c r="AY151" i="1"/>
  <c r="AY161" i="1" s="1"/>
  <c r="BM141" i="1"/>
  <c r="BW162" i="1"/>
  <c r="BX142" i="1"/>
  <c r="D75" i="8"/>
  <c r="BL115" i="6"/>
  <c r="BL67" i="6" s="1"/>
  <c r="BL73" i="6" s="1"/>
  <c r="BP112" i="6"/>
  <c r="BP64" i="6" s="1"/>
  <c r="BP70" i="6" s="1"/>
  <c r="BD131" i="1"/>
  <c r="BD81" i="1"/>
  <c r="BI81" i="1" s="1"/>
  <c r="BC101" i="1"/>
  <c r="BD121" i="1"/>
  <c r="BC141" i="1"/>
  <c r="BC145" i="1" s="1"/>
  <c r="BC14" i="1"/>
  <c r="BC144" i="1" s="1"/>
  <c r="BD11" i="1"/>
  <c r="BH11" i="1"/>
  <c r="BC16" i="1"/>
  <c r="BD21" i="1"/>
  <c r="BC15" i="1"/>
  <c r="AN131" i="1"/>
  <c r="AM101" i="1"/>
  <c r="AO101" i="1" s="1"/>
  <c r="AM15" i="1"/>
  <c r="AR11" i="1"/>
  <c r="AN81" i="1"/>
  <c r="AS81" i="1" s="1"/>
  <c r="AN11" i="1"/>
  <c r="D75" i="3" s="1"/>
  <c r="H75" i="3" s="1"/>
  <c r="AM16" i="1"/>
  <c r="AN21" i="1"/>
  <c r="F139" i="3"/>
  <c r="CB63" i="11"/>
  <c r="CV132" i="1"/>
  <c r="CV92" i="1"/>
  <c r="CU142" i="1"/>
  <c r="CV42" i="1"/>
  <c r="CU102" i="1"/>
  <c r="CU112" i="1" s="1"/>
  <c r="CZ12" i="1"/>
  <c r="CV122" i="1"/>
  <c r="S181" i="3"/>
  <c r="CV22" i="1"/>
  <c r="DA22" i="1" s="1"/>
  <c r="CV32" i="1"/>
  <c r="CV72" i="1"/>
  <c r="CV52" i="1"/>
  <c r="CV62" i="1"/>
  <c r="CU16" i="1"/>
  <c r="BT132" i="1"/>
  <c r="BT82" i="1"/>
  <c r="BU82" i="1" s="1"/>
  <c r="BS16" i="1"/>
  <c r="S132" i="3"/>
  <c r="BS14" i="1"/>
  <c r="BT22" i="1"/>
  <c r="BS102" i="1"/>
  <c r="BL124" i="6"/>
  <c r="Q121" i="64" s="1"/>
  <c r="BL123" i="6"/>
  <c r="BL83" i="6" s="1"/>
  <c r="DL53" i="1"/>
  <c r="DL63" i="1"/>
  <c r="DL33" i="1"/>
  <c r="DL13" i="1"/>
  <c r="DK14" i="1"/>
  <c r="DL24" i="1" s="1"/>
  <c r="AN78" i="6"/>
  <c r="BL113" i="6"/>
  <c r="BL65" i="6" s="1"/>
  <c r="BL71" i="6" s="1"/>
  <c r="AJ153" i="3"/>
  <c r="AL153" i="3" s="1"/>
  <c r="S163" i="1"/>
  <c r="AL34" i="8"/>
  <c r="D47" i="3"/>
  <c r="H47" i="3" s="1"/>
  <c r="AS15" i="1"/>
  <c r="AQ180" i="1"/>
  <c r="AQ210" i="1" s="1"/>
  <c r="AV36" i="11" s="1"/>
  <c r="AQ105" i="1"/>
  <c r="AR126" i="1"/>
  <c r="BT125" i="1"/>
  <c r="BT85" i="1"/>
  <c r="BS142" i="1"/>
  <c r="D109" i="3"/>
  <c r="H109" i="3" s="1"/>
  <c r="DV12" i="1"/>
  <c r="DV42" i="1"/>
  <c r="DU16" i="1"/>
  <c r="DV132" i="1"/>
  <c r="DL123" i="1"/>
  <c r="DL23" i="1"/>
  <c r="DE34" i="1"/>
  <c r="BL114" i="6"/>
  <c r="BL66" i="6" s="1"/>
  <c r="BL72" i="6" s="1"/>
  <c r="BH125" i="6"/>
  <c r="AW82" i="1"/>
  <c r="I102" i="1"/>
  <c r="BP152" i="1"/>
  <c r="BP142" i="1"/>
  <c r="BO162" i="1"/>
  <c r="D60" i="8"/>
  <c r="U145" i="3"/>
  <c r="BP95" i="1"/>
  <c r="BP125" i="1"/>
  <c r="U27" i="3"/>
  <c r="AJ27" i="3" s="1"/>
  <c r="AZ130" i="1"/>
  <c r="AY14" i="1"/>
  <c r="AZ120" i="1"/>
  <c r="AY15" i="1"/>
  <c r="AY16" i="1"/>
  <c r="AZ86" i="1" s="1"/>
  <c r="AZ20" i="1"/>
  <c r="AZ10" i="1"/>
  <c r="AY140" i="1"/>
  <c r="BF10" i="11"/>
  <c r="BF52" i="11" s="1"/>
  <c r="BD10" i="1"/>
  <c r="AU143" i="1"/>
  <c r="AU103" i="1"/>
  <c r="S91" i="3"/>
  <c r="U91" i="3" s="1"/>
  <c r="AJ91" i="3" s="1"/>
  <c r="AZ13" i="1"/>
  <c r="D98" i="3" s="1"/>
  <c r="H98" i="3" s="1"/>
  <c r="AV130" i="1"/>
  <c r="AV20" i="1"/>
  <c r="AW20" i="1" s="1"/>
  <c r="AU100" i="1"/>
  <c r="BA18" i="11" s="1"/>
  <c r="BA22" i="11" s="1"/>
  <c r="AU140" i="1"/>
  <c r="AU160" i="1" s="1"/>
  <c r="AV80" i="1"/>
  <c r="AU16" i="1"/>
  <c r="AW16" i="1" s="1"/>
  <c r="AU14" i="1"/>
  <c r="S88" i="3"/>
  <c r="U88" i="3" s="1"/>
  <c r="AJ88" i="3" s="1"/>
  <c r="AL88" i="3" s="1"/>
  <c r="S140" i="3"/>
  <c r="BX73" i="1"/>
  <c r="BX53" i="1"/>
  <c r="BX43" i="1"/>
  <c r="BW103" i="1"/>
  <c r="BW143" i="1"/>
  <c r="BX63" i="1"/>
  <c r="BX23" i="1"/>
  <c r="BY23" i="1" s="1"/>
  <c r="BX33" i="1"/>
  <c r="CC33" i="1" s="1"/>
  <c r="CC10" i="11"/>
  <c r="BX83" i="1"/>
  <c r="CC83" i="1" s="1"/>
  <c r="BX13" i="1"/>
  <c r="BX93" i="1"/>
  <c r="AV18" i="11"/>
  <c r="AV53" i="11" s="1"/>
  <c r="BW10" i="11"/>
  <c r="BW58" i="11" s="1"/>
  <c r="DV13" i="1"/>
  <c r="DV133" i="1"/>
  <c r="DV123" i="1"/>
  <c r="O146" i="1"/>
  <c r="AR85" i="6"/>
  <c r="AR79" i="6"/>
  <c r="DV83" i="1"/>
  <c r="AQ190" i="1"/>
  <c r="AV34" i="11" s="1"/>
  <c r="AV37" i="11" s="1"/>
  <c r="C191" i="1"/>
  <c r="H191" i="1" s="1"/>
  <c r="T143" i="1"/>
  <c r="DU142" i="1"/>
  <c r="DU162" i="1" s="1"/>
  <c r="DV92" i="1"/>
  <c r="BH25" i="1"/>
  <c r="D138" i="3"/>
  <c r="H138" i="3" s="1"/>
  <c r="P138" i="3" s="1"/>
  <c r="AR136" i="1"/>
  <c r="BT92" i="1"/>
  <c r="CB13" i="1"/>
  <c r="AL39" i="8"/>
  <c r="BD10" i="11"/>
  <c r="BD62" i="11" s="1"/>
  <c r="Y100" i="1"/>
  <c r="DL43" i="1"/>
  <c r="DL133" i="1"/>
  <c r="CE182" i="1"/>
  <c r="CF182" i="1" s="1"/>
  <c r="DQ66" i="1"/>
  <c r="AF78" i="6"/>
  <c r="BN16" i="6"/>
  <c r="BN34" i="6" s="1"/>
  <c r="BN40" i="6" s="1"/>
  <c r="BN46" i="6" s="1"/>
  <c r="BN28" i="6"/>
  <c r="L26" i="8"/>
  <c r="AV120" i="1"/>
  <c r="S95" i="3"/>
  <c r="BQ22" i="1"/>
  <c r="S75" i="3"/>
  <c r="W152" i="3"/>
  <c r="AJ152" i="3"/>
  <c r="AL152" i="3" s="1"/>
  <c r="BL136" i="1"/>
  <c r="BL96" i="1"/>
  <c r="CZ136" i="1"/>
  <c r="DA16" i="1"/>
  <c r="DK201" i="1"/>
  <c r="DL141" i="1"/>
  <c r="AE143" i="1"/>
  <c r="AF143" i="1" s="1"/>
  <c r="AF83" i="1"/>
  <c r="AF23" i="1"/>
  <c r="S63" i="3"/>
  <c r="U63" i="3" s="1"/>
  <c r="AJ63" i="3" s="1"/>
  <c r="AE14" i="1"/>
  <c r="BL122" i="1"/>
  <c r="BL132" i="1"/>
  <c r="BP12" i="1"/>
  <c r="BK142" i="1"/>
  <c r="BQ142" i="1" s="1"/>
  <c r="S118" i="3"/>
  <c r="BL12" i="1"/>
  <c r="BK102" i="1"/>
  <c r="AL33" i="8" s="1"/>
  <c r="BL92" i="1"/>
  <c r="BL82" i="1"/>
  <c r="CJ120" i="1"/>
  <c r="CJ50" i="1"/>
  <c r="CJ130" i="1"/>
  <c r="CJ70" i="1"/>
  <c r="CI14" i="1"/>
  <c r="CJ84" i="1" s="1"/>
  <c r="CN10" i="1"/>
  <c r="S158" i="3"/>
  <c r="CJ30" i="1"/>
  <c r="CJ10" i="1"/>
  <c r="CJ20" i="1"/>
  <c r="CO20" i="1" s="1"/>
  <c r="AN133" i="1"/>
  <c r="AN13" i="1"/>
  <c r="D77" i="3" s="1"/>
  <c r="H77" i="3" s="1"/>
  <c r="S77" i="3"/>
  <c r="U77" i="3" s="1"/>
  <c r="AJ77" i="3" s="1"/>
  <c r="AM103" i="1"/>
  <c r="AN123" i="1"/>
  <c r="AM143" i="1"/>
  <c r="AN23" i="1"/>
  <c r="AO23" i="1" s="1"/>
  <c r="AU142" i="1"/>
  <c r="AV22" i="1"/>
  <c r="AU102" i="1"/>
  <c r="BC18" i="11" s="1"/>
  <c r="BC10" i="11"/>
  <c r="S16" i="1"/>
  <c r="S102" i="1"/>
  <c r="T82" i="1"/>
  <c r="Y82" i="1" s="1"/>
  <c r="S14" i="1"/>
  <c r="T134" i="1" s="1"/>
  <c r="AT10" i="11"/>
  <c r="AT52" i="11" s="1"/>
  <c r="T22" i="1"/>
  <c r="H13" i="3"/>
  <c r="H85" i="1"/>
  <c r="I83" i="1"/>
  <c r="H56" i="3"/>
  <c r="DD136" i="1"/>
  <c r="X12" i="1"/>
  <c r="D48" i="3" s="1"/>
  <c r="I15" i="1"/>
  <c r="CI140" i="1"/>
  <c r="CI160" i="1" s="1"/>
  <c r="AV12" i="1"/>
  <c r="D90" i="3" s="1"/>
  <c r="BL26" i="1"/>
  <c r="CB25" i="1"/>
  <c r="CI15" i="1"/>
  <c r="DD96" i="1"/>
  <c r="CJ60" i="1"/>
  <c r="AK141" i="1"/>
  <c r="DD26" i="1"/>
  <c r="CJ85" i="1"/>
  <c r="CG33" i="1"/>
  <c r="DM82" i="1"/>
  <c r="CF70" i="1"/>
  <c r="CF30" i="1"/>
  <c r="CF10" i="1"/>
  <c r="CF130" i="1"/>
  <c r="CE15" i="1"/>
  <c r="CE140" i="1"/>
  <c r="CF50" i="1"/>
  <c r="CF20" i="1"/>
  <c r="CG20" i="1" s="1"/>
  <c r="CE100" i="1"/>
  <c r="CF40" i="1"/>
  <c r="P131" i="1"/>
  <c r="O15" i="1"/>
  <c r="P135" i="1" s="1"/>
  <c r="P121" i="1"/>
  <c r="P81" i="1"/>
  <c r="T11" i="1"/>
  <c r="X123" i="1"/>
  <c r="W103" i="1"/>
  <c r="L133" i="1"/>
  <c r="L83" i="1"/>
  <c r="K143" i="1"/>
  <c r="L153" i="1" s="1"/>
  <c r="L123" i="1"/>
  <c r="L23" i="1"/>
  <c r="M23" i="1" s="1"/>
  <c r="L13" i="1"/>
  <c r="D28" i="3" s="1"/>
  <c r="H28" i="3" s="1"/>
  <c r="K103" i="1"/>
  <c r="L103" i="1" s="1"/>
  <c r="S28" i="3"/>
  <c r="U28" i="3" s="1"/>
  <c r="AJ28" i="3" s="1"/>
  <c r="H133" i="1"/>
  <c r="G143" i="1"/>
  <c r="H123" i="1"/>
  <c r="G103" i="1"/>
  <c r="L101" i="8"/>
  <c r="BT125" i="6"/>
  <c r="BT85" i="6" s="1"/>
  <c r="EA11" i="1"/>
  <c r="D229" i="3" s="1"/>
  <c r="H229" i="3" s="1"/>
  <c r="DV121" i="1"/>
  <c r="DV40" i="1"/>
  <c r="DV130" i="1"/>
  <c r="DV90" i="1"/>
  <c r="DV10" i="1"/>
  <c r="CJ73" i="1"/>
  <c r="CJ93" i="1"/>
  <c r="CJ53" i="1"/>
  <c r="CJ72" i="1"/>
  <c r="CJ132" i="1"/>
  <c r="CJ22" i="1"/>
  <c r="BL130" i="1"/>
  <c r="BL10" i="1"/>
  <c r="BL80" i="1"/>
  <c r="BQ80" i="1" s="1"/>
  <c r="BL20" i="1"/>
  <c r="BL120" i="1"/>
  <c r="BL90" i="1"/>
  <c r="S56" i="3"/>
  <c r="U56" i="3" s="1"/>
  <c r="AJ56" i="3" s="1"/>
  <c r="AB23" i="1"/>
  <c r="AK23" i="1" s="1"/>
  <c r="DL51" i="1"/>
  <c r="DK101" i="1"/>
  <c r="AL123" i="8" s="1"/>
  <c r="DL31" i="1"/>
  <c r="DL121" i="1"/>
  <c r="DL81" i="1"/>
  <c r="DR81" i="1" s="1"/>
  <c r="DL90" i="1"/>
  <c r="DL50" i="1"/>
  <c r="BC103" i="1"/>
  <c r="S105" i="3"/>
  <c r="BD23" i="1"/>
  <c r="BE23" i="1" s="1"/>
  <c r="BD83" i="1"/>
  <c r="BE83" i="1" s="1"/>
  <c r="BD13" i="1"/>
  <c r="L12" i="1"/>
  <c r="D27" i="3" s="1"/>
  <c r="H27" i="3" s="1"/>
  <c r="L132" i="1"/>
  <c r="K142" i="1"/>
  <c r="H22" i="1"/>
  <c r="H132" i="1"/>
  <c r="S20" i="3"/>
  <c r="H82" i="1"/>
  <c r="G14" i="1"/>
  <c r="H96" i="3"/>
  <c r="AG96" i="3" s="1"/>
  <c r="AM14" i="1"/>
  <c r="BL131" i="1"/>
  <c r="M12" i="64"/>
  <c r="DD10" i="1"/>
  <c r="DD60" i="1"/>
  <c r="DD130" i="1"/>
  <c r="DH10" i="1"/>
  <c r="ET36" i="1" s="1"/>
  <c r="EU28" i="1"/>
  <c r="BY82" i="1"/>
  <c r="BP93" i="1"/>
  <c r="BP133" i="1"/>
  <c r="BO143" i="1"/>
  <c r="BP83" i="1"/>
  <c r="AN132" i="1"/>
  <c r="AN82" i="1"/>
  <c r="AS82" i="1" s="1"/>
  <c r="AN22" i="1"/>
  <c r="AM102" i="1"/>
  <c r="BH131" i="1"/>
  <c r="S110" i="3"/>
  <c r="AZ132" i="1"/>
  <c r="AZ22" i="1"/>
  <c r="M10" i="64"/>
  <c r="CZ51" i="1"/>
  <c r="CY101" i="1"/>
  <c r="DE101" i="1" s="1"/>
  <c r="BT123" i="6"/>
  <c r="BT83" i="6" s="1"/>
  <c r="H25" i="3"/>
  <c r="DQ83" i="1"/>
  <c r="FJ14" i="11"/>
  <c r="FJ51" i="11" s="1"/>
  <c r="H16" i="64"/>
  <c r="AZ125" i="6"/>
  <c r="AR122" i="6"/>
  <c r="AR76" i="6" s="1"/>
  <c r="P114" i="6"/>
  <c r="P66" i="6" s="1"/>
  <c r="P72" i="6" s="1"/>
  <c r="L113" i="6"/>
  <c r="L65" i="6" s="1"/>
  <c r="L71" i="6" s="1"/>
  <c r="H112" i="6"/>
  <c r="H64" i="6" s="1"/>
  <c r="H70" i="6" s="1"/>
  <c r="X12" i="64"/>
  <c r="AJ82" i="6"/>
  <c r="AJ76" i="6"/>
  <c r="DV15" i="1"/>
  <c r="DV45" i="1"/>
  <c r="DV135" i="1"/>
  <c r="DW15" i="1"/>
  <c r="DV125" i="1"/>
  <c r="EB21" i="1"/>
  <c r="DV25" i="1"/>
  <c r="AN79" i="6"/>
  <c r="AN85" i="6"/>
  <c r="J122" i="64"/>
  <c r="J123" i="64"/>
  <c r="AV82" i="6"/>
  <c r="G181" i="1"/>
  <c r="G211" i="1" s="1"/>
  <c r="H161" i="1"/>
  <c r="AH23" i="6"/>
  <c r="AH29" i="6"/>
  <c r="AH17" i="6"/>
  <c r="AH35" i="6" s="1"/>
  <c r="AH41" i="6" s="1"/>
  <c r="AH47" i="6" s="1"/>
  <c r="H141" i="1"/>
  <c r="M141" i="1"/>
  <c r="I141" i="1"/>
  <c r="G145" i="1"/>
  <c r="ET31" i="1"/>
  <c r="H116" i="64"/>
  <c r="D196" i="3"/>
  <c r="H196" i="3" s="1"/>
  <c r="AZ77" i="6"/>
  <c r="AZ83" i="6"/>
  <c r="DV65" i="1"/>
  <c r="AJ77" i="6"/>
  <c r="AJ83" i="6"/>
  <c r="AB182" i="1"/>
  <c r="AA212" i="1"/>
  <c r="CD29" i="6"/>
  <c r="CD23" i="6"/>
  <c r="CD17" i="6"/>
  <c r="CD35" i="6" s="1"/>
  <c r="CD41" i="6" s="1"/>
  <c r="CD47" i="6" s="1"/>
  <c r="DP100" i="1"/>
  <c r="DP102" i="1"/>
  <c r="AL131" i="8" s="1"/>
  <c r="R12" i="64"/>
  <c r="DV75" i="1"/>
  <c r="EJ10" i="1"/>
  <c r="BT115" i="6"/>
  <c r="BT67" i="6" s="1"/>
  <c r="BT73" i="6" s="1"/>
  <c r="J22" i="6"/>
  <c r="X163" i="1"/>
  <c r="BU15" i="1"/>
  <c r="BT135" i="1"/>
  <c r="H41" i="3"/>
  <c r="DU100" i="1"/>
  <c r="AR85" i="1"/>
  <c r="AB85" i="1"/>
  <c r="EJ13" i="1"/>
  <c r="O193" i="1"/>
  <c r="H119" i="3"/>
  <c r="H42" i="3"/>
  <c r="DU102" i="1"/>
  <c r="DU141" i="1"/>
  <c r="DV151" i="1" s="1"/>
  <c r="EJ12" i="1"/>
  <c r="I17" i="5"/>
  <c r="K197" i="3"/>
  <c r="P54" i="8"/>
  <c r="K200" i="3"/>
  <c r="CR62" i="11"/>
  <c r="J20" i="8"/>
  <c r="R20" i="8" s="1"/>
  <c r="L200" i="3"/>
  <c r="F212" i="44"/>
  <c r="E213" i="44"/>
  <c r="AB115" i="8"/>
  <c r="AD115" i="8" s="1"/>
  <c r="AC200" i="3"/>
  <c r="AD102" i="8"/>
  <c r="E101" i="44"/>
  <c r="F113" i="44"/>
  <c r="F239" i="44"/>
  <c r="F121" i="44"/>
  <c r="E128" i="44"/>
  <c r="P103" i="8"/>
  <c r="F225" i="44"/>
  <c r="N99" i="44"/>
  <c r="N108" i="44"/>
  <c r="P53" i="8"/>
  <c r="F107" i="44"/>
  <c r="B92" i="44"/>
  <c r="B106" i="44" s="1"/>
  <c r="B120" i="44" s="1"/>
  <c r="FA74" i="11"/>
  <c r="FM81" i="11"/>
  <c r="EZ74" i="11"/>
  <c r="FF74" i="11"/>
  <c r="FT74" i="11"/>
  <c r="ED46" i="11"/>
  <c r="FI74" i="11"/>
  <c r="EX74" i="11"/>
  <c r="EY74" i="11"/>
  <c r="FE81" i="11"/>
  <c r="EZ81" i="11"/>
  <c r="FN74" i="11"/>
  <c r="FO74" i="11"/>
  <c r="FR74" i="11"/>
  <c r="FT81" i="11"/>
  <c r="FQ74" i="11"/>
  <c r="FP74" i="11"/>
  <c r="FH74" i="11"/>
  <c r="FJ74" i="11"/>
  <c r="FG74" i="11"/>
  <c r="EF46" i="11"/>
  <c r="FI54" i="11"/>
  <c r="EC46" i="11"/>
  <c r="EK46" i="11"/>
  <c r="FK74" i="11"/>
  <c r="CA52" i="11"/>
  <c r="J150" i="8"/>
  <c r="P150" i="8"/>
  <c r="N153" i="8"/>
  <c r="W82" i="64"/>
  <c r="X82" i="64" s="1"/>
  <c r="X55" i="8"/>
  <c r="AD45" i="8"/>
  <c r="X60" i="8"/>
  <c r="Z60" i="8" s="1"/>
  <c r="L132" i="8"/>
  <c r="AD87" i="8"/>
  <c r="AD81" i="8"/>
  <c r="AD66" i="8"/>
  <c r="AD20" i="8"/>
  <c r="T76" i="8"/>
  <c r="L124" i="8"/>
  <c r="AJ59" i="8"/>
  <c r="L138" i="8"/>
  <c r="L125" i="8"/>
  <c r="L140" i="8"/>
  <c r="X104" i="8"/>
  <c r="X54" i="8"/>
  <c r="X111" i="8"/>
  <c r="L130" i="8"/>
  <c r="T59" i="8"/>
  <c r="P90" i="8"/>
  <c r="AD53" i="8"/>
  <c r="AD74" i="8"/>
  <c r="L129" i="8"/>
  <c r="X82" i="8"/>
  <c r="AJ87" i="8"/>
  <c r="L131" i="8"/>
  <c r="AJ76" i="8"/>
  <c r="AD52" i="8"/>
  <c r="X96" i="8"/>
  <c r="X41" i="8"/>
  <c r="Z48" i="8" s="1"/>
  <c r="L102" i="8"/>
  <c r="L126" i="8"/>
  <c r="BX61" i="6"/>
  <c r="AJ83" i="9"/>
  <c r="AE173" i="3"/>
  <c r="AB88" i="8"/>
  <c r="AD88" i="8" s="1"/>
  <c r="AE180" i="3"/>
  <c r="AA174" i="3"/>
  <c r="AC183" i="3"/>
  <c r="AE187" i="3"/>
  <c r="AD101" i="8"/>
  <c r="DL94" i="1"/>
  <c r="DK145" i="1"/>
  <c r="DL155" i="1" s="1"/>
  <c r="DG200" i="1"/>
  <c r="DI102" i="1"/>
  <c r="DD151" i="1"/>
  <c r="DC191" i="1" s="1"/>
  <c r="DD152" i="1"/>
  <c r="DC192" i="1" s="1"/>
  <c r="DD142" i="1"/>
  <c r="DU85" i="1"/>
  <c r="DV85" i="1" s="1"/>
  <c r="DU86" i="1"/>
  <c r="DV80" i="1"/>
  <c r="DL83" i="1"/>
  <c r="DM83" i="1" s="1"/>
  <c r="DK143" i="1"/>
  <c r="DP140" i="1"/>
  <c r="DQ140" i="1" s="1"/>
  <c r="DP143" i="1"/>
  <c r="DP163" i="1" s="1"/>
  <c r="DU143" i="1"/>
  <c r="DV143" i="1" s="1"/>
  <c r="DQ55" i="1"/>
  <c r="DP142" i="1"/>
  <c r="DQ82" i="1"/>
  <c r="BV68" i="11"/>
  <c r="T80" i="8"/>
  <c r="E241" i="44"/>
  <c r="F255" i="44" s="1"/>
  <c r="F254" i="44"/>
  <c r="F240" i="44"/>
  <c r="F101" i="44"/>
  <c r="F100" i="44"/>
  <c r="F88" i="44"/>
  <c r="N75" i="44"/>
  <c r="N101" i="44"/>
  <c r="F114" i="44"/>
  <c r="F226" i="44"/>
  <c r="F267" i="44"/>
  <c r="F75" i="44"/>
  <c r="F197" i="44"/>
  <c r="J123" i="8"/>
  <c r="AD55" i="8"/>
  <c r="AJ62" i="8"/>
  <c r="AD48" i="8"/>
  <c r="T27" i="8"/>
  <c r="CH64" i="11"/>
  <c r="CM64" i="11"/>
  <c r="BE140" i="1"/>
  <c r="Q141" i="1"/>
  <c r="CK83" i="1"/>
  <c r="X180" i="1"/>
  <c r="BQ68" i="11"/>
  <c r="P132" i="8"/>
  <c r="T89" i="8"/>
  <c r="P7" i="4"/>
  <c r="FI77" i="11" s="1"/>
  <c r="J132" i="8"/>
  <c r="T62" i="8"/>
  <c r="N48" i="8"/>
  <c r="N55" i="8"/>
  <c r="N62" i="8"/>
  <c r="J45" i="8"/>
  <c r="AH45" i="8" s="1"/>
  <c r="P55" i="8"/>
  <c r="P59" i="8"/>
  <c r="AD41" i="8"/>
  <c r="N139" i="8"/>
  <c r="T48" i="8"/>
  <c r="AD62" i="8"/>
  <c r="P52" i="8"/>
  <c r="N41" i="8"/>
  <c r="P48" i="8"/>
  <c r="J62" i="8"/>
  <c r="R62" i="8" s="1"/>
  <c r="C144" i="60"/>
  <c r="Y71" i="9"/>
  <c r="Y85" i="9" s="1"/>
  <c r="N71" i="9"/>
  <c r="P17" i="5"/>
  <c r="AD104" i="8"/>
  <c r="L18" i="5"/>
  <c r="C58" i="60"/>
  <c r="G100" i="60"/>
  <c r="G143" i="60"/>
  <c r="BH68" i="11"/>
  <c r="DZ236" i="1"/>
  <c r="DZ243" i="1"/>
  <c r="DZ244" i="1" s="1"/>
  <c r="AY181" i="1"/>
  <c r="AZ181" i="1" s="1"/>
  <c r="AY191" i="1"/>
  <c r="BG34" i="11" s="1"/>
  <c r="BG37" i="11" s="1"/>
  <c r="CV143" i="1"/>
  <c r="CU163" i="1"/>
  <c r="CV153" i="1"/>
  <c r="CU203" i="1" s="1"/>
  <c r="AN151" i="1"/>
  <c r="CF142" i="1"/>
  <c r="CF152" i="1"/>
  <c r="CE202" i="1" s="1"/>
  <c r="BH101" i="1"/>
  <c r="BI101" i="1"/>
  <c r="DE84" i="1"/>
  <c r="BW160" i="1"/>
  <c r="BX140" i="1"/>
  <c r="BY140" i="1"/>
  <c r="AG142" i="1"/>
  <c r="AK142" i="1"/>
  <c r="AF142" i="1"/>
  <c r="AI163" i="1"/>
  <c r="AJ143" i="1"/>
  <c r="AO143" i="1"/>
  <c r="CV101" i="1"/>
  <c r="AN140" i="1"/>
  <c r="AM146" i="1"/>
  <c r="CI111" i="1"/>
  <c r="CP45" i="11" s="1"/>
  <c r="CP68" i="11" s="1"/>
  <c r="CJ101" i="1"/>
  <c r="CI105" i="1"/>
  <c r="CY145" i="1"/>
  <c r="CZ155" i="1" s="1"/>
  <c r="DE141" i="1"/>
  <c r="DC113" i="1"/>
  <c r="DD103" i="1"/>
  <c r="DE103" i="1"/>
  <c r="BW112" i="1"/>
  <c r="CB45" i="11" s="1"/>
  <c r="AL54" i="8"/>
  <c r="BH141" i="1"/>
  <c r="BE141" i="1"/>
  <c r="DH152" i="1"/>
  <c r="DH142" i="1"/>
  <c r="DG202" i="1"/>
  <c r="AF153" i="1"/>
  <c r="AE163" i="1"/>
  <c r="AF163" i="1" s="1"/>
  <c r="AW100" i="1"/>
  <c r="AU105" i="1"/>
  <c r="CJ142" i="1"/>
  <c r="CJ152" i="1"/>
  <c r="CI202" i="1" s="1"/>
  <c r="CQ35" i="11" s="1"/>
  <c r="CK142" i="1"/>
  <c r="DE82" i="1"/>
  <c r="C163" i="1"/>
  <c r="D143" i="1"/>
  <c r="AZ151" i="1"/>
  <c r="BG24" i="11"/>
  <c r="CM180" i="1"/>
  <c r="CM210" i="1" s="1"/>
  <c r="CN160" i="1"/>
  <c r="CM190" i="1"/>
  <c r="CT34" i="11" s="1"/>
  <c r="CT37" i="11" s="1"/>
  <c r="CK141" i="1"/>
  <c r="CJ141" i="1"/>
  <c r="BO211" i="1"/>
  <c r="AO151" i="1"/>
  <c r="T163" i="1"/>
  <c r="G180" i="1"/>
  <c r="G210" i="1" s="1"/>
  <c r="CF161" i="1"/>
  <c r="W106" i="1"/>
  <c r="D153" i="1"/>
  <c r="BC162" i="1"/>
  <c r="AB141" i="1"/>
  <c r="AA161" i="1"/>
  <c r="AB151" i="1"/>
  <c r="AV101" i="1"/>
  <c r="AW101" i="1"/>
  <c r="AN141" i="1"/>
  <c r="AO141" i="1"/>
  <c r="T152" i="1"/>
  <c r="S162" i="1"/>
  <c r="S192" i="1" s="1"/>
  <c r="U142" i="1"/>
  <c r="BO164" i="1"/>
  <c r="BP144" i="1"/>
  <c r="CE104" i="1"/>
  <c r="AL70" i="8" s="1"/>
  <c r="CE144" i="1"/>
  <c r="CF144" i="1" s="1"/>
  <c r="CJ103" i="1"/>
  <c r="CI113" i="1"/>
  <c r="CR45" i="11" s="1"/>
  <c r="CR58" i="11" s="1"/>
  <c r="AL76" i="8"/>
  <c r="CK103" i="1"/>
  <c r="AS140" i="1"/>
  <c r="AR140" i="1"/>
  <c r="AQ146" i="1"/>
  <c r="AW102" i="1"/>
  <c r="DP161" i="1"/>
  <c r="DP191" i="1" s="1"/>
  <c r="DR141" i="1"/>
  <c r="DR101" i="1"/>
  <c r="AZ153" i="1"/>
  <c r="BI24" i="11"/>
  <c r="L150" i="1"/>
  <c r="K146" i="1"/>
  <c r="L140" i="1"/>
  <c r="M140" i="1"/>
  <c r="BA140" i="1"/>
  <c r="C105" i="1"/>
  <c r="D105" i="1" s="1"/>
  <c r="D100" i="1"/>
  <c r="CY163" i="1"/>
  <c r="CZ153" i="1"/>
  <c r="DA143" i="1"/>
  <c r="Y80" i="1"/>
  <c r="S145" i="1"/>
  <c r="S146" i="1"/>
  <c r="DK111" i="1"/>
  <c r="AS151" i="1"/>
  <c r="T142" i="1"/>
  <c r="AA145" i="1"/>
  <c r="AB155" i="1" s="1"/>
  <c r="AW81" i="1"/>
  <c r="BI140" i="1"/>
  <c r="BG150" i="1"/>
  <c r="BG160" i="1" s="1"/>
  <c r="BH140" i="1"/>
  <c r="BM140" i="1"/>
  <c r="X101" i="1"/>
  <c r="D141" i="1"/>
  <c r="FJ65" i="11"/>
  <c r="I81" i="1"/>
  <c r="AK81" i="1"/>
  <c r="AC80" i="1"/>
  <c r="BG14" i="11"/>
  <c r="BG51" i="11" s="1"/>
  <c r="J124" i="8"/>
  <c r="T53" i="8"/>
  <c r="T18" i="8"/>
  <c r="X75" i="8"/>
  <c r="J47" i="8"/>
  <c r="AH47" i="8" s="1"/>
  <c r="J103" i="8"/>
  <c r="AD96" i="8"/>
  <c r="G93" i="60"/>
  <c r="AJ40" i="8"/>
  <c r="S75" i="9"/>
  <c r="S79" i="9" s="1"/>
  <c r="P28" i="60"/>
  <c r="N123" i="8"/>
  <c r="J88" i="8"/>
  <c r="AH88" i="8" s="1"/>
  <c r="EK11" i="1"/>
  <c r="BQ58" i="11"/>
  <c r="D39" i="60"/>
  <c r="D80" i="60" s="1"/>
  <c r="F76" i="9"/>
  <c r="F80" i="9" s="1"/>
  <c r="AC40" i="3"/>
  <c r="AE40" i="3" s="1"/>
  <c r="AA41" i="3"/>
  <c r="AC42" i="3" s="1"/>
  <c r="CO81" i="11"/>
  <c r="BW81" i="11"/>
  <c r="BH81" i="11"/>
  <c r="CL81" i="11"/>
  <c r="BK81" i="11"/>
  <c r="AW81" i="11"/>
  <c r="BG81" i="11"/>
  <c r="CA81" i="11"/>
  <c r="CC81" i="11"/>
  <c r="BU81" i="11"/>
  <c r="BF81" i="11"/>
  <c r="BQ81" i="11"/>
  <c r="BB81" i="11"/>
  <c r="BI81" i="11"/>
  <c r="CF81" i="11"/>
  <c r="CJ81" i="11"/>
  <c r="AV81" i="11"/>
  <c r="CE81" i="11"/>
  <c r="BL81" i="11"/>
  <c r="CK81" i="11"/>
  <c r="CM81" i="11"/>
  <c r="CB81" i="11"/>
  <c r="AY81" i="11"/>
  <c r="BA81" i="11"/>
  <c r="BC81" i="11"/>
  <c r="AL42" i="3"/>
  <c r="N162" i="3"/>
  <c r="AE166" i="3"/>
  <c r="N141" i="3"/>
  <c r="N145" i="3"/>
  <c r="BS81" i="11"/>
  <c r="BN81" i="11"/>
  <c r="BM81" i="11"/>
  <c r="BD81" i="11"/>
  <c r="BV81" i="11"/>
  <c r="J139" i="8"/>
  <c r="R139" i="8" s="1"/>
  <c r="N125" i="8"/>
  <c r="N88" i="8"/>
  <c r="P108" i="8"/>
  <c r="T60" i="8"/>
  <c r="F281" i="44"/>
  <c r="E282" i="44"/>
  <c r="E283" i="44" s="1"/>
  <c r="E284" i="44" s="1"/>
  <c r="E285" i="44" s="1"/>
  <c r="E286" i="44" s="1"/>
  <c r="E287" i="44" s="1"/>
  <c r="E288" i="44" s="1"/>
  <c r="E289" i="44" s="1"/>
  <c r="E290" i="44" s="1"/>
  <c r="E291" i="44" s="1"/>
  <c r="F295" i="44"/>
  <c r="P15" i="60"/>
  <c r="Q15" i="60"/>
  <c r="Q57" i="60" s="1"/>
  <c r="FX12" i="11"/>
  <c r="O8" i="60"/>
  <c r="AY52" i="11"/>
  <c r="J66" i="8"/>
  <c r="R66" i="8" s="1"/>
  <c r="P123" i="8"/>
  <c r="T20" i="8"/>
  <c r="X87" i="8"/>
  <c r="AD111" i="8"/>
  <c r="AD34" i="8"/>
  <c r="T66" i="8"/>
  <c r="X66" i="8"/>
  <c r="P115" i="8"/>
  <c r="P129" i="8"/>
  <c r="P12" i="60"/>
  <c r="N122" i="8"/>
  <c r="P66" i="8"/>
  <c r="N27" i="8"/>
  <c r="AJ20" i="8"/>
  <c r="P88" i="8"/>
  <c r="P122" i="8"/>
  <c r="P24" i="8"/>
  <c r="X88" i="8"/>
  <c r="X47" i="8"/>
  <c r="AY14" i="11"/>
  <c r="AY51" i="11" s="1"/>
  <c r="N132" i="8"/>
  <c r="AD82" i="8"/>
  <c r="AJ66" i="8"/>
  <c r="CK52" i="11"/>
  <c r="CH52" i="11"/>
  <c r="CL64" i="11"/>
  <c r="CG64" i="11"/>
  <c r="P125" i="8"/>
  <c r="J111" i="8"/>
  <c r="Q48" i="5"/>
  <c r="AJ60" i="8"/>
  <c r="T75" i="8"/>
  <c r="P61" i="8"/>
  <c r="J61" i="8"/>
  <c r="P82" i="8"/>
  <c r="X61" i="8"/>
  <c r="T67" i="8"/>
  <c r="J125" i="8"/>
  <c r="J145" i="8"/>
  <c r="P62" i="8"/>
  <c r="AJ75" i="8"/>
  <c r="G101" i="60"/>
  <c r="C39" i="60"/>
  <c r="C80" i="60" s="1"/>
  <c r="F58" i="60"/>
  <c r="J48" i="8"/>
  <c r="AH48" i="8" s="1"/>
  <c r="N82" i="8"/>
  <c r="P111" i="8"/>
  <c r="T117" i="8"/>
  <c r="T33" i="8"/>
  <c r="AJ61" i="8"/>
  <c r="AJ47" i="8"/>
  <c r="AJ19" i="8"/>
  <c r="AJ54" i="8"/>
  <c r="N68" i="8"/>
  <c r="N17" i="5"/>
  <c r="J82" i="8"/>
  <c r="N110" i="8"/>
  <c r="O71" i="9"/>
  <c r="P104" i="8"/>
  <c r="Z70" i="9"/>
  <c r="Z75" i="9" s="1"/>
  <c r="Z79" i="9" s="1"/>
  <c r="T47" i="8"/>
  <c r="T54" i="8"/>
  <c r="T61" i="8"/>
  <c r="C8" i="60"/>
  <c r="C93" i="60" s="1"/>
  <c r="N111" i="8"/>
  <c r="AJ33" i="8"/>
  <c r="H71" i="9"/>
  <c r="J122" i="8"/>
  <c r="AH41" i="8"/>
  <c r="J131" i="8"/>
  <c r="BW145" i="1"/>
  <c r="BX145" i="1" s="1"/>
  <c r="E123" i="64"/>
  <c r="Q122" i="64"/>
  <c r="Q123" i="64"/>
  <c r="L69" i="8"/>
  <c r="W147" i="3"/>
  <c r="Y154" i="3" s="1"/>
  <c r="BP85" i="6"/>
  <c r="AB83" i="6"/>
  <c r="BD84" i="6"/>
  <c r="CG21" i="1"/>
  <c r="J18" i="6"/>
  <c r="J42" i="6" s="1"/>
  <c r="DA155" i="1"/>
  <c r="BH114" i="6"/>
  <c r="BH66" i="6" s="1"/>
  <c r="BH72" i="6" s="1"/>
  <c r="M21" i="1"/>
  <c r="DW154" i="1"/>
  <c r="BL84" i="6"/>
  <c r="AZ161" i="1"/>
  <c r="BD78" i="6"/>
  <c r="CO125" i="1"/>
  <c r="AC125" i="1"/>
  <c r="BD125" i="6"/>
  <c r="BX125" i="6"/>
  <c r="J143" i="8"/>
  <c r="N146" i="8"/>
  <c r="F140" i="8"/>
  <c r="T139" i="8" s="1"/>
  <c r="AJ78" i="6"/>
  <c r="AJ84" i="6"/>
  <c r="AF83" i="6"/>
  <c r="AF77" i="6"/>
  <c r="AQ24" i="11"/>
  <c r="AM155" i="1"/>
  <c r="L123" i="64"/>
  <c r="L122" i="64"/>
  <c r="AJ151" i="3"/>
  <c r="AL151" i="3" s="1"/>
  <c r="W151" i="3"/>
  <c r="W191" i="1"/>
  <c r="W196" i="1" s="1"/>
  <c r="X161" i="1"/>
  <c r="W181" i="1"/>
  <c r="BH82" i="6"/>
  <c r="DV35" i="1"/>
  <c r="X183" i="1"/>
  <c r="W182" i="1"/>
  <c r="AC182" i="1" s="1"/>
  <c r="DL145" i="1"/>
  <c r="BN18" i="11"/>
  <c r="AC141" i="1"/>
  <c r="CZ55" i="1"/>
  <c r="AO20" i="1"/>
  <c r="AS20" i="1"/>
  <c r="DK160" i="1"/>
  <c r="DL140" i="1"/>
  <c r="X142" i="1"/>
  <c r="X152" i="1"/>
  <c r="X24" i="1"/>
  <c r="W144" i="1"/>
  <c r="X134" i="1"/>
  <c r="AB14" i="1"/>
  <c r="D57" i="3" s="1"/>
  <c r="H57" i="3" s="1"/>
  <c r="W104" i="1"/>
  <c r="X141" i="1"/>
  <c r="W146" i="1"/>
  <c r="BH84" i="6"/>
  <c r="BH78" i="6"/>
  <c r="DI22" i="1"/>
  <c r="DE22" i="1"/>
  <c r="DC145" i="1"/>
  <c r="DD140" i="1"/>
  <c r="DC144" i="1"/>
  <c r="DD24" i="1"/>
  <c r="E15" i="1"/>
  <c r="D25" i="1"/>
  <c r="I25" i="1" s="1"/>
  <c r="BK214" i="1"/>
  <c r="FI36" i="11" s="1"/>
  <c r="W193" i="1"/>
  <c r="X162" i="1"/>
  <c r="BL103" i="1"/>
  <c r="X124" i="1"/>
  <c r="AA105" i="1"/>
  <c r="AC100" i="1"/>
  <c r="AB100" i="1"/>
  <c r="AA106" i="1"/>
  <c r="AV134" i="1"/>
  <c r="AU144" i="1"/>
  <c r="BH76" i="6"/>
  <c r="AR180" i="1"/>
  <c r="U109" i="3"/>
  <c r="AJ109" i="3" s="1"/>
  <c r="AL109" i="3" s="1"/>
  <c r="X84" i="1"/>
  <c r="DD150" i="1"/>
  <c r="K190" i="1"/>
  <c r="CZ144" i="1"/>
  <c r="CK33" i="1"/>
  <c r="AR124" i="6"/>
  <c r="DW126" i="1"/>
  <c r="I21" i="1"/>
  <c r="CG83" i="1"/>
  <c r="Q82" i="1"/>
  <c r="CK126" i="1"/>
  <c r="AV125" i="6"/>
  <c r="AF122" i="6"/>
  <c r="AZ114" i="6"/>
  <c r="AZ66" i="6" s="1"/>
  <c r="AZ72" i="6" s="1"/>
  <c r="L115" i="6"/>
  <c r="L67" i="6" s="1"/>
  <c r="L73" i="6" s="1"/>
  <c r="S99" i="3"/>
  <c r="D14" i="8" s="1"/>
  <c r="L35" i="8" s="1"/>
  <c r="U21" i="1"/>
  <c r="AZ85" i="1"/>
  <c r="AJ125" i="6"/>
  <c r="AF125" i="6"/>
  <c r="AB122" i="6"/>
  <c r="X112" i="6"/>
  <c r="X64" i="6" s="1"/>
  <c r="X70" i="6" s="1"/>
  <c r="DW124" i="1"/>
  <c r="DQ134" i="1"/>
  <c r="DG144" i="1"/>
  <c r="DH154" i="1" s="1"/>
  <c r="AY163" i="1"/>
  <c r="AY193" i="1" s="1"/>
  <c r="BI34" i="11" s="1"/>
  <c r="BI37" i="11" s="1"/>
  <c r="CV86" i="1"/>
  <c r="BE82" i="1"/>
  <c r="DA156" i="1"/>
  <c r="AO125" i="1"/>
  <c r="EK31" i="1"/>
  <c r="EK32" i="1"/>
  <c r="CV145" i="1"/>
  <c r="AN146" i="1"/>
  <c r="CV155" i="1"/>
  <c r="BC106" i="1"/>
  <c r="BD100" i="1"/>
  <c r="C160" i="1"/>
  <c r="C145" i="1"/>
  <c r="BX141" i="1"/>
  <c r="BW151" i="1"/>
  <c r="BW161" i="1" s="1"/>
  <c r="DH103" i="1"/>
  <c r="DI103" i="1"/>
  <c r="DG113" i="1"/>
  <c r="W165" i="1"/>
  <c r="W164" i="1"/>
  <c r="X164" i="1" s="1"/>
  <c r="M160" i="1"/>
  <c r="H160" i="1"/>
  <c r="BG145" i="1"/>
  <c r="DC182" i="1"/>
  <c r="DD182" i="1" s="1"/>
  <c r="G8" i="64"/>
  <c r="G26" i="64" s="1"/>
  <c r="DE140" i="1"/>
  <c r="DC146" i="1"/>
  <c r="DC160" i="1"/>
  <c r="DC166" i="1" s="1"/>
  <c r="DI140" i="1"/>
  <c r="AR100" i="1"/>
  <c r="BY102" i="1"/>
  <c r="BT102" i="1"/>
  <c r="CU113" i="1"/>
  <c r="CV103" i="1"/>
  <c r="DA103" i="1"/>
  <c r="CB101" i="1"/>
  <c r="CA111" i="1"/>
  <c r="CF45" i="11" s="1"/>
  <c r="AB143" i="1"/>
  <c r="AG143" i="1"/>
  <c r="AR101" i="1"/>
  <c r="Y140" i="1"/>
  <c r="T150" i="1"/>
  <c r="T140" i="1"/>
  <c r="O162" i="1"/>
  <c r="Q142" i="1"/>
  <c r="P101" i="1"/>
  <c r="O105" i="1"/>
  <c r="U141" i="1"/>
  <c r="AQ162" i="1"/>
  <c r="AR142" i="1"/>
  <c r="CE110" i="1"/>
  <c r="CJ45" i="11" s="1"/>
  <c r="AL66" i="8"/>
  <c r="BT151" i="1"/>
  <c r="BS161" i="1"/>
  <c r="BT141" i="1"/>
  <c r="DD100" i="1"/>
  <c r="DC106" i="1"/>
  <c r="DD106" i="1" s="1"/>
  <c r="I101" i="1"/>
  <c r="C106" i="1"/>
  <c r="D106" i="1" s="1"/>
  <c r="CK101" i="1"/>
  <c r="CF101" i="1"/>
  <c r="AR150" i="1"/>
  <c r="AQ145" i="1"/>
  <c r="AR155" i="1" s="1"/>
  <c r="AI162" i="1"/>
  <c r="AJ152" i="1"/>
  <c r="T141" i="1"/>
  <c r="S161" i="1"/>
  <c r="CE145" i="1"/>
  <c r="AJ151" i="1"/>
  <c r="AI161" i="1"/>
  <c r="AO161" i="1" s="1"/>
  <c r="AJ141" i="1"/>
  <c r="BD102" i="1"/>
  <c r="BI102" i="1"/>
  <c r="AL19" i="8"/>
  <c r="AE160" i="1"/>
  <c r="AF160" i="1" s="1"/>
  <c r="AF150" i="1"/>
  <c r="BL102" i="1"/>
  <c r="BK106" i="1"/>
  <c r="BL106" i="1" s="1"/>
  <c r="CV141" i="1"/>
  <c r="CU161" i="1"/>
  <c r="CV151" i="1"/>
  <c r="CU201" i="1" s="1"/>
  <c r="BA100" i="1"/>
  <c r="AZ100" i="1"/>
  <c r="BF18" i="11"/>
  <c r="BI82" i="1"/>
  <c r="C162" i="1"/>
  <c r="CE113" i="1"/>
  <c r="CM45" i="11" s="1"/>
  <c r="CM58" i="11" s="1"/>
  <c r="CF103" i="1"/>
  <c r="BC153" i="1"/>
  <c r="BC163" i="1" s="1"/>
  <c r="BD143" i="1"/>
  <c r="AG101" i="1"/>
  <c r="AC143" i="1"/>
  <c r="DG192" i="1"/>
  <c r="DH192" i="1" s="1"/>
  <c r="DG182" i="1"/>
  <c r="DG212" i="1" s="1"/>
  <c r="CZ142" i="1"/>
  <c r="DE142" i="1"/>
  <c r="DA142" i="1"/>
  <c r="DA141" i="1"/>
  <c r="DC163" i="1"/>
  <c r="DD143" i="1"/>
  <c r="DE143" i="1"/>
  <c r="DE83" i="1"/>
  <c r="M142" i="1"/>
  <c r="L142" i="1"/>
  <c r="DG160" i="1"/>
  <c r="DH140" i="1"/>
  <c r="DG112" i="1"/>
  <c r="DH102" i="1"/>
  <c r="BC150" i="1"/>
  <c r="BC160" i="1" s="1"/>
  <c r="BD140" i="1"/>
  <c r="I82" i="1"/>
  <c r="BE143" i="1"/>
  <c r="I80" i="1"/>
  <c r="DI80" i="1"/>
  <c r="M80" i="1"/>
  <c r="E256" i="44"/>
  <c r="E297" i="44"/>
  <c r="F296" i="44"/>
  <c r="N75" i="8"/>
  <c r="N69" i="8"/>
  <c r="T38" i="8"/>
  <c r="F227" i="44"/>
  <c r="J118" i="8"/>
  <c r="R118" i="8" s="1"/>
  <c r="P76" i="8"/>
  <c r="N95" i="8"/>
  <c r="CK58" i="11"/>
  <c r="T68" i="8"/>
  <c r="CF62" i="11"/>
  <c r="J34" i="8"/>
  <c r="R34" i="8" s="1"/>
  <c r="J76" i="8"/>
  <c r="R76" i="8" s="1"/>
  <c r="N117" i="8"/>
  <c r="P118" i="8"/>
  <c r="CR64" i="11"/>
  <c r="CH14" i="11"/>
  <c r="CH51" i="11" s="1"/>
  <c r="CK14" i="11"/>
  <c r="CK51" i="11" s="1"/>
  <c r="CP62" i="11"/>
  <c r="CA14" i="11"/>
  <c r="CA51" i="11" s="1"/>
  <c r="J24" i="8"/>
  <c r="AH24" i="8" s="1"/>
  <c r="CK62" i="11"/>
  <c r="AD95" i="8"/>
  <c r="X68" i="8"/>
  <c r="AD76" i="8"/>
  <c r="AJ68" i="8"/>
  <c r="N124" i="8"/>
  <c r="BQ14" i="11"/>
  <c r="BQ51" i="11" s="1"/>
  <c r="BI58" i="11"/>
  <c r="AJ117" i="8"/>
  <c r="BI14" i="11"/>
  <c r="BI51" i="11" s="1"/>
  <c r="N102" i="8"/>
  <c r="AD68" i="8"/>
  <c r="X76" i="8"/>
  <c r="CM53" i="11"/>
  <c r="CM22" i="11"/>
  <c r="CM55" i="11" s="1"/>
  <c r="BL68" i="11"/>
  <c r="AF15" i="5"/>
  <c r="AJ104" i="8"/>
  <c r="J129" i="8"/>
  <c r="BM68" i="11"/>
  <c r="AJ17" i="8"/>
  <c r="AJ38" i="8"/>
  <c r="CK22" i="11"/>
  <c r="CK55" i="11" s="1"/>
  <c r="R178" i="60"/>
  <c r="BX52" i="6"/>
  <c r="FY17" i="11"/>
  <c r="BK14" i="11"/>
  <c r="BK51" i="11" s="1"/>
  <c r="EO46" i="11"/>
  <c r="EN46" i="11"/>
  <c r="EM46" i="11"/>
  <c r="J40" i="8"/>
  <c r="R40" i="8" s="1"/>
  <c r="N47" i="8"/>
  <c r="AJ27" i="8"/>
  <c r="AJ48" i="8"/>
  <c r="AJ34" i="8"/>
  <c r="J94" i="8"/>
  <c r="R94" i="8" s="1"/>
  <c r="AJ55" i="8"/>
  <c r="BY46" i="6"/>
  <c r="AY211" i="1"/>
  <c r="BG36" i="11" s="1"/>
  <c r="CU180" i="1"/>
  <c r="CV180" i="1" s="1"/>
  <c r="AC82" i="1"/>
  <c r="FJ54" i="11"/>
  <c r="CG143" i="1"/>
  <c r="X140" i="1"/>
  <c r="N115" i="8"/>
  <c r="X115" i="8"/>
  <c r="BR68" i="11"/>
  <c r="DZ84" i="1"/>
  <c r="M75" i="9"/>
  <c r="M79" i="9" s="1"/>
  <c r="P42" i="5"/>
  <c r="P44" i="5" s="1"/>
  <c r="P102" i="8"/>
  <c r="G136" i="60"/>
  <c r="P12" i="5"/>
  <c r="P24" i="4"/>
  <c r="X52" i="8"/>
  <c r="J75" i="9"/>
  <c r="J79" i="9" s="1"/>
  <c r="U16" i="5"/>
  <c r="J102" i="8"/>
  <c r="J53" i="8"/>
  <c r="AH53" i="8" s="1"/>
  <c r="FJ52" i="11"/>
  <c r="J52" i="8"/>
  <c r="R52" i="8" s="1"/>
  <c r="N108" i="8"/>
  <c r="S69" i="9"/>
  <c r="S70" i="10" s="1"/>
  <c r="X94" i="8"/>
  <c r="P40" i="5"/>
  <c r="J71" i="9"/>
  <c r="P37" i="5"/>
  <c r="P26" i="5"/>
  <c r="X101" i="8"/>
  <c r="P130" i="8"/>
  <c r="AJ90" i="8"/>
  <c r="BP68" i="11"/>
  <c r="M48" i="5"/>
  <c r="BG58" i="11"/>
  <c r="E97" i="60"/>
  <c r="EK10" i="1"/>
  <c r="P60" i="8"/>
  <c r="P45" i="8"/>
  <c r="X59" i="8"/>
  <c r="P38" i="8"/>
  <c r="N24" i="8"/>
  <c r="BK58" i="11"/>
  <c r="J59" i="8"/>
  <c r="R59" i="8" s="1"/>
  <c r="J17" i="8"/>
  <c r="AH17" i="8" s="1"/>
  <c r="J38" i="8"/>
  <c r="N52" i="8"/>
  <c r="T34" i="8"/>
  <c r="Q26" i="5"/>
  <c r="J60" i="8"/>
  <c r="R60" i="8" s="1"/>
  <c r="AD59" i="8"/>
  <c r="T17" i="8"/>
  <c r="N45" i="8"/>
  <c r="N59" i="8"/>
  <c r="N66" i="8"/>
  <c r="J39" i="8"/>
  <c r="R39" i="8" s="1"/>
  <c r="AJ45" i="8"/>
  <c r="O180" i="60"/>
  <c r="O178" i="60" s="1"/>
  <c r="DQ100" i="1"/>
  <c r="DR100" i="1"/>
  <c r="DP110" i="1"/>
  <c r="DQ80" i="1"/>
  <c r="DP85" i="1"/>
  <c r="DR103" i="1"/>
  <c r="DP86" i="1"/>
  <c r="DQ86" i="1" s="1"/>
  <c r="BF68" i="11"/>
  <c r="DQ103" i="1"/>
  <c r="BK68" i="11"/>
  <c r="DM100" i="1"/>
  <c r="DH182" i="1"/>
  <c r="DI162" i="1"/>
  <c r="DI100" i="1"/>
  <c r="DG163" i="1"/>
  <c r="DI163" i="1" s="1"/>
  <c r="L8" i="64"/>
  <c r="L26" i="64" s="1"/>
  <c r="L61" i="64" s="1"/>
  <c r="L65" i="64" s="1"/>
  <c r="DG104" i="1"/>
  <c r="AL119" i="8" s="1"/>
  <c r="DI82" i="1"/>
  <c r="DG203" i="1"/>
  <c r="DI143" i="1"/>
  <c r="DH143" i="1"/>
  <c r="DC203" i="1"/>
  <c r="DC193" i="1"/>
  <c r="DD163" i="1"/>
  <c r="H8" i="64"/>
  <c r="H26" i="64" s="1"/>
  <c r="DC183" i="1"/>
  <c r="DI81" i="1"/>
  <c r="AE167" i="3"/>
  <c r="AC169" i="3"/>
  <c r="AE42" i="3"/>
  <c r="J35" i="3"/>
  <c r="L36" i="3" s="1"/>
  <c r="N36" i="3" s="1"/>
  <c r="L29" i="3"/>
  <c r="N29" i="3" s="1"/>
  <c r="AL96" i="3"/>
  <c r="AN103" i="3" s="1"/>
  <c r="AE47" i="3"/>
  <c r="AE119" i="3"/>
  <c r="AC55" i="3"/>
  <c r="AE55" i="3" s="1"/>
  <c r="N166" i="3"/>
  <c r="N154" i="3"/>
  <c r="P154" i="3" s="1"/>
  <c r="AH44" i="7"/>
  <c r="CM35" i="11"/>
  <c r="DH202" i="1"/>
  <c r="AM191" i="1"/>
  <c r="AN161" i="1"/>
  <c r="AM181" i="1"/>
  <c r="AM211" i="1" s="1"/>
  <c r="O106" i="1"/>
  <c r="P106" i="1" s="1"/>
  <c r="BU80" i="1"/>
  <c r="DM101" i="1"/>
  <c r="W16" i="5"/>
  <c r="CE64" i="11"/>
  <c r="BS58" i="11"/>
  <c r="AJ138" i="8"/>
  <c r="BS22" i="11"/>
  <c r="BS56" i="11" s="1"/>
  <c r="J104" i="8"/>
  <c r="T55" i="8"/>
  <c r="J146" i="8"/>
  <c r="CR52" i="11"/>
  <c r="P27" i="8"/>
  <c r="BN68" i="11"/>
  <c r="EK12" i="1"/>
  <c r="T75" i="9"/>
  <c r="T79" i="9" s="1"/>
  <c r="AJ74" i="8"/>
  <c r="AJ53" i="8"/>
  <c r="CK64" i="11"/>
  <c r="P138" i="8"/>
  <c r="Q36" i="4"/>
  <c r="Q37" i="4" s="1"/>
  <c r="Q12" i="4"/>
  <c r="Q43" i="4" s="1"/>
  <c r="Q24" i="4"/>
  <c r="Q75" i="9"/>
  <c r="Q79" i="9" s="1"/>
  <c r="Q76" i="9"/>
  <c r="Q80" i="9" s="1"/>
  <c r="R41" i="8"/>
  <c r="Z71" i="9"/>
  <c r="Z85" i="9" s="1"/>
  <c r="J27" i="8"/>
  <c r="T74" i="8"/>
  <c r="D144" i="60"/>
  <c r="N103" i="8"/>
  <c r="P41" i="8"/>
  <c r="T96" i="8"/>
  <c r="T40" i="8"/>
  <c r="Q8" i="5"/>
  <c r="X103" i="8"/>
  <c r="BR62" i="11"/>
  <c r="P146" i="8"/>
  <c r="AJ96" i="8"/>
  <c r="D58" i="60"/>
  <c r="N40" i="8"/>
  <c r="AD103" i="8"/>
  <c r="T69" i="9"/>
  <c r="T70" i="10" s="1"/>
  <c r="R75" i="9"/>
  <c r="R79" i="9" s="1"/>
  <c r="Q17" i="5"/>
  <c r="Q12" i="5"/>
  <c r="O48" i="5"/>
  <c r="T26" i="8"/>
  <c r="Q37" i="5"/>
  <c r="Q32" i="5"/>
  <c r="J26" i="8"/>
  <c r="AH26" i="8" s="1"/>
  <c r="N131" i="8"/>
  <c r="U76" i="9"/>
  <c r="U80" i="9" s="1"/>
  <c r="U75" i="9"/>
  <c r="U79" i="9" s="1"/>
  <c r="N137" i="8"/>
  <c r="E140" i="60"/>
  <c r="FX63" i="11"/>
  <c r="Q23" i="5"/>
  <c r="T45" i="8"/>
  <c r="P96" i="8"/>
  <c r="X95" i="8"/>
  <c r="CF52" i="11"/>
  <c r="AJ25" i="8"/>
  <c r="P116" i="8"/>
  <c r="J130" i="8"/>
  <c r="N130" i="8"/>
  <c r="T52" i="8"/>
  <c r="T87" i="8"/>
  <c r="P53" i="5"/>
  <c r="P57" i="5" s="1"/>
  <c r="P64" i="5" s="1"/>
  <c r="FI28" i="11" s="1"/>
  <c r="W75" i="9"/>
  <c r="W79" i="9" s="1"/>
  <c r="G144" i="60"/>
  <c r="P39" i="8"/>
  <c r="P95" i="8"/>
  <c r="J116" i="8"/>
  <c r="N67" i="8"/>
  <c r="J117" i="8"/>
  <c r="P131" i="8"/>
  <c r="AJ52" i="8"/>
  <c r="F144" i="60"/>
  <c r="BQ53" i="11"/>
  <c r="T36" i="5"/>
  <c r="D11" i="60" s="1"/>
  <c r="D96" i="60" s="1"/>
  <c r="FY20" i="11"/>
  <c r="AE9" i="5"/>
  <c r="J96" i="8"/>
  <c r="AH96" i="8" s="1"/>
  <c r="G71" i="9"/>
  <c r="P68" i="8"/>
  <c r="N16" i="60"/>
  <c r="N116" i="8"/>
  <c r="T95" i="8"/>
  <c r="T88" i="8"/>
  <c r="I75" i="9"/>
  <c r="I79" i="9" s="1"/>
  <c r="I76" i="9"/>
  <c r="I80" i="9" s="1"/>
  <c r="J18" i="8"/>
  <c r="AH18" i="8" s="1"/>
  <c r="N48" i="5"/>
  <c r="EX68" i="11"/>
  <c r="G48" i="5"/>
  <c r="T24" i="8"/>
  <c r="AH70" i="9"/>
  <c r="N80" i="8"/>
  <c r="P143" i="8"/>
  <c r="Q40" i="5"/>
  <c r="L48" i="5"/>
  <c r="C67" i="60"/>
  <c r="C110" i="60" s="1"/>
  <c r="C153" i="60"/>
  <c r="E153" i="60"/>
  <c r="E67" i="60"/>
  <c r="E110" i="60" s="1"/>
  <c r="D153" i="60"/>
  <c r="D67" i="60"/>
  <c r="D110" i="60" s="1"/>
  <c r="AF78" i="5"/>
  <c r="P26" i="60" s="1"/>
  <c r="P67" i="60" s="1"/>
  <c r="P110" i="60" s="1"/>
  <c r="FY46" i="11"/>
  <c r="E143" i="60"/>
  <c r="E100" i="60"/>
  <c r="T41" i="8"/>
  <c r="AJ41" i="8"/>
  <c r="N39" i="8"/>
  <c r="N46" i="8"/>
  <c r="J25" i="8"/>
  <c r="AH25" i="8" s="1"/>
  <c r="AJ18" i="8"/>
  <c r="N74" i="8"/>
  <c r="X90" i="8"/>
  <c r="BM14" i="11"/>
  <c r="BM51" i="11" s="1"/>
  <c r="AJ73" i="8"/>
  <c r="X73" i="8"/>
  <c r="P73" i="8"/>
  <c r="AD73" i="8"/>
  <c r="N73" i="8"/>
  <c r="J73" i="8"/>
  <c r="T73" i="8"/>
  <c r="T94" i="8"/>
  <c r="N94" i="8"/>
  <c r="P94" i="8"/>
  <c r="AJ94" i="8"/>
  <c r="AD94" i="8"/>
  <c r="N101" i="8"/>
  <c r="T19" i="8"/>
  <c r="J19" i="8"/>
  <c r="N26" i="8"/>
  <c r="P101" i="8"/>
  <c r="N104" i="8"/>
  <c r="J97" i="8"/>
  <c r="R97" i="8" s="1"/>
  <c r="AD97" i="8"/>
  <c r="X97" i="8"/>
  <c r="P97" i="8"/>
  <c r="J33" i="8"/>
  <c r="J32" i="8"/>
  <c r="AH32" i="8" s="1"/>
  <c r="T32" i="8"/>
  <c r="T82" i="8"/>
  <c r="AJ82" i="8"/>
  <c r="E28" i="60"/>
  <c r="E69" i="60" s="1"/>
  <c r="E112" i="60" s="1"/>
  <c r="E158" i="60" s="1"/>
  <c r="AJ95" i="8"/>
  <c r="BS68" i="11"/>
  <c r="Q41" i="4"/>
  <c r="AJ39" i="8"/>
  <c r="T39" i="8"/>
  <c r="N25" i="8"/>
  <c r="P26" i="8"/>
  <c r="AD67" i="8"/>
  <c r="J68" i="8"/>
  <c r="J67" i="8"/>
  <c r="Q53" i="5"/>
  <c r="Q57" i="5" s="1"/>
  <c r="Q64" i="5" s="1"/>
  <c r="FJ28" i="11" s="1"/>
  <c r="J115" i="8"/>
  <c r="E57" i="60"/>
  <c r="D8" i="60"/>
  <c r="N97" i="8"/>
  <c r="BM58" i="11"/>
  <c r="CP14" i="11"/>
  <c r="AD9" i="5"/>
  <c r="N39" i="60"/>
  <c r="FW63" i="11"/>
  <c r="E8" i="60"/>
  <c r="X70" i="9"/>
  <c r="J69" i="8"/>
  <c r="AH69" i="8" s="1"/>
  <c r="N76" i="8"/>
  <c r="AD69" i="8"/>
  <c r="P69" i="8"/>
  <c r="X69" i="8"/>
  <c r="AJ69" i="8"/>
  <c r="N38" i="8"/>
  <c r="J31" i="8"/>
  <c r="AJ31" i="8"/>
  <c r="J108" i="8"/>
  <c r="AH108" i="8" s="1"/>
  <c r="J90" i="8"/>
  <c r="AD90" i="8"/>
  <c r="N90" i="8"/>
  <c r="J101" i="8"/>
  <c r="AD83" i="8"/>
  <c r="T83" i="8"/>
  <c r="P87" i="8"/>
  <c r="AJ83" i="8"/>
  <c r="N83" i="8"/>
  <c r="X83" i="8"/>
  <c r="J87" i="8"/>
  <c r="BM52" i="11"/>
  <c r="P71" i="9"/>
  <c r="M17" i="5"/>
  <c r="M18" i="5" s="1"/>
  <c r="V76" i="9"/>
  <c r="V80" i="9" s="1"/>
  <c r="P25" i="8"/>
  <c r="X67" i="8"/>
  <c r="P74" i="8"/>
  <c r="J75" i="8"/>
  <c r="AH75" i="8" s="1"/>
  <c r="X74" i="8"/>
  <c r="N81" i="8"/>
  <c r="P75" i="8"/>
  <c r="AD80" i="8"/>
  <c r="P81" i="8"/>
  <c r="X80" i="8"/>
  <c r="N87" i="8"/>
  <c r="P80" i="8"/>
  <c r="J80" i="8"/>
  <c r="J81" i="8"/>
  <c r="AJ46" i="8"/>
  <c r="P46" i="8"/>
  <c r="J46" i="8"/>
  <c r="X46" i="8"/>
  <c r="Z53" i="8" s="1"/>
  <c r="J110" i="8"/>
  <c r="P110" i="8"/>
  <c r="P109" i="8"/>
  <c r="J109" i="8"/>
  <c r="N109" i="8"/>
  <c r="J89" i="8"/>
  <c r="AJ89" i="8"/>
  <c r="N89" i="8"/>
  <c r="X89" i="8"/>
  <c r="P89" i="8"/>
  <c r="N96" i="8"/>
  <c r="L76" i="9"/>
  <c r="L80" i="9" s="1"/>
  <c r="L75" i="9"/>
  <c r="L79" i="9" s="1"/>
  <c r="J144" i="8"/>
  <c r="T46" i="8"/>
  <c r="T25" i="8"/>
  <c r="P144" i="8"/>
  <c r="AJ80" i="8"/>
  <c r="J83" i="8"/>
  <c r="R83" i="8" s="1"/>
  <c r="N53" i="8"/>
  <c r="Q42" i="5"/>
  <c r="Q44" i="5" s="1"/>
  <c r="P40" i="8"/>
  <c r="J95" i="8"/>
  <c r="P67" i="8"/>
  <c r="AJ67" i="8"/>
  <c r="T31" i="8"/>
  <c r="T69" i="8"/>
  <c r="J74" i="8"/>
  <c r="P83" i="8"/>
  <c r="AJ32" i="8"/>
  <c r="CM14" i="11"/>
  <c r="CM62" i="11"/>
  <c r="CM52" i="11"/>
  <c r="E144" i="60"/>
  <c r="E58" i="60"/>
  <c r="E101" i="60"/>
  <c r="S36" i="5"/>
  <c r="BR58" i="11"/>
  <c r="BR14" i="11"/>
  <c r="BR52" i="11"/>
  <c r="CB64" i="11"/>
  <c r="E39" i="60"/>
  <c r="U9" i="5"/>
  <c r="AJ26" i="8"/>
  <c r="AJ24" i="8"/>
  <c r="N129" i="8"/>
  <c r="K48" i="5"/>
  <c r="AJ88" i="8"/>
  <c r="BQ22" i="11"/>
  <c r="BQ55" i="11" s="1"/>
  <c r="BW68" i="11"/>
  <c r="P136" i="8"/>
  <c r="P137" i="8"/>
  <c r="J136" i="8"/>
  <c r="J137" i="8"/>
  <c r="N143" i="8"/>
  <c r="N136" i="8"/>
  <c r="P139" i="8"/>
  <c r="N145" i="8"/>
  <c r="N138" i="8"/>
  <c r="T138" i="8"/>
  <c r="J138" i="8"/>
  <c r="K76" i="9"/>
  <c r="K80" i="9" s="1"/>
  <c r="K75" i="9"/>
  <c r="K79" i="9" s="1"/>
  <c r="P75" i="9"/>
  <c r="P79" i="9" s="1"/>
  <c r="P76" i="9"/>
  <c r="P80" i="9" s="1"/>
  <c r="G75" i="9"/>
  <c r="G79" i="9" s="1"/>
  <c r="G76" i="9"/>
  <c r="G80" i="9" s="1"/>
  <c r="N75" i="9"/>
  <c r="N79" i="9" s="1"/>
  <c r="N76" i="9"/>
  <c r="N80" i="9" s="1"/>
  <c r="H75" i="9"/>
  <c r="H79" i="9" s="1"/>
  <c r="H76" i="9"/>
  <c r="H80" i="9" s="1"/>
  <c r="O75" i="9"/>
  <c r="O79" i="9" s="1"/>
  <c r="O76" i="9"/>
  <c r="O80" i="9" s="1"/>
  <c r="P145" i="8"/>
  <c r="N144" i="8"/>
  <c r="X81" i="8"/>
  <c r="P47" i="8"/>
  <c r="N54" i="8"/>
  <c r="P48" i="5"/>
  <c r="V48" i="5"/>
  <c r="E48" i="5"/>
  <c r="H48" i="5"/>
  <c r="R48" i="5"/>
  <c r="C143" i="60"/>
  <c r="C57" i="60"/>
  <c r="C100" i="60"/>
  <c r="D57" i="60"/>
  <c r="D100" i="60"/>
  <c r="D143" i="60"/>
  <c r="F15" i="60"/>
  <c r="F48" i="5"/>
  <c r="S48" i="5"/>
  <c r="W48" i="5"/>
  <c r="U48" i="5"/>
  <c r="J48" i="5"/>
  <c r="T48" i="5"/>
  <c r="AL53" i="7"/>
  <c r="EJ74" i="11" s="1"/>
  <c r="AL59" i="7"/>
  <c r="CH80" i="11"/>
  <c r="CH81" i="11"/>
  <c r="AN29" i="7"/>
  <c r="C30" i="81" s="1"/>
  <c r="C44" i="81" s="1"/>
  <c r="AH43" i="10"/>
  <c r="AH45" i="10" s="1"/>
  <c r="AJ60" i="9"/>
  <c r="E17" i="4"/>
  <c r="FA41" i="11"/>
  <c r="FA71" i="11"/>
  <c r="DV134" i="1"/>
  <c r="AS150" i="1"/>
  <c r="AM160" i="1"/>
  <c r="AH19" i="6"/>
  <c r="AH37" i="6" s="1"/>
  <c r="AH43" i="6" s="1"/>
  <c r="AH49" i="6" s="1"/>
  <c r="AH31" i="6"/>
  <c r="CR36" i="11"/>
  <c r="DU112" i="1"/>
  <c r="AI193" i="1"/>
  <c r="AJ163" i="1"/>
  <c r="BI80" i="1"/>
  <c r="BM80" i="1"/>
  <c r="BH26" i="1"/>
  <c r="BH136" i="1"/>
  <c r="BH126" i="1"/>
  <c r="BH86" i="1"/>
  <c r="D26" i="3"/>
  <c r="H26" i="3" s="1"/>
  <c r="L24" i="1"/>
  <c r="D7" i="5"/>
  <c r="L84" i="1"/>
  <c r="L124" i="1"/>
  <c r="D69" i="3"/>
  <c r="H69" i="3" s="1"/>
  <c r="U55" i="3"/>
  <c r="AJ55" i="3" s="1"/>
  <c r="DG204" i="1"/>
  <c r="DH144" i="1"/>
  <c r="DG164" i="1"/>
  <c r="AL39" i="3"/>
  <c r="AN39" i="3" s="1"/>
  <c r="CN180" i="1"/>
  <c r="AD28" i="5"/>
  <c r="AL101" i="8"/>
  <c r="F133" i="8"/>
  <c r="F101" i="8"/>
  <c r="AL104" i="8"/>
  <c r="F109" i="8"/>
  <c r="AL111" i="8"/>
  <c r="AE39" i="5"/>
  <c r="O12" i="60" s="1"/>
  <c r="F104" i="8"/>
  <c r="F117" i="8"/>
  <c r="F132" i="8"/>
  <c r="AE47" i="5"/>
  <c r="O15" i="60" s="1"/>
  <c r="F129" i="8"/>
  <c r="F110" i="8"/>
  <c r="AE28" i="5"/>
  <c r="AL108" i="8"/>
  <c r="AL115" i="8"/>
  <c r="AD56" i="5"/>
  <c r="FW24" i="11" s="1"/>
  <c r="AL129" i="8"/>
  <c r="AD78" i="5"/>
  <c r="AE34" i="5"/>
  <c r="F125" i="8"/>
  <c r="F102" i="8"/>
  <c r="AD39" i="5"/>
  <c r="AL118" i="8"/>
  <c r="AE50" i="5"/>
  <c r="O16" i="60" s="1"/>
  <c r="AD31" i="5"/>
  <c r="AD7" i="5"/>
  <c r="F136" i="8"/>
  <c r="F103" i="8"/>
  <c r="F116" i="8"/>
  <c r="AD34" i="5"/>
  <c r="F126" i="8"/>
  <c r="F124" i="8"/>
  <c r="AJ123" i="8" s="1"/>
  <c r="AE25" i="5"/>
  <c r="AD11" i="5"/>
  <c r="AL132" i="8"/>
  <c r="AE31" i="5"/>
  <c r="O28" i="60" s="1"/>
  <c r="F111" i="8"/>
  <c r="F137" i="8"/>
  <c r="F131" i="8"/>
  <c r="F119" i="8"/>
  <c r="F122" i="8"/>
  <c r="AD15" i="5"/>
  <c r="AG71" i="9" s="1"/>
  <c r="AL130" i="8"/>
  <c r="AL122" i="8"/>
  <c r="F112" i="8"/>
  <c r="F105" i="8"/>
  <c r="AL117" i="8"/>
  <c r="F130" i="8"/>
  <c r="AL110" i="8"/>
  <c r="F138" i="8"/>
  <c r="AE15" i="5"/>
  <c r="FU46" i="11"/>
  <c r="AE78" i="5"/>
  <c r="O26" i="60" s="1"/>
  <c r="AK37" i="10"/>
  <c r="AK33" i="9"/>
  <c r="AI60" i="9"/>
  <c r="AV52" i="11"/>
  <c r="FA42" i="11"/>
  <c r="L47" i="41"/>
  <c r="AS155" i="1"/>
  <c r="D19" i="4"/>
  <c r="AN150" i="1"/>
  <c r="T121" i="64"/>
  <c r="CV160" i="1"/>
  <c r="BD82" i="6"/>
  <c r="BD76" i="6"/>
  <c r="J55" i="8"/>
  <c r="D208" i="3"/>
  <c r="H208" i="3" s="1"/>
  <c r="CE212" i="1"/>
  <c r="G195" i="1"/>
  <c r="BH160" i="1"/>
  <c r="BG180" i="1"/>
  <c r="AI183" i="1"/>
  <c r="BI16" i="1"/>
  <c r="BM150" i="1"/>
  <c r="BY80" i="1"/>
  <c r="S43" i="3"/>
  <c r="U43" i="3" s="1"/>
  <c r="U40" i="3"/>
  <c r="AJ40" i="3" s="1"/>
  <c r="AL40" i="3" s="1"/>
  <c r="AN40" i="3" s="1"/>
  <c r="D187" i="3"/>
  <c r="H187" i="3" s="1"/>
  <c r="CZ15" i="1"/>
  <c r="BB11" i="6"/>
  <c r="BY83" i="1"/>
  <c r="DM33" i="1"/>
  <c r="CE106" i="1"/>
  <c r="CE112" i="1"/>
  <c r="CL45" i="11" s="1"/>
  <c r="CK102" i="1"/>
  <c r="AL68" i="8"/>
  <c r="D34" i="8"/>
  <c r="U119" i="3"/>
  <c r="AJ119" i="3" s="1"/>
  <c r="AL119" i="3" s="1"/>
  <c r="AN119" i="3" s="1"/>
  <c r="DG146" i="1"/>
  <c r="DI141" i="1"/>
  <c r="DM141" i="1"/>
  <c r="DG201" i="1"/>
  <c r="DH141" i="1"/>
  <c r="DG161" i="1"/>
  <c r="DG145" i="1"/>
  <c r="EZ71" i="11"/>
  <c r="EZ63" i="11"/>
  <c r="C33" i="4"/>
  <c r="C19" i="4"/>
  <c r="AL74" i="3"/>
  <c r="CE114" i="1"/>
  <c r="FN45" i="11" s="1"/>
  <c r="CJ183" i="1"/>
  <c r="AG103" i="1"/>
  <c r="AC103" i="1"/>
  <c r="AB103" i="1"/>
  <c r="CJ163" i="1"/>
  <c r="CK163" i="1"/>
  <c r="CM34" i="11"/>
  <c r="CM37" i="11" s="1"/>
  <c r="L104" i="8"/>
  <c r="L111" i="8"/>
  <c r="AS10" i="11"/>
  <c r="AT21" i="11"/>
  <c r="AS30" i="11"/>
  <c r="AT12" i="11"/>
  <c r="AQ20" i="11"/>
  <c r="AS45" i="11"/>
  <c r="AQ17" i="11"/>
  <c r="AQ6" i="11"/>
  <c r="AR12" i="11"/>
  <c r="AQ10" i="11"/>
  <c r="AQ63" i="11"/>
  <c r="AQ45" i="11"/>
  <c r="AV14" i="11"/>
  <c r="FN71" i="11"/>
  <c r="FN63" i="11"/>
  <c r="FA63" i="11"/>
  <c r="FA17" i="11"/>
  <c r="BX81" i="11"/>
  <c r="EZ17" i="11"/>
  <c r="EZ42" i="11"/>
  <c r="FK75" i="11"/>
  <c r="S17" i="4"/>
  <c r="S18" i="4"/>
  <c r="DC213" i="1"/>
  <c r="BZ35" i="11"/>
  <c r="DC116" i="1"/>
  <c r="EV29" i="1"/>
  <c r="DE31" i="1"/>
  <c r="BA83" i="1"/>
  <c r="X99" i="64"/>
  <c r="W101" i="64"/>
  <c r="AJ130" i="3"/>
  <c r="W130" i="3"/>
  <c r="AN49" i="3"/>
  <c r="H48" i="3"/>
  <c r="N61" i="8"/>
  <c r="G105" i="1"/>
  <c r="H100" i="1"/>
  <c r="I100" i="1"/>
  <c r="G106" i="1"/>
  <c r="D54" i="3"/>
  <c r="H54" i="3" s="1"/>
  <c r="K105" i="1"/>
  <c r="Q101" i="1"/>
  <c r="L101" i="1"/>
  <c r="L85" i="1"/>
  <c r="M85" i="1" s="1"/>
  <c r="L15" i="1"/>
  <c r="L25" i="1"/>
  <c r="M25" i="1" s="1"/>
  <c r="CC23" i="1"/>
  <c r="CG23" i="1"/>
  <c r="AE145" i="1"/>
  <c r="AF141" i="1"/>
  <c r="AE146" i="1"/>
  <c r="AE161" i="1"/>
  <c r="AF151" i="1"/>
  <c r="AG141" i="1"/>
  <c r="DH16" i="1"/>
  <c r="DH86" i="1"/>
  <c r="DH56" i="1"/>
  <c r="DH36" i="1"/>
  <c r="DH66" i="1"/>
  <c r="DH136" i="1"/>
  <c r="DH126" i="1"/>
  <c r="DH76" i="1"/>
  <c r="DH55" i="1"/>
  <c r="DH35" i="1"/>
  <c r="DH125" i="1"/>
  <c r="DH95" i="1"/>
  <c r="DH135" i="1"/>
  <c r="DH25" i="1"/>
  <c r="DH45" i="1"/>
  <c r="S64" i="3"/>
  <c r="U64" i="3" s="1"/>
  <c r="AC22" i="1"/>
  <c r="AK22" i="1"/>
  <c r="O122" i="64"/>
  <c r="O123" i="64"/>
  <c r="DV33" i="1"/>
  <c r="DW33" i="1" s="1"/>
  <c r="DU103" i="1"/>
  <c r="DV23" i="1"/>
  <c r="AD47" i="8"/>
  <c r="CQ63" i="11"/>
  <c r="CQ21" i="11"/>
  <c r="BK183" i="1"/>
  <c r="DV152" i="1"/>
  <c r="M101" i="1"/>
  <c r="BP161" i="1"/>
  <c r="CE181" i="1"/>
  <c r="DI84" i="1"/>
  <c r="DD161" i="1"/>
  <c r="F8" i="64"/>
  <c r="DC181" i="1"/>
  <c r="AA192" i="1"/>
  <c r="AB162" i="1"/>
  <c r="D66" i="8"/>
  <c r="S155" i="3"/>
  <c r="Q103" i="1"/>
  <c r="AA160" i="1"/>
  <c r="AG140" i="1"/>
  <c r="AB140" i="1"/>
  <c r="AC140" i="1"/>
  <c r="AA146" i="1"/>
  <c r="BT15" i="1"/>
  <c r="V11" i="6"/>
  <c r="D131" i="3"/>
  <c r="H131" i="3" s="1"/>
  <c r="BP151" i="1"/>
  <c r="BP141" i="1"/>
  <c r="BQ141" i="1"/>
  <c r="BU141" i="1"/>
  <c r="BD144" i="1"/>
  <c r="DI16" i="1"/>
  <c r="BI100" i="1"/>
  <c r="AL24" i="8"/>
  <c r="BG106" i="1"/>
  <c r="BH100" i="1"/>
  <c r="BG105" i="1"/>
  <c r="U47" i="3"/>
  <c r="AJ47" i="3" s="1"/>
  <c r="AL47" i="3" s="1"/>
  <c r="X26" i="1"/>
  <c r="X86" i="1"/>
  <c r="X106" i="1"/>
  <c r="X136" i="1"/>
  <c r="X14" i="1"/>
  <c r="T84" i="1"/>
  <c r="S104" i="1"/>
  <c r="AG22" i="1"/>
  <c r="AB102" i="1"/>
  <c r="AG102" i="1"/>
  <c r="AC102" i="1"/>
  <c r="DC104" i="1"/>
  <c r="AL112" i="8" s="1"/>
  <c r="DC111" i="1"/>
  <c r="DD101" i="1"/>
  <c r="DI101" i="1"/>
  <c r="DC105" i="1"/>
  <c r="DQ150" i="1"/>
  <c r="DP145" i="1"/>
  <c r="D26" i="1"/>
  <c r="D86" i="1"/>
  <c r="D16" i="1"/>
  <c r="E16" i="1"/>
  <c r="D126" i="1"/>
  <c r="D19" i="3"/>
  <c r="H19" i="3" s="1"/>
  <c r="H15" i="1"/>
  <c r="BB19" i="6"/>
  <c r="BB37" i="6" s="1"/>
  <c r="BB43" i="6" s="1"/>
  <c r="BB49" i="6" s="1"/>
  <c r="BB31" i="6"/>
  <c r="BB25" i="6"/>
  <c r="J51" i="7"/>
  <c r="J57" i="7"/>
  <c r="AB52" i="7"/>
  <c r="AB58" i="7"/>
  <c r="C116" i="41"/>
  <c r="Z25" i="41"/>
  <c r="Z69" i="41"/>
  <c r="AA6" i="10"/>
  <c r="AB6" i="9"/>
  <c r="K110" i="41"/>
  <c r="L109" i="41"/>
  <c r="K76" i="41"/>
  <c r="K77" i="41"/>
  <c r="AE56" i="3"/>
  <c r="AC57" i="3"/>
  <c r="AE138" i="3"/>
  <c r="AC141" i="3"/>
  <c r="AG64" i="9"/>
  <c r="AG49" i="9"/>
  <c r="AH47" i="7"/>
  <c r="AH53" i="7" s="1"/>
  <c r="AC90" i="3"/>
  <c r="AC91" i="3"/>
  <c r="Q3" i="41"/>
  <c r="P22" i="41"/>
  <c r="P66" i="41"/>
  <c r="P35" i="41"/>
  <c r="P102" i="41"/>
  <c r="P138" i="41"/>
  <c r="P15" i="41"/>
  <c r="X57" i="7"/>
  <c r="X51" i="7"/>
  <c r="J193" i="3"/>
  <c r="E136" i="44"/>
  <c r="F135" i="44"/>
  <c r="F141" i="44"/>
  <c r="E309" i="44"/>
  <c r="F315" i="44" s="1"/>
  <c r="AC145" i="3"/>
  <c r="AA146" i="3"/>
  <c r="AC146" i="3" s="1"/>
  <c r="AB60" i="8"/>
  <c r="AD60" i="8" s="1"/>
  <c r="AA83" i="3"/>
  <c r="AC83" i="3" s="1"/>
  <c r="AC82" i="3"/>
  <c r="P10" i="4"/>
  <c r="AQ103" i="1"/>
  <c r="AR83" i="1"/>
  <c r="AS83" i="1" s="1"/>
  <c r="S84" i="3"/>
  <c r="U84" i="3" s="1"/>
  <c r="AJ84" i="3" s="1"/>
  <c r="AR23" i="1"/>
  <c r="AQ143" i="1"/>
  <c r="AR133" i="1"/>
  <c r="AR13" i="1"/>
  <c r="D84" i="3" s="1"/>
  <c r="H84" i="3" s="1"/>
  <c r="S35" i="3"/>
  <c r="P23" i="1"/>
  <c r="AF82" i="1"/>
  <c r="AE16" i="1"/>
  <c r="BG143" i="1"/>
  <c r="BM143" i="1" s="1"/>
  <c r="BH123" i="1"/>
  <c r="BH13" i="1"/>
  <c r="BG14" i="1"/>
  <c r="BH23" i="1"/>
  <c r="BH83" i="1"/>
  <c r="BI83" i="1" s="1"/>
  <c r="S112" i="3"/>
  <c r="BG103" i="1"/>
  <c r="AB47" i="7"/>
  <c r="AB53" i="7" s="1"/>
  <c r="AB59" i="7"/>
  <c r="V47" i="7"/>
  <c r="V53" i="7" s="1"/>
  <c r="DQ74" i="11" s="1"/>
  <c r="R46" i="7"/>
  <c r="R52" i="7" s="1"/>
  <c r="Z45" i="7"/>
  <c r="Z51" i="7" s="1"/>
  <c r="D45" i="7"/>
  <c r="D51" i="7" s="1"/>
  <c r="D57" i="7"/>
  <c r="AD58" i="7"/>
  <c r="AD52" i="7"/>
  <c r="BL55" i="6"/>
  <c r="BQ49" i="6"/>
  <c r="BT55" i="6" s="1"/>
  <c r="BP55" i="6"/>
  <c r="BM49" i="6"/>
  <c r="AH45" i="7"/>
  <c r="AH51" i="7" s="1"/>
  <c r="AH57" i="7"/>
  <c r="BH77" i="6"/>
  <c r="CK81" i="1"/>
  <c r="AB153" i="1"/>
  <c r="DW81" i="1"/>
  <c r="DQ85" i="1"/>
  <c r="DR15" i="1"/>
  <c r="CF64" i="11"/>
  <c r="W25" i="5"/>
  <c r="CG15" i="1"/>
  <c r="BE153" i="1"/>
  <c r="CE183" i="1"/>
  <c r="BX162" i="1"/>
  <c r="AJ144" i="3"/>
  <c r="BP150" i="1"/>
  <c r="P100" i="1"/>
  <c r="AZ102" i="1"/>
  <c r="CG103" i="1"/>
  <c r="O161" i="1"/>
  <c r="P25" i="1"/>
  <c r="BX143" i="1"/>
  <c r="AQ161" i="1"/>
  <c r="CB35" i="1"/>
  <c r="CB75" i="1"/>
  <c r="BU103" i="1"/>
  <c r="CG100" i="1"/>
  <c r="CF35" i="1"/>
  <c r="CF45" i="1"/>
  <c r="DG105" i="1"/>
  <c r="BE21" i="1"/>
  <c r="CJ26" i="1"/>
  <c r="CK26" i="1" s="1"/>
  <c r="BL135" i="1"/>
  <c r="AR123" i="1"/>
  <c r="AF50" i="7"/>
  <c r="AF56" i="7"/>
  <c r="D53" i="7"/>
  <c r="D59" i="7"/>
  <c r="R45" i="7"/>
  <c r="R51" i="7" s="1"/>
  <c r="B5" i="5"/>
  <c r="C5" i="4"/>
  <c r="G10" i="4"/>
  <c r="C82" i="41"/>
  <c r="Y70" i="41"/>
  <c r="N80" i="41"/>
  <c r="N81" i="41" s="1"/>
  <c r="E83" i="41"/>
  <c r="AB85" i="6"/>
  <c r="DQ95" i="1"/>
  <c r="DQ25" i="1"/>
  <c r="DQ135" i="1"/>
  <c r="AV102" i="1"/>
  <c r="CJ143" i="1"/>
  <c r="CI144" i="1"/>
  <c r="S71" i="3"/>
  <c r="U71" i="3" s="1"/>
  <c r="DE80" i="1"/>
  <c r="CK16" i="1"/>
  <c r="BH18" i="11"/>
  <c r="AL69" i="8"/>
  <c r="AX18" i="11"/>
  <c r="AL75" i="8"/>
  <c r="G39" i="4"/>
  <c r="V11" i="5"/>
  <c r="W31" i="5"/>
  <c r="W78" i="5"/>
  <c r="G26" i="60" s="1"/>
  <c r="V25" i="5"/>
  <c r="V78" i="5"/>
  <c r="F26" i="60" s="1"/>
  <c r="V28" i="5"/>
  <c r="DQ65" i="1"/>
  <c r="AQ14" i="1"/>
  <c r="AV77" i="6"/>
  <c r="DU246" i="1"/>
  <c r="R16" i="6"/>
  <c r="R40" i="6" s="1"/>
  <c r="R46" i="6" s="1"/>
  <c r="CF163" i="1"/>
  <c r="N116" i="64"/>
  <c r="AZ143" i="1"/>
  <c r="BQ140" i="1"/>
  <c r="BO160" i="1"/>
  <c r="P151" i="1"/>
  <c r="S160" i="1"/>
  <c r="CC143" i="1"/>
  <c r="AR151" i="1"/>
  <c r="AI106" i="1"/>
  <c r="CB45" i="1"/>
  <c r="BG152" i="1"/>
  <c r="CB100" i="1"/>
  <c r="V13" i="6"/>
  <c r="CF95" i="1"/>
  <c r="CF65" i="1"/>
  <c r="F123" i="8"/>
  <c r="DG106" i="1"/>
  <c r="CJ126" i="1"/>
  <c r="CZ100" i="1"/>
  <c r="DL95" i="1"/>
  <c r="CJ36" i="1"/>
  <c r="CJ76" i="1"/>
  <c r="BQ156" i="1"/>
  <c r="BH133" i="1"/>
  <c r="AL56" i="3"/>
  <c r="AN56" i="3" s="1"/>
  <c r="Z50" i="7"/>
  <c r="Z56" i="7"/>
  <c r="P47" i="7"/>
  <c r="P53" i="7" s="1"/>
  <c r="DN74" i="11" s="1"/>
  <c r="T46" i="7"/>
  <c r="T52" i="7" s="1"/>
  <c r="Y43" i="41"/>
  <c r="Z6" i="10"/>
  <c r="I79" i="41"/>
  <c r="P81" i="41"/>
  <c r="R83" i="41"/>
  <c r="DQ45" i="1"/>
  <c r="DQ125" i="1"/>
  <c r="BA102" i="1"/>
  <c r="BA82" i="1"/>
  <c r="AA163" i="1"/>
  <c r="Q15" i="1"/>
  <c r="FI16" i="11"/>
  <c r="F82" i="8"/>
  <c r="AJ81" i="8" s="1"/>
  <c r="W34" i="5"/>
  <c r="V39" i="4"/>
  <c r="V56" i="5"/>
  <c r="F19" i="60" s="1"/>
  <c r="F61" i="60" s="1"/>
  <c r="I39" i="4"/>
  <c r="CA105" i="1"/>
  <c r="BM142" i="1"/>
  <c r="CB95" i="1"/>
  <c r="BL25" i="1"/>
  <c r="CF25" i="1"/>
  <c r="CF125" i="1"/>
  <c r="AD47" i="5"/>
  <c r="DH100" i="1"/>
  <c r="CJ46" i="1"/>
  <c r="CJ56" i="1"/>
  <c r="DE100" i="1"/>
  <c r="O14" i="1"/>
  <c r="P13" i="1"/>
  <c r="D35" i="3" s="1"/>
  <c r="H35" i="3" s="1"/>
  <c r="DV11" i="1"/>
  <c r="DV71" i="1"/>
  <c r="J47" i="7"/>
  <c r="J53" i="7" s="1"/>
  <c r="AB51" i="7"/>
  <c r="AB57" i="7"/>
  <c r="A131" i="41"/>
  <c r="Y6" i="10"/>
  <c r="J117" i="41"/>
  <c r="J83" i="41"/>
  <c r="AE169" i="3"/>
  <c r="R84" i="41"/>
  <c r="X59" i="7"/>
  <c r="H53" i="7"/>
  <c r="AC190" i="3"/>
  <c r="AE190" i="3" s="1"/>
  <c r="AE188" i="3"/>
  <c r="AC155" i="3"/>
  <c r="U114" i="64"/>
  <c r="AC112" i="3"/>
  <c r="AE112" i="3" s="1"/>
  <c r="AC111" i="3"/>
  <c r="AE111" i="3" s="1"/>
  <c r="AG111" i="3" s="1"/>
  <c r="E269" i="44"/>
  <c r="F282" i="44"/>
  <c r="F268" i="44"/>
  <c r="K49" i="9"/>
  <c r="K62" i="9"/>
  <c r="K65" i="9" s="1"/>
  <c r="AB49" i="9"/>
  <c r="AB64" i="9"/>
  <c r="X49" i="9"/>
  <c r="X64" i="9"/>
  <c r="M64" i="9"/>
  <c r="M49" i="9"/>
  <c r="I49" i="9"/>
  <c r="I64" i="9"/>
  <c r="P6" i="10"/>
  <c r="O6" i="9"/>
  <c r="DU74" i="11"/>
  <c r="AE109" i="3"/>
  <c r="AG109" i="3" s="1"/>
  <c r="AA69" i="3"/>
  <c r="AC70" i="3" s="1"/>
  <c r="BP81" i="11"/>
  <c r="BZ81" i="11"/>
  <c r="AV131" i="1"/>
  <c r="AU141" i="1"/>
  <c r="S89" i="3"/>
  <c r="N47" i="7"/>
  <c r="N53" i="7" s="1"/>
  <c r="N59" i="7"/>
  <c r="O76" i="41"/>
  <c r="O110" i="41"/>
  <c r="P109" i="41"/>
  <c r="O77" i="41"/>
  <c r="F110" i="41"/>
  <c r="F76" i="41"/>
  <c r="G109" i="41"/>
  <c r="F77" i="41"/>
  <c r="V39" i="41"/>
  <c r="W38" i="41"/>
  <c r="R62" i="9"/>
  <c r="R65" i="9" s="1"/>
  <c r="R49" i="9"/>
  <c r="L82" i="41"/>
  <c r="L83" i="41"/>
  <c r="P114" i="64"/>
  <c r="AE89" i="3"/>
  <c r="AE152" i="3"/>
  <c r="R112" i="41"/>
  <c r="Q80" i="41"/>
  <c r="Q79" i="41"/>
  <c r="Q81" i="41" s="1"/>
  <c r="AE49" i="3"/>
  <c r="AC50" i="3"/>
  <c r="X5" i="5"/>
  <c r="W5" i="4"/>
  <c r="AC27" i="3"/>
  <c r="AC28" i="3"/>
  <c r="F142" i="44"/>
  <c r="J201" i="3"/>
  <c r="E143" i="44"/>
  <c r="E316" i="44"/>
  <c r="N49" i="9"/>
  <c r="T49" i="9"/>
  <c r="T64" i="9"/>
  <c r="E64" i="9"/>
  <c r="E49" i="9"/>
  <c r="E56" i="9" s="1"/>
  <c r="AA125" i="3"/>
  <c r="AC126" i="3" s="1"/>
  <c r="AC124" i="3"/>
  <c r="AE123" i="3"/>
  <c r="AE116" i="3"/>
  <c r="AC75" i="3"/>
  <c r="AA76" i="3"/>
  <c r="AC77" i="3" s="1"/>
  <c r="L59" i="7"/>
  <c r="L47" i="7"/>
  <c r="L53" i="7" s="1"/>
  <c r="J44" i="7"/>
  <c r="J50" i="7" s="1"/>
  <c r="AF11" i="7"/>
  <c r="AF35" i="7" s="1"/>
  <c r="AE16" i="9"/>
  <c r="AE23" i="9" s="1"/>
  <c r="D58" i="52"/>
  <c r="D60" i="52" s="1"/>
  <c r="AL46" i="7"/>
  <c r="AL52" i="7" s="1"/>
  <c r="EH74" i="11"/>
  <c r="AE97" i="3"/>
  <c r="AG97" i="3" s="1"/>
  <c r="AE118" i="3"/>
  <c r="AC99" i="3"/>
  <c r="AE106" i="3" s="1"/>
  <c r="U61" i="41"/>
  <c r="T60" i="41"/>
  <c r="AC134" i="3"/>
  <c r="E110" i="41"/>
  <c r="D77" i="41"/>
  <c r="AF49" i="9"/>
  <c r="AF64" i="9"/>
  <c r="AE35" i="3"/>
  <c r="E185" i="44"/>
  <c r="F198" i="44"/>
  <c r="Z49" i="9"/>
  <c r="Z64" i="9"/>
  <c r="G49" i="9"/>
  <c r="G64" i="9"/>
  <c r="AD49" i="9"/>
  <c r="AD64" i="9"/>
  <c r="AE172" i="3"/>
  <c r="AE179" i="3"/>
  <c r="AE25" i="3"/>
  <c r="N39" i="4"/>
  <c r="N9" i="5" s="1"/>
  <c r="P39" i="4"/>
  <c r="P9" i="5" s="1"/>
  <c r="G113" i="64"/>
  <c r="G114" i="64" s="1"/>
  <c r="J103" i="64"/>
  <c r="J113" i="64" s="1"/>
  <c r="J114" i="64" s="1"/>
  <c r="R53" i="7"/>
  <c r="DO74" i="11" s="1"/>
  <c r="F58" i="7"/>
  <c r="F46" i="7"/>
  <c r="F52" i="7" s="1"/>
  <c r="T45" i="7"/>
  <c r="T51" i="7" s="1"/>
  <c r="T57" i="7"/>
  <c r="N45" i="7"/>
  <c r="N51" i="7" s="1"/>
  <c r="AB44" i="7"/>
  <c r="AB50" i="7" s="1"/>
  <c r="N50" i="7"/>
  <c r="N56" i="7"/>
  <c r="N109" i="41"/>
  <c r="M110" i="41"/>
  <c r="M76" i="41"/>
  <c r="H110" i="41"/>
  <c r="I109" i="41"/>
  <c r="H76" i="41"/>
  <c r="H77" i="41" s="1"/>
  <c r="V72" i="41"/>
  <c r="U107" i="41"/>
  <c r="AE62" i="9"/>
  <c r="AE65" i="9" s="1"/>
  <c r="AE61" i="9"/>
  <c r="AE64" i="9"/>
  <c r="H58" i="7"/>
  <c r="AC20" i="3"/>
  <c r="E65" i="9"/>
  <c r="S76" i="41"/>
  <c r="L52" i="7"/>
  <c r="W77" i="64"/>
  <c r="J42" i="3"/>
  <c r="AC110" i="3"/>
  <c r="H66" i="41"/>
  <c r="G3" i="41"/>
  <c r="P51" i="7"/>
  <c r="AC68" i="3"/>
  <c r="DI156" i="1"/>
  <c r="CW153" i="1"/>
  <c r="DA153" i="1"/>
  <c r="L33" i="7"/>
  <c r="DA154" i="1"/>
  <c r="V76" i="64"/>
  <c r="DP44" i="1"/>
  <c r="AD25" i="5" s="1"/>
  <c r="AL32" i="7"/>
  <c r="AH46" i="7"/>
  <c r="AH58" i="7" s="1"/>
  <c r="EK30" i="1"/>
  <c r="DW125" i="1"/>
  <c r="BX114" i="6"/>
  <c r="BX66" i="6" s="1"/>
  <c r="BX123" i="6"/>
  <c r="BX83" i="6" s="1"/>
  <c r="L64" i="9"/>
  <c r="BT54" i="6"/>
  <c r="BQ13" i="6"/>
  <c r="AC26" i="3"/>
  <c r="DI155" i="1"/>
  <c r="DE150" i="1"/>
  <c r="DI150" i="1"/>
  <c r="BU22" i="6"/>
  <c r="AJ52" i="7"/>
  <c r="EB126" i="1"/>
  <c r="EJ31" i="1"/>
  <c r="BX112" i="6"/>
  <c r="BX64" i="6" s="1"/>
  <c r="BX115" i="6"/>
  <c r="BX67" i="6" s="1"/>
  <c r="BX124" i="6"/>
  <c r="BX84" i="6" s="1"/>
  <c r="DI154" i="1"/>
  <c r="EJ32" i="1"/>
  <c r="BX122" i="6"/>
  <c r="BX82" i="6" s="1"/>
  <c r="G77" i="41"/>
  <c r="H138" i="41"/>
  <c r="AH52" i="7"/>
  <c r="AJ17" i="10"/>
  <c r="AJ5" i="5"/>
  <c r="AI5" i="4"/>
  <c r="DZ85" i="1"/>
  <c r="CJ64" i="11"/>
  <c r="M71" i="9"/>
  <c r="J17" i="5"/>
  <c r="V71" i="9"/>
  <c r="V81" i="9" s="1"/>
  <c r="T16" i="5"/>
  <c r="O17" i="5"/>
  <c r="R71" i="9"/>
  <c r="FK64" i="11"/>
  <c r="X71" i="9"/>
  <c r="V16" i="5"/>
  <c r="U36" i="5"/>
  <c r="C17" i="5"/>
  <c r="D18" i="5" s="1"/>
  <c r="F71" i="9"/>
  <c r="H17" i="5"/>
  <c r="H18" i="5" s="1"/>
  <c r="K71" i="9"/>
  <c r="I71" i="9"/>
  <c r="F17" i="5"/>
  <c r="G18" i="5" s="1"/>
  <c r="BU68" i="11"/>
  <c r="DZ86" i="1"/>
  <c r="E18" i="5"/>
  <c r="FX24" i="11"/>
  <c r="FI37" i="11"/>
  <c r="CH58" i="11"/>
  <c r="FJ68" i="11"/>
  <c r="FJ47" i="11"/>
  <c r="FJ59" i="11" s="1"/>
  <c r="FJ58" i="11"/>
  <c r="BI22" i="11"/>
  <c r="BI53" i="11"/>
  <c r="N40" i="5"/>
  <c r="G12" i="60"/>
  <c r="G140" i="60" s="1"/>
  <c r="L40" i="5"/>
  <c r="G40" i="5"/>
  <c r="M40" i="5"/>
  <c r="E40" i="5"/>
  <c r="O40" i="5"/>
  <c r="BX68" i="11"/>
  <c r="CH53" i="11"/>
  <c r="CH22" i="11"/>
  <c r="CM65" i="11"/>
  <c r="C140" i="60"/>
  <c r="C54" i="60"/>
  <c r="D140" i="60"/>
  <c r="D97" i="60"/>
  <c r="D54" i="60"/>
  <c r="F54" i="60"/>
  <c r="F140" i="60"/>
  <c r="F97" i="60"/>
  <c r="P124" i="8"/>
  <c r="J54" i="8"/>
  <c r="R54" i="8" s="1"/>
  <c r="AM83" i="9"/>
  <c r="AM39" i="10"/>
  <c r="BY13" i="6"/>
  <c r="BQ81" i="1" l="1"/>
  <c r="X166" i="1"/>
  <c r="BP15" i="1"/>
  <c r="AK14" i="10"/>
  <c r="AH67" i="10"/>
  <c r="AS146" i="1"/>
  <c r="CY146" i="1"/>
  <c r="CZ146" i="1" s="1"/>
  <c r="AJ64" i="3"/>
  <c r="AK163" i="1"/>
  <c r="BS106" i="1"/>
  <c r="U82" i="1"/>
  <c r="I20" i="1"/>
  <c r="Q83" i="1"/>
  <c r="BY85" i="1"/>
  <c r="CA145" i="1"/>
  <c r="CB145" i="1" s="1"/>
  <c r="DA140" i="1"/>
  <c r="CZ16" i="1"/>
  <c r="BM23" i="1"/>
  <c r="L74" i="8"/>
  <c r="Y142" i="1"/>
  <c r="AJ5" i="4"/>
  <c r="AK5" i="5"/>
  <c r="AK5" i="4" s="1"/>
  <c r="Q16" i="60"/>
  <c r="FZ21" i="11"/>
  <c r="Q12" i="60"/>
  <c r="FZ17" i="11"/>
  <c r="AG26" i="5"/>
  <c r="FZ46" i="11"/>
  <c r="AK17" i="10"/>
  <c r="AL17" i="10" s="1"/>
  <c r="AM17" i="10" s="1"/>
  <c r="AN17" i="10" s="1"/>
  <c r="AJ10" i="9"/>
  <c r="AK10" i="9" s="1"/>
  <c r="AL10" i="9" s="1"/>
  <c r="AM10" i="9" s="1"/>
  <c r="AN10" i="9" s="1"/>
  <c r="CB61" i="6"/>
  <c r="CC31" i="6"/>
  <c r="AN39" i="10"/>
  <c r="AN83" i="9"/>
  <c r="AN36" i="10"/>
  <c r="P153" i="8"/>
  <c r="J153" i="8"/>
  <c r="P97" i="60"/>
  <c r="P54" i="60"/>
  <c r="P100" i="60"/>
  <c r="P57" i="60"/>
  <c r="P69" i="60"/>
  <c r="P112" i="60" s="1"/>
  <c r="BL62" i="11"/>
  <c r="EE231" i="1"/>
  <c r="EE241" i="1" s="1"/>
  <c r="EE240" i="1"/>
  <c r="EJ34" i="1"/>
  <c r="EE83" i="1"/>
  <c r="EE34" i="1"/>
  <c r="BX58" i="11"/>
  <c r="BC68" i="11"/>
  <c r="AR16" i="5"/>
  <c r="BP14" i="11"/>
  <c r="BP51" i="11" s="1"/>
  <c r="BP62" i="11"/>
  <c r="BB68" i="11"/>
  <c r="CP52" i="11"/>
  <c r="BB58" i="11"/>
  <c r="BV58" i="11"/>
  <c r="J44" i="52"/>
  <c r="H45" i="52"/>
  <c r="AT14" i="11"/>
  <c r="AT51" i="11" s="1"/>
  <c r="AF82" i="8"/>
  <c r="CR22" i="11"/>
  <c r="CR55" i="11" s="1"/>
  <c r="AV58" i="11"/>
  <c r="BD68" i="11"/>
  <c r="BA26" i="11"/>
  <c r="BA32" i="11" s="1"/>
  <c r="BA57" i="11" s="1"/>
  <c r="BG53" i="11"/>
  <c r="FA68" i="11"/>
  <c r="EZ68" i="11"/>
  <c r="BS16" i="11"/>
  <c r="EY68" i="11"/>
  <c r="CB62" i="11"/>
  <c r="BW62" i="11"/>
  <c r="BW52" i="11"/>
  <c r="CO52" i="11"/>
  <c r="CO14" i="11"/>
  <c r="CO51" i="11" s="1"/>
  <c r="CO64" i="11"/>
  <c r="G37" i="5"/>
  <c r="BF62" i="11"/>
  <c r="Z52" i="8"/>
  <c r="CO58" i="11"/>
  <c r="AF34" i="8"/>
  <c r="AF27" i="8"/>
  <c r="FV71" i="11"/>
  <c r="FW7" i="11"/>
  <c r="CP6" i="11"/>
  <c r="CO80" i="11"/>
  <c r="FB7" i="11"/>
  <c r="FA43" i="11"/>
  <c r="AQ43" i="11"/>
  <c r="AS21" i="11"/>
  <c r="AQ12" i="11"/>
  <c r="AS20" i="11"/>
  <c r="AT42" i="11"/>
  <c r="AR45" i="11"/>
  <c r="AW68" i="11" s="1"/>
  <c r="AS17" i="11"/>
  <c r="AR21" i="11"/>
  <c r="AS63" i="11"/>
  <c r="AS41" i="11"/>
  <c r="AS12" i="11"/>
  <c r="AS14" i="11" s="1"/>
  <c r="AL7" i="11"/>
  <c r="AQ42" i="11"/>
  <c r="AT30" i="11"/>
  <c r="AQ30" i="11"/>
  <c r="AT43" i="11"/>
  <c r="AS42" i="11"/>
  <c r="AR42" i="11"/>
  <c r="AT41" i="11"/>
  <c r="AS43" i="11"/>
  <c r="AR30" i="11"/>
  <c r="AR17" i="11"/>
  <c r="AT17" i="11"/>
  <c r="AQ41" i="11"/>
  <c r="AT63" i="11"/>
  <c r="AT20" i="11"/>
  <c r="AT45" i="11"/>
  <c r="AT58" i="11" s="1"/>
  <c r="AR41" i="11"/>
  <c r="AQ21" i="11"/>
  <c r="AR20" i="11"/>
  <c r="AR43" i="11"/>
  <c r="CT30" i="11"/>
  <c r="CT20" i="11"/>
  <c r="CT24" i="11"/>
  <c r="CW17" i="11"/>
  <c r="CT12" i="11"/>
  <c r="CU17" i="11"/>
  <c r="CW15" i="11"/>
  <c r="CW64" i="11" s="1"/>
  <c r="CT43" i="11"/>
  <c r="CW43" i="11"/>
  <c r="CW30" i="11"/>
  <c r="CV20" i="11"/>
  <c r="CW21" i="11"/>
  <c r="CU42" i="11"/>
  <c r="CU15" i="11"/>
  <c r="CU64" i="11" s="1"/>
  <c r="CV12" i="11"/>
  <c r="CT10" i="11"/>
  <c r="CT63" i="11"/>
  <c r="CU12" i="11"/>
  <c r="CV42" i="11"/>
  <c r="CV15" i="11"/>
  <c r="CV64" i="11" s="1"/>
  <c r="CV17" i="11"/>
  <c r="CV41" i="11"/>
  <c r="CU24" i="11"/>
  <c r="CW20" i="11"/>
  <c r="CU43" i="11"/>
  <c r="CW41" i="11"/>
  <c r="CV21" i="11"/>
  <c r="CV63" i="11"/>
  <c r="CT21" i="11"/>
  <c r="CU20" i="11"/>
  <c r="CT41" i="11"/>
  <c r="CU41" i="11"/>
  <c r="CW42" i="11"/>
  <c r="CU30" i="11"/>
  <c r="CT6" i="11"/>
  <c r="CV30" i="11"/>
  <c r="CT15" i="11"/>
  <c r="CU21" i="11"/>
  <c r="CW12" i="11"/>
  <c r="CU63" i="11"/>
  <c r="CT17" i="11"/>
  <c r="CY7" i="11"/>
  <c r="CV43" i="11"/>
  <c r="CT42" i="11"/>
  <c r="BU62" i="11"/>
  <c r="FN42" i="11"/>
  <c r="FN46" i="11"/>
  <c r="FN47" i="11" s="1"/>
  <c r="FN41" i="11"/>
  <c r="FN17" i="11"/>
  <c r="FO7" i="11"/>
  <c r="FN43" i="11"/>
  <c r="G42" i="5"/>
  <c r="G44" i="5" s="1"/>
  <c r="G7" i="4"/>
  <c r="FB77" i="11" s="1"/>
  <c r="AY62" i="11"/>
  <c r="CL55" i="11"/>
  <c r="BX52" i="11"/>
  <c r="CL52" i="11"/>
  <c r="CB52" i="11"/>
  <c r="BV14" i="11"/>
  <c r="BV51" i="11" s="1"/>
  <c r="BM62" i="11"/>
  <c r="BK62" i="11"/>
  <c r="CO62" i="11"/>
  <c r="BF14" i="11"/>
  <c r="BF51" i="11" s="1"/>
  <c r="J69" i="9"/>
  <c r="J70" i="10" s="1"/>
  <c r="CE14" i="11"/>
  <c r="CE51" i="11" s="1"/>
  <c r="BF53" i="11"/>
  <c r="G53" i="5"/>
  <c r="G57" i="5" s="1"/>
  <c r="G64" i="5" s="1"/>
  <c r="EZ28" i="11" s="1"/>
  <c r="CJ62" i="11"/>
  <c r="CO22" i="11"/>
  <c r="CO26" i="11" s="1"/>
  <c r="CO32" i="11" s="1"/>
  <c r="CO57" i="11" s="1"/>
  <c r="DU105" i="1"/>
  <c r="DW100" i="1"/>
  <c r="BC52" i="11"/>
  <c r="BC58" i="11"/>
  <c r="EI162" i="1"/>
  <c r="DU182" i="1"/>
  <c r="DU202" i="1"/>
  <c r="CC62" i="11"/>
  <c r="CH62" i="11"/>
  <c r="DV26" i="1"/>
  <c r="DV126" i="1"/>
  <c r="L69" i="9"/>
  <c r="L70" i="10" s="1"/>
  <c r="I11" i="4"/>
  <c r="I36" i="4" s="1"/>
  <c r="FB76" i="11" s="1"/>
  <c r="I37" i="5"/>
  <c r="I42" i="5"/>
  <c r="I43" i="5" s="1"/>
  <c r="CP22" i="11"/>
  <c r="CP26" i="11" s="1"/>
  <c r="CP32" i="11" s="1"/>
  <c r="CP57" i="11" s="1"/>
  <c r="CP65" i="11"/>
  <c r="CQ14" i="11"/>
  <c r="CQ51" i="11" s="1"/>
  <c r="CQ62" i="11"/>
  <c r="DV54" i="1"/>
  <c r="DV14" i="1"/>
  <c r="D225" i="3" s="1"/>
  <c r="H225" i="3" s="1"/>
  <c r="DV84" i="1"/>
  <c r="DV44" i="1"/>
  <c r="DU144" i="1"/>
  <c r="DU164" i="1" s="1"/>
  <c r="DU194" i="1" s="1"/>
  <c r="DV124" i="1"/>
  <c r="AE7" i="5"/>
  <c r="AE8" i="5" s="1"/>
  <c r="BR12" i="6"/>
  <c r="D216" i="3"/>
  <c r="H216" i="3" s="1"/>
  <c r="DU111" i="1"/>
  <c r="DW101" i="1"/>
  <c r="DV101" i="1"/>
  <c r="DR22" i="1"/>
  <c r="DV64" i="1"/>
  <c r="S57" i="3"/>
  <c r="U57" i="3" s="1"/>
  <c r="I53" i="5"/>
  <c r="I59" i="5" s="1"/>
  <c r="I69" i="5" s="1"/>
  <c r="I75" i="5" s="1"/>
  <c r="DQ102" i="1"/>
  <c r="Z62" i="8"/>
  <c r="AL138" i="8"/>
  <c r="DW102" i="1"/>
  <c r="AV22" i="11"/>
  <c r="AV26" i="11" s="1"/>
  <c r="AV32" i="11" s="1"/>
  <c r="AV57" i="11" s="1"/>
  <c r="Z69" i="8"/>
  <c r="CP53" i="11"/>
  <c r="BH62" i="11"/>
  <c r="DQ16" i="1"/>
  <c r="U46" i="3"/>
  <c r="AJ46" i="3" s="1"/>
  <c r="AL46" i="3" s="1"/>
  <c r="AN53" i="3" s="1"/>
  <c r="S50" i="3"/>
  <c r="U50" i="3" s="1"/>
  <c r="DM15" i="1"/>
  <c r="DL65" i="1"/>
  <c r="DL25" i="1"/>
  <c r="DM25" i="1" s="1"/>
  <c r="DL55" i="1"/>
  <c r="DL135" i="1"/>
  <c r="BN52" i="11"/>
  <c r="BN58" i="11"/>
  <c r="BS62" i="11"/>
  <c r="BN14" i="11"/>
  <c r="BN51" i="11" s="1"/>
  <c r="DL45" i="1"/>
  <c r="DK162" i="1"/>
  <c r="DW140" i="1"/>
  <c r="DV16" i="1"/>
  <c r="DU192" i="1"/>
  <c r="AL136" i="8"/>
  <c r="AL137" i="8"/>
  <c r="DL35" i="1"/>
  <c r="DV86" i="1"/>
  <c r="H55" i="3"/>
  <c r="AP230" i="3"/>
  <c r="AP237" i="3" s="1"/>
  <c r="U223" i="3"/>
  <c r="AJ223" i="3" s="1"/>
  <c r="AG138" i="3"/>
  <c r="BA62" i="11"/>
  <c r="BA14" i="11"/>
  <c r="BA51" i="11" s="1"/>
  <c r="BA53" i="11"/>
  <c r="DR140" i="1"/>
  <c r="DP160" i="1"/>
  <c r="DP165" i="1" s="1"/>
  <c r="DW141" i="1"/>
  <c r="DK144" i="1"/>
  <c r="DL154" i="1" s="1"/>
  <c r="DK204" i="1" s="1"/>
  <c r="DK190" i="1"/>
  <c r="DQ46" i="1"/>
  <c r="BM4" i="11"/>
  <c r="DP201" i="1"/>
  <c r="CA62" i="11"/>
  <c r="AF74" i="8"/>
  <c r="G12" i="5"/>
  <c r="AN25" i="3"/>
  <c r="DP105" i="1"/>
  <c r="DW105" i="1" s="1"/>
  <c r="BA58" i="11"/>
  <c r="AF75" i="8"/>
  <c r="DK200" i="1"/>
  <c r="DM140" i="1"/>
  <c r="BH58" i="11"/>
  <c r="DQ101" i="1"/>
  <c r="CB58" i="11"/>
  <c r="DK161" i="1"/>
  <c r="DK191" i="1" s="1"/>
  <c r="DK195" i="1" s="1"/>
  <c r="DQ136" i="1"/>
  <c r="H123" i="3"/>
  <c r="AG123" i="3" s="1"/>
  <c r="AJ71" i="3"/>
  <c r="DL85" i="1"/>
  <c r="DM85" i="1" s="1"/>
  <c r="CB53" i="11"/>
  <c r="DQ35" i="1"/>
  <c r="DQ75" i="1"/>
  <c r="AP215" i="3"/>
  <c r="U208" i="3"/>
  <c r="AJ208" i="3" s="1"/>
  <c r="DV142" i="1"/>
  <c r="AN88" i="3"/>
  <c r="CL53" i="11"/>
  <c r="H91" i="3"/>
  <c r="DR83" i="1"/>
  <c r="DV100" i="1"/>
  <c r="L110" i="8"/>
  <c r="AN67" i="3"/>
  <c r="BA65" i="11"/>
  <c r="BL58" i="11"/>
  <c r="BQ62" i="11"/>
  <c r="AW55" i="11"/>
  <c r="CC14" i="11"/>
  <c r="CC51" i="11" s="1"/>
  <c r="CC52" i="11"/>
  <c r="BC53" i="11"/>
  <c r="AW53" i="11"/>
  <c r="BB65" i="11"/>
  <c r="CJ52" i="11"/>
  <c r="AW58" i="11"/>
  <c r="AW62" i="11"/>
  <c r="CR65" i="11"/>
  <c r="BC62" i="11"/>
  <c r="AR14" i="11"/>
  <c r="AR51" i="11" s="1"/>
  <c r="CR53" i="11"/>
  <c r="BB62" i="11"/>
  <c r="CB16" i="11"/>
  <c r="CY181" i="1"/>
  <c r="CY191" i="1"/>
  <c r="CZ161" i="1"/>
  <c r="CJ201" i="1"/>
  <c r="CP35" i="11"/>
  <c r="CP67" i="11" s="1"/>
  <c r="U29" i="5"/>
  <c r="E6" i="60"/>
  <c r="E134" i="60" s="1"/>
  <c r="U17" i="5"/>
  <c r="AB145" i="1"/>
  <c r="DR161" i="1"/>
  <c r="DL86" i="1"/>
  <c r="DR86" i="1" s="1"/>
  <c r="BR11" i="6"/>
  <c r="D215" i="3"/>
  <c r="H215" i="3" s="1"/>
  <c r="I140" i="1"/>
  <c r="D150" i="1"/>
  <c r="L100" i="1"/>
  <c r="CJ96" i="1"/>
  <c r="CJ136" i="1"/>
  <c r="DW30" i="1"/>
  <c r="BR28" i="6"/>
  <c r="BR16" i="6"/>
  <c r="BR34" i="6" s="1"/>
  <c r="BR40" i="6" s="1"/>
  <c r="BR46" i="6" s="1"/>
  <c r="BR22" i="6"/>
  <c r="K122" i="64"/>
  <c r="K123" i="64"/>
  <c r="AF85" i="1"/>
  <c r="AF25" i="1"/>
  <c r="M100" i="1"/>
  <c r="DA33" i="1"/>
  <c r="EV31" i="1"/>
  <c r="DE33" i="1"/>
  <c r="BH125" i="1"/>
  <c r="BH135" i="1"/>
  <c r="AZ84" i="6"/>
  <c r="AZ78" i="6"/>
  <c r="BT101" i="1"/>
  <c r="BV18" i="11"/>
  <c r="AL46" i="8"/>
  <c r="BU101" i="1"/>
  <c r="K161" i="1"/>
  <c r="L151" i="1"/>
  <c r="L141" i="1"/>
  <c r="BL95" i="1"/>
  <c r="BL125" i="1"/>
  <c r="DV94" i="1"/>
  <c r="DV24" i="1"/>
  <c r="D32" i="8"/>
  <c r="U117" i="3"/>
  <c r="AJ117" i="3" s="1"/>
  <c r="AL117" i="3" s="1"/>
  <c r="AN117" i="3" s="1"/>
  <c r="AF15" i="1"/>
  <c r="H49" i="3"/>
  <c r="L126" i="1"/>
  <c r="L26" i="1"/>
  <c r="L136" i="1"/>
  <c r="L86" i="1"/>
  <c r="X25" i="1"/>
  <c r="X85" i="1"/>
  <c r="AC85" i="1" s="1"/>
  <c r="X135" i="1"/>
  <c r="X125" i="1"/>
  <c r="AN76" i="6"/>
  <c r="AN82" i="6"/>
  <c r="CB85" i="1"/>
  <c r="CC85" i="1" s="1"/>
  <c r="S122" i="64"/>
  <c r="S123" i="64"/>
  <c r="AZ76" i="6"/>
  <c r="AZ82" i="6"/>
  <c r="AB125" i="1"/>
  <c r="AB25" i="1"/>
  <c r="AB135" i="1"/>
  <c r="BL150" i="1"/>
  <c r="BK160" i="1"/>
  <c r="BL140" i="1"/>
  <c r="AJ159" i="3"/>
  <c r="AL159" i="3" s="1"/>
  <c r="W159" i="3"/>
  <c r="Y159" i="3" s="1"/>
  <c r="AW21" i="1"/>
  <c r="BA21" i="1"/>
  <c r="CF104" i="1"/>
  <c r="AG119" i="3"/>
  <c r="AN109" i="3"/>
  <c r="CU105" i="1"/>
  <c r="AZ101" i="1"/>
  <c r="CU106" i="1"/>
  <c r="DU161" i="1"/>
  <c r="DU201" i="1" s="1"/>
  <c r="DV201" i="1" s="1"/>
  <c r="X165" i="1"/>
  <c r="BW146" i="1"/>
  <c r="BC104" i="1"/>
  <c r="BD104" i="1" s="1"/>
  <c r="D140" i="1"/>
  <c r="DL14" i="1"/>
  <c r="D211" i="3" s="1"/>
  <c r="H211" i="3" s="1"/>
  <c r="D15" i="1"/>
  <c r="BC14" i="11"/>
  <c r="BC51" i="11" s="1"/>
  <c r="P145" i="3"/>
  <c r="W105" i="1"/>
  <c r="BM160" i="1"/>
  <c r="CG101" i="1"/>
  <c r="K144" i="1"/>
  <c r="L144" i="1" s="1"/>
  <c r="U83" i="1"/>
  <c r="CI161" i="1"/>
  <c r="CI181" i="1" s="1"/>
  <c r="AM145" i="1"/>
  <c r="AN145" i="1" s="1"/>
  <c r="DU160" i="1"/>
  <c r="DV160" i="1" s="1"/>
  <c r="BU52" i="11"/>
  <c r="M20" i="1"/>
  <c r="DW21" i="1"/>
  <c r="EJ21" i="1" s="1"/>
  <c r="M22" i="1"/>
  <c r="CK22" i="1"/>
  <c r="AR145" i="1"/>
  <c r="DV102" i="1"/>
  <c r="AJ155" i="3"/>
  <c r="AL155" i="3" s="1"/>
  <c r="BE81" i="1"/>
  <c r="DP104" i="1"/>
  <c r="DR104" i="1" s="1"/>
  <c r="CV102" i="1"/>
  <c r="CC101" i="1"/>
  <c r="BA101" i="1"/>
  <c r="AR24" i="11"/>
  <c r="DM102" i="1"/>
  <c r="CZ151" i="1"/>
  <c r="AK143" i="1"/>
  <c r="CE146" i="1"/>
  <c r="DU110" i="1"/>
  <c r="BU14" i="11"/>
  <c r="BU51" i="11" s="1"/>
  <c r="DL96" i="1"/>
  <c r="G146" i="1"/>
  <c r="M146" i="1" s="1"/>
  <c r="BM20" i="1"/>
  <c r="DD76" i="1"/>
  <c r="CE192" i="1"/>
  <c r="CL34" i="11" s="1"/>
  <c r="CL37" i="11" s="1"/>
  <c r="BH15" i="1"/>
  <c r="CF134" i="1"/>
  <c r="H90" i="3"/>
  <c r="CZ124" i="1"/>
  <c r="CZ74" i="1"/>
  <c r="CZ134" i="1"/>
  <c r="AV135" i="1"/>
  <c r="Z12" i="6"/>
  <c r="H133" i="3"/>
  <c r="CF34" i="1"/>
  <c r="CF44" i="1"/>
  <c r="S190" i="3"/>
  <c r="D105" i="8" s="1"/>
  <c r="DA81" i="1"/>
  <c r="BI21" i="1"/>
  <c r="P159" i="3"/>
  <c r="AG159" i="3"/>
  <c r="BI15" i="1"/>
  <c r="V10" i="6"/>
  <c r="D130" i="3"/>
  <c r="H130" i="3" s="1"/>
  <c r="AG130" i="3" s="1"/>
  <c r="U138" i="3"/>
  <c r="D53" i="8"/>
  <c r="L60" i="8" s="1"/>
  <c r="CY112" i="1"/>
  <c r="CZ102" i="1"/>
  <c r="DE102" i="1"/>
  <c r="AL103" i="8"/>
  <c r="H26" i="1"/>
  <c r="H126" i="1"/>
  <c r="H136" i="1"/>
  <c r="H86" i="1"/>
  <c r="I86" i="1" s="1"/>
  <c r="CZ162" i="1"/>
  <c r="CY192" i="1"/>
  <c r="DD192" i="1" s="1"/>
  <c r="CY182" i="1"/>
  <c r="DE182" i="1" s="1"/>
  <c r="D101" i="1"/>
  <c r="D54" i="8"/>
  <c r="U139" i="3"/>
  <c r="DE23" i="1"/>
  <c r="DA23" i="1"/>
  <c r="EV30" i="1"/>
  <c r="CZ25" i="1"/>
  <c r="DA25" i="1" s="1"/>
  <c r="CZ45" i="1"/>
  <c r="CZ65" i="1"/>
  <c r="AJ154" i="1"/>
  <c r="AJ144" i="1"/>
  <c r="R122" i="64"/>
  <c r="R123" i="64"/>
  <c r="D46" i="8"/>
  <c r="L46" i="8" s="1"/>
  <c r="U131" i="3"/>
  <c r="AN142" i="1"/>
  <c r="AM152" i="1"/>
  <c r="AM156" i="1" s="1"/>
  <c r="AS142" i="1"/>
  <c r="Y15" i="1"/>
  <c r="C181" i="1"/>
  <c r="D161" i="1"/>
  <c r="AB126" i="1"/>
  <c r="AB86" i="1"/>
  <c r="AB26" i="1"/>
  <c r="AB136" i="1"/>
  <c r="D38" i="8"/>
  <c r="L45" i="8" s="1"/>
  <c r="U123" i="3"/>
  <c r="AJ123" i="3" s="1"/>
  <c r="AL123" i="3" s="1"/>
  <c r="BL101" i="1"/>
  <c r="BL18" i="11"/>
  <c r="BQ101" i="1"/>
  <c r="AL32" i="8"/>
  <c r="BM101" i="1"/>
  <c r="H152" i="1"/>
  <c r="G162" i="1"/>
  <c r="H142" i="1"/>
  <c r="O183" i="1"/>
  <c r="P163" i="1"/>
  <c r="AG152" i="3"/>
  <c r="CB55" i="1"/>
  <c r="CK143" i="1"/>
  <c r="CB135" i="1"/>
  <c r="DL125" i="1"/>
  <c r="CJ66" i="1"/>
  <c r="BL85" i="1"/>
  <c r="Q100" i="1"/>
  <c r="CC15" i="1"/>
  <c r="BH83" i="6"/>
  <c r="DL75" i="1"/>
  <c r="DA100" i="1"/>
  <c r="D189" i="3"/>
  <c r="H189" i="3" s="1"/>
  <c r="P189" i="3" s="1"/>
  <c r="CJ153" i="1"/>
  <c r="CI203" i="1" s="1"/>
  <c r="BI23" i="1"/>
  <c r="I26" i="1"/>
  <c r="S144" i="1"/>
  <c r="X126" i="1"/>
  <c r="BO146" i="1"/>
  <c r="BO145" i="1"/>
  <c r="BT16" i="1"/>
  <c r="P103" i="1"/>
  <c r="AC162" i="1"/>
  <c r="DW16" i="1"/>
  <c r="AL98" i="8"/>
  <c r="M15" i="1"/>
  <c r="K106" i="1"/>
  <c r="AB15" i="1"/>
  <c r="BK193" i="1"/>
  <c r="DV34" i="1"/>
  <c r="CI193" i="1"/>
  <c r="BP58" i="11"/>
  <c r="AN15" i="1"/>
  <c r="CF102" i="1"/>
  <c r="BH150" i="1"/>
  <c r="DV162" i="1"/>
  <c r="BN11" i="6"/>
  <c r="BN17" i="6" s="1"/>
  <c r="BN35" i="6" s="1"/>
  <c r="BN41" i="6" s="1"/>
  <c r="BN47" i="6" s="1"/>
  <c r="K104" i="1"/>
  <c r="L14" i="1"/>
  <c r="D29" i="3" s="1"/>
  <c r="H29" i="3" s="1"/>
  <c r="P29" i="3" s="1"/>
  <c r="BH16" i="1"/>
  <c r="DU106" i="1"/>
  <c r="BP82" i="6"/>
  <c r="DV74" i="1"/>
  <c r="BF58" i="11"/>
  <c r="BL14" i="11"/>
  <c r="BL51" i="11" s="1"/>
  <c r="BV62" i="11"/>
  <c r="BX62" i="11"/>
  <c r="Z89" i="8"/>
  <c r="CQ52" i="11"/>
  <c r="AW14" i="11"/>
  <c r="AW51" i="11" s="1"/>
  <c r="CB22" i="11"/>
  <c r="CB55" i="11" s="1"/>
  <c r="BW14" i="11"/>
  <c r="BW51" i="11" s="1"/>
  <c r="FJ16" i="11"/>
  <c r="CU205" i="1"/>
  <c r="DR80" i="1"/>
  <c r="I12" i="5"/>
  <c r="BG62" i="11"/>
  <c r="AO81" i="1"/>
  <c r="CZ141" i="1"/>
  <c r="AY106" i="1"/>
  <c r="BE106" i="1" s="1"/>
  <c r="BE101" i="1"/>
  <c r="AO142" i="1"/>
  <c r="CU111" i="1"/>
  <c r="AE106" i="1"/>
  <c r="CF18" i="11"/>
  <c r="CF16" i="11" s="1"/>
  <c r="AQ106" i="1"/>
  <c r="AR106" i="1" s="1"/>
  <c r="DE162" i="1"/>
  <c r="DU145" i="1"/>
  <c r="BD84" i="1"/>
  <c r="AR82" i="6"/>
  <c r="X151" i="1"/>
  <c r="Y141" i="1"/>
  <c r="D135" i="1"/>
  <c r="D85" i="1"/>
  <c r="W145" i="1"/>
  <c r="AC142" i="1"/>
  <c r="CZ95" i="1"/>
  <c r="BN53" i="11"/>
  <c r="Y151" i="3"/>
  <c r="AC81" i="1"/>
  <c r="BL78" i="6"/>
  <c r="BH14" i="11"/>
  <c r="BH51" i="11" s="1"/>
  <c r="BB14" i="11"/>
  <c r="BB51" i="11" s="1"/>
  <c r="D151" i="1"/>
  <c r="G165" i="1"/>
  <c r="H165" i="1" s="1"/>
  <c r="U80" i="1"/>
  <c r="DQ141" i="1"/>
  <c r="CO140" i="1"/>
  <c r="AS141" i="1"/>
  <c r="AV100" i="1"/>
  <c r="BX102" i="1"/>
  <c r="AE162" i="1"/>
  <c r="AF162" i="1" s="1"/>
  <c r="DV141" i="1"/>
  <c r="DU146" i="1"/>
  <c r="DV146" i="1" s="1"/>
  <c r="BN62" i="11"/>
  <c r="DV150" i="1"/>
  <c r="DV76" i="1"/>
  <c r="BH85" i="1"/>
  <c r="DV56" i="1"/>
  <c r="CZ85" i="1"/>
  <c r="H151" i="1"/>
  <c r="I161" i="1"/>
  <c r="M82" i="1"/>
  <c r="DD86" i="1"/>
  <c r="CB125" i="1"/>
  <c r="AW22" i="1"/>
  <c r="CK84" i="1"/>
  <c r="D68" i="8"/>
  <c r="L75" i="8" s="1"/>
  <c r="DA32" i="1"/>
  <c r="CF24" i="1"/>
  <c r="DD14" i="1"/>
  <c r="CY104" i="1"/>
  <c r="AL105" i="8" s="1"/>
  <c r="CZ24" i="1"/>
  <c r="K145" i="1"/>
  <c r="M16" i="1"/>
  <c r="CF64" i="1"/>
  <c r="AV125" i="1"/>
  <c r="D84" i="1"/>
  <c r="L18" i="8"/>
  <c r="CF74" i="1"/>
  <c r="DA20" i="1"/>
  <c r="BQ23" i="1"/>
  <c r="CZ125" i="1"/>
  <c r="CZ75" i="1"/>
  <c r="CZ35" i="1"/>
  <c r="DA35" i="1" s="1"/>
  <c r="AC21" i="1"/>
  <c r="CA163" i="1"/>
  <c r="CB143" i="1"/>
  <c r="CB153" i="1"/>
  <c r="CA203" i="1" s="1"/>
  <c r="CJ86" i="1"/>
  <c r="CK86" i="1" s="1"/>
  <c r="DR30" i="1"/>
  <c r="DM30" i="1"/>
  <c r="DQ56" i="1"/>
  <c r="DQ26" i="1"/>
  <c r="DW26" i="1" s="1"/>
  <c r="DQ76" i="1"/>
  <c r="DQ126" i="1"/>
  <c r="DQ36" i="1"/>
  <c r="DQ96" i="1"/>
  <c r="BW111" i="1"/>
  <c r="CA45" i="11" s="1"/>
  <c r="BY101" i="1"/>
  <c r="CA18" i="11"/>
  <c r="CA16" i="11" s="1"/>
  <c r="BX101" i="1"/>
  <c r="AL53" i="8"/>
  <c r="AR77" i="6"/>
  <c r="AR83" i="6"/>
  <c r="DQ15" i="1"/>
  <c r="DR20" i="1"/>
  <c r="H7" i="5"/>
  <c r="AA104" i="1"/>
  <c r="AB104" i="1" s="1"/>
  <c r="AB124" i="1"/>
  <c r="AB84" i="1"/>
  <c r="AC84" i="1" s="1"/>
  <c r="AA144" i="1"/>
  <c r="AB24" i="1"/>
  <c r="AK24" i="1" s="1"/>
  <c r="AB134" i="1"/>
  <c r="BT25" i="1"/>
  <c r="BT95" i="1"/>
  <c r="D186" i="3"/>
  <c r="H186" i="3" s="1"/>
  <c r="BB10" i="6"/>
  <c r="AJ14" i="1"/>
  <c r="D71" i="3" s="1"/>
  <c r="H71" i="3" s="1"/>
  <c r="DW32" i="1"/>
  <c r="BY81" i="1"/>
  <c r="M81" i="1"/>
  <c r="BD77" i="6"/>
  <c r="F121" i="64"/>
  <c r="BD83" i="6"/>
  <c r="AJ126" i="1"/>
  <c r="AJ26" i="1"/>
  <c r="AK26" i="1" s="1"/>
  <c r="AJ136" i="1"/>
  <c r="AJ86" i="1"/>
  <c r="BL86" i="1"/>
  <c r="BL126" i="1"/>
  <c r="D160" i="3"/>
  <c r="H160" i="3" s="1"/>
  <c r="AL12" i="6"/>
  <c r="U97" i="3"/>
  <c r="AJ97" i="3" s="1"/>
  <c r="AL97" i="3" s="1"/>
  <c r="AN104" i="3" s="1"/>
  <c r="D12" i="8"/>
  <c r="L19" i="8" s="1"/>
  <c r="R11" i="6"/>
  <c r="D124" i="3"/>
  <c r="H124" i="3" s="1"/>
  <c r="AN100" i="1"/>
  <c r="AQ18" i="11"/>
  <c r="AV65" i="11" s="1"/>
  <c r="H102" i="1"/>
  <c r="CL35" i="11"/>
  <c r="CQ67" i="11" s="1"/>
  <c r="CJ202" i="1"/>
  <c r="AS18" i="11"/>
  <c r="AX65" i="11" s="1"/>
  <c r="AN102" i="1"/>
  <c r="AO102" i="1"/>
  <c r="AS102" i="1"/>
  <c r="BM82" i="1"/>
  <c r="BQ82" i="1"/>
  <c r="P146" i="1"/>
  <c r="P156" i="1"/>
  <c r="CV54" i="1"/>
  <c r="CV44" i="1"/>
  <c r="CV34" i="1"/>
  <c r="DA34" i="1" s="1"/>
  <c r="CV84" i="1"/>
  <c r="DA84" i="1" s="1"/>
  <c r="CV64" i="1"/>
  <c r="CV94" i="1"/>
  <c r="CV74" i="1"/>
  <c r="CU144" i="1"/>
  <c r="ET29" i="1"/>
  <c r="D194" i="3"/>
  <c r="H194" i="3" s="1"/>
  <c r="BF11" i="6"/>
  <c r="F116" i="64"/>
  <c r="DD55" i="1"/>
  <c r="DD75" i="1"/>
  <c r="DD35" i="1"/>
  <c r="DE35" i="1" s="1"/>
  <c r="DD45" i="1"/>
  <c r="DD135" i="1"/>
  <c r="DE15" i="1"/>
  <c r="DD125" i="1"/>
  <c r="DD25" i="1"/>
  <c r="DE25" i="1" s="1"/>
  <c r="DD95" i="1"/>
  <c r="DD85" i="1"/>
  <c r="DI85" i="1" s="1"/>
  <c r="D108" i="8"/>
  <c r="S197" i="3"/>
  <c r="U193" i="3"/>
  <c r="AJ193" i="3" s="1"/>
  <c r="AJ197" i="3" s="1"/>
  <c r="S106" i="1"/>
  <c r="T101" i="1"/>
  <c r="BP102" i="1"/>
  <c r="AL40" i="8"/>
  <c r="BR18" i="11"/>
  <c r="BR16" i="11" s="1"/>
  <c r="BU102" i="1"/>
  <c r="BQ102" i="1"/>
  <c r="DL152" i="1"/>
  <c r="DR142" i="1"/>
  <c r="DM142" i="1"/>
  <c r="U140" i="1"/>
  <c r="O145" i="1"/>
  <c r="O160" i="1"/>
  <c r="P140" i="1"/>
  <c r="P150" i="1"/>
  <c r="Q140" i="1"/>
  <c r="CG141" i="1"/>
  <c r="CB141" i="1"/>
  <c r="CC141" i="1"/>
  <c r="BU140" i="1"/>
  <c r="BS160" i="1"/>
  <c r="BT140" i="1"/>
  <c r="BS145" i="1"/>
  <c r="BY21" i="1"/>
  <c r="CC21" i="1"/>
  <c r="CA150" i="1"/>
  <c r="CA160" i="1" s="1"/>
  <c r="CB140" i="1"/>
  <c r="CZ36" i="1"/>
  <c r="CZ86" i="1"/>
  <c r="DA86" i="1" s="1"/>
  <c r="CZ66" i="1"/>
  <c r="CZ46" i="1"/>
  <c r="CZ126" i="1"/>
  <c r="CZ26" i="1"/>
  <c r="DE26" i="1" s="1"/>
  <c r="D117" i="3"/>
  <c r="H117" i="3" s="1"/>
  <c r="AG117" i="3" s="1"/>
  <c r="N11" i="6"/>
  <c r="I142" i="1"/>
  <c r="D152" i="1"/>
  <c r="C146" i="1"/>
  <c r="D146" i="1" s="1"/>
  <c r="D20" i="3"/>
  <c r="H20" i="3" s="1"/>
  <c r="H16" i="1"/>
  <c r="L102" i="1"/>
  <c r="Q102" i="1"/>
  <c r="M102" i="1"/>
  <c r="AI160" i="1"/>
  <c r="AJ140" i="1"/>
  <c r="AO140" i="1"/>
  <c r="BP96" i="1"/>
  <c r="BP126" i="1"/>
  <c r="BQ16" i="1"/>
  <c r="BP26" i="1"/>
  <c r="BP136" i="1"/>
  <c r="BP86" i="1"/>
  <c r="BQ100" i="1"/>
  <c r="BO106" i="1"/>
  <c r="AL38" i="8"/>
  <c r="BP100" i="1"/>
  <c r="BP18" i="11"/>
  <c r="BO105" i="1"/>
  <c r="D161" i="3"/>
  <c r="H161" i="3" s="1"/>
  <c r="AG161" i="3" s="1"/>
  <c r="AL13" i="6"/>
  <c r="J116" i="64"/>
  <c r="CJ161" i="1"/>
  <c r="C144" i="1"/>
  <c r="DA163" i="1"/>
  <c r="CY183" i="1"/>
  <c r="CZ183" i="1" s="1"/>
  <c r="G163" i="1"/>
  <c r="M163" i="1" s="1"/>
  <c r="I143" i="1"/>
  <c r="H153" i="1"/>
  <c r="M83" i="1"/>
  <c r="X69" i="9"/>
  <c r="X70" i="10" s="1"/>
  <c r="U11" i="4"/>
  <c r="U36" i="4" s="1"/>
  <c r="FN76" i="11" s="1"/>
  <c r="U32" i="5"/>
  <c r="DL103" i="1"/>
  <c r="DM103" i="1"/>
  <c r="BN12" i="6"/>
  <c r="D209" i="3"/>
  <c r="H209" i="3" s="1"/>
  <c r="P26" i="1"/>
  <c r="P126" i="1"/>
  <c r="P86" i="1"/>
  <c r="Q86" i="1" s="1"/>
  <c r="Q16" i="1"/>
  <c r="P136" i="1"/>
  <c r="D200" i="3"/>
  <c r="H200" i="3" s="1"/>
  <c r="P85" i="1"/>
  <c r="BL15" i="1"/>
  <c r="DK202" i="1"/>
  <c r="DK206" i="1" s="1"/>
  <c r="U101" i="1"/>
  <c r="D50" i="3"/>
  <c r="H50" i="3" s="1"/>
  <c r="X101" i="64"/>
  <c r="DV153" i="1"/>
  <c r="AL125" i="8"/>
  <c r="U99" i="3"/>
  <c r="AH20" i="8"/>
  <c r="BD52" i="11"/>
  <c r="DM81" i="1"/>
  <c r="K163" i="1"/>
  <c r="K193" i="1" s="1"/>
  <c r="AI146" i="1"/>
  <c r="DK113" i="1"/>
  <c r="K210" i="1"/>
  <c r="G185" i="1"/>
  <c r="H185" i="1" s="1"/>
  <c r="H121" i="64"/>
  <c r="BD85" i="6"/>
  <c r="M143" i="1"/>
  <c r="S105" i="1"/>
  <c r="T105" i="1" s="1"/>
  <c r="DR82" i="1"/>
  <c r="DW82" i="1"/>
  <c r="G144" i="1"/>
  <c r="H154" i="1" s="1"/>
  <c r="CZ56" i="1"/>
  <c r="DE36" i="1"/>
  <c r="CZ156" i="1"/>
  <c r="BP162" i="1"/>
  <c r="BO182" i="1"/>
  <c r="BP182" i="1" s="1"/>
  <c r="DL64" i="1"/>
  <c r="DL34" i="1"/>
  <c r="DM34" i="1" s="1"/>
  <c r="DL84" i="1"/>
  <c r="DM84" i="1" s="1"/>
  <c r="DL44" i="1"/>
  <c r="DL124" i="1"/>
  <c r="BU22" i="1"/>
  <c r="BY22" i="1"/>
  <c r="CV24" i="1"/>
  <c r="DA24" i="1" s="1"/>
  <c r="K165" i="1"/>
  <c r="L165" i="1" s="1"/>
  <c r="L160" i="1"/>
  <c r="BU23" i="1"/>
  <c r="AF101" i="1"/>
  <c r="AK101" i="1"/>
  <c r="AE105" i="1"/>
  <c r="AG105" i="1" s="1"/>
  <c r="O165" i="1"/>
  <c r="BT150" i="1"/>
  <c r="AS145" i="1"/>
  <c r="AI145" i="1"/>
  <c r="Y101" i="1"/>
  <c r="CC140" i="1"/>
  <c r="DD65" i="1"/>
  <c r="AK140" i="1"/>
  <c r="CI146" i="1"/>
  <c r="CJ150" i="1"/>
  <c r="CI200" i="1" s="1"/>
  <c r="CN200" i="1" s="1"/>
  <c r="CZ96" i="1"/>
  <c r="BI62" i="11"/>
  <c r="BD14" i="11"/>
  <c r="BD51" i="11" s="1"/>
  <c r="CV134" i="1"/>
  <c r="CT18" i="11"/>
  <c r="CO100" i="1"/>
  <c r="CN100" i="1"/>
  <c r="CM110" i="1"/>
  <c r="CT45" i="11" s="1"/>
  <c r="CT68" i="11" s="1"/>
  <c r="Y20" i="1"/>
  <c r="U20" i="1"/>
  <c r="U125" i="3"/>
  <c r="AJ125" i="3" s="1"/>
  <c r="AJ127" i="3" s="1"/>
  <c r="D40" i="8"/>
  <c r="J18" i="5"/>
  <c r="P125" i="1"/>
  <c r="CK36" i="1"/>
  <c r="AL80" i="8"/>
  <c r="CJ140" i="1"/>
  <c r="CI145" i="1"/>
  <c r="CJ145" i="1" s="1"/>
  <c r="CV104" i="1"/>
  <c r="DL16" i="1"/>
  <c r="L16" i="1"/>
  <c r="BD58" i="11"/>
  <c r="L67" i="8"/>
  <c r="D142" i="1"/>
  <c r="CA151" i="1"/>
  <c r="CA161" i="1" s="1"/>
  <c r="AJ150" i="1"/>
  <c r="DK146" i="1"/>
  <c r="DL156" i="1" s="1"/>
  <c r="CZ145" i="1"/>
  <c r="BQ36" i="11"/>
  <c r="H143" i="1"/>
  <c r="DR102" i="1"/>
  <c r="DP106" i="1"/>
  <c r="DW106" i="1" s="1"/>
  <c r="DP112" i="1"/>
  <c r="CZ76" i="1"/>
  <c r="P16" i="1"/>
  <c r="D224" i="3"/>
  <c r="H224" i="3" s="1"/>
  <c r="BV13" i="6"/>
  <c r="BV25" i="6" s="1"/>
  <c r="AW140" i="1"/>
  <c r="AV140" i="1"/>
  <c r="AV150" i="1"/>
  <c r="CV124" i="1"/>
  <c r="BZ14" i="11"/>
  <c r="BZ51" i="11" s="1"/>
  <c r="BZ62" i="11"/>
  <c r="BZ52" i="11"/>
  <c r="CE62" i="11"/>
  <c r="CZ14" i="1"/>
  <c r="D190" i="3" s="1"/>
  <c r="H190" i="3" s="1"/>
  <c r="P190" i="3" s="1"/>
  <c r="X15" i="1"/>
  <c r="BT100" i="1"/>
  <c r="BS105" i="1"/>
  <c r="BT105" i="1" s="1"/>
  <c r="BU100" i="1"/>
  <c r="AL45" i="8"/>
  <c r="BU18" i="11"/>
  <c r="CA110" i="1"/>
  <c r="CE45" i="11" s="1"/>
  <c r="CE58" i="11" s="1"/>
  <c r="CE18" i="11"/>
  <c r="CE53" i="11" s="1"/>
  <c r="BK145" i="1"/>
  <c r="BL141" i="1"/>
  <c r="BK161" i="1"/>
  <c r="BL151" i="1"/>
  <c r="AO80" i="1"/>
  <c r="AS80" i="1"/>
  <c r="AG80" i="1"/>
  <c r="AK80" i="1"/>
  <c r="D67" i="3"/>
  <c r="H67" i="3" s="1"/>
  <c r="AG67" i="3" s="1"/>
  <c r="AJ16" i="1"/>
  <c r="AJ15" i="1"/>
  <c r="BP25" i="1"/>
  <c r="BP135" i="1"/>
  <c r="BP85" i="1"/>
  <c r="BU85" i="1" s="1"/>
  <c r="CO68" i="11"/>
  <c r="I85" i="1"/>
  <c r="CG30" i="1"/>
  <c r="DI30" i="1"/>
  <c r="DE30" i="1"/>
  <c r="EV36" i="1"/>
  <c r="DL136" i="1"/>
  <c r="DL46" i="1"/>
  <c r="DL26" i="1"/>
  <c r="DL76" i="1"/>
  <c r="DL56" i="1"/>
  <c r="DL66" i="1"/>
  <c r="DL126" i="1"/>
  <c r="DL36" i="1"/>
  <c r="DR36" i="1" s="1"/>
  <c r="AL124" i="8"/>
  <c r="DL102" i="1"/>
  <c r="AY152" i="1"/>
  <c r="AZ142" i="1"/>
  <c r="BE142" i="1"/>
  <c r="BG151" i="1"/>
  <c r="BG154" i="1" s="1"/>
  <c r="BG146" i="1"/>
  <c r="BH146" i="1" s="1"/>
  <c r="AK100" i="1"/>
  <c r="AI105" i="1"/>
  <c r="AJ105" i="1" s="1"/>
  <c r="AL18" i="11"/>
  <c r="AJ100" i="1"/>
  <c r="AL31" i="8"/>
  <c r="BL100" i="1"/>
  <c r="BM100" i="1"/>
  <c r="BK105" i="1"/>
  <c r="BL105" i="1" s="1"/>
  <c r="BK18" i="11"/>
  <c r="BK16" i="11" s="1"/>
  <c r="U161" i="3"/>
  <c r="D76" i="8"/>
  <c r="L76" i="8" s="1"/>
  <c r="CG81" i="1"/>
  <c r="EV28" i="1"/>
  <c r="DE86" i="1"/>
  <c r="BP16" i="1"/>
  <c r="CC30" i="1"/>
  <c r="CV100" i="1"/>
  <c r="AL94" i="8"/>
  <c r="DD126" i="1"/>
  <c r="DE16" i="1"/>
  <c r="DD66" i="1"/>
  <c r="DD56" i="1"/>
  <c r="DD46" i="1"/>
  <c r="DE20" i="1"/>
  <c r="DI20" i="1"/>
  <c r="T135" i="1"/>
  <c r="T125" i="1"/>
  <c r="T85" i="1"/>
  <c r="T25" i="1"/>
  <c r="Y25" i="1" s="1"/>
  <c r="F12" i="6"/>
  <c r="D104" i="3"/>
  <c r="H104" i="3" s="1"/>
  <c r="AG104" i="3" s="1"/>
  <c r="DR32" i="1"/>
  <c r="CZ140" i="1"/>
  <c r="CZ150" i="1"/>
  <c r="CY160" i="1"/>
  <c r="CY164" i="1" s="1"/>
  <c r="U13" i="3"/>
  <c r="AJ13" i="3" s="1"/>
  <c r="AJ15" i="3" s="1"/>
  <c r="S15" i="3"/>
  <c r="U15" i="3" s="1"/>
  <c r="W15" i="3" s="1"/>
  <c r="U116" i="3"/>
  <c r="AJ116" i="3" s="1"/>
  <c r="AL116" i="3" s="1"/>
  <c r="D31" i="8"/>
  <c r="CI112" i="1"/>
  <c r="CQ45" i="11" s="1"/>
  <c r="CQ58" i="11" s="1"/>
  <c r="CJ102" i="1"/>
  <c r="CQ18" i="11"/>
  <c r="AO100" i="1"/>
  <c r="AI164" i="1"/>
  <c r="EJ22" i="1"/>
  <c r="AJ29" i="3"/>
  <c r="BQ26" i="1"/>
  <c r="DR33" i="1"/>
  <c r="EK21" i="1"/>
  <c r="P15" i="1"/>
  <c r="AC23" i="1"/>
  <c r="DP146" i="1"/>
  <c r="DQ146" i="1" s="1"/>
  <c r="CY111" i="1"/>
  <c r="CZ101" i="1"/>
  <c r="CY106" i="1"/>
  <c r="DA101" i="1"/>
  <c r="AO22" i="1"/>
  <c r="AS22" i="1"/>
  <c r="BU105" i="1"/>
  <c r="BP105" i="1"/>
  <c r="D217" i="3"/>
  <c r="H217" i="3" s="1"/>
  <c r="BR13" i="6"/>
  <c r="BY20" i="1"/>
  <c r="CC20" i="1"/>
  <c r="Z10" i="6"/>
  <c r="D137" i="3"/>
  <c r="H137" i="3" s="1"/>
  <c r="BX15" i="1"/>
  <c r="BX16" i="1"/>
  <c r="BX66" i="1"/>
  <c r="BX96" i="1"/>
  <c r="BX136" i="1"/>
  <c r="BX126" i="1"/>
  <c r="BX76" i="1"/>
  <c r="BX26" i="1"/>
  <c r="BX56" i="1"/>
  <c r="BX46" i="1"/>
  <c r="BX36" i="1"/>
  <c r="BY16" i="1"/>
  <c r="BX86" i="1"/>
  <c r="DV154" i="1"/>
  <c r="AV142" i="1"/>
  <c r="BA142" i="1"/>
  <c r="AU162" i="1"/>
  <c r="AW142" i="1"/>
  <c r="AV152" i="1"/>
  <c r="D33" i="8"/>
  <c r="U118" i="3"/>
  <c r="AJ118" i="3" s="1"/>
  <c r="AL118" i="3" s="1"/>
  <c r="AG83" i="1"/>
  <c r="AK83" i="1"/>
  <c r="P8" i="64"/>
  <c r="P26" i="64" s="1"/>
  <c r="P47" i="64" s="1"/>
  <c r="DK181" i="1"/>
  <c r="P121" i="64"/>
  <c r="BL77" i="6"/>
  <c r="BD86" i="1"/>
  <c r="BI86" i="1" s="1"/>
  <c r="BD26" i="1"/>
  <c r="BD126" i="1"/>
  <c r="BE16" i="1"/>
  <c r="BD136" i="1"/>
  <c r="D197" i="3"/>
  <c r="H197" i="3" s="1"/>
  <c r="I116" i="64"/>
  <c r="ET32" i="1"/>
  <c r="U23" i="5"/>
  <c r="AG89" i="3"/>
  <c r="AN16" i="1"/>
  <c r="DU184" i="1"/>
  <c r="DU214" i="1" s="1"/>
  <c r="CI191" i="1"/>
  <c r="S182" i="1"/>
  <c r="Y162" i="1"/>
  <c r="T162" i="1"/>
  <c r="AN134" i="1"/>
  <c r="AM104" i="1"/>
  <c r="AM144" i="1"/>
  <c r="AN124" i="1"/>
  <c r="AN14" i="1"/>
  <c r="D78" i="3" s="1"/>
  <c r="H78" i="3" s="1"/>
  <c r="AN84" i="1"/>
  <c r="AO84" i="1" s="1"/>
  <c r="AN24" i="1"/>
  <c r="AO24" i="1" s="1"/>
  <c r="J7" i="5"/>
  <c r="U20" i="3"/>
  <c r="AJ20" i="3" s="1"/>
  <c r="AJ22" i="3" s="1"/>
  <c r="S22" i="3"/>
  <c r="U22" i="3" s="1"/>
  <c r="W22" i="3" s="1"/>
  <c r="DK104" i="1"/>
  <c r="AL126" i="8" s="1"/>
  <c r="DK106" i="1"/>
  <c r="DK105" i="1"/>
  <c r="DK115" i="1" s="1"/>
  <c r="DL101" i="1"/>
  <c r="D116" i="3"/>
  <c r="H116" i="3" s="1"/>
  <c r="AG116" i="3" s="1"/>
  <c r="N10" i="6"/>
  <c r="BL16" i="1"/>
  <c r="D221" i="3"/>
  <c r="H221" i="3" s="1"/>
  <c r="BV10" i="6"/>
  <c r="U81" i="1"/>
  <c r="Q81" i="1"/>
  <c r="CE150" i="1"/>
  <c r="CE160" i="1" s="1"/>
  <c r="CK140" i="1"/>
  <c r="CF140" i="1"/>
  <c r="CG140" i="1"/>
  <c r="W145" i="3"/>
  <c r="AJ145" i="3"/>
  <c r="AL145" i="3" s="1"/>
  <c r="BI26" i="1"/>
  <c r="BQ143" i="1"/>
  <c r="BP143" i="1"/>
  <c r="BO163" i="1"/>
  <c r="BO183" i="1" s="1"/>
  <c r="BQ183" i="1" s="1"/>
  <c r="BP153" i="1"/>
  <c r="BW105" i="1"/>
  <c r="BY100" i="1"/>
  <c r="BX100" i="1"/>
  <c r="BW110" i="1"/>
  <c r="BZ45" i="11" s="1"/>
  <c r="BZ18" i="11"/>
  <c r="AL52" i="8"/>
  <c r="CC100" i="1"/>
  <c r="BW106" i="1"/>
  <c r="BX106" i="1" s="1"/>
  <c r="AL102" i="8"/>
  <c r="T136" i="1"/>
  <c r="U16" i="1"/>
  <c r="T26" i="1"/>
  <c r="U26" i="1" s="1"/>
  <c r="T126" i="1"/>
  <c r="T86" i="1"/>
  <c r="U86" i="1" s="1"/>
  <c r="AN103" i="1"/>
  <c r="AO103" i="1"/>
  <c r="CK30" i="1"/>
  <c r="CO30" i="1"/>
  <c r="D210" i="3"/>
  <c r="H210" i="3" s="1"/>
  <c r="BN13" i="6"/>
  <c r="BT134" i="1"/>
  <c r="BT94" i="1"/>
  <c r="BT84" i="1"/>
  <c r="BU84" i="1" s="1"/>
  <c r="R7" i="5"/>
  <c r="BS104" i="1"/>
  <c r="BT124" i="1"/>
  <c r="S134" i="3"/>
  <c r="BT14" i="1"/>
  <c r="D134" i="3" s="1"/>
  <c r="H134" i="3" s="1"/>
  <c r="P134" i="3" s="1"/>
  <c r="BS144" i="1"/>
  <c r="BT24" i="1"/>
  <c r="BU24" i="1" s="1"/>
  <c r="D96" i="8"/>
  <c r="L103" i="8" s="1"/>
  <c r="S183" i="3"/>
  <c r="D98" i="8" s="1"/>
  <c r="L105" i="8" s="1"/>
  <c r="AN101" i="1"/>
  <c r="AM105" i="1"/>
  <c r="AR18" i="11"/>
  <c r="AM106" i="1"/>
  <c r="AO106" i="1" s="1"/>
  <c r="AS101" i="1"/>
  <c r="BC146" i="1"/>
  <c r="BI141" i="1"/>
  <c r="BC151" i="1"/>
  <c r="BD151" i="1" s="1"/>
  <c r="BD141" i="1"/>
  <c r="AJ160" i="3"/>
  <c r="AL160" i="3" s="1"/>
  <c r="W160" i="3"/>
  <c r="Y160" i="3" s="1"/>
  <c r="U40" i="5"/>
  <c r="U12" i="5"/>
  <c r="CY105" i="1"/>
  <c r="DA105" i="1" s="1"/>
  <c r="CK161" i="1"/>
  <c r="DA104" i="1"/>
  <c r="DL161" i="1"/>
  <c r="AT18" i="11"/>
  <c r="U26" i="5"/>
  <c r="BU143" i="1"/>
  <c r="BX146" i="1"/>
  <c r="AW85" i="1"/>
  <c r="BY103" i="1"/>
  <c r="CC18" i="11"/>
  <c r="AL55" i="8"/>
  <c r="BW113" i="1"/>
  <c r="CC45" i="11" s="1"/>
  <c r="BX103" i="1"/>
  <c r="CC103" i="1"/>
  <c r="U140" i="3"/>
  <c r="D55" i="8"/>
  <c r="L62" i="8" s="1"/>
  <c r="AW80" i="1"/>
  <c r="BA80" i="1"/>
  <c r="AV143" i="1"/>
  <c r="AU153" i="1"/>
  <c r="AU163" i="1" s="1"/>
  <c r="BA163" i="1" s="1"/>
  <c r="BA143" i="1"/>
  <c r="D95" i="3"/>
  <c r="H95" i="3" s="1"/>
  <c r="AG95" i="3" s="1"/>
  <c r="AZ15" i="1"/>
  <c r="AZ16" i="1"/>
  <c r="BS162" i="1"/>
  <c r="BY162" i="1" s="1"/>
  <c r="BU142" i="1"/>
  <c r="BT142" i="1"/>
  <c r="BY142" i="1"/>
  <c r="BT152" i="1"/>
  <c r="BS146" i="1"/>
  <c r="BY146" i="1" s="1"/>
  <c r="Y163" i="1"/>
  <c r="S193" i="1"/>
  <c r="S183" i="1"/>
  <c r="U163" i="1"/>
  <c r="BP84" i="6"/>
  <c r="V121" i="64"/>
  <c r="V123" i="64" s="1"/>
  <c r="BT153" i="1"/>
  <c r="BS163" i="1"/>
  <c r="BU163" i="1" s="1"/>
  <c r="BT143" i="1"/>
  <c r="Z94" i="8"/>
  <c r="T106" i="1"/>
  <c r="U110" i="3"/>
  <c r="AJ110" i="3" s="1"/>
  <c r="AL110" i="3" s="1"/>
  <c r="AN110" i="3" s="1"/>
  <c r="D25" i="8"/>
  <c r="L25" i="8" s="1"/>
  <c r="BJ10" i="6"/>
  <c r="DH15" i="1"/>
  <c r="E116" i="64"/>
  <c r="BF10" i="6"/>
  <c r="ET28" i="1"/>
  <c r="DD16" i="1"/>
  <c r="DD15" i="1"/>
  <c r="D193" i="3"/>
  <c r="H193" i="3" s="1"/>
  <c r="U105" i="3"/>
  <c r="AJ105" i="3" s="1"/>
  <c r="D20" i="8"/>
  <c r="L20" i="8" s="1"/>
  <c r="M103" i="1"/>
  <c r="H103" i="1"/>
  <c r="I103" i="1"/>
  <c r="X103" i="1"/>
  <c r="Y103" i="1"/>
  <c r="CF100" i="1"/>
  <c r="CE105" i="1"/>
  <c r="CK105" i="1" s="1"/>
  <c r="CJ18" i="11"/>
  <c r="CJ16" i="11" s="1"/>
  <c r="CF135" i="1"/>
  <c r="CF55" i="1"/>
  <c r="CF75" i="1"/>
  <c r="I22" i="1"/>
  <c r="BQ20" i="1"/>
  <c r="U22" i="1"/>
  <c r="Y22" i="1"/>
  <c r="T24" i="1"/>
  <c r="T124" i="1"/>
  <c r="F7" i="5"/>
  <c r="D73" i="8"/>
  <c r="L80" i="8" s="1"/>
  <c r="S162" i="3"/>
  <c r="U158" i="3"/>
  <c r="BL142" i="1"/>
  <c r="BL152" i="1"/>
  <c r="BK162" i="1"/>
  <c r="BK146" i="1"/>
  <c r="BQ146" i="1" s="1"/>
  <c r="AF14" i="1"/>
  <c r="AF24" i="1"/>
  <c r="AG24" i="1" s="1"/>
  <c r="AF84" i="1"/>
  <c r="AE144" i="1"/>
  <c r="AE104" i="1"/>
  <c r="AO82" i="1"/>
  <c r="U75" i="3"/>
  <c r="AJ75" i="3" s="1"/>
  <c r="AJ78" i="3" s="1"/>
  <c r="S78" i="3"/>
  <c r="U78" i="3" s="1"/>
  <c r="D147" i="3"/>
  <c r="H147" i="3" s="1"/>
  <c r="P147" i="3" s="1"/>
  <c r="AD13" i="6"/>
  <c r="D140" i="3"/>
  <c r="H140" i="3" s="1"/>
  <c r="Z13" i="6"/>
  <c r="F10" i="6"/>
  <c r="D102" i="3"/>
  <c r="H102" i="3" s="1"/>
  <c r="AG102" i="3" s="1"/>
  <c r="BD15" i="1"/>
  <c r="BD16" i="1"/>
  <c r="BA20" i="1"/>
  <c r="BE20" i="1"/>
  <c r="AZ134" i="1"/>
  <c r="BL14" i="1"/>
  <c r="D120" i="3" s="1"/>
  <c r="H120" i="3" s="1"/>
  <c r="AZ124" i="1"/>
  <c r="AY144" i="1"/>
  <c r="BA144" i="1" s="1"/>
  <c r="AZ24" i="1"/>
  <c r="M7" i="5"/>
  <c r="AY104" i="1"/>
  <c r="AZ14" i="1"/>
  <c r="D99" i="3" s="1"/>
  <c r="H99" i="3" s="1"/>
  <c r="AZ84" i="1"/>
  <c r="CF85" i="1"/>
  <c r="CG85" i="1" s="1"/>
  <c r="DV66" i="1"/>
  <c r="DV36" i="1"/>
  <c r="DW36" i="1" s="1"/>
  <c r="DV46" i="1"/>
  <c r="DV96" i="1"/>
  <c r="DV136" i="1"/>
  <c r="AU106" i="1"/>
  <c r="BA106" i="1" s="1"/>
  <c r="D47" i="8"/>
  <c r="U132" i="3"/>
  <c r="CV142" i="1"/>
  <c r="CV152" i="1"/>
  <c r="CU202" i="1" s="1"/>
  <c r="CU162" i="1"/>
  <c r="CU146" i="1"/>
  <c r="J11" i="6"/>
  <c r="D110" i="3"/>
  <c r="H110" i="3" s="1"/>
  <c r="BX44" i="1"/>
  <c r="BX134" i="1"/>
  <c r="BX64" i="1"/>
  <c r="BX24" i="1"/>
  <c r="BX74" i="1"/>
  <c r="BX84" i="1"/>
  <c r="BY84" i="1" s="1"/>
  <c r="BX124" i="1"/>
  <c r="BX14" i="1"/>
  <c r="D141" i="3" s="1"/>
  <c r="H141" i="3" s="1"/>
  <c r="BW104" i="1"/>
  <c r="BX34" i="1"/>
  <c r="BX54" i="1"/>
  <c r="S7" i="5"/>
  <c r="S53" i="5" s="1"/>
  <c r="S54" i="5" s="1"/>
  <c r="BW144" i="1"/>
  <c r="BX94" i="1"/>
  <c r="D52" i="8"/>
  <c r="U137" i="3"/>
  <c r="S141" i="3"/>
  <c r="AV16" i="1"/>
  <c r="G215" i="1"/>
  <c r="G104" i="1"/>
  <c r="C7" i="5"/>
  <c r="H124" i="1"/>
  <c r="H84" i="1"/>
  <c r="M84" i="1" s="1"/>
  <c r="H14" i="1"/>
  <c r="D22" i="3" s="1"/>
  <c r="H22" i="3" s="1"/>
  <c r="P22" i="3" s="1"/>
  <c r="H134" i="1"/>
  <c r="H24" i="1"/>
  <c r="I24" i="1" s="1"/>
  <c r="F13" i="6"/>
  <c r="D105" i="3"/>
  <c r="H105" i="3" s="1"/>
  <c r="AG105" i="3" s="1"/>
  <c r="BD103" i="1"/>
  <c r="AL20" i="8"/>
  <c r="BE103" i="1"/>
  <c r="L143" i="1"/>
  <c r="Q143" i="1"/>
  <c r="CJ135" i="1"/>
  <c r="CJ65" i="1"/>
  <c r="CJ95" i="1"/>
  <c r="CJ35" i="1"/>
  <c r="CJ55" i="1"/>
  <c r="CJ125" i="1"/>
  <c r="CK15" i="1"/>
  <c r="CJ45" i="1"/>
  <c r="CJ75" i="1"/>
  <c r="CJ25" i="1"/>
  <c r="CK25" i="1" s="1"/>
  <c r="AM153" i="1"/>
  <c r="AN143" i="1"/>
  <c r="CK20" i="1"/>
  <c r="AP10" i="6"/>
  <c r="D165" i="3"/>
  <c r="H165" i="3" s="1"/>
  <c r="BM102" i="1"/>
  <c r="BM18" i="11"/>
  <c r="BM65" i="11" s="1"/>
  <c r="D125" i="3"/>
  <c r="H125" i="3" s="1"/>
  <c r="R12" i="6"/>
  <c r="D10" i="8"/>
  <c r="U95" i="3"/>
  <c r="AJ95" i="3" s="1"/>
  <c r="DW83" i="1"/>
  <c r="AV24" i="1"/>
  <c r="L7" i="5"/>
  <c r="AU104" i="1"/>
  <c r="AV104" i="1" s="1"/>
  <c r="AV84" i="1"/>
  <c r="AV124" i="1"/>
  <c r="AZ136" i="1"/>
  <c r="AZ126" i="1"/>
  <c r="AZ26" i="1"/>
  <c r="BM26" i="1" s="1"/>
  <c r="BH85" i="6"/>
  <c r="M121" i="64"/>
  <c r="BH79" i="6"/>
  <c r="DR23" i="1"/>
  <c r="DM23" i="1"/>
  <c r="AR105" i="1"/>
  <c r="AL47" i="8"/>
  <c r="BW18" i="11"/>
  <c r="BT126" i="1"/>
  <c r="BT96" i="1"/>
  <c r="BT86" i="1"/>
  <c r="BU86" i="1" s="1"/>
  <c r="BT26" i="1"/>
  <c r="BU26" i="1" s="1"/>
  <c r="BT136" i="1"/>
  <c r="BU16" i="1"/>
  <c r="CV136" i="1"/>
  <c r="CV126" i="1"/>
  <c r="CV36" i="1"/>
  <c r="DA36" i="1" s="1"/>
  <c r="CV66" i="1"/>
  <c r="CV56" i="1"/>
  <c r="CV76" i="1"/>
  <c r="CV46" i="1"/>
  <c r="CV96" i="1"/>
  <c r="CV26" i="1"/>
  <c r="DA26" i="1" s="1"/>
  <c r="D188" i="3"/>
  <c r="H188" i="3" s="1"/>
  <c r="P188" i="3" s="1"/>
  <c r="BB12" i="6"/>
  <c r="AS21" i="1"/>
  <c r="AO21" i="1"/>
  <c r="D82" i="3"/>
  <c r="H82" i="3" s="1"/>
  <c r="AR15" i="1"/>
  <c r="AR16" i="1"/>
  <c r="BD135" i="1"/>
  <c r="BD125" i="1"/>
  <c r="BD25" i="1"/>
  <c r="BE15" i="1"/>
  <c r="BD85" i="1"/>
  <c r="BI85" i="1" s="1"/>
  <c r="D103" i="3"/>
  <c r="H103" i="3" s="1"/>
  <c r="AG103" i="3" s="1"/>
  <c r="F11" i="6"/>
  <c r="BD101" i="1"/>
  <c r="AL18" i="8"/>
  <c r="BC105" i="1"/>
  <c r="V24" i="6"/>
  <c r="V18" i="6"/>
  <c r="V42" i="6" s="1"/>
  <c r="V48" i="6" s="1"/>
  <c r="DQ74" i="1"/>
  <c r="DQ14" i="1"/>
  <c r="D218" i="3" s="1"/>
  <c r="H218" i="3" s="1"/>
  <c r="DQ124" i="1"/>
  <c r="DQ54" i="1"/>
  <c r="DQ34" i="1"/>
  <c r="DQ64" i="1"/>
  <c r="DQ94" i="1"/>
  <c r="DQ24" i="1"/>
  <c r="AD10" i="6"/>
  <c r="D144" i="3"/>
  <c r="H144" i="3" s="1"/>
  <c r="CB15" i="1"/>
  <c r="CW16" i="1"/>
  <c r="BP83" i="6"/>
  <c r="U121" i="64"/>
  <c r="U123" i="64" s="1"/>
  <c r="U133" i="3"/>
  <c r="D48" i="8"/>
  <c r="S106" i="3"/>
  <c r="BD106" i="1"/>
  <c r="P141" i="3"/>
  <c r="AZ85" i="6"/>
  <c r="AZ79" i="6"/>
  <c r="BE22" i="1"/>
  <c r="BA22" i="1"/>
  <c r="BU83" i="1"/>
  <c r="BQ83" i="1"/>
  <c r="K162" i="1"/>
  <c r="Q162" i="1" s="1"/>
  <c r="L152" i="1"/>
  <c r="DM31" i="1"/>
  <c r="DR31" i="1"/>
  <c r="D40" i="3"/>
  <c r="H40" i="3" s="1"/>
  <c r="T15" i="1"/>
  <c r="D151" i="3"/>
  <c r="H151" i="3" s="1"/>
  <c r="AH10" i="6"/>
  <c r="CF15" i="1"/>
  <c r="U102" i="1"/>
  <c r="Y102" i="1"/>
  <c r="T102" i="1"/>
  <c r="D158" i="3"/>
  <c r="H158" i="3" s="1"/>
  <c r="CJ15" i="1"/>
  <c r="CJ16" i="1"/>
  <c r="AL10" i="6"/>
  <c r="CI104" i="1"/>
  <c r="CK104" i="1" s="1"/>
  <c r="CJ24" i="1"/>
  <c r="CJ94" i="1"/>
  <c r="V7" i="5"/>
  <c r="V23" i="5" s="1"/>
  <c r="CJ34" i="1"/>
  <c r="CK34" i="1" s="1"/>
  <c r="CJ44" i="1"/>
  <c r="CJ134" i="1"/>
  <c r="CJ64" i="1"/>
  <c r="CJ54" i="1"/>
  <c r="CJ124" i="1"/>
  <c r="CJ74" i="1"/>
  <c r="CJ14" i="1"/>
  <c r="D162" i="3" s="1"/>
  <c r="H162" i="3" s="1"/>
  <c r="P162" i="3" s="1"/>
  <c r="D118" i="3"/>
  <c r="H118" i="3" s="1"/>
  <c r="AG118" i="3" s="1"/>
  <c r="N12" i="6"/>
  <c r="AG23" i="1"/>
  <c r="BM22" i="1"/>
  <c r="BI25" i="1"/>
  <c r="BW163" i="1"/>
  <c r="BX153" i="1"/>
  <c r="BW203" i="1" s="1"/>
  <c r="CC35" i="11" s="1"/>
  <c r="BY143" i="1"/>
  <c r="AV86" i="1"/>
  <c r="AW86" i="1" s="1"/>
  <c r="AV136" i="1"/>
  <c r="AV126" i="1"/>
  <c r="AV26" i="1"/>
  <c r="BD18" i="11"/>
  <c r="AV103" i="1"/>
  <c r="BA103" i="1"/>
  <c r="AY150" i="1"/>
  <c r="AY146" i="1"/>
  <c r="AZ140" i="1"/>
  <c r="AY145" i="1"/>
  <c r="AZ145" i="1" s="1"/>
  <c r="AZ25" i="1"/>
  <c r="BA25" i="1" s="1"/>
  <c r="AZ135" i="1"/>
  <c r="AZ125" i="1"/>
  <c r="S29" i="3"/>
  <c r="U29" i="3" s="1"/>
  <c r="D223" i="3"/>
  <c r="H223" i="3" s="1"/>
  <c r="BV12" i="6"/>
  <c r="DI26" i="1"/>
  <c r="X16" i="1"/>
  <c r="DL74" i="1"/>
  <c r="DL54" i="1"/>
  <c r="DL134" i="1"/>
  <c r="DA102" i="1"/>
  <c r="AL96" i="8"/>
  <c r="AO16" i="1"/>
  <c r="AN126" i="1"/>
  <c r="AN26" i="1"/>
  <c r="AN86" i="1"/>
  <c r="AN136" i="1"/>
  <c r="AN125" i="1"/>
  <c r="AN135" i="1"/>
  <c r="AN25" i="1"/>
  <c r="AN85" i="1"/>
  <c r="AO85" i="1" s="1"/>
  <c r="AO15" i="1"/>
  <c r="N7" i="5"/>
  <c r="BD134" i="1"/>
  <c r="BD124" i="1"/>
  <c r="BD14" i="1"/>
  <c r="D106" i="3" s="1"/>
  <c r="H106" i="3" s="1"/>
  <c r="AG106" i="3" s="1"/>
  <c r="BD24" i="1"/>
  <c r="BW192" i="1"/>
  <c r="BW182" i="1"/>
  <c r="CK24" i="1"/>
  <c r="AZ105" i="1"/>
  <c r="BX135" i="1"/>
  <c r="BX65" i="1"/>
  <c r="BX45" i="1"/>
  <c r="BX95" i="1"/>
  <c r="BX75" i="1"/>
  <c r="BX35" i="1"/>
  <c r="CC35" i="1" s="1"/>
  <c r="BX125" i="1"/>
  <c r="BX55" i="1"/>
  <c r="BX25" i="1"/>
  <c r="BY25" i="1" s="1"/>
  <c r="BY15" i="1"/>
  <c r="BA15" i="1"/>
  <c r="T16" i="1"/>
  <c r="CK100" i="1"/>
  <c r="H139" i="3"/>
  <c r="W121" i="64"/>
  <c r="X121" i="64" s="1"/>
  <c r="BP79" i="6"/>
  <c r="BT103" i="1"/>
  <c r="BX18" i="11"/>
  <c r="BX16" i="11" s="1"/>
  <c r="AL48" i="8"/>
  <c r="BA16" i="1"/>
  <c r="H145" i="1"/>
  <c r="H155" i="1"/>
  <c r="DA85" i="1"/>
  <c r="DW80" i="1"/>
  <c r="BF31" i="6"/>
  <c r="BF19" i="6"/>
  <c r="BF37" i="6" s="1"/>
  <c r="BF43" i="6" s="1"/>
  <c r="BF49" i="6" s="1"/>
  <c r="BF25" i="6"/>
  <c r="H181" i="1"/>
  <c r="I181" i="1"/>
  <c r="Z103" i="8"/>
  <c r="Z82" i="8"/>
  <c r="AF81" i="8"/>
  <c r="AF66" i="8"/>
  <c r="Z67" i="8"/>
  <c r="AF73" i="8"/>
  <c r="AF94" i="8"/>
  <c r="AF102" i="8"/>
  <c r="Z87" i="8"/>
  <c r="AH123" i="8"/>
  <c r="Z111" i="8"/>
  <c r="AI71" i="9"/>
  <c r="AF16" i="5"/>
  <c r="Z55" i="8"/>
  <c r="AF36" i="5"/>
  <c r="P11" i="60" s="1"/>
  <c r="CL16" i="11"/>
  <c r="Z41" i="8"/>
  <c r="F128" i="44"/>
  <c r="E129" i="44"/>
  <c r="N128" i="44"/>
  <c r="F115" i="44"/>
  <c r="E102" i="44"/>
  <c r="E214" i="44"/>
  <c r="F213" i="44"/>
  <c r="B134" i="44"/>
  <c r="BG16" i="11"/>
  <c r="BG56" i="11"/>
  <c r="AH150" i="8"/>
  <c r="R150" i="8"/>
  <c r="J154" i="8"/>
  <c r="AF88" i="8"/>
  <c r="R45" i="8"/>
  <c r="Z73" i="8"/>
  <c r="AH129" i="8"/>
  <c r="AF83" i="8"/>
  <c r="R88" i="8"/>
  <c r="Z66" i="8"/>
  <c r="Z61" i="8"/>
  <c r="Z54" i="8"/>
  <c r="AH94" i="8"/>
  <c r="AH139" i="8"/>
  <c r="J126" i="8"/>
  <c r="R126" i="8" s="1"/>
  <c r="EH72" i="11" s="1"/>
  <c r="AH62" i="8"/>
  <c r="AB89" i="8"/>
  <c r="AD89" i="8" s="1"/>
  <c r="AF89" i="8" s="1"/>
  <c r="AC175" i="3"/>
  <c r="AF95" i="8"/>
  <c r="AC174" i="3"/>
  <c r="AF103" i="8"/>
  <c r="DI182" i="1"/>
  <c r="DR160" i="1"/>
  <c r="DC201" i="1"/>
  <c r="CP58" i="11"/>
  <c r="DE163" i="1"/>
  <c r="CK26" i="11"/>
  <c r="CK32" i="11" s="1"/>
  <c r="CK57" i="11" s="1"/>
  <c r="CJ58" i="11"/>
  <c r="DU163" i="1"/>
  <c r="DU203" i="1" s="1"/>
  <c r="DW143" i="1"/>
  <c r="BB53" i="11"/>
  <c r="DW142" i="1"/>
  <c r="DQ142" i="1"/>
  <c r="DL153" i="1"/>
  <c r="DK163" i="1"/>
  <c r="DM163" i="1" s="1"/>
  <c r="DM143" i="1"/>
  <c r="DL143" i="1"/>
  <c r="DK203" i="1"/>
  <c r="DL203" i="1" s="1"/>
  <c r="DK193" i="1"/>
  <c r="BG65" i="11"/>
  <c r="DQ143" i="1"/>
  <c r="DQ153" i="1"/>
  <c r="DR143" i="1"/>
  <c r="CR68" i="11"/>
  <c r="CM68" i="11"/>
  <c r="DQ152" i="1"/>
  <c r="DP202" i="1" s="1"/>
  <c r="DP162" i="1"/>
  <c r="DR162" i="1" s="1"/>
  <c r="DP183" i="1"/>
  <c r="DQ163" i="1"/>
  <c r="BG26" i="11"/>
  <c r="BG32" i="11" s="1"/>
  <c r="BG57" i="11" s="1"/>
  <c r="BB22" i="11"/>
  <c r="BB55" i="11" s="1"/>
  <c r="F241" i="44"/>
  <c r="E242" i="44"/>
  <c r="EK22" i="1"/>
  <c r="AJ139" i="8"/>
  <c r="AF104" i="8"/>
  <c r="AF111" i="8"/>
  <c r="AF48" i="8"/>
  <c r="Z83" i="8"/>
  <c r="AF62" i="8"/>
  <c r="FY15" i="11"/>
  <c r="AH66" i="8"/>
  <c r="O18" i="5"/>
  <c r="DA145" i="1"/>
  <c r="DI144" i="1"/>
  <c r="DM144" i="1"/>
  <c r="N10" i="4"/>
  <c r="AH111" i="8"/>
  <c r="R48" i="8"/>
  <c r="BC22" i="11"/>
  <c r="BC56" i="11" s="1"/>
  <c r="P21" i="4"/>
  <c r="AH125" i="8"/>
  <c r="D178" i="60"/>
  <c r="AG48" i="5"/>
  <c r="Y81" i="9"/>
  <c r="AF41" i="8"/>
  <c r="D123" i="60"/>
  <c r="Z97" i="8"/>
  <c r="FW15" i="11"/>
  <c r="D144" i="1"/>
  <c r="D154" i="1"/>
  <c r="AA191" i="1"/>
  <c r="AB161" i="1"/>
  <c r="AA181" i="1"/>
  <c r="I144" i="1"/>
  <c r="CF146" i="1"/>
  <c r="BN65" i="11"/>
  <c r="AY183" i="1"/>
  <c r="AZ183" i="1" s="1"/>
  <c r="BN22" i="11"/>
  <c r="BN55" i="11" s="1"/>
  <c r="L156" i="1"/>
  <c r="L210" i="1"/>
  <c r="DV164" i="1"/>
  <c r="BS65" i="11"/>
  <c r="CB68" i="11"/>
  <c r="BD150" i="1"/>
  <c r="BG190" i="1"/>
  <c r="T156" i="1"/>
  <c r="U146" i="1"/>
  <c r="T146" i="1"/>
  <c r="AR146" i="1"/>
  <c r="AR156" i="1"/>
  <c r="BD162" i="1"/>
  <c r="BC192" i="1"/>
  <c r="BC182" i="1"/>
  <c r="DE161" i="1"/>
  <c r="C193" i="1"/>
  <c r="D163" i="1"/>
  <c r="W8" i="64" s="1"/>
  <c r="W26" i="64" s="1"/>
  <c r="C183" i="1"/>
  <c r="T155" i="1"/>
  <c r="T145" i="1"/>
  <c r="CI182" i="1"/>
  <c r="CK162" i="1"/>
  <c r="BF22" i="11"/>
  <c r="L146" i="1"/>
  <c r="BF65" i="11"/>
  <c r="U106" i="1"/>
  <c r="CJ162" i="1"/>
  <c r="AG106" i="1"/>
  <c r="Q146" i="1"/>
  <c r="CZ163" i="1"/>
  <c r="CY193" i="1"/>
  <c r="DD193" i="1" s="1"/>
  <c r="M144" i="1"/>
  <c r="L154" i="1"/>
  <c r="DP181" i="1"/>
  <c r="U8" i="64"/>
  <c r="U26" i="64" s="1"/>
  <c r="DQ161" i="1"/>
  <c r="FJ26" i="11"/>
  <c r="BO194" i="1"/>
  <c r="BQ164" i="1"/>
  <c r="BP164" i="1"/>
  <c r="BO184" i="1"/>
  <c r="Y106" i="1"/>
  <c r="M180" i="1"/>
  <c r="BT156" i="1"/>
  <c r="BA105" i="1"/>
  <c r="AV105" i="1"/>
  <c r="AW105" i="1"/>
  <c r="BW180" i="1"/>
  <c r="BY160" i="1"/>
  <c r="BW190" i="1"/>
  <c r="BZ34" i="11" s="1"/>
  <c r="BZ37" i="11" s="1"/>
  <c r="BX160" i="1"/>
  <c r="CJ105" i="1"/>
  <c r="M165" i="1"/>
  <c r="AG162" i="1"/>
  <c r="L47" i="64"/>
  <c r="AZ163" i="1"/>
  <c r="CI192" i="1"/>
  <c r="CJ192" i="1" s="1"/>
  <c r="DW145" i="1"/>
  <c r="CI115" i="1"/>
  <c r="H180" i="1"/>
  <c r="AC161" i="1"/>
  <c r="X105" i="1"/>
  <c r="CY211" i="1"/>
  <c r="CJ106" i="1"/>
  <c r="CI116" i="1"/>
  <c r="CV163" i="1"/>
  <c r="CU183" i="1"/>
  <c r="CU193" i="1"/>
  <c r="DG114" i="1"/>
  <c r="CU210" i="1"/>
  <c r="AU190" i="1"/>
  <c r="BA34" i="11" s="1"/>
  <c r="DP190" i="1"/>
  <c r="BY145" i="1"/>
  <c r="DC212" i="1"/>
  <c r="DH212" i="1" s="1"/>
  <c r="CA155" i="1"/>
  <c r="CB155" i="1" s="1"/>
  <c r="W195" i="1"/>
  <c r="CC145" i="1"/>
  <c r="BQ16" i="11"/>
  <c r="R47" i="8"/>
  <c r="Z76" i="9"/>
  <c r="Z80" i="9" s="1"/>
  <c r="C178" i="60"/>
  <c r="C123" i="60"/>
  <c r="Z95" i="8"/>
  <c r="AC41" i="3"/>
  <c r="W29" i="3"/>
  <c r="K10" i="4"/>
  <c r="CK16" i="11"/>
  <c r="BQ26" i="11"/>
  <c r="BQ32" i="11" s="1"/>
  <c r="BQ57" i="11" s="1"/>
  <c r="BQ56" i="11"/>
  <c r="O80" i="60"/>
  <c r="O179" i="60" s="1"/>
  <c r="C136" i="60"/>
  <c r="C50" i="60"/>
  <c r="AH61" i="8"/>
  <c r="R61" i="8"/>
  <c r="AH40" i="8"/>
  <c r="AH76" i="8"/>
  <c r="CR16" i="11"/>
  <c r="CR51" i="11"/>
  <c r="BV31" i="6"/>
  <c r="AH118" i="8"/>
  <c r="BD79" i="6"/>
  <c r="BI160" i="1"/>
  <c r="BC190" i="1"/>
  <c r="BC180" i="1"/>
  <c r="BI150" i="1"/>
  <c r="AF85" i="6"/>
  <c r="AF79" i="6"/>
  <c r="AF76" i="6"/>
  <c r="AF82" i="6"/>
  <c r="AR84" i="6"/>
  <c r="AR78" i="6"/>
  <c r="Y145" i="1"/>
  <c r="X145" i="1"/>
  <c r="X155" i="1"/>
  <c r="DL160" i="1"/>
  <c r="O8" i="64"/>
  <c r="O26" i="64" s="1"/>
  <c r="DK165" i="1"/>
  <c r="DL165" i="1" s="1"/>
  <c r="DK180" i="1"/>
  <c r="AC145" i="1"/>
  <c r="W186" i="1"/>
  <c r="X186" i="1" s="1"/>
  <c r="W211" i="1"/>
  <c r="W185" i="1"/>
  <c r="X185" i="1" s="1"/>
  <c r="X181" i="1"/>
  <c r="AO155" i="1"/>
  <c r="AN155" i="1"/>
  <c r="AI166" i="1"/>
  <c r="AJ166" i="1" s="1"/>
  <c r="AJ85" i="6"/>
  <c r="AJ79" i="6"/>
  <c r="AV85" i="6"/>
  <c r="AV79" i="6"/>
  <c r="DK164" i="1"/>
  <c r="DL144" i="1"/>
  <c r="AC105" i="1"/>
  <c r="AB105" i="1"/>
  <c r="DE24" i="1"/>
  <c r="DI24" i="1"/>
  <c r="X154" i="1"/>
  <c r="AC144" i="1"/>
  <c r="X144" i="1"/>
  <c r="DV105" i="1"/>
  <c r="DU115" i="1"/>
  <c r="DM24" i="1"/>
  <c r="BA85" i="1"/>
  <c r="L190" i="1"/>
  <c r="AV144" i="1"/>
  <c r="AC106" i="1"/>
  <c r="AB106" i="1"/>
  <c r="DE144" i="1"/>
  <c r="DD154" i="1"/>
  <c r="DD144" i="1"/>
  <c r="DC164" i="1"/>
  <c r="DD155" i="1"/>
  <c r="DE145" i="1"/>
  <c r="DD145" i="1"/>
  <c r="X104" i="1"/>
  <c r="AC104" i="1"/>
  <c r="AC24" i="1"/>
  <c r="Y24" i="1"/>
  <c r="X182" i="1"/>
  <c r="W212" i="1"/>
  <c r="CG35" i="1"/>
  <c r="AB76" i="6"/>
  <c r="AB82" i="6"/>
  <c r="X146" i="1"/>
  <c r="X156" i="1"/>
  <c r="Y146" i="1"/>
  <c r="BC183" i="1"/>
  <c r="BD163" i="1"/>
  <c r="BC193" i="1"/>
  <c r="BD193" i="1" s="1"/>
  <c r="BE163" i="1"/>
  <c r="L163" i="1"/>
  <c r="AU180" i="1"/>
  <c r="AV160" i="1"/>
  <c r="AW160" i="1"/>
  <c r="CV161" i="1"/>
  <c r="CU191" i="1"/>
  <c r="CU181" i="1"/>
  <c r="CU185" i="1" s="1"/>
  <c r="DA183" i="1"/>
  <c r="CY203" i="1"/>
  <c r="CZ203" i="1" s="1"/>
  <c r="CY213" i="1"/>
  <c r="AF105" i="1"/>
  <c r="O182" i="1"/>
  <c r="P162" i="1"/>
  <c r="O192" i="1"/>
  <c r="T192" i="1" s="1"/>
  <c r="U162" i="1"/>
  <c r="DD191" i="1"/>
  <c r="DD146" i="1"/>
  <c r="DE146" i="1"/>
  <c r="DD156" i="1"/>
  <c r="G61" i="64"/>
  <c r="G65" i="64" s="1"/>
  <c r="G47" i="64"/>
  <c r="BX161" i="1"/>
  <c r="BW181" i="1"/>
  <c r="BW191" i="1"/>
  <c r="BY161" i="1"/>
  <c r="BW165" i="1"/>
  <c r="BW164" i="1"/>
  <c r="BW166" i="1"/>
  <c r="BX166" i="1" s="1"/>
  <c r="D155" i="1"/>
  <c r="D145" i="1"/>
  <c r="I145" i="1"/>
  <c r="BT145" i="1"/>
  <c r="BT155" i="1"/>
  <c r="DH160" i="1"/>
  <c r="DG190" i="1"/>
  <c r="DG180" i="1"/>
  <c r="J8" i="64"/>
  <c r="DI160" i="1"/>
  <c r="DM160" i="1"/>
  <c r="I162" i="1"/>
  <c r="C192" i="1"/>
  <c r="C182" i="1"/>
  <c r="D162" i="1"/>
  <c r="CB161" i="1"/>
  <c r="CA181" i="1"/>
  <c r="CG181" i="1" s="1"/>
  <c r="CA191" i="1"/>
  <c r="CC161" i="1"/>
  <c r="CG161" i="1"/>
  <c r="AJ161" i="1"/>
  <c r="AI191" i="1"/>
  <c r="AI181" i="1"/>
  <c r="AO181" i="1" s="1"/>
  <c r="AI165" i="1"/>
  <c r="AJ165" i="1" s="1"/>
  <c r="BQ163" i="1"/>
  <c r="P105" i="1"/>
  <c r="CK68" i="11"/>
  <c r="CF58" i="11"/>
  <c r="DV155" i="1"/>
  <c r="DV145" i="1"/>
  <c r="AL21" i="8"/>
  <c r="C190" i="1"/>
  <c r="C166" i="1"/>
  <c r="D166" i="1" s="1"/>
  <c r="C165" i="1"/>
  <c r="C164" i="1"/>
  <c r="D160" i="1"/>
  <c r="C180" i="1"/>
  <c r="I160" i="1"/>
  <c r="CU165" i="1"/>
  <c r="BD145" i="1"/>
  <c r="CU115" i="1"/>
  <c r="CV105" i="1"/>
  <c r="AZ106" i="1"/>
  <c r="CC151" i="1"/>
  <c r="CF24" i="11"/>
  <c r="CB151" i="1"/>
  <c r="CA201" i="1" s="1"/>
  <c r="CG151" i="1"/>
  <c r="T161" i="1"/>
  <c r="S191" i="1"/>
  <c r="Y161" i="1"/>
  <c r="S181" i="1"/>
  <c r="AJ162" i="1"/>
  <c r="AI182" i="1"/>
  <c r="AI192" i="1"/>
  <c r="AJ192" i="1" s="1"/>
  <c r="AK162" i="1"/>
  <c r="BS191" i="1"/>
  <c r="BT161" i="1"/>
  <c r="BU161" i="1"/>
  <c r="BS181" i="1"/>
  <c r="AQ182" i="1"/>
  <c r="AR162" i="1"/>
  <c r="AQ192" i="1"/>
  <c r="AJ156" i="1"/>
  <c r="AJ146" i="1"/>
  <c r="AO146" i="1"/>
  <c r="DA161" i="1"/>
  <c r="DL200" i="1"/>
  <c r="DK205" i="1"/>
  <c r="BX151" i="1"/>
  <c r="BW201" i="1" s="1"/>
  <c r="BY151" i="1"/>
  <c r="BW156" i="1"/>
  <c r="BW155" i="1"/>
  <c r="CA24" i="11"/>
  <c r="BW154" i="1"/>
  <c r="BQ106" i="1"/>
  <c r="X192" i="1"/>
  <c r="BD153" i="1"/>
  <c r="BI153" i="1"/>
  <c r="CV144" i="1"/>
  <c r="CV154" i="1"/>
  <c r="CU204" i="1" s="1"/>
  <c r="DA144" i="1"/>
  <c r="CF145" i="1"/>
  <c r="CG145" i="1"/>
  <c r="AJ145" i="1"/>
  <c r="AJ155" i="1"/>
  <c r="AO145" i="1"/>
  <c r="BT106" i="1"/>
  <c r="AK160" i="1"/>
  <c r="DL146" i="1"/>
  <c r="DC180" i="1"/>
  <c r="DC186" i="1" s="1"/>
  <c r="DC165" i="1"/>
  <c r="DC190" i="1"/>
  <c r="E8" i="64"/>
  <c r="E26" i="64" s="1"/>
  <c r="DC200" i="1"/>
  <c r="DD160" i="1"/>
  <c r="BI145" i="1"/>
  <c r="BH145" i="1"/>
  <c r="W184" i="1"/>
  <c r="W194" i="1"/>
  <c r="FB34" i="11" s="1"/>
  <c r="FB37" i="11" s="1"/>
  <c r="D156" i="1"/>
  <c r="BS165" i="1"/>
  <c r="BT165" i="1" s="1"/>
  <c r="F297" i="44"/>
  <c r="E298" i="44"/>
  <c r="AF101" i="8"/>
  <c r="J133" i="8"/>
  <c r="R133" i="8" s="1"/>
  <c r="EI72" i="11" s="1"/>
  <c r="AH52" i="8"/>
  <c r="R24" i="8"/>
  <c r="CH16" i="11"/>
  <c r="Z76" i="8"/>
  <c r="Q25" i="4"/>
  <c r="CM56" i="11"/>
  <c r="E257" i="44"/>
  <c r="E258" i="44" s="1"/>
  <c r="E259" i="44" s="1"/>
  <c r="E260" i="44" s="1"/>
  <c r="E261" i="44" s="1"/>
  <c r="E262" i="44" s="1"/>
  <c r="E263" i="44" s="1"/>
  <c r="F256" i="44"/>
  <c r="Z68" i="8"/>
  <c r="Z75" i="8"/>
  <c r="J147" i="8"/>
  <c r="AH60" i="8"/>
  <c r="AH34" i="8"/>
  <c r="BI16" i="11"/>
  <c r="CM26" i="11"/>
  <c r="CM32" i="11" s="1"/>
  <c r="CM57" i="11" s="1"/>
  <c r="CK56" i="11"/>
  <c r="R109" i="8"/>
  <c r="Z102" i="8"/>
  <c r="R26" i="8"/>
  <c r="R32" i="8"/>
  <c r="AF80" i="8"/>
  <c r="Z81" i="8"/>
  <c r="BD160" i="1"/>
  <c r="BA56" i="11"/>
  <c r="R101" i="8"/>
  <c r="R17" i="8"/>
  <c r="R53" i="8"/>
  <c r="AH39" i="8"/>
  <c r="J105" i="8"/>
  <c r="R105" i="8" s="1"/>
  <c r="DU72" i="11" s="1"/>
  <c r="Z59" i="8"/>
  <c r="P59" i="5"/>
  <c r="P66" i="5" s="1"/>
  <c r="P67" i="5" s="1"/>
  <c r="P47" i="4"/>
  <c r="P48" i="4" s="1"/>
  <c r="P43" i="5"/>
  <c r="N19" i="60"/>
  <c r="N104" i="60" s="1"/>
  <c r="BA55" i="11"/>
  <c r="Q13" i="5"/>
  <c r="Q54" i="5"/>
  <c r="Z101" i="8"/>
  <c r="J42" i="8"/>
  <c r="R42" i="8" s="1"/>
  <c r="AQ58" i="11"/>
  <c r="J63" i="8"/>
  <c r="R63" i="8" s="1"/>
  <c r="DN72" i="11" s="1"/>
  <c r="AV68" i="11"/>
  <c r="AF87" i="8"/>
  <c r="AH59" i="8"/>
  <c r="R38" i="8"/>
  <c r="AH38" i="8"/>
  <c r="O123" i="60"/>
  <c r="O181" i="60" s="1"/>
  <c r="AF59" i="8"/>
  <c r="AD17" i="5"/>
  <c r="AD18" i="5" s="1"/>
  <c r="P143" i="60"/>
  <c r="FJ76" i="11"/>
  <c r="R15" i="60"/>
  <c r="FZ20" i="11"/>
  <c r="DP200" i="1"/>
  <c r="DW86" i="1"/>
  <c r="AL133" i="8"/>
  <c r="DQ160" i="1"/>
  <c r="DP180" i="1"/>
  <c r="T8" i="64"/>
  <c r="EC45" i="11"/>
  <c r="EC47" i="11" s="1"/>
  <c r="DP115" i="1"/>
  <c r="DQ105" i="1"/>
  <c r="DH104" i="1"/>
  <c r="DG193" i="1"/>
  <c r="M8" i="64"/>
  <c r="M26" i="64" s="1"/>
  <c r="DH163" i="1"/>
  <c r="DG183" i="1"/>
  <c r="DI183" i="1" s="1"/>
  <c r="DE183" i="1"/>
  <c r="DD183" i="1"/>
  <c r="DH203" i="1"/>
  <c r="H47" i="64"/>
  <c r="H61" i="64"/>
  <c r="H65" i="64" s="1"/>
  <c r="AE146" i="3"/>
  <c r="AE153" i="3"/>
  <c r="AC125" i="3"/>
  <c r="AE132" i="3" s="1"/>
  <c r="AG132" i="3" s="1"/>
  <c r="AH56" i="7"/>
  <c r="AH50" i="7"/>
  <c r="O50" i="60"/>
  <c r="O93" i="60"/>
  <c r="N101" i="60"/>
  <c r="N58" i="60"/>
  <c r="O61" i="60"/>
  <c r="O104" i="60"/>
  <c r="N80" i="60"/>
  <c r="N179" i="60" s="1"/>
  <c r="N123" i="60"/>
  <c r="N181" i="60" s="1"/>
  <c r="CJ181" i="1"/>
  <c r="CI211" i="1"/>
  <c r="CP36" i="11" s="1"/>
  <c r="AN191" i="1"/>
  <c r="AR34" i="11"/>
  <c r="AN181" i="1"/>
  <c r="Q59" i="5"/>
  <c r="Q66" i="5" s="1"/>
  <c r="Q18" i="5"/>
  <c r="C11" i="60"/>
  <c r="C96" i="60" s="1"/>
  <c r="D124" i="60" s="1"/>
  <c r="Z81" i="9"/>
  <c r="Q43" i="5"/>
  <c r="F147" i="60"/>
  <c r="CL56" i="11"/>
  <c r="CB51" i="11"/>
  <c r="P54" i="5"/>
  <c r="AH83" i="8"/>
  <c r="AF90" i="8"/>
  <c r="BS26" i="11"/>
  <c r="BS32" i="11" s="1"/>
  <c r="BS57" i="11" s="1"/>
  <c r="J84" i="8"/>
  <c r="R84" i="8" s="1"/>
  <c r="DQ72" i="11" s="1"/>
  <c r="J119" i="8"/>
  <c r="R119" i="8" s="1"/>
  <c r="DX72" i="11" s="1"/>
  <c r="Z104" i="8"/>
  <c r="BS55" i="11"/>
  <c r="AD23" i="5"/>
  <c r="CL26" i="11"/>
  <c r="CL32" i="11" s="1"/>
  <c r="CL57" i="11" s="1"/>
  <c r="Z96" i="8"/>
  <c r="K18" i="5"/>
  <c r="R75" i="8"/>
  <c r="J98" i="8"/>
  <c r="R98" i="8" s="1"/>
  <c r="DT72" i="11" s="1"/>
  <c r="R27" i="8"/>
  <c r="AH27" i="8"/>
  <c r="AH97" i="8"/>
  <c r="AW56" i="11"/>
  <c r="R96" i="8"/>
  <c r="J28" i="8"/>
  <c r="R28" i="8" s="1"/>
  <c r="N144" i="60"/>
  <c r="P140" i="60"/>
  <c r="AW26" i="11"/>
  <c r="AW32" i="11" s="1"/>
  <c r="AW57" i="11" s="1"/>
  <c r="J56" i="8"/>
  <c r="R56" i="8" s="1"/>
  <c r="Z74" i="8"/>
  <c r="R18" i="8"/>
  <c r="F18" i="5"/>
  <c r="W36" i="5"/>
  <c r="G11" i="60" s="1"/>
  <c r="Q47" i="4"/>
  <c r="Q48" i="4" s="1"/>
  <c r="AH76" i="9"/>
  <c r="AH80" i="9" s="1"/>
  <c r="AH75" i="9"/>
  <c r="AH79" i="9" s="1"/>
  <c r="Q26" i="60"/>
  <c r="Q67" i="60" s="1"/>
  <c r="FY41" i="11"/>
  <c r="N18" i="5"/>
  <c r="R129" i="8"/>
  <c r="Z90" i="8"/>
  <c r="AF97" i="8"/>
  <c r="E178" i="60"/>
  <c r="E80" i="60"/>
  <c r="E123" i="60"/>
  <c r="BR51" i="11"/>
  <c r="CM51" i="11"/>
  <c r="CM16" i="11"/>
  <c r="R89" i="8"/>
  <c r="AH89" i="8"/>
  <c r="R46" i="8"/>
  <c r="AH46" i="8"/>
  <c r="AH80" i="8"/>
  <c r="R80" i="8"/>
  <c r="R108" i="8"/>
  <c r="J112" i="8"/>
  <c r="R112" i="8" s="1"/>
  <c r="DV72" i="11" s="1"/>
  <c r="N180" i="60"/>
  <c r="N178" i="60" s="1"/>
  <c r="R25" i="8"/>
  <c r="P18" i="5"/>
  <c r="AH87" i="8"/>
  <c r="R87" i="8"/>
  <c r="J91" i="8"/>
  <c r="R91" i="8" s="1"/>
  <c r="DS72" i="11" s="1"/>
  <c r="CP51" i="11"/>
  <c r="CP16" i="11"/>
  <c r="D136" i="60"/>
  <c r="D93" i="60"/>
  <c r="D50" i="60"/>
  <c r="R33" i="8"/>
  <c r="AH33" i="8"/>
  <c r="AH19" i="8"/>
  <c r="R19" i="8"/>
  <c r="J21" i="8"/>
  <c r="R21" i="8" s="1"/>
  <c r="AH95" i="8"/>
  <c r="R95" i="8"/>
  <c r="R31" i="8"/>
  <c r="AH31" i="8"/>
  <c r="J35" i="8"/>
  <c r="R35" i="8" s="1"/>
  <c r="X76" i="9"/>
  <c r="X80" i="9" s="1"/>
  <c r="X75" i="9"/>
  <c r="X79" i="9" s="1"/>
  <c r="R67" i="8"/>
  <c r="AH67" i="8"/>
  <c r="J70" i="8"/>
  <c r="R70" i="8" s="1"/>
  <c r="DO72" i="11" s="1"/>
  <c r="R73" i="8"/>
  <c r="AH73" i="8"/>
  <c r="J77" i="8"/>
  <c r="R77" i="8" s="1"/>
  <c r="DP72" i="11" s="1"/>
  <c r="R69" i="8"/>
  <c r="Z88" i="8"/>
  <c r="J49" i="8"/>
  <c r="R49" i="8" s="1"/>
  <c r="R74" i="8"/>
  <c r="AH74" i="8"/>
  <c r="AH81" i="8"/>
  <c r="R81" i="8"/>
  <c r="Z80" i="8"/>
  <c r="AH90" i="8"/>
  <c r="R90" i="8"/>
  <c r="AF69" i="8"/>
  <c r="AF76" i="8"/>
  <c r="E136" i="60"/>
  <c r="E50" i="60"/>
  <c r="E93" i="60"/>
  <c r="AH115" i="8"/>
  <c r="R115" i="8"/>
  <c r="AH68" i="8"/>
  <c r="R68" i="8"/>
  <c r="AQ13" i="10"/>
  <c r="AH28" i="5"/>
  <c r="J140" i="8"/>
  <c r="R140" i="8" s="1"/>
  <c r="EJ72" i="11" s="1"/>
  <c r="F143" i="60"/>
  <c r="F100" i="60"/>
  <c r="F57" i="60"/>
  <c r="F104" i="60"/>
  <c r="DV184" i="1"/>
  <c r="FW46" i="11"/>
  <c r="AD26" i="5"/>
  <c r="AG67" i="10"/>
  <c r="AJ14" i="10" s="1"/>
  <c r="AD36" i="5"/>
  <c r="I111" i="41"/>
  <c r="P165" i="1"/>
  <c r="Q165" i="1"/>
  <c r="AF47" i="7"/>
  <c r="AF53" i="7" s="1"/>
  <c r="DX74" i="11" s="1"/>
  <c r="R115" i="41"/>
  <c r="W76" i="64"/>
  <c r="X76" i="64" s="1"/>
  <c r="W36" i="64"/>
  <c r="X36" i="64" s="1"/>
  <c r="AE68" i="3"/>
  <c r="AG68" i="3" s="1"/>
  <c r="AL68" i="3"/>
  <c r="AN68" i="3" s="1"/>
  <c r="W117" i="64"/>
  <c r="X77" i="64"/>
  <c r="W35" i="64"/>
  <c r="AE66" i="9"/>
  <c r="V107" i="41"/>
  <c r="W72" i="41"/>
  <c r="N110" i="41"/>
  <c r="M111" i="41"/>
  <c r="M77" i="41"/>
  <c r="AC22" i="3"/>
  <c r="AL22" i="3" s="1"/>
  <c r="E111" i="41"/>
  <c r="D78" i="41"/>
  <c r="D112" i="41"/>
  <c r="AE77" i="3"/>
  <c r="AG77" i="3" s="1"/>
  <c r="AL77" i="3"/>
  <c r="E144" i="44"/>
  <c r="J202" i="3"/>
  <c r="L202" i="3" s="1"/>
  <c r="AE28" i="3"/>
  <c r="AL28" i="3"/>
  <c r="AN28" i="3" s="1"/>
  <c r="R114" i="41"/>
  <c r="Q115" i="41"/>
  <c r="G111" i="41"/>
  <c r="F112" i="41"/>
  <c r="F111" i="41"/>
  <c r="G110" i="41"/>
  <c r="O6" i="10"/>
  <c r="N6" i="9"/>
  <c r="BM25" i="1"/>
  <c r="BQ25" i="1"/>
  <c r="T58" i="7"/>
  <c r="AK106" i="1"/>
  <c r="AJ106" i="1"/>
  <c r="Q85" i="1"/>
  <c r="U85" i="1"/>
  <c r="BC210" i="1"/>
  <c r="BD180" i="1"/>
  <c r="V36" i="5"/>
  <c r="G67" i="60"/>
  <c r="G110" i="60" s="1"/>
  <c r="G153" i="60"/>
  <c r="H10" i="4"/>
  <c r="I10" i="4"/>
  <c r="C39" i="4"/>
  <c r="C9" i="5" s="1"/>
  <c r="R57" i="7"/>
  <c r="CZ105" i="1"/>
  <c r="CJ155" i="1"/>
  <c r="R58" i="7"/>
  <c r="Q23" i="1"/>
  <c r="U23" i="1"/>
  <c r="AQ153" i="1"/>
  <c r="AS143" i="1"/>
  <c r="AR143" i="1"/>
  <c r="AW143" i="1"/>
  <c r="AQ163" i="1"/>
  <c r="AQ164" i="1" s="1"/>
  <c r="AR103" i="1"/>
  <c r="AW103" i="1"/>
  <c r="AS103" i="1"/>
  <c r="AY18" i="11"/>
  <c r="U10" i="4"/>
  <c r="T10" i="4"/>
  <c r="S10" i="4"/>
  <c r="AE98" i="3"/>
  <c r="AG98" i="3" s="1"/>
  <c r="AL91" i="3"/>
  <c r="L111" i="41"/>
  <c r="K112" i="41"/>
  <c r="AC6" i="9"/>
  <c r="AB6" i="10"/>
  <c r="C83" i="41"/>
  <c r="S85" i="3"/>
  <c r="U85" i="3" s="1"/>
  <c r="Y84" i="1"/>
  <c r="AB146" i="1"/>
  <c r="AC146" i="1"/>
  <c r="AB156" i="1"/>
  <c r="AA180" i="1"/>
  <c r="AB160" i="1"/>
  <c r="AA190" i="1"/>
  <c r="AG160" i="1"/>
  <c r="AA165" i="1"/>
  <c r="AA166" i="1"/>
  <c r="AC160" i="1"/>
  <c r="AA164" i="1"/>
  <c r="L66" i="8"/>
  <c r="AB192" i="1"/>
  <c r="EB23" i="1"/>
  <c r="DW23" i="1"/>
  <c r="AL83" i="3"/>
  <c r="AF156" i="1"/>
  <c r="AG146" i="1"/>
  <c r="AK146" i="1"/>
  <c r="AF146" i="1"/>
  <c r="Q105" i="1"/>
  <c r="M105" i="1"/>
  <c r="L105" i="1"/>
  <c r="I105" i="1"/>
  <c r="H105" i="1"/>
  <c r="DQ201" i="1"/>
  <c r="AV16" i="11"/>
  <c r="AV51" i="11"/>
  <c r="AV62" i="11"/>
  <c r="AQ52" i="11"/>
  <c r="AQ14" i="11"/>
  <c r="AL111" i="3"/>
  <c r="AN111" i="3" s="1"/>
  <c r="DL201" i="1"/>
  <c r="DH201" i="1"/>
  <c r="DG205" i="1"/>
  <c r="DG206" i="1"/>
  <c r="BH180" i="1"/>
  <c r="BG210" i="1"/>
  <c r="BI180" i="1"/>
  <c r="BQ37" i="11"/>
  <c r="O67" i="60"/>
  <c r="O110" i="60" s="1"/>
  <c r="FX41" i="11"/>
  <c r="J63" i="52"/>
  <c r="FX15" i="11"/>
  <c r="K22" i="52"/>
  <c r="AR15" i="5"/>
  <c r="AS15" i="5" s="1"/>
  <c r="AT15" i="5" s="1"/>
  <c r="AR30" i="5"/>
  <c r="AH71" i="9"/>
  <c r="AE16" i="5"/>
  <c r="T129" i="8"/>
  <c r="AJ129" i="8"/>
  <c r="AH130" i="8"/>
  <c r="R130" i="8"/>
  <c r="T110" i="8"/>
  <c r="AJ110" i="8"/>
  <c r="R111" i="8"/>
  <c r="FX46" i="11"/>
  <c r="N6" i="60"/>
  <c r="AD11" i="4"/>
  <c r="AG69" i="9"/>
  <c r="FW10" i="11"/>
  <c r="FW17" i="11"/>
  <c r="AD40" i="5"/>
  <c r="N12" i="60"/>
  <c r="FW41" i="11"/>
  <c r="H63" i="52"/>
  <c r="N26" i="60"/>
  <c r="N67" i="60" s="1"/>
  <c r="N110" i="60" s="1"/>
  <c r="AE48" i="5"/>
  <c r="FX20" i="11"/>
  <c r="AF48" i="5"/>
  <c r="AJ103" i="8"/>
  <c r="T103" i="8"/>
  <c r="R104" i="8"/>
  <c r="AJ108" i="8"/>
  <c r="AH109" i="8"/>
  <c r="T108" i="8"/>
  <c r="DG194" i="1"/>
  <c r="DG184" i="1"/>
  <c r="DH164" i="1"/>
  <c r="AL55" i="3"/>
  <c r="AN55" i="3" s="1"/>
  <c r="AJ57" i="3"/>
  <c r="AL57" i="3" s="1"/>
  <c r="AO34" i="11"/>
  <c r="AM180" i="1"/>
  <c r="AO160" i="1"/>
  <c r="AN160" i="1"/>
  <c r="AS160" i="1"/>
  <c r="AM190" i="1"/>
  <c r="AM165" i="1"/>
  <c r="AE33" i="3"/>
  <c r="AE26" i="3"/>
  <c r="AC29" i="3"/>
  <c r="E186" i="44"/>
  <c r="F199" i="44"/>
  <c r="T74" i="41"/>
  <c r="T75" i="41"/>
  <c r="T110" i="41" s="1"/>
  <c r="J56" i="7"/>
  <c r="AE75" i="3"/>
  <c r="AE125" i="3"/>
  <c r="AG125" i="3" s="1"/>
  <c r="V116" i="8"/>
  <c r="X116" i="8" s="1"/>
  <c r="L201" i="3"/>
  <c r="K201" i="3"/>
  <c r="AE27" i="3"/>
  <c r="AE34" i="3"/>
  <c r="L84" i="41"/>
  <c r="L85" i="41"/>
  <c r="W39" i="41"/>
  <c r="X38" i="41"/>
  <c r="AE70" i="3"/>
  <c r="AG70" i="3" s="1"/>
  <c r="AL70" i="3"/>
  <c r="AN70" i="3" s="1"/>
  <c r="BV11" i="6"/>
  <c r="D222" i="3"/>
  <c r="H222" i="3" s="1"/>
  <c r="P134" i="1"/>
  <c r="E7" i="5"/>
  <c r="P84" i="1"/>
  <c r="Q84" i="1" s="1"/>
  <c r="P24" i="1"/>
  <c r="P124" i="1"/>
  <c r="O104" i="1"/>
  <c r="U104" i="1" s="1"/>
  <c r="O144" i="1"/>
  <c r="U144" i="1" s="1"/>
  <c r="P14" i="1"/>
  <c r="D36" i="3" s="1"/>
  <c r="H36" i="3" s="1"/>
  <c r="P36" i="3" s="1"/>
  <c r="N15" i="60"/>
  <c r="FW20" i="11"/>
  <c r="F39" i="60"/>
  <c r="V9" i="5"/>
  <c r="BM85" i="1"/>
  <c r="AQ104" i="1"/>
  <c r="AR24" i="1"/>
  <c r="AR124" i="1"/>
  <c r="AR84" i="1"/>
  <c r="AQ144" i="1"/>
  <c r="AR134" i="1"/>
  <c r="AR14" i="1"/>
  <c r="D85" i="3" s="1"/>
  <c r="H85" i="3" s="1"/>
  <c r="K7" i="5"/>
  <c r="AV14" i="1"/>
  <c r="D92" i="3" s="1"/>
  <c r="H92" i="3" s="1"/>
  <c r="F153" i="60"/>
  <c r="F67" i="60"/>
  <c r="F110" i="60" s="1"/>
  <c r="G28" i="60"/>
  <c r="G69" i="60" s="1"/>
  <c r="G112" i="60" s="1"/>
  <c r="G158" i="60" s="1"/>
  <c r="AX53" i="11"/>
  <c r="AX16" i="11"/>
  <c r="BC65" i="11"/>
  <c r="AX22" i="11"/>
  <c r="CJ154" i="1"/>
  <c r="CI204" i="1" s="1"/>
  <c r="CK144" i="1"/>
  <c r="CJ144" i="1"/>
  <c r="DR25" i="1"/>
  <c r="E84" i="41"/>
  <c r="E85" i="41"/>
  <c r="N82" i="41"/>
  <c r="Z70" i="41"/>
  <c r="B5" i="4"/>
  <c r="B50" i="5"/>
  <c r="B11" i="5"/>
  <c r="B25" i="5"/>
  <c r="B26" i="5" s="1"/>
  <c r="B34" i="5"/>
  <c r="B28" i="5"/>
  <c r="B29" i="5" s="1"/>
  <c r="B36" i="5"/>
  <c r="B56" i="5"/>
  <c r="B15" i="5"/>
  <c r="B47" i="5"/>
  <c r="C48" i="5" s="1"/>
  <c r="B7" i="5"/>
  <c r="B39" i="5"/>
  <c r="B40" i="5" s="1"/>
  <c r="B78" i="5"/>
  <c r="B31" i="5"/>
  <c r="B32" i="5" s="1"/>
  <c r="B62" i="5"/>
  <c r="AG189" i="3"/>
  <c r="CE213" i="1"/>
  <c r="CF183" i="1"/>
  <c r="Z57" i="7"/>
  <c r="P59" i="7"/>
  <c r="BH153" i="1"/>
  <c r="BG163" i="1"/>
  <c r="BH143" i="1"/>
  <c r="BI143" i="1"/>
  <c r="U35" i="3"/>
  <c r="AJ35" i="3" s="1"/>
  <c r="S36" i="3"/>
  <c r="U36" i="3" s="1"/>
  <c r="W36" i="3" s="1"/>
  <c r="AS23" i="1"/>
  <c r="AW23" i="1"/>
  <c r="J10" i="4"/>
  <c r="R10" i="4"/>
  <c r="AE82" i="3"/>
  <c r="AC147" i="3"/>
  <c r="AB61" i="8"/>
  <c r="AD61" i="8" s="1"/>
  <c r="CG81" i="11"/>
  <c r="AE90" i="3"/>
  <c r="AC92" i="3"/>
  <c r="AE99" i="3" s="1"/>
  <c r="AG99" i="3" s="1"/>
  <c r="K111" i="41"/>
  <c r="L110" i="41"/>
  <c r="DQ155" i="1"/>
  <c r="DQ145" i="1"/>
  <c r="DR145" i="1"/>
  <c r="T14" i="1"/>
  <c r="D43" i="3" s="1"/>
  <c r="H43" i="3" s="1"/>
  <c r="AC26" i="1"/>
  <c r="BH105" i="1"/>
  <c r="BI105" i="1"/>
  <c r="V23" i="6"/>
  <c r="V17" i="6"/>
  <c r="V41" i="6" s="1"/>
  <c r="V47" i="6" s="1"/>
  <c r="DE181" i="1"/>
  <c r="DC211" i="1"/>
  <c r="DD181" i="1"/>
  <c r="DU113" i="1"/>
  <c r="AL139" i="8"/>
  <c r="DV103" i="1"/>
  <c r="DU104" i="1"/>
  <c r="DU114" i="1" s="1"/>
  <c r="DW103" i="1"/>
  <c r="AL27" i="3"/>
  <c r="AL90" i="3"/>
  <c r="DI36" i="1"/>
  <c r="DM36" i="1"/>
  <c r="L106" i="1"/>
  <c r="M106" i="1"/>
  <c r="Q106" i="1"/>
  <c r="I106" i="1"/>
  <c r="H106" i="1"/>
  <c r="BL193" i="1"/>
  <c r="BN34" i="11"/>
  <c r="BP193" i="1"/>
  <c r="AL130" i="3"/>
  <c r="AW83" i="1"/>
  <c r="DQ165" i="1"/>
  <c r="S19" i="4"/>
  <c r="S33" i="4"/>
  <c r="AX68" i="11"/>
  <c r="AS58" i="11"/>
  <c r="DW163" i="1"/>
  <c r="CK35" i="1"/>
  <c r="CK183" i="1"/>
  <c r="DM145" i="1"/>
  <c r="DI145" i="1"/>
  <c r="DH155" i="1"/>
  <c r="DH145" i="1"/>
  <c r="BM83" i="1"/>
  <c r="CE116" i="1"/>
  <c r="CK106" i="1"/>
  <c r="CF106" i="1"/>
  <c r="BB23" i="6"/>
  <c r="BB29" i="6"/>
  <c r="BB17" i="6"/>
  <c r="BB35" i="6" s="1"/>
  <c r="BB41" i="6" s="1"/>
  <c r="BB47" i="6" s="1"/>
  <c r="T123" i="64"/>
  <c r="T122" i="64"/>
  <c r="U122" i="64" s="1"/>
  <c r="V122" i="64" s="1"/>
  <c r="W122" i="64" s="1"/>
  <c r="AL33" i="9"/>
  <c r="AK60" i="9"/>
  <c r="R138" i="8"/>
  <c r="T137" i="8"/>
  <c r="AJ137" i="8"/>
  <c r="AH138" i="8"/>
  <c r="AJ118" i="8"/>
  <c r="T118" i="8"/>
  <c r="O69" i="60"/>
  <c r="O112" i="60" s="1"/>
  <c r="AH11" i="10"/>
  <c r="R124" i="8"/>
  <c r="T123" i="8"/>
  <c r="AH124" i="8"/>
  <c r="T115" i="8"/>
  <c r="R116" i="8"/>
  <c r="AH116" i="8"/>
  <c r="AG11" i="10"/>
  <c r="AD32" i="5"/>
  <c r="N28" i="60"/>
  <c r="AH102" i="8"/>
  <c r="AJ101" i="8"/>
  <c r="R102" i="8"/>
  <c r="T101" i="8"/>
  <c r="T131" i="8"/>
  <c r="AJ131" i="8"/>
  <c r="AH132" i="8"/>
  <c r="R132" i="8"/>
  <c r="FX17" i="11"/>
  <c r="AD29" i="5"/>
  <c r="AJ43" i="3"/>
  <c r="G69" i="9"/>
  <c r="G70" i="10" s="1"/>
  <c r="D37" i="5"/>
  <c r="D11" i="4"/>
  <c r="D53" i="5"/>
  <c r="D12" i="5"/>
  <c r="D42" i="5"/>
  <c r="BM86" i="1"/>
  <c r="DW85" i="1"/>
  <c r="F14" i="4"/>
  <c r="EX72" i="11"/>
  <c r="EX80" i="11" s="1"/>
  <c r="BR81" i="11"/>
  <c r="AH54" i="8"/>
  <c r="G54" i="60"/>
  <c r="I18" i="5"/>
  <c r="G78" i="41"/>
  <c r="G80" i="41"/>
  <c r="G79" i="41"/>
  <c r="AL44" i="7"/>
  <c r="AL50" i="7" s="1"/>
  <c r="AL56" i="7"/>
  <c r="L45" i="7"/>
  <c r="L51" i="7" s="1"/>
  <c r="L57" i="7"/>
  <c r="AE110" i="3"/>
  <c r="AG110" i="3" s="1"/>
  <c r="S111" i="41"/>
  <c r="H78" i="41"/>
  <c r="AB56" i="7"/>
  <c r="AP204" i="3"/>
  <c r="AE162" i="3"/>
  <c r="V61" i="41"/>
  <c r="U60" i="41"/>
  <c r="AL58" i="7"/>
  <c r="AC76" i="3"/>
  <c r="AC127" i="3"/>
  <c r="AE131" i="3"/>
  <c r="AG131" i="3" s="1"/>
  <c r="AE124" i="3"/>
  <c r="AG124" i="3" s="1"/>
  <c r="AL124" i="3"/>
  <c r="W39" i="4"/>
  <c r="S77" i="41"/>
  <c r="S112" i="41" s="1"/>
  <c r="CB132" i="1"/>
  <c r="CB92" i="1"/>
  <c r="CB42" i="1"/>
  <c r="S146" i="3"/>
  <c r="CB72" i="1"/>
  <c r="CB52" i="1"/>
  <c r="CA102" i="1"/>
  <c r="CA16" i="1"/>
  <c r="CB32" i="1"/>
  <c r="CG10" i="11"/>
  <c r="CB12" i="1"/>
  <c r="CB62" i="1"/>
  <c r="CA142" i="1"/>
  <c r="CB22" i="1"/>
  <c r="CB122" i="1"/>
  <c r="CA14" i="1"/>
  <c r="CB82" i="1"/>
  <c r="CF12" i="1"/>
  <c r="V103" i="41"/>
  <c r="V104" i="41"/>
  <c r="V105" i="41"/>
  <c r="V106" i="41"/>
  <c r="F78" i="41"/>
  <c r="F113" i="41" s="1"/>
  <c r="P110" i="41"/>
  <c r="O111" i="41"/>
  <c r="U89" i="3"/>
  <c r="AJ89" i="3" s="1"/>
  <c r="S92" i="3"/>
  <c r="U92" i="3" s="1"/>
  <c r="AC69" i="3"/>
  <c r="F269" i="44"/>
  <c r="F283" i="44"/>
  <c r="E270" i="44"/>
  <c r="J118" i="41"/>
  <c r="J84" i="41"/>
  <c r="J85" i="41"/>
  <c r="J120" i="41" s="1"/>
  <c r="A132" i="41"/>
  <c r="B132" i="41"/>
  <c r="CA115" i="1"/>
  <c r="CB105" i="1"/>
  <c r="CC105" i="1"/>
  <c r="AG163" i="1"/>
  <c r="AC163" i="1"/>
  <c r="AA193" i="1"/>
  <c r="AB163" i="1"/>
  <c r="AA183" i="1"/>
  <c r="AK183" i="1" s="1"/>
  <c r="CI205" i="1"/>
  <c r="I80" i="41"/>
  <c r="Q8" i="64"/>
  <c r="DL162" i="1"/>
  <c r="DK182" i="1"/>
  <c r="DK192" i="1"/>
  <c r="DM162" i="1"/>
  <c r="DG116" i="1"/>
  <c r="DH106" i="1"/>
  <c r="DI106" i="1"/>
  <c r="V25" i="6"/>
  <c r="V19" i="6"/>
  <c r="V43" i="6" s="1"/>
  <c r="V49" i="6" s="1"/>
  <c r="BM152" i="1"/>
  <c r="BH152" i="1"/>
  <c r="BI152" i="1"/>
  <c r="Y67" i="10"/>
  <c r="F8" i="60"/>
  <c r="Y70" i="9"/>
  <c r="CI180" i="1"/>
  <c r="CI166" i="1"/>
  <c r="CI190" i="1"/>
  <c r="CO160" i="1"/>
  <c r="CI165" i="1"/>
  <c r="CI164" i="1"/>
  <c r="CJ160" i="1"/>
  <c r="C117" i="41"/>
  <c r="J59" i="7"/>
  <c r="BG162" i="1"/>
  <c r="AQ166" i="1"/>
  <c r="AQ191" i="1"/>
  <c r="AR161" i="1"/>
  <c r="AQ181" i="1"/>
  <c r="AQ165" i="1"/>
  <c r="AS161" i="1"/>
  <c r="U25" i="1"/>
  <c r="Q25" i="1"/>
  <c r="AL144" i="3"/>
  <c r="CB203" i="1"/>
  <c r="Z67" i="10"/>
  <c r="CR35" i="11"/>
  <c r="CR67" i="11" s="1"/>
  <c r="CJ203" i="1"/>
  <c r="BH103" i="1"/>
  <c r="AL27" i="8"/>
  <c r="BM103" i="1"/>
  <c r="BI103" i="1"/>
  <c r="BH84" i="1"/>
  <c r="BG144" i="1"/>
  <c r="BH134" i="1"/>
  <c r="BH24" i="1"/>
  <c r="BH124" i="1"/>
  <c r="S113" i="3"/>
  <c r="BH14" i="1"/>
  <c r="D113" i="3" s="1"/>
  <c r="H113" i="3" s="1"/>
  <c r="O7" i="5"/>
  <c r="BG104" i="1"/>
  <c r="AF16" i="1"/>
  <c r="AF26" i="1"/>
  <c r="AG26" i="1" s="1"/>
  <c r="AF86" i="1"/>
  <c r="AF106" i="1"/>
  <c r="AJ85" i="3"/>
  <c r="L10" i="4"/>
  <c r="O10" i="4"/>
  <c r="M10" i="4"/>
  <c r="AC84" i="3"/>
  <c r="AE84" i="3" s="1"/>
  <c r="AG84" i="3" s="1"/>
  <c r="AX81" i="11"/>
  <c r="AE145" i="3"/>
  <c r="AG145" i="3" s="1"/>
  <c r="AC148" i="3"/>
  <c r="AE148" i="3" s="1"/>
  <c r="J194" i="3"/>
  <c r="L194" i="3" s="1"/>
  <c r="E137" i="44"/>
  <c r="F136" i="44"/>
  <c r="AH59" i="7"/>
  <c r="AE57" i="3"/>
  <c r="T144" i="1"/>
  <c r="T154" i="1"/>
  <c r="Y144" i="1"/>
  <c r="BP146" i="1"/>
  <c r="BP156" i="1"/>
  <c r="BU145" i="1"/>
  <c r="DD166" i="1"/>
  <c r="CF181" i="1"/>
  <c r="CK181" i="1"/>
  <c r="CE211" i="1"/>
  <c r="BK213" i="1"/>
  <c r="BL183" i="1"/>
  <c r="AK145" i="1"/>
  <c r="AF145" i="1"/>
  <c r="AF155" i="1"/>
  <c r="AG145" i="1"/>
  <c r="DD213" i="1"/>
  <c r="T14" i="4"/>
  <c r="FL72" i="11"/>
  <c r="FL80" i="11" s="1"/>
  <c r="M42" i="41"/>
  <c r="M44" i="41" s="1"/>
  <c r="M45" i="41" s="1"/>
  <c r="AQ81" i="11"/>
  <c r="AR6" i="11"/>
  <c r="CJ193" i="1"/>
  <c r="CR34" i="11"/>
  <c r="AL26" i="3"/>
  <c r="DG191" i="1"/>
  <c r="K8" i="64"/>
  <c r="DG166" i="1"/>
  <c r="DG165" i="1"/>
  <c r="DH161" i="1"/>
  <c r="DG181" i="1"/>
  <c r="DI161" i="1"/>
  <c r="AG75" i="3"/>
  <c r="CL58" i="11"/>
  <c r="AJ183" i="1"/>
  <c r="AI213" i="1"/>
  <c r="CL36" i="11"/>
  <c r="DV182" i="1"/>
  <c r="DU212" i="1"/>
  <c r="AJ111" i="8"/>
  <c r="T111" i="8"/>
  <c r="J22" i="52"/>
  <c r="J24" i="52" s="1"/>
  <c r="AJ130" i="8"/>
  <c r="T130" i="8"/>
  <c r="R131" i="8"/>
  <c r="AH131" i="8"/>
  <c r="T102" i="8"/>
  <c r="AH103" i="8"/>
  <c r="R103" i="8"/>
  <c r="AJ102" i="8"/>
  <c r="FX21" i="11"/>
  <c r="T124" i="8"/>
  <c r="R125" i="8"/>
  <c r="AJ124" i="8"/>
  <c r="R110" i="8"/>
  <c r="AJ109" i="8"/>
  <c r="T109" i="8"/>
  <c r="AH110" i="8"/>
  <c r="AH117" i="8"/>
  <c r="T116" i="8"/>
  <c r="AJ116" i="8"/>
  <c r="R117" i="8"/>
  <c r="AH101" i="8"/>
  <c r="AJ97" i="8"/>
  <c r="CT36" i="11"/>
  <c r="AJ50" i="3"/>
  <c r="AL50" i="3" s="1"/>
  <c r="AB72" i="5"/>
  <c r="L104" i="1"/>
  <c r="M104" i="1"/>
  <c r="AI194" i="1"/>
  <c r="AI184" i="1"/>
  <c r="AJ164" i="1"/>
  <c r="E18" i="4"/>
  <c r="G97" i="60"/>
  <c r="DP84" i="1"/>
  <c r="DQ44" i="1"/>
  <c r="G102" i="41"/>
  <c r="G66" i="41"/>
  <c r="G35" i="41"/>
  <c r="G138" i="41"/>
  <c r="F3" i="41"/>
  <c r="G15" i="41"/>
  <c r="G22" i="41"/>
  <c r="J49" i="3"/>
  <c r="L43" i="3"/>
  <c r="N43" i="3" s="1"/>
  <c r="H111" i="41"/>
  <c r="I110" i="41"/>
  <c r="N57" i="7"/>
  <c r="AP207" i="3"/>
  <c r="U200" i="3"/>
  <c r="AQ200" i="3"/>
  <c r="D79" i="41"/>
  <c r="AE120" i="3"/>
  <c r="AE63" i="9"/>
  <c r="AE56" i="9"/>
  <c r="AE126" i="3"/>
  <c r="AG126" i="3" s="1"/>
  <c r="AE133" i="3"/>
  <c r="AG133" i="3" s="1"/>
  <c r="AL126" i="3"/>
  <c r="E317" i="44"/>
  <c r="AA201" i="3"/>
  <c r="X5" i="4"/>
  <c r="Y5" i="5"/>
  <c r="X62" i="5"/>
  <c r="X25" i="5"/>
  <c r="X39" i="5"/>
  <c r="X47" i="5"/>
  <c r="X28" i="5"/>
  <c r="X50" i="5"/>
  <c r="H16" i="60" s="1"/>
  <c r="X31" i="5"/>
  <c r="X15" i="5"/>
  <c r="X11" i="5"/>
  <c r="X78" i="5"/>
  <c r="H26" i="60" s="1"/>
  <c r="X34" i="5"/>
  <c r="R113" i="41"/>
  <c r="Q114" i="41"/>
  <c r="Q83" i="41"/>
  <c r="Q82" i="41"/>
  <c r="P111" i="41"/>
  <c r="O112" i="41"/>
  <c r="O78" i="41"/>
  <c r="AU151" i="1"/>
  <c r="BA141" i="1"/>
  <c r="AU145" i="1"/>
  <c r="AU146" i="1"/>
  <c r="AW141" i="1"/>
  <c r="AV141" i="1"/>
  <c r="AC113" i="3"/>
  <c r="AE113" i="3" s="1"/>
  <c r="CG25" i="1"/>
  <c r="I9" i="5"/>
  <c r="T81" i="8"/>
  <c r="AH82" i="8"/>
  <c r="R82" i="8"/>
  <c r="R85" i="41"/>
  <c r="P82" i="41"/>
  <c r="T122" i="8"/>
  <c r="R123" i="8"/>
  <c r="AJ122" i="8"/>
  <c r="S165" i="1"/>
  <c r="Y160" i="1"/>
  <c r="T160" i="1"/>
  <c r="S190" i="1"/>
  <c r="S166" i="1"/>
  <c r="U160" i="1"/>
  <c r="S180" i="1"/>
  <c r="S164" i="1"/>
  <c r="BQ160" i="1"/>
  <c r="BP160" i="1"/>
  <c r="BO180" i="1"/>
  <c r="BU160" i="1"/>
  <c r="BO190" i="1"/>
  <c r="BO166" i="1"/>
  <c r="BO165" i="1"/>
  <c r="G9" i="5"/>
  <c r="BH53" i="11"/>
  <c r="BH22" i="11"/>
  <c r="BH65" i="11"/>
  <c r="N83" i="41"/>
  <c r="F10" i="4"/>
  <c r="DG115" i="1"/>
  <c r="DH105" i="1"/>
  <c r="DI105" i="1"/>
  <c r="O181" i="1"/>
  <c r="U161" i="1"/>
  <c r="P161" i="1"/>
  <c r="O191" i="1"/>
  <c r="O166" i="1"/>
  <c r="Q161" i="1"/>
  <c r="O164" i="1"/>
  <c r="V59" i="7"/>
  <c r="U112" i="3"/>
  <c r="AJ112" i="3" s="1"/>
  <c r="D27" i="8"/>
  <c r="D112" i="3"/>
  <c r="H112" i="3" s="1"/>
  <c r="AG112" i="3" s="1"/>
  <c r="J13" i="6"/>
  <c r="AK82" i="1"/>
  <c r="AG82" i="1"/>
  <c r="V10" i="4"/>
  <c r="Q10" i="4"/>
  <c r="Q7" i="4"/>
  <c r="AF60" i="8"/>
  <c r="AF67" i="8"/>
  <c r="E310" i="44"/>
  <c r="F316" i="44" s="1"/>
  <c r="AA193" i="3"/>
  <c r="F309" i="44"/>
  <c r="V108" i="8"/>
  <c r="X108" i="8" s="1"/>
  <c r="K193" i="3"/>
  <c r="L193" i="3"/>
  <c r="Q102" i="41"/>
  <c r="Q15" i="41"/>
  <c r="Q22" i="41"/>
  <c r="R3" i="41"/>
  <c r="Q66" i="41"/>
  <c r="Q138" i="41"/>
  <c r="Q35" i="41"/>
  <c r="AE141" i="3"/>
  <c r="K78" i="41"/>
  <c r="DC115" i="1"/>
  <c r="DD105" i="1"/>
  <c r="DI104" i="1"/>
  <c r="DC114" i="1"/>
  <c r="FT45" i="11" s="1"/>
  <c r="DD104" i="1"/>
  <c r="T104" i="1"/>
  <c r="Y104" i="1"/>
  <c r="Y86" i="1"/>
  <c r="AC86" i="1"/>
  <c r="AN54" i="3"/>
  <c r="AN47" i="3"/>
  <c r="BM106" i="1"/>
  <c r="BH106" i="1"/>
  <c r="BI106" i="1"/>
  <c r="U155" i="3"/>
  <c r="W155" i="3" s="1"/>
  <c r="D70" i="8"/>
  <c r="F26" i="64"/>
  <c r="I8" i="64"/>
  <c r="I26" i="64" s="1"/>
  <c r="AL82" i="3"/>
  <c r="DI35" i="1"/>
  <c r="DM35" i="1"/>
  <c r="DI86" i="1"/>
  <c r="AE165" i="1"/>
  <c r="AE164" i="1"/>
  <c r="AF161" i="1"/>
  <c r="AK161" i="1"/>
  <c r="AG161" i="1"/>
  <c r="AE166" i="1"/>
  <c r="AR36" i="11"/>
  <c r="AX62" i="11"/>
  <c r="AS52" i="11"/>
  <c r="AN81" i="3"/>
  <c r="AN74" i="3"/>
  <c r="C34" i="4"/>
  <c r="D34" i="4"/>
  <c r="DH156" i="1"/>
  <c r="DH146" i="1"/>
  <c r="DI146" i="1"/>
  <c r="L41" i="8"/>
  <c r="L34" i="8"/>
  <c r="AG187" i="3"/>
  <c r="P187" i="3"/>
  <c r="BN29" i="6"/>
  <c r="AH55" i="8"/>
  <c r="R55" i="8"/>
  <c r="DW25" i="1"/>
  <c r="AH122" i="8"/>
  <c r="R122" i="8"/>
  <c r="AJ136" i="8"/>
  <c r="R137" i="8"/>
  <c r="T136" i="8"/>
  <c r="AH137" i="8"/>
  <c r="AD12" i="5"/>
  <c r="FW12" i="11"/>
  <c r="N8" i="60"/>
  <c r="AG70" i="9"/>
  <c r="T125" i="8"/>
  <c r="AJ125" i="8"/>
  <c r="R136" i="8"/>
  <c r="AH136" i="8"/>
  <c r="AE36" i="5"/>
  <c r="AJ132" i="8"/>
  <c r="T132" i="8"/>
  <c r="AN46" i="3"/>
  <c r="DU116" i="1"/>
  <c r="DV106" i="1"/>
  <c r="AJ115" i="8"/>
  <c r="AH104" i="8"/>
  <c r="J15" i="81"/>
  <c r="K15" i="81" s="1"/>
  <c r="X85" i="9"/>
  <c r="X81" i="9"/>
  <c r="D139" i="60"/>
  <c r="D53" i="60"/>
  <c r="U37" i="5"/>
  <c r="E11" i="60"/>
  <c r="U42" i="5"/>
  <c r="U53" i="5"/>
  <c r="AG85" i="9"/>
  <c r="AG81" i="9"/>
  <c r="CH55" i="11"/>
  <c r="CH56" i="11"/>
  <c r="CH26" i="11"/>
  <c r="CH32" i="11" s="1"/>
  <c r="CH57" i="11" s="1"/>
  <c r="BI56" i="11"/>
  <c r="BI55" i="11"/>
  <c r="BI26" i="11"/>
  <c r="BI32" i="11" s="1"/>
  <c r="BI57" i="11" s="1"/>
  <c r="CA190" i="1" l="1"/>
  <c r="CA180" i="1"/>
  <c r="AN156" i="1"/>
  <c r="AS156" i="1"/>
  <c r="BQ105" i="1"/>
  <c r="H144" i="1"/>
  <c r="AN123" i="3"/>
  <c r="BQ145" i="1"/>
  <c r="M26" i="1"/>
  <c r="DI25" i="1"/>
  <c r="Q58" i="60"/>
  <c r="Q144" i="60"/>
  <c r="Q101" i="60"/>
  <c r="Q54" i="60"/>
  <c r="Q97" i="60"/>
  <c r="Q140" i="60"/>
  <c r="P53" i="60"/>
  <c r="P96" i="60"/>
  <c r="P158" i="60"/>
  <c r="BP16" i="11"/>
  <c r="EE235" i="1"/>
  <c r="EE245" i="1"/>
  <c r="EE236" i="1"/>
  <c r="EE232" i="1"/>
  <c r="EE242" i="1" s="1"/>
  <c r="EE246" i="1" s="1"/>
  <c r="U54" i="52"/>
  <c r="CO16" i="11"/>
  <c r="EE84" i="1"/>
  <c r="AG15" i="5"/>
  <c r="AH15" i="5" s="1"/>
  <c r="GA15" i="11" s="1"/>
  <c r="EH34" i="1"/>
  <c r="AV56" i="11"/>
  <c r="BK65" i="11"/>
  <c r="CR26" i="11"/>
  <c r="CR32" i="11" s="1"/>
  <c r="CR57" i="11" s="1"/>
  <c r="CR56" i="11"/>
  <c r="L44" i="52"/>
  <c r="J45" i="52"/>
  <c r="AH69" i="9"/>
  <c r="AH70" i="10" s="1"/>
  <c r="AE26" i="5"/>
  <c r="AT16" i="11"/>
  <c r="CO55" i="11"/>
  <c r="CQ16" i="11"/>
  <c r="BB16" i="11"/>
  <c r="AR58" i="11"/>
  <c r="BM16" i="11"/>
  <c r="G47" i="4"/>
  <c r="G48" i="4" s="1"/>
  <c r="G43" i="5"/>
  <c r="AE29" i="5"/>
  <c r="AE23" i="5"/>
  <c r="I7" i="4"/>
  <c r="FD77" i="11" s="1"/>
  <c r="AE40" i="5"/>
  <c r="AE32" i="5"/>
  <c r="AE12" i="5"/>
  <c r="AE11" i="4"/>
  <c r="AE12" i="4" s="1"/>
  <c r="DG34" i="11"/>
  <c r="DG37" i="11" s="1"/>
  <c r="CT80" i="11"/>
  <c r="CT81" i="11"/>
  <c r="CU6" i="11"/>
  <c r="FW71" i="11"/>
  <c r="FX7" i="11"/>
  <c r="DE45" i="11"/>
  <c r="FO43" i="11"/>
  <c r="FO42" i="11"/>
  <c r="FO71" i="11"/>
  <c r="FP7" i="11"/>
  <c r="FO41" i="11"/>
  <c r="FO17" i="11"/>
  <c r="FO46" i="11"/>
  <c r="FO63" i="11"/>
  <c r="DD7" i="11"/>
  <c r="CZ20" i="11"/>
  <c r="DB63" i="11"/>
  <c r="DB15" i="11"/>
  <c r="DB64" i="11" s="1"/>
  <c r="CY24" i="11"/>
  <c r="CZ21" i="11"/>
  <c r="DA17" i="11"/>
  <c r="DB12" i="11"/>
  <c r="DA63" i="11"/>
  <c r="DB42" i="11"/>
  <c r="CY17" i="11"/>
  <c r="CY30" i="11"/>
  <c r="CZ41" i="11"/>
  <c r="DB20" i="11"/>
  <c r="CY20" i="11"/>
  <c r="DA21" i="11"/>
  <c r="CY41" i="11"/>
  <c r="CZ43" i="11"/>
  <c r="CY15" i="11"/>
  <c r="CY64" i="11" s="1"/>
  <c r="DA41" i="11"/>
  <c r="DA15" i="11"/>
  <c r="DA64" i="11" s="1"/>
  <c r="CY12" i="11"/>
  <c r="CY42" i="11"/>
  <c r="DB21" i="11"/>
  <c r="DA20" i="11"/>
  <c r="DA12" i="11"/>
  <c r="CZ15" i="11"/>
  <c r="CZ64" i="11" s="1"/>
  <c r="DA24" i="11"/>
  <c r="CZ30" i="11"/>
  <c r="DB24" i="11"/>
  <c r="CY43" i="11"/>
  <c r="DB30" i="11"/>
  <c r="CZ17" i="11"/>
  <c r="CY63" i="11"/>
  <c r="DA42" i="11"/>
  <c r="CZ42" i="11"/>
  <c r="DA43" i="11"/>
  <c r="DB43" i="11"/>
  <c r="CY21" i="11"/>
  <c r="CY6" i="11"/>
  <c r="CZ63" i="11"/>
  <c r="DB41" i="11"/>
  <c r="CZ12" i="11"/>
  <c r="DA30" i="11"/>
  <c r="DB17" i="11"/>
  <c r="FB63" i="11"/>
  <c r="FB17" i="11"/>
  <c r="FB71" i="11"/>
  <c r="FB45" i="11"/>
  <c r="FB68" i="11" s="1"/>
  <c r="FB41" i="11"/>
  <c r="FB42" i="11"/>
  <c r="FB43" i="11"/>
  <c r="FC7" i="11"/>
  <c r="CT64" i="11"/>
  <c r="CT52" i="11"/>
  <c r="AM12" i="11"/>
  <c r="AO24" i="11"/>
  <c r="AL20" i="11"/>
  <c r="AM24" i="11"/>
  <c r="AM17" i="11"/>
  <c r="AO10" i="11"/>
  <c r="AO17" i="11"/>
  <c r="AM21" i="11"/>
  <c r="AG7" i="11"/>
  <c r="AL24" i="11"/>
  <c r="AL41" i="11"/>
  <c r="AN21" i="11"/>
  <c r="AN20" i="11"/>
  <c r="AL63" i="11"/>
  <c r="AL30" i="11"/>
  <c r="AM20" i="11"/>
  <c r="AN18" i="11"/>
  <c r="AS65" i="11" s="1"/>
  <c r="AL21" i="11"/>
  <c r="AM42" i="11"/>
  <c r="AN12" i="11"/>
  <c r="AO63" i="11"/>
  <c r="AO45" i="11"/>
  <c r="AT68" i="11" s="1"/>
  <c r="AO30" i="11"/>
  <c r="AO21" i="11"/>
  <c r="AO12" i="11"/>
  <c r="AN63" i="11"/>
  <c r="AL45" i="11"/>
  <c r="AL6" i="11"/>
  <c r="AL17" i="11"/>
  <c r="AO18" i="11"/>
  <c r="AT65" i="11" s="1"/>
  <c r="AM10" i="11"/>
  <c r="AN17" i="11"/>
  <c r="AM45" i="11"/>
  <c r="AM63" i="11"/>
  <c r="AM18" i="11"/>
  <c r="AR65" i="11" s="1"/>
  <c r="AN10" i="11"/>
  <c r="AL42" i="11"/>
  <c r="AL12" i="11"/>
  <c r="AN41" i="11"/>
  <c r="AN30" i="11"/>
  <c r="AM30" i="11"/>
  <c r="AN24" i="11"/>
  <c r="AO20" i="11"/>
  <c r="AN42" i="11"/>
  <c r="AO42" i="11"/>
  <c r="AL10" i="11"/>
  <c r="AM41" i="11"/>
  <c r="AN45" i="11"/>
  <c r="AO41" i="11"/>
  <c r="CT62" i="11"/>
  <c r="CT14" i="11"/>
  <c r="CT51" i="11" s="1"/>
  <c r="AY68" i="11"/>
  <c r="CP80" i="11"/>
  <c r="CQ6" i="11"/>
  <c r="CP81" i="11"/>
  <c r="E91" i="60"/>
  <c r="E95" i="60" s="1"/>
  <c r="E116" i="60" s="1"/>
  <c r="I47" i="4"/>
  <c r="I48" i="4" s="1"/>
  <c r="AV55" i="11"/>
  <c r="I66" i="5"/>
  <c r="I67" i="5" s="1"/>
  <c r="CO56" i="11"/>
  <c r="BF16" i="11"/>
  <c r="G59" i="5"/>
  <c r="G69" i="5" s="1"/>
  <c r="BV16" i="11"/>
  <c r="AR16" i="11"/>
  <c r="G54" i="5"/>
  <c r="FX10" i="11"/>
  <c r="FX62" i="11" s="1"/>
  <c r="AE17" i="5"/>
  <c r="L9" i="52" s="1"/>
  <c r="BA16" i="11"/>
  <c r="O6" i="60"/>
  <c r="O10" i="60" s="1"/>
  <c r="O32" i="60" s="1"/>
  <c r="BH16" i="11"/>
  <c r="AQ53" i="11"/>
  <c r="I57" i="5"/>
  <c r="I64" i="5" s="1"/>
  <c r="FB28" i="11" s="1"/>
  <c r="I54" i="5"/>
  <c r="DV161" i="1"/>
  <c r="DU180" i="1"/>
  <c r="DV180" i="1" s="1"/>
  <c r="BD16" i="11"/>
  <c r="DM105" i="1"/>
  <c r="I60" i="5"/>
  <c r="AW16" i="11"/>
  <c r="I44" i="5"/>
  <c r="CP56" i="11"/>
  <c r="DU165" i="1"/>
  <c r="DV165" i="1" s="1"/>
  <c r="BV19" i="6"/>
  <c r="BV37" i="6" s="1"/>
  <c r="BV43" i="6" s="1"/>
  <c r="BV49" i="6" s="1"/>
  <c r="DQ190" i="1"/>
  <c r="BN16" i="11"/>
  <c r="CE65" i="11"/>
  <c r="EI160" i="1"/>
  <c r="DV144" i="1"/>
  <c r="BR30" i="6"/>
  <c r="BR18" i="6"/>
  <c r="BR36" i="6" s="1"/>
  <c r="BR42" i="6" s="1"/>
  <c r="BR48" i="6" s="1"/>
  <c r="BR24" i="6"/>
  <c r="DM146" i="1"/>
  <c r="DK196" i="1"/>
  <c r="AG82" i="3"/>
  <c r="AL125" i="3"/>
  <c r="AN125" i="3" s="1"/>
  <c r="CP55" i="11"/>
  <c r="DU204" i="1"/>
  <c r="AE72" i="5" s="1"/>
  <c r="BC16" i="11"/>
  <c r="DV202" i="1"/>
  <c r="DW24" i="1"/>
  <c r="DM161" i="1"/>
  <c r="DR35" i="1"/>
  <c r="DR85" i="1"/>
  <c r="DK166" i="1"/>
  <c r="DL166" i="1" s="1"/>
  <c r="DU166" i="1"/>
  <c r="DV166" i="1" s="1"/>
  <c r="DU181" i="1"/>
  <c r="DW146" i="1"/>
  <c r="DU190" i="1"/>
  <c r="DU195" i="1" s="1"/>
  <c r="DV156" i="1"/>
  <c r="U7" i="4"/>
  <c r="FN77" i="11" s="1"/>
  <c r="DW160" i="1"/>
  <c r="DW161" i="1"/>
  <c r="DU191" i="1"/>
  <c r="Y29" i="3"/>
  <c r="DU200" i="1"/>
  <c r="DU206" i="1" s="1"/>
  <c r="AP222" i="3"/>
  <c r="U215" i="3"/>
  <c r="AJ215" i="3" s="1"/>
  <c r="EI161" i="1"/>
  <c r="DR106" i="1"/>
  <c r="BU16" i="11"/>
  <c r="DW35" i="1"/>
  <c r="Y22" i="3"/>
  <c r="CQ68" i="11"/>
  <c r="AS53" i="11"/>
  <c r="CJ68" i="11"/>
  <c r="CC16" i="11"/>
  <c r="CE68" i="11"/>
  <c r="CA58" i="11"/>
  <c r="CA68" i="11"/>
  <c r="CA193" i="1"/>
  <c r="CA183" i="1"/>
  <c r="CB163" i="1"/>
  <c r="DM86" i="1"/>
  <c r="BP155" i="1"/>
  <c r="CO35" i="11"/>
  <c r="CT67" i="11" s="1"/>
  <c r="AG90" i="3"/>
  <c r="BQ85" i="1"/>
  <c r="E10" i="60"/>
  <c r="E32" i="60" s="1"/>
  <c r="AF96" i="8"/>
  <c r="CB26" i="11"/>
  <c r="CB32" i="11" s="1"/>
  <c r="CB57" i="11" s="1"/>
  <c r="DP116" i="1"/>
  <c r="CE16" i="11"/>
  <c r="I146" i="1"/>
  <c r="CF65" i="11"/>
  <c r="CF22" i="11"/>
  <c r="CF55" i="11" s="1"/>
  <c r="CT58" i="11"/>
  <c r="BW116" i="1"/>
  <c r="I163" i="1"/>
  <c r="CE22" i="11"/>
  <c r="CE55" i="11" s="1"/>
  <c r="DQ156" i="1"/>
  <c r="H156" i="1"/>
  <c r="CZ104" i="1"/>
  <c r="Q26" i="1"/>
  <c r="AL30" i="6"/>
  <c r="AL18" i="6"/>
  <c r="AL36" i="6" s="1"/>
  <c r="AL42" i="6" s="1"/>
  <c r="AL48" i="6" s="1"/>
  <c r="AL24" i="6"/>
  <c r="BB16" i="6"/>
  <c r="BB34" i="6" s="1"/>
  <c r="BB40" i="6" s="1"/>
  <c r="BB46" i="6" s="1"/>
  <c r="BB22" i="6"/>
  <c r="BB28" i="6"/>
  <c r="BL65" i="11"/>
  <c r="BQ65" i="11"/>
  <c r="BL22" i="11"/>
  <c r="BL53" i="11"/>
  <c r="AS24" i="11"/>
  <c r="AS152" i="1"/>
  <c r="AO152" i="1"/>
  <c r="AM162" i="1"/>
  <c r="AN152" i="1"/>
  <c r="Z24" i="6"/>
  <c r="Z18" i="6"/>
  <c r="Z36" i="6" s="1"/>
  <c r="Z42" i="6" s="1"/>
  <c r="Z48" i="6" s="1"/>
  <c r="Z30" i="6"/>
  <c r="DP114" i="1"/>
  <c r="DQ104" i="1"/>
  <c r="BK180" i="1"/>
  <c r="BQ180" i="1" s="1"/>
  <c r="BK190" i="1"/>
  <c r="BK34" i="11" s="1"/>
  <c r="BK37" i="11" s="1"/>
  <c r="BL160" i="1"/>
  <c r="AG85" i="1"/>
  <c r="AK85" i="1"/>
  <c r="CF68" i="11"/>
  <c r="H162" i="1"/>
  <c r="G182" i="1"/>
  <c r="G192" i="1"/>
  <c r="G166" i="1"/>
  <c r="H166" i="1" s="1"/>
  <c r="AJ139" i="3"/>
  <c r="AL139" i="3" s="1"/>
  <c r="W139" i="3"/>
  <c r="W138" i="3"/>
  <c r="AJ138" i="3"/>
  <c r="AL138" i="3" s="1"/>
  <c r="CU116" i="1"/>
  <c r="CV106" i="1"/>
  <c r="AC25" i="1"/>
  <c r="AK25" i="1"/>
  <c r="L32" i="8"/>
  <c r="L39" i="8"/>
  <c r="AG25" i="1"/>
  <c r="AO156" i="1"/>
  <c r="BN23" i="6"/>
  <c r="DQ202" i="1"/>
  <c r="BP145" i="1"/>
  <c r="CI206" i="1"/>
  <c r="DW165" i="1"/>
  <c r="E48" i="60"/>
  <c r="E52" i="60" s="1"/>
  <c r="E73" i="60" s="1"/>
  <c r="BL16" i="11"/>
  <c r="DQ106" i="1"/>
  <c r="DR146" i="1"/>
  <c r="BY106" i="1"/>
  <c r="CC155" i="1"/>
  <c r="CF53" i="11"/>
  <c r="CK65" i="11"/>
  <c r="H146" i="1"/>
  <c r="DR34" i="1"/>
  <c r="CY114" i="1"/>
  <c r="AN118" i="3"/>
  <c r="Y85" i="1"/>
  <c r="BU25" i="1"/>
  <c r="R17" i="6"/>
  <c r="R41" i="6" s="1"/>
  <c r="R47" i="6" s="1"/>
  <c r="R23" i="6"/>
  <c r="AG160" i="3"/>
  <c r="P160" i="3"/>
  <c r="P186" i="3"/>
  <c r="AG186" i="3"/>
  <c r="CA53" i="11"/>
  <c r="CA22" i="11"/>
  <c r="CA55" i="11" s="1"/>
  <c r="CA65" i="11"/>
  <c r="CH35" i="11"/>
  <c r="CM67" i="11" s="1"/>
  <c r="CF203" i="1"/>
  <c r="L145" i="1"/>
  <c r="L155" i="1"/>
  <c r="M145" i="1"/>
  <c r="CG163" i="1"/>
  <c r="O213" i="1"/>
  <c r="P183" i="1"/>
  <c r="C211" i="1"/>
  <c r="D181" i="1"/>
  <c r="V22" i="6"/>
  <c r="V16" i="6"/>
  <c r="V40" i="6" s="1"/>
  <c r="V46" i="6" s="1"/>
  <c r="AQ22" i="11"/>
  <c r="M86" i="1"/>
  <c r="BV53" i="11"/>
  <c r="BV65" i="11"/>
  <c r="BV22" i="11"/>
  <c r="CZ181" i="1"/>
  <c r="CY201" i="1"/>
  <c r="AG190" i="3"/>
  <c r="CY202" i="1"/>
  <c r="CZ182" i="1"/>
  <c r="CY212" i="1"/>
  <c r="DE104" i="1"/>
  <c r="DM106" i="1"/>
  <c r="L73" i="8"/>
  <c r="CB56" i="11"/>
  <c r="CA165" i="1"/>
  <c r="CC165" i="1" s="1"/>
  <c r="AJ120" i="3"/>
  <c r="AL120" i="3" s="1"/>
  <c r="BE84" i="1"/>
  <c r="L38" i="8"/>
  <c r="BQ86" i="1"/>
  <c r="F123" i="64"/>
  <c r="F122" i="64"/>
  <c r="AB144" i="1"/>
  <c r="AB154" i="1"/>
  <c r="H11" i="4"/>
  <c r="H42" i="5"/>
  <c r="H12" i="5"/>
  <c r="H53" i="5"/>
  <c r="H37" i="5"/>
  <c r="K69" i="9"/>
  <c r="K70" i="10" s="1"/>
  <c r="H8" i="5"/>
  <c r="I8" i="5"/>
  <c r="W131" i="3"/>
  <c r="AJ131" i="3"/>
  <c r="AL131" i="3" s="1"/>
  <c r="AN131" i="3" s="1"/>
  <c r="L53" i="8"/>
  <c r="L161" i="1"/>
  <c r="K181" i="1"/>
  <c r="M161" i="1"/>
  <c r="K191" i="1"/>
  <c r="BR23" i="6"/>
  <c r="BR17" i="6"/>
  <c r="BR35" i="6" s="1"/>
  <c r="BR41" i="6" s="1"/>
  <c r="BR47" i="6" s="1"/>
  <c r="BR29" i="6"/>
  <c r="CZ164" i="1"/>
  <c r="CY194" i="1"/>
  <c r="CY184" i="1"/>
  <c r="CY204" i="1" s="1"/>
  <c r="N23" i="6"/>
  <c r="N17" i="6"/>
  <c r="N41" i="6" s="1"/>
  <c r="N47" i="6" s="1"/>
  <c r="P155" i="1"/>
  <c r="P145" i="1"/>
  <c r="Q145" i="1"/>
  <c r="DQ191" i="1"/>
  <c r="AL75" i="3"/>
  <c r="AN75" i="3" s="1"/>
  <c r="DQ200" i="1"/>
  <c r="CK145" i="1"/>
  <c r="CY115" i="1"/>
  <c r="CB160" i="1"/>
  <c r="AT53" i="11"/>
  <c r="DE160" i="1"/>
  <c r="CQ34" i="11"/>
  <c r="CQ37" i="11" s="1"/>
  <c r="K164" i="1"/>
  <c r="L164" i="1" s="1"/>
  <c r="K183" i="1"/>
  <c r="DL104" i="1"/>
  <c r="DE164" i="1"/>
  <c r="BE151" i="1"/>
  <c r="BY180" i="1"/>
  <c r="DE85" i="1"/>
  <c r="P161" i="3"/>
  <c r="BK53" i="11"/>
  <c r="BK22" i="11"/>
  <c r="BU22" i="11"/>
  <c r="BU53" i="11"/>
  <c r="BU65" i="11"/>
  <c r="CJ146" i="1"/>
  <c r="CK146" i="1"/>
  <c r="CJ156" i="1"/>
  <c r="H123" i="64"/>
  <c r="H122" i="64"/>
  <c r="BN18" i="6"/>
  <c r="BN36" i="6" s="1"/>
  <c r="BN42" i="6" s="1"/>
  <c r="BN48" i="6" s="1"/>
  <c r="BN24" i="6"/>
  <c r="BN30" i="6"/>
  <c r="AL31" i="6"/>
  <c r="AL19" i="6"/>
  <c r="AL37" i="6" s="1"/>
  <c r="AL43" i="6" s="1"/>
  <c r="AL49" i="6" s="1"/>
  <c r="AL25" i="6"/>
  <c r="AJ160" i="1"/>
  <c r="AI180" i="1"/>
  <c r="AI190" i="1"/>
  <c r="AL34" i="11" s="1"/>
  <c r="AL37" i="11" s="1"/>
  <c r="BS180" i="1"/>
  <c r="BT160" i="1"/>
  <c r="BS190" i="1"/>
  <c r="O180" i="1"/>
  <c r="P160" i="1"/>
  <c r="Q160" i="1"/>
  <c r="O190" i="1"/>
  <c r="T190" i="1" s="1"/>
  <c r="BR22" i="11"/>
  <c r="BR53" i="11"/>
  <c r="L108" i="8"/>
  <c r="L115" i="8"/>
  <c r="BF17" i="6"/>
  <c r="BF35" i="6" s="1"/>
  <c r="BF41" i="6" s="1"/>
  <c r="BF47" i="6" s="1"/>
  <c r="BF23" i="6"/>
  <c r="BF29" i="6"/>
  <c r="DM26" i="1"/>
  <c r="DR26" i="1"/>
  <c r="BL161" i="1"/>
  <c r="BK191" i="1"/>
  <c r="BK165" i="1"/>
  <c r="BL165" i="1" s="1"/>
  <c r="BK181" i="1"/>
  <c r="BQ161" i="1"/>
  <c r="H163" i="1"/>
  <c r="G183" i="1"/>
  <c r="G193" i="1"/>
  <c r="G164" i="1"/>
  <c r="DE105" i="1"/>
  <c r="W91" i="64"/>
  <c r="W39" i="64" s="1"/>
  <c r="X39" i="64" s="1"/>
  <c r="BM105" i="1"/>
  <c r="DL202" i="1"/>
  <c r="CC160" i="1"/>
  <c r="U105" i="1"/>
  <c r="Q163" i="1"/>
  <c r="DK114" i="1"/>
  <c r="Y105" i="1"/>
  <c r="BC155" i="1"/>
  <c r="BD155" i="1" s="1"/>
  <c r="BC154" i="1"/>
  <c r="BE24" i="1"/>
  <c r="CQ65" i="11"/>
  <c r="CQ53" i="11"/>
  <c r="F18" i="6"/>
  <c r="F42" i="6" s="1"/>
  <c r="F24" i="6"/>
  <c r="AQ65" i="11"/>
  <c r="BH151" i="1"/>
  <c r="BM151" i="1"/>
  <c r="BG155" i="1"/>
  <c r="BG161" i="1"/>
  <c r="BM161" i="1" s="1"/>
  <c r="CT65" i="11"/>
  <c r="CT53" i="11"/>
  <c r="CT22" i="11"/>
  <c r="BP106" i="1"/>
  <c r="BU106" i="1"/>
  <c r="AS22" i="11"/>
  <c r="BG156" i="1"/>
  <c r="CY180" i="1"/>
  <c r="CY190" i="1"/>
  <c r="DD190" i="1" s="1"/>
  <c r="DA160" i="1"/>
  <c r="CY165" i="1"/>
  <c r="CZ165" i="1" s="1"/>
  <c r="CZ160" i="1"/>
  <c r="CY166" i="1"/>
  <c r="AZ152" i="1"/>
  <c r="BE152" i="1"/>
  <c r="AY162" i="1"/>
  <c r="BH24" i="11"/>
  <c r="BH56" i="11" s="1"/>
  <c r="BA152" i="1"/>
  <c r="DP205" i="1"/>
  <c r="DQ205" i="1" s="1"/>
  <c r="S37" i="5"/>
  <c r="DM104" i="1"/>
  <c r="BS164" i="1"/>
  <c r="AI195" i="1"/>
  <c r="U145" i="1"/>
  <c r="I84" i="1"/>
  <c r="W161" i="3"/>
  <c r="Y161" i="3" s="1"/>
  <c r="AJ161" i="3"/>
  <c r="AL161" i="3" s="1"/>
  <c r="BL145" i="1"/>
  <c r="BL155" i="1"/>
  <c r="AK105" i="1"/>
  <c r="CQ22" i="11"/>
  <c r="BP22" i="11"/>
  <c r="BP65" i="11"/>
  <c r="BP53" i="11"/>
  <c r="CC150" i="1"/>
  <c r="CB150" i="1"/>
  <c r="CA200" i="1" s="1"/>
  <c r="CA205" i="1" s="1"/>
  <c r="CE24" i="11"/>
  <c r="U197" i="3"/>
  <c r="D112" i="8"/>
  <c r="EJ23" i="1"/>
  <c r="BA86" i="1"/>
  <c r="AN145" i="3"/>
  <c r="AN152" i="3"/>
  <c r="CE180" i="1"/>
  <c r="CE164" i="1"/>
  <c r="CE190" i="1"/>
  <c r="CF190" i="1" s="1"/>
  <c r="CF160" i="1"/>
  <c r="CG160" i="1"/>
  <c r="CE165" i="1"/>
  <c r="CE166" i="1"/>
  <c r="CF166" i="1" s="1"/>
  <c r="CK160" i="1"/>
  <c r="P139" i="3"/>
  <c r="AG139" i="3"/>
  <c r="Q69" i="9"/>
  <c r="Q70" i="10" s="1"/>
  <c r="N11" i="4"/>
  <c r="N8" i="5"/>
  <c r="N12" i="5"/>
  <c r="N37" i="5"/>
  <c r="N53" i="5"/>
  <c r="N54" i="5" s="1"/>
  <c r="N42" i="5"/>
  <c r="AS26" i="1"/>
  <c r="AO26" i="1"/>
  <c r="BA26" i="1"/>
  <c r="AW26" i="1"/>
  <c r="F6" i="60"/>
  <c r="F10" i="60" s="1"/>
  <c r="F32" i="60" s="1"/>
  <c r="V11" i="4"/>
  <c r="V32" i="5"/>
  <c r="V17" i="5"/>
  <c r="V18" i="5" s="1"/>
  <c r="V8" i="5"/>
  <c r="Y69" i="9"/>
  <c r="V40" i="5"/>
  <c r="R24" i="6"/>
  <c r="R18" i="6"/>
  <c r="R42" i="6" s="1"/>
  <c r="R48" i="6" s="1"/>
  <c r="D56" i="8"/>
  <c r="U141" i="3"/>
  <c r="W141" i="3" s="1"/>
  <c r="BW114" i="1"/>
  <c r="FL45" i="11" s="1"/>
  <c r="FL47" i="11" s="1"/>
  <c r="AL56" i="8"/>
  <c r="BX104" i="1"/>
  <c r="BY104" i="1"/>
  <c r="L47" i="8"/>
  <c r="L54" i="8"/>
  <c r="AZ104" i="1"/>
  <c r="BA104" i="1"/>
  <c r="W140" i="3"/>
  <c r="Y147" i="3" s="1"/>
  <c r="AJ140" i="3"/>
  <c r="AL140" i="3" s="1"/>
  <c r="BE146" i="1"/>
  <c r="BD146" i="1"/>
  <c r="BI146" i="1"/>
  <c r="AN105" i="1"/>
  <c r="AO105" i="1"/>
  <c r="L40" i="8"/>
  <c r="L33" i="8"/>
  <c r="V26" i="5"/>
  <c r="V53" i="5"/>
  <c r="V66" i="5" s="1"/>
  <c r="BE86" i="1"/>
  <c r="L55" i="8"/>
  <c r="L48" i="8"/>
  <c r="F69" i="9"/>
  <c r="F70" i="10" s="1"/>
  <c r="C42" i="5"/>
  <c r="C37" i="5"/>
  <c r="C12" i="5"/>
  <c r="D13" i="5" s="1"/>
  <c r="C53" i="5"/>
  <c r="C11" i="4"/>
  <c r="D12" i="4" s="1"/>
  <c r="D43" i="4" s="1"/>
  <c r="AJ137" i="3"/>
  <c r="W137" i="3"/>
  <c r="DF35" i="11"/>
  <c r="CZ202" i="1"/>
  <c r="AF154" i="1"/>
  <c r="AK144" i="1"/>
  <c r="AF144" i="1"/>
  <c r="AG144" i="1"/>
  <c r="F11" i="4"/>
  <c r="F53" i="5"/>
  <c r="I69" i="9"/>
  <c r="I70" i="10" s="1"/>
  <c r="F12" i="5"/>
  <c r="G13" i="5" s="1"/>
  <c r="F37" i="5"/>
  <c r="G8" i="5"/>
  <c r="F42" i="5"/>
  <c r="AJ106" i="3"/>
  <c r="AL106" i="3" s="1"/>
  <c r="AL105" i="3"/>
  <c r="AN105" i="3" s="1"/>
  <c r="BJ16" i="6"/>
  <c r="BJ34" i="6" s="1"/>
  <c r="BJ40" i="6" s="1"/>
  <c r="BJ46" i="6" s="1"/>
  <c r="BJ22" i="6"/>
  <c r="BJ28" i="6"/>
  <c r="S213" i="1"/>
  <c r="U183" i="1"/>
  <c r="Y183" i="1"/>
  <c r="T183" i="1"/>
  <c r="BU104" i="1"/>
  <c r="BS114" i="1"/>
  <c r="FK45" i="11" s="1"/>
  <c r="BT104" i="1"/>
  <c r="AL49" i="8"/>
  <c r="J11" i="4"/>
  <c r="J37" i="5"/>
  <c r="J8" i="5"/>
  <c r="J53" i="5"/>
  <c r="J54" i="5" s="1"/>
  <c r="J12" i="5"/>
  <c r="J13" i="5" s="1"/>
  <c r="J42" i="5"/>
  <c r="M69" i="9"/>
  <c r="M70" i="10" s="1"/>
  <c r="CP34" i="11"/>
  <c r="CJ191" i="1"/>
  <c r="M24" i="1"/>
  <c r="S42" i="5"/>
  <c r="L27" i="8"/>
  <c r="BI24" i="1"/>
  <c r="Y26" i="1"/>
  <c r="Y36" i="3"/>
  <c r="AV190" i="1"/>
  <c r="P61" i="64"/>
  <c r="P65" i="64" s="1"/>
  <c r="V29" i="5"/>
  <c r="BM145" i="1"/>
  <c r="BE145" i="1"/>
  <c r="BE104" i="1"/>
  <c r="BP163" i="1"/>
  <c r="BE85" i="1"/>
  <c r="DL105" i="1"/>
  <c r="BW212" i="1"/>
  <c r="BX182" i="1"/>
  <c r="BV18" i="6"/>
  <c r="BV36" i="6" s="1"/>
  <c r="BV42" i="6" s="1"/>
  <c r="BV48" i="6" s="1"/>
  <c r="BV30" i="6"/>
  <c r="BV24" i="6"/>
  <c r="BY163" i="1"/>
  <c r="BX163" i="1"/>
  <c r="BW193" i="1"/>
  <c r="BW183" i="1"/>
  <c r="CC163" i="1"/>
  <c r="N24" i="6"/>
  <c r="N18" i="6"/>
  <c r="N42" i="6" s="1"/>
  <c r="N48" i="6" s="1"/>
  <c r="W133" i="3"/>
  <c r="AJ133" i="3"/>
  <c r="AL133" i="3" s="1"/>
  <c r="AN133" i="3" s="1"/>
  <c r="F23" i="6"/>
  <c r="F17" i="6"/>
  <c r="F41" i="6" s="1"/>
  <c r="BE25" i="1"/>
  <c r="BB18" i="6"/>
  <c r="BB36" i="6" s="1"/>
  <c r="BB42" i="6" s="1"/>
  <c r="BB48" i="6" s="1"/>
  <c r="BB24" i="6"/>
  <c r="BB30" i="6"/>
  <c r="M122" i="64"/>
  <c r="M123" i="64"/>
  <c r="AL95" i="3"/>
  <c r="AJ99" i="3"/>
  <c r="AL99" i="3" s="1"/>
  <c r="BR65" i="11"/>
  <c r="BM53" i="11"/>
  <c r="BM22" i="11"/>
  <c r="AM154" i="1"/>
  <c r="AN153" i="1"/>
  <c r="AO153" i="1"/>
  <c r="AT24" i="11"/>
  <c r="AM163" i="1"/>
  <c r="H104" i="1"/>
  <c r="I104" i="1"/>
  <c r="L52" i="8"/>
  <c r="L59" i="8"/>
  <c r="J23" i="6"/>
  <c r="J17" i="6"/>
  <c r="J41" i="6" s="1"/>
  <c r="BA84" i="1"/>
  <c r="BM24" i="1"/>
  <c r="BA24" i="1"/>
  <c r="AG140" i="3"/>
  <c r="P140" i="3"/>
  <c r="AK84" i="1"/>
  <c r="AG84" i="1"/>
  <c r="BL162" i="1"/>
  <c r="BK166" i="1"/>
  <c r="BL166" i="1" s="1"/>
  <c r="BQ162" i="1"/>
  <c r="BK182" i="1"/>
  <c r="BK192" i="1"/>
  <c r="U162" i="3"/>
  <c r="W162" i="3" s="1"/>
  <c r="D77" i="8"/>
  <c r="L77" i="8" s="1"/>
  <c r="BF16" i="6"/>
  <c r="BF34" i="6" s="1"/>
  <c r="BF40" i="6" s="1"/>
  <c r="BF46" i="6" s="1"/>
  <c r="BF28" i="6"/>
  <c r="BF22" i="6"/>
  <c r="X193" i="1"/>
  <c r="T193" i="1"/>
  <c r="AV153" i="1"/>
  <c r="BD24" i="11"/>
  <c r="BA153" i="1"/>
  <c r="AS85" i="1"/>
  <c r="BC161" i="1"/>
  <c r="BC156" i="1"/>
  <c r="BI151" i="1"/>
  <c r="AN106" i="1"/>
  <c r="AS106" i="1"/>
  <c r="R26" i="5"/>
  <c r="R17" i="5"/>
  <c r="R18" i="5" s="1"/>
  <c r="R23" i="5"/>
  <c r="R32" i="5"/>
  <c r="R11" i="4"/>
  <c r="R53" i="5"/>
  <c r="R12" i="5"/>
  <c r="R13" i="5" s="1"/>
  <c r="U69" i="9"/>
  <c r="U70" i="10" s="1"/>
  <c r="R42" i="5"/>
  <c r="R37" i="5"/>
  <c r="R8" i="5"/>
  <c r="R40" i="5"/>
  <c r="BN31" i="6"/>
  <c r="BN25" i="6"/>
  <c r="BN14" i="6"/>
  <c r="BN19" i="6"/>
  <c r="BN37" i="6" s="1"/>
  <c r="BN43" i="6" s="1"/>
  <c r="BN49" i="6" s="1"/>
  <c r="AL20" i="3"/>
  <c r="AN27" i="3" s="1"/>
  <c r="BZ22" i="11"/>
  <c r="BZ53" i="11"/>
  <c r="BZ16" i="11"/>
  <c r="BZ65" i="11"/>
  <c r="BY105" i="1"/>
  <c r="BX105" i="1"/>
  <c r="BW115" i="1"/>
  <c r="CC25" i="1"/>
  <c r="BV28" i="6"/>
  <c r="BV22" i="6"/>
  <c r="BV16" i="6"/>
  <c r="BV34" i="6" s="1"/>
  <c r="BV40" i="6" s="1"/>
  <c r="BV46" i="6" s="1"/>
  <c r="AN144" i="1"/>
  <c r="AO144" i="1"/>
  <c r="T182" i="1"/>
  <c r="S212" i="1"/>
  <c r="Y182" i="1"/>
  <c r="P123" i="64"/>
  <c r="P122" i="64"/>
  <c r="BY86" i="1"/>
  <c r="BX65" i="11"/>
  <c r="BX53" i="11"/>
  <c r="BX22" i="11"/>
  <c r="AY155" i="1"/>
  <c r="AZ155" i="1" s="1"/>
  <c r="AY160" i="1"/>
  <c r="BE150" i="1"/>
  <c r="AY156" i="1"/>
  <c r="AZ156" i="1" s="1"/>
  <c r="AZ150" i="1"/>
  <c r="BA150" i="1"/>
  <c r="BF24" i="11"/>
  <c r="BF56" i="11" s="1"/>
  <c r="AL16" i="6"/>
  <c r="AL34" i="6" s="1"/>
  <c r="AL40" i="6" s="1"/>
  <c r="AL46" i="6" s="1"/>
  <c r="AL28" i="6"/>
  <c r="AL22" i="6"/>
  <c r="P151" i="3"/>
  <c r="AG151" i="3"/>
  <c r="U106" i="3"/>
  <c r="D21" i="8"/>
  <c r="L21" i="8" s="1"/>
  <c r="AD16" i="6"/>
  <c r="AD34" i="6" s="1"/>
  <c r="AD40" i="6" s="1"/>
  <c r="AD46" i="6" s="1"/>
  <c r="AD22" i="6"/>
  <c r="AD28" i="6"/>
  <c r="P165" i="3"/>
  <c r="AG165" i="3"/>
  <c r="BX144" i="1"/>
  <c r="BY144" i="1"/>
  <c r="DA162" i="1"/>
  <c r="CV162" i="1"/>
  <c r="CU192" i="1"/>
  <c r="CU196" i="1" s="1"/>
  <c r="CU182" i="1"/>
  <c r="CU166" i="1"/>
  <c r="CU164" i="1"/>
  <c r="F22" i="6"/>
  <c r="F16" i="6"/>
  <c r="F40" i="6" s="1"/>
  <c r="AF104" i="1"/>
  <c r="AG104" i="1"/>
  <c r="AK104" i="1"/>
  <c r="CF105" i="1"/>
  <c r="CE115" i="1"/>
  <c r="BT163" i="1"/>
  <c r="BS193" i="1"/>
  <c r="BS183" i="1"/>
  <c r="BU183" i="1" s="1"/>
  <c r="Z28" i="6"/>
  <c r="Z22" i="6"/>
  <c r="Z16" i="6"/>
  <c r="Z34" i="6" s="1"/>
  <c r="Z40" i="6" s="1"/>
  <c r="Z46" i="6" s="1"/>
  <c r="BT146" i="1"/>
  <c r="AS105" i="1"/>
  <c r="AP16" i="6"/>
  <c r="AP34" i="6" s="1"/>
  <c r="AP40" i="6" s="1"/>
  <c r="AP46" i="6" s="1"/>
  <c r="AP28" i="6"/>
  <c r="AP22" i="6"/>
  <c r="V69" i="9"/>
  <c r="V70" i="10" s="1"/>
  <c r="S26" i="5"/>
  <c r="S40" i="5"/>
  <c r="S29" i="5"/>
  <c r="S11" i="4"/>
  <c r="C6" i="60"/>
  <c r="C33" i="60" s="1"/>
  <c r="S17" i="5"/>
  <c r="S8" i="5"/>
  <c r="S12" i="5"/>
  <c r="S32" i="5"/>
  <c r="S23" i="5"/>
  <c r="BY24" i="1"/>
  <c r="AV106" i="1"/>
  <c r="AW106" i="1"/>
  <c r="P69" i="9"/>
  <c r="P70" i="10" s="1"/>
  <c r="M11" i="4"/>
  <c r="M8" i="5"/>
  <c r="M37" i="5"/>
  <c r="M42" i="5"/>
  <c r="P8" i="5"/>
  <c r="M12" i="5"/>
  <c r="M53" i="5"/>
  <c r="M54" i="5" s="1"/>
  <c r="Z25" i="6"/>
  <c r="Z31" i="6"/>
  <c r="Z19" i="6"/>
  <c r="Z37" i="6" s="1"/>
  <c r="Z43" i="6" s="1"/>
  <c r="Z49" i="6" s="1"/>
  <c r="BL156" i="1"/>
  <c r="BL146" i="1"/>
  <c r="W158" i="3"/>
  <c r="Y158" i="3" s="1"/>
  <c r="AJ158" i="3"/>
  <c r="BT162" i="1"/>
  <c r="BU162" i="1"/>
  <c r="BS182" i="1"/>
  <c r="BY182" i="1" s="1"/>
  <c r="BS192" i="1"/>
  <c r="BX192" i="1" s="1"/>
  <c r="CC65" i="11"/>
  <c r="CC53" i="11"/>
  <c r="CC22" i="11"/>
  <c r="CH65" i="11"/>
  <c r="BS166" i="1"/>
  <c r="BT154" i="1"/>
  <c r="BU144" i="1"/>
  <c r="BT144" i="1"/>
  <c r="BU146" i="1"/>
  <c r="Y152" i="3"/>
  <c r="N22" i="6"/>
  <c r="N16" i="6"/>
  <c r="N40" i="6" s="1"/>
  <c r="N46" i="6" s="1"/>
  <c r="DL106" i="1"/>
  <c r="DK116" i="1"/>
  <c r="AV162" i="1"/>
  <c r="AU182" i="1"/>
  <c r="AU192" i="1"/>
  <c r="DW34" i="1"/>
  <c r="AG141" i="3"/>
  <c r="AG120" i="3"/>
  <c r="V12" i="5"/>
  <c r="V13" i="5" s="1"/>
  <c r="CG105" i="1"/>
  <c r="AG162" i="3"/>
  <c r="D8" i="5"/>
  <c r="AT22" i="11"/>
  <c r="AT55" i="11" s="1"/>
  <c r="DD203" i="1"/>
  <c r="DR105" i="1"/>
  <c r="DR24" i="1"/>
  <c r="CU206" i="1"/>
  <c r="CB34" i="11"/>
  <c r="AO25" i="1"/>
  <c r="AS25" i="1"/>
  <c r="AO86" i="1"/>
  <c r="AS86" i="1"/>
  <c r="AZ146" i="1"/>
  <c r="BM146" i="1"/>
  <c r="BD53" i="11"/>
  <c r="BD22" i="11"/>
  <c r="BI65" i="11"/>
  <c r="CI114" i="1"/>
  <c r="FO45" i="11" s="1"/>
  <c r="CJ104" i="1"/>
  <c r="AL77" i="8"/>
  <c r="AG158" i="3"/>
  <c r="P158" i="3"/>
  <c r="AH16" i="6"/>
  <c r="AH34" i="6" s="1"/>
  <c r="AH40" i="6" s="1"/>
  <c r="AH46" i="6" s="1"/>
  <c r="AH22" i="6"/>
  <c r="AH28" i="6"/>
  <c r="M162" i="1"/>
  <c r="K182" i="1"/>
  <c r="Q182" i="1" s="1"/>
  <c r="K192" i="1"/>
  <c r="P192" i="1" s="1"/>
  <c r="K166" i="1"/>
  <c r="L162" i="1"/>
  <c r="AG144" i="3"/>
  <c r="P144" i="3"/>
  <c r="BE105" i="1"/>
  <c r="BD105" i="1"/>
  <c r="BW53" i="11"/>
  <c r="BW65" i="11"/>
  <c r="BW22" i="11"/>
  <c r="CB65" i="11"/>
  <c r="O69" i="9"/>
  <c r="O70" i="10" s="1"/>
  <c r="L12" i="5"/>
  <c r="L42" i="5"/>
  <c r="L37" i="5"/>
  <c r="L11" i="4"/>
  <c r="L53" i="5"/>
  <c r="L54" i="5" s="1"/>
  <c r="L17" i="8"/>
  <c r="L31" i="8"/>
  <c r="F19" i="6"/>
  <c r="F43" i="6" s="1"/>
  <c r="F25" i="6"/>
  <c r="CV146" i="1"/>
  <c r="CV156" i="1"/>
  <c r="DA146" i="1"/>
  <c r="W132" i="3"/>
  <c r="Y139" i="3" s="1"/>
  <c r="AJ132" i="3"/>
  <c r="AY154" i="1"/>
  <c r="AZ144" i="1"/>
  <c r="BE144" i="1"/>
  <c r="AD19" i="6"/>
  <c r="AD37" i="6" s="1"/>
  <c r="AD43" i="6" s="1"/>
  <c r="AD49" i="6" s="1"/>
  <c r="AD25" i="6"/>
  <c r="AD31" i="6"/>
  <c r="CO65" i="11"/>
  <c r="CJ22" i="11"/>
  <c r="CJ53" i="11"/>
  <c r="CJ65" i="11"/>
  <c r="AU183" i="1"/>
  <c r="AV163" i="1"/>
  <c r="AU193" i="1"/>
  <c r="CC58" i="11"/>
  <c r="CH68" i="11"/>
  <c r="CC68" i="11"/>
  <c r="AW65" i="11"/>
  <c r="AR22" i="11"/>
  <c r="AR53" i="11"/>
  <c r="U134" i="3"/>
  <c r="W134" i="3" s="1"/>
  <c r="Y134" i="3" s="1"/>
  <c r="D49" i="8"/>
  <c r="L49" i="8" s="1"/>
  <c r="BZ68" i="11"/>
  <c r="BZ58" i="11"/>
  <c r="AG188" i="3"/>
  <c r="CE156" i="1"/>
  <c r="CJ24" i="11"/>
  <c r="CF150" i="1"/>
  <c r="CE200" i="1" s="1"/>
  <c r="CE155" i="1"/>
  <c r="CK150" i="1"/>
  <c r="CE154" i="1"/>
  <c r="CG150" i="1"/>
  <c r="AN104" i="1"/>
  <c r="AO104" i="1"/>
  <c r="AW162" i="1"/>
  <c r="BW16" i="11"/>
  <c r="BE26" i="1"/>
  <c r="DK211" i="1"/>
  <c r="DL181" i="1"/>
  <c r="BY26" i="1"/>
  <c r="P137" i="3"/>
  <c r="AG137" i="3"/>
  <c r="BR19" i="6"/>
  <c r="BR37" i="6" s="1"/>
  <c r="BR43" i="6" s="1"/>
  <c r="BR49" i="6" s="1"/>
  <c r="BR31" i="6"/>
  <c r="BR25" i="6"/>
  <c r="CY116" i="1"/>
  <c r="DA106" i="1"/>
  <c r="DE106" i="1"/>
  <c r="CZ106" i="1"/>
  <c r="CK85" i="1"/>
  <c r="DU193" i="1"/>
  <c r="AN120" i="3"/>
  <c r="AY213" i="1"/>
  <c r="DU183" i="1"/>
  <c r="DU213" i="1" s="1"/>
  <c r="DV163" i="1"/>
  <c r="E215" i="44"/>
  <c r="F214" i="44"/>
  <c r="F228" i="44"/>
  <c r="F129" i="44"/>
  <c r="N129" i="44"/>
  <c r="E130" i="44"/>
  <c r="F116" i="44"/>
  <c r="N103" i="44"/>
  <c r="N102" i="44"/>
  <c r="F102" i="44"/>
  <c r="B140" i="44"/>
  <c r="B146" i="44" s="1"/>
  <c r="B152" i="44" s="1"/>
  <c r="B158" i="44" s="1"/>
  <c r="B164" i="44" s="1"/>
  <c r="FY64" i="11"/>
  <c r="AF59" i="7"/>
  <c r="AE175" i="3"/>
  <c r="AE182" i="3"/>
  <c r="AE181" i="3"/>
  <c r="AC176" i="3"/>
  <c r="AE174" i="3"/>
  <c r="DL193" i="1"/>
  <c r="DR163" i="1"/>
  <c r="DR165" i="1"/>
  <c r="DM204" i="1"/>
  <c r="BC55" i="11"/>
  <c r="BN56" i="11"/>
  <c r="EI163" i="1"/>
  <c r="DU186" i="1"/>
  <c r="DV186" i="1" s="1"/>
  <c r="DU210" i="1"/>
  <c r="DP166" i="1"/>
  <c r="DQ166" i="1" s="1"/>
  <c r="DK183" i="1"/>
  <c r="DM183" i="1" s="1"/>
  <c r="R8" i="64"/>
  <c r="R26" i="64" s="1"/>
  <c r="DL163" i="1"/>
  <c r="DP203" i="1"/>
  <c r="DQ203" i="1" s="1"/>
  <c r="DP193" i="1"/>
  <c r="DQ193" i="1" s="1"/>
  <c r="DP213" i="1"/>
  <c r="DQ183" i="1"/>
  <c r="V8" i="64"/>
  <c r="V26" i="64" s="1"/>
  <c r="DQ162" i="1"/>
  <c r="DW162" i="1"/>
  <c r="DP182" i="1"/>
  <c r="DP192" i="1"/>
  <c r="DQ192" i="1" s="1"/>
  <c r="BF55" i="11"/>
  <c r="F242" i="44"/>
  <c r="E243" i="44"/>
  <c r="BN26" i="11"/>
  <c r="BN32" i="11" s="1"/>
  <c r="BN57" i="11" s="1"/>
  <c r="DV191" i="1"/>
  <c r="BC26" i="11"/>
  <c r="BC32" i="11" s="1"/>
  <c r="BC57" i="11" s="1"/>
  <c r="FW52" i="11"/>
  <c r="CI212" i="1"/>
  <c r="CJ182" i="1"/>
  <c r="CK182" i="1"/>
  <c r="BE183" i="1"/>
  <c r="DC185" i="1"/>
  <c r="DD185" i="1" s="1"/>
  <c r="DI164" i="1"/>
  <c r="I166" i="1"/>
  <c r="CV183" i="1"/>
  <c r="CU213" i="1"/>
  <c r="DG36" i="11" s="1"/>
  <c r="U47" i="64"/>
  <c r="U61" i="64"/>
  <c r="U65" i="64" s="1"/>
  <c r="CZ193" i="1"/>
  <c r="H193" i="1"/>
  <c r="FJ34" i="11"/>
  <c r="BP194" i="1"/>
  <c r="DR181" i="1"/>
  <c r="DP211" i="1"/>
  <c r="DQ181" i="1"/>
  <c r="DP206" i="1"/>
  <c r="DQ206" i="1" s="1"/>
  <c r="N56" i="5"/>
  <c r="AB191" i="1"/>
  <c r="BW210" i="1"/>
  <c r="BZ36" i="11" s="1"/>
  <c r="BX180" i="1"/>
  <c r="BO214" i="1"/>
  <c r="BP184" i="1"/>
  <c r="BQ184" i="1"/>
  <c r="I183" i="1"/>
  <c r="C213" i="1"/>
  <c r="D183" i="1"/>
  <c r="BC212" i="1"/>
  <c r="BD182" i="1"/>
  <c r="BM183" i="1"/>
  <c r="BD154" i="1"/>
  <c r="BH190" i="1"/>
  <c r="AB181" i="1"/>
  <c r="AA211" i="1"/>
  <c r="AC181" i="1"/>
  <c r="BS185" i="1"/>
  <c r="BT185" i="1" s="1"/>
  <c r="DD36" i="11"/>
  <c r="DP195" i="1"/>
  <c r="AL43" i="3"/>
  <c r="AN50" i="3" s="1"/>
  <c r="AE41" i="3"/>
  <c r="AE48" i="3"/>
  <c r="AC43" i="3"/>
  <c r="AL41" i="3"/>
  <c r="AE42" i="5"/>
  <c r="FX18" i="11" s="1"/>
  <c r="O11" i="60"/>
  <c r="J9" i="52"/>
  <c r="J13" i="52" s="1"/>
  <c r="AC72" i="5"/>
  <c r="AC73" i="5" s="1"/>
  <c r="DL204" i="1"/>
  <c r="DK185" i="1"/>
  <c r="DL185" i="1" s="1"/>
  <c r="DL180" i="1"/>
  <c r="DK210" i="1"/>
  <c r="AB212" i="1"/>
  <c r="DC184" i="1"/>
  <c r="DE184" i="1" s="1"/>
  <c r="DD164" i="1"/>
  <c r="DK194" i="1"/>
  <c r="DL194" i="1" s="1"/>
  <c r="DK184" i="1"/>
  <c r="DM184" i="1" s="1"/>
  <c r="DL164" i="1"/>
  <c r="DM164" i="1"/>
  <c r="W216" i="1"/>
  <c r="W215" i="1"/>
  <c r="O61" i="64"/>
  <c r="O65" i="64" s="1"/>
  <c r="O47" i="64"/>
  <c r="FX35" i="11"/>
  <c r="L15" i="52"/>
  <c r="DC195" i="1"/>
  <c r="DC196" i="1"/>
  <c r="BY156" i="1"/>
  <c r="BX156" i="1"/>
  <c r="BY181" i="1"/>
  <c r="BT181" i="1"/>
  <c r="BS211" i="1"/>
  <c r="BU181" i="1"/>
  <c r="BV34" i="11"/>
  <c r="BT191" i="1"/>
  <c r="AI196" i="1"/>
  <c r="AN34" i="11"/>
  <c r="AN37" i="11" s="1"/>
  <c r="CF35" i="11"/>
  <c r="CK67" i="11" s="1"/>
  <c r="CF201" i="1"/>
  <c r="CB201" i="1"/>
  <c r="D180" i="1"/>
  <c r="C185" i="1"/>
  <c r="C210" i="1"/>
  <c r="I180" i="1"/>
  <c r="C186" i="1"/>
  <c r="AM34" i="11"/>
  <c r="AR66" i="11" s="1"/>
  <c r="AJ191" i="1"/>
  <c r="CB191" i="1"/>
  <c r="CF34" i="11"/>
  <c r="CF191" i="1"/>
  <c r="I182" i="1"/>
  <c r="C212" i="1"/>
  <c r="D182" i="1"/>
  <c r="BW194" i="1"/>
  <c r="BW184" i="1"/>
  <c r="BX164" i="1"/>
  <c r="BY164" i="1"/>
  <c r="BW211" i="1"/>
  <c r="BX181" i="1"/>
  <c r="BW186" i="1"/>
  <c r="BW185" i="1"/>
  <c r="CU211" i="1"/>
  <c r="DA181" i="1"/>
  <c r="CV181" i="1"/>
  <c r="CU186" i="1"/>
  <c r="K184" i="1"/>
  <c r="M164" i="1"/>
  <c r="Q183" i="1"/>
  <c r="DD165" i="1"/>
  <c r="S56" i="5"/>
  <c r="C19" i="60" s="1"/>
  <c r="BY154" i="1"/>
  <c r="BX154" i="1"/>
  <c r="BW204" i="1" s="1"/>
  <c r="FL35" i="11" s="1"/>
  <c r="FL67" i="11" s="1"/>
  <c r="AI186" i="1"/>
  <c r="AJ186" i="1" s="1"/>
  <c r="AX34" i="11"/>
  <c r="BU164" i="1"/>
  <c r="BS184" i="1"/>
  <c r="BS194" i="1"/>
  <c r="BT164" i="1"/>
  <c r="AK182" i="1"/>
  <c r="AJ182" i="1"/>
  <c r="AI212" i="1"/>
  <c r="X191" i="1"/>
  <c r="CZ184" i="1"/>
  <c r="CY214" i="1"/>
  <c r="H190" i="1"/>
  <c r="C196" i="1"/>
  <c r="C195" i="1"/>
  <c r="H195" i="1" s="1"/>
  <c r="BP183" i="1"/>
  <c r="CA211" i="1"/>
  <c r="CB181" i="1"/>
  <c r="H192" i="1"/>
  <c r="J109" i="64"/>
  <c r="J110" i="64" s="1"/>
  <c r="J26" i="64"/>
  <c r="BY165" i="1"/>
  <c r="BX165" i="1"/>
  <c r="DE34" i="11"/>
  <c r="DE37" i="11" s="1"/>
  <c r="CU195" i="1"/>
  <c r="X184" i="1"/>
  <c r="W214" i="1"/>
  <c r="FB36" i="11" s="1"/>
  <c r="DC205" i="1"/>
  <c r="DH200" i="1"/>
  <c r="DC206" i="1"/>
  <c r="DD180" i="1"/>
  <c r="DC210" i="1"/>
  <c r="BW206" i="1"/>
  <c r="BW205" i="1"/>
  <c r="CA35" i="11"/>
  <c r="I164" i="1"/>
  <c r="C194" i="1"/>
  <c r="C184" i="1"/>
  <c r="D164" i="1"/>
  <c r="DH180" i="1"/>
  <c r="DI180" i="1"/>
  <c r="DM180" i="1"/>
  <c r="DG210" i="1"/>
  <c r="DU211" i="1"/>
  <c r="DV181" i="1"/>
  <c r="CZ191" i="1"/>
  <c r="P182" i="1"/>
  <c r="O212" i="1"/>
  <c r="U182" i="1"/>
  <c r="CV185" i="1"/>
  <c r="E61" i="64"/>
  <c r="E47" i="64"/>
  <c r="BY155" i="1"/>
  <c r="BX155" i="1"/>
  <c r="AR182" i="1"/>
  <c r="AQ212" i="1"/>
  <c r="S211" i="1"/>
  <c r="Y181" i="1"/>
  <c r="T181" i="1"/>
  <c r="CV165" i="1"/>
  <c r="D165" i="1"/>
  <c r="I165" i="1"/>
  <c r="AI211" i="1"/>
  <c r="AJ181" i="1"/>
  <c r="AK181" i="1"/>
  <c r="DL190" i="1"/>
  <c r="DH190" i="1"/>
  <c r="CA34" i="11"/>
  <c r="BX191" i="1"/>
  <c r="BW195" i="1"/>
  <c r="BW196" i="1"/>
  <c r="AU210" i="1"/>
  <c r="AW180" i="1"/>
  <c r="AV180" i="1"/>
  <c r="P193" i="1"/>
  <c r="L193" i="1"/>
  <c r="BD183" i="1"/>
  <c r="BC213" i="1"/>
  <c r="F298" i="44"/>
  <c r="E299" i="44"/>
  <c r="N61" i="60"/>
  <c r="S8" i="10"/>
  <c r="S27" i="10" s="1"/>
  <c r="S47" i="10" s="1"/>
  <c r="S71" i="10" s="1"/>
  <c r="C53" i="60"/>
  <c r="Q8" i="10"/>
  <c r="Q27" i="10" s="1"/>
  <c r="Q61" i="10" s="1"/>
  <c r="Q65" i="10" s="1"/>
  <c r="D40" i="60"/>
  <c r="P60" i="5"/>
  <c r="S72" i="9"/>
  <c r="C139" i="60"/>
  <c r="P69" i="5"/>
  <c r="P75" i="5" s="1"/>
  <c r="Q60" i="5"/>
  <c r="E138" i="60"/>
  <c r="E162" i="60" s="1"/>
  <c r="Q69" i="5"/>
  <c r="Q75" i="5" s="1"/>
  <c r="Q100" i="60"/>
  <c r="Q143" i="60"/>
  <c r="AI47" i="5"/>
  <c r="S15" i="60" s="1"/>
  <c r="GA20" i="11"/>
  <c r="AH48" i="5"/>
  <c r="T26" i="64"/>
  <c r="DP185" i="1"/>
  <c r="DQ180" i="1"/>
  <c r="DW180" i="1" s="1"/>
  <c r="DR180" i="1"/>
  <c r="DP210" i="1"/>
  <c r="M61" i="64"/>
  <c r="M65" i="64" s="1"/>
  <c r="M47" i="64"/>
  <c r="DH193" i="1"/>
  <c r="DG213" i="1"/>
  <c r="DH183" i="1"/>
  <c r="N50" i="60"/>
  <c r="N93" i="60"/>
  <c r="N48" i="60"/>
  <c r="N91" i="60"/>
  <c r="N97" i="60"/>
  <c r="N54" i="60"/>
  <c r="N69" i="60"/>
  <c r="N112" i="60" s="1"/>
  <c r="N57" i="60"/>
  <c r="N100" i="60"/>
  <c r="O57" i="60"/>
  <c r="O100" i="60"/>
  <c r="O58" i="60"/>
  <c r="O101" i="60"/>
  <c r="O54" i="60"/>
  <c r="O97" i="60"/>
  <c r="AR37" i="11"/>
  <c r="CA195" i="1"/>
  <c r="CB190" i="1"/>
  <c r="CE34" i="11"/>
  <c r="CB165" i="1"/>
  <c r="CA210" i="1"/>
  <c r="CC180" i="1"/>
  <c r="CB180" i="1"/>
  <c r="CA185" i="1"/>
  <c r="AH78" i="5"/>
  <c r="R26" i="60" s="1"/>
  <c r="FZ41" i="11"/>
  <c r="Q63" i="52" s="1"/>
  <c r="S63" i="52" s="1"/>
  <c r="P155" i="60"/>
  <c r="P153" i="60" s="1"/>
  <c r="AI28" i="5"/>
  <c r="AK166" i="1"/>
  <c r="AG166" i="1"/>
  <c r="AF166" i="1"/>
  <c r="AF164" i="1"/>
  <c r="AG164" i="1"/>
  <c r="X190" i="1"/>
  <c r="S195" i="1"/>
  <c r="S196" i="1"/>
  <c r="O113" i="41"/>
  <c r="P112" i="41"/>
  <c r="AG75" i="9"/>
  <c r="AG79" i="9" s="1"/>
  <c r="AG76" i="9"/>
  <c r="AG80" i="9" s="1"/>
  <c r="Y162" i="3"/>
  <c r="L112" i="41"/>
  <c r="K113" i="41"/>
  <c r="S3" i="41"/>
  <c r="R15" i="41"/>
  <c r="R35" i="41"/>
  <c r="R22" i="41"/>
  <c r="R138" i="41"/>
  <c r="R66" i="41"/>
  <c r="R102" i="41"/>
  <c r="N193" i="3"/>
  <c r="N200" i="3"/>
  <c r="W193" i="3"/>
  <c r="Q164" i="1"/>
  <c r="P164" i="1"/>
  <c r="O194" i="1"/>
  <c r="O184" i="1"/>
  <c r="BP190" i="1"/>
  <c r="BO196" i="1"/>
  <c r="BP34" i="11"/>
  <c r="BO195" i="1"/>
  <c r="T166" i="1"/>
  <c r="U166" i="1"/>
  <c r="Y166" i="1"/>
  <c r="T165" i="1"/>
  <c r="Y165" i="1"/>
  <c r="U165" i="1"/>
  <c r="AU154" i="1"/>
  <c r="BA151" i="1"/>
  <c r="AU156" i="1"/>
  <c r="AV151" i="1"/>
  <c r="BB24" i="11"/>
  <c r="AW151" i="1"/>
  <c r="AU155" i="1"/>
  <c r="R116" i="41"/>
  <c r="H153" i="60"/>
  <c r="H67" i="60"/>
  <c r="H110" i="60" s="1"/>
  <c r="H58" i="60"/>
  <c r="H101" i="60"/>
  <c r="H144" i="60"/>
  <c r="AA67" i="10"/>
  <c r="AB116" i="8"/>
  <c r="AD116" i="8" s="1"/>
  <c r="AC201" i="3"/>
  <c r="E113" i="41"/>
  <c r="D114" i="41"/>
  <c r="W200" i="3"/>
  <c r="AJ200" i="3"/>
  <c r="L50" i="3"/>
  <c r="J56" i="3"/>
  <c r="F15" i="52"/>
  <c r="F19" i="52" s="1"/>
  <c r="FU35" i="11"/>
  <c r="O144" i="60"/>
  <c r="AO36" i="11"/>
  <c r="W43" i="3"/>
  <c r="Y43" i="3" s="1"/>
  <c r="DI165" i="1"/>
  <c r="DH165" i="1"/>
  <c r="DM165" i="1"/>
  <c r="CF211" i="1"/>
  <c r="CK36" i="11"/>
  <c r="CJ211" i="1"/>
  <c r="F137" i="44"/>
  <c r="J195" i="3"/>
  <c r="L195" i="3" s="1"/>
  <c r="N202" i="3" s="1"/>
  <c r="P202" i="3" s="1"/>
  <c r="AG113" i="3"/>
  <c r="BH162" i="1"/>
  <c r="BG182" i="1"/>
  <c r="BG192" i="1"/>
  <c r="BI162" i="1"/>
  <c r="BG164" i="1"/>
  <c r="BM162" i="1"/>
  <c r="BG166" i="1"/>
  <c r="CJ164" i="1"/>
  <c r="CI184" i="1"/>
  <c r="CK164" i="1"/>
  <c r="CI194" i="1"/>
  <c r="CJ166" i="1"/>
  <c r="BI36" i="11"/>
  <c r="AE69" i="3"/>
  <c r="AG69" i="3" s="1"/>
  <c r="AL69" i="3"/>
  <c r="AN69" i="3" s="1"/>
  <c r="CC82" i="1"/>
  <c r="CG82" i="1"/>
  <c r="CB142" i="1"/>
  <c r="CA152" i="1"/>
  <c r="CC142" i="1"/>
  <c r="CG142" i="1"/>
  <c r="CA146" i="1"/>
  <c r="CG32" i="1"/>
  <c r="CC32" i="1"/>
  <c r="V60" i="41"/>
  <c r="W61" i="41"/>
  <c r="G112" i="41"/>
  <c r="D47" i="4"/>
  <c r="D48" i="4" s="1"/>
  <c r="D44" i="5"/>
  <c r="D43" i="5"/>
  <c r="AE53" i="5"/>
  <c r="AN130" i="3"/>
  <c r="AN90" i="3"/>
  <c r="AN97" i="3"/>
  <c r="AF61" i="8"/>
  <c r="AF68" i="8"/>
  <c r="CM36" i="11"/>
  <c r="CJ213" i="1"/>
  <c r="AR144" i="1"/>
  <c r="AS144" i="1"/>
  <c r="AW144" i="1"/>
  <c r="AR104" i="1"/>
  <c r="AS104" i="1"/>
  <c r="AW104" i="1"/>
  <c r="R86" i="41"/>
  <c r="Q24" i="1"/>
  <c r="U24" i="1"/>
  <c r="X39" i="41"/>
  <c r="Y38" i="41"/>
  <c r="T76" i="41"/>
  <c r="T77" i="41"/>
  <c r="AN180" i="1"/>
  <c r="AM185" i="1"/>
  <c r="AM210" i="1"/>
  <c r="AS180" i="1"/>
  <c r="N140" i="60"/>
  <c r="AG70" i="10"/>
  <c r="FX64" i="11"/>
  <c r="EK23" i="1"/>
  <c r="AA196" i="1"/>
  <c r="AB190" i="1"/>
  <c r="AA195" i="1"/>
  <c r="AJ190" i="1"/>
  <c r="AG34" i="11"/>
  <c r="AE91" i="3"/>
  <c r="AG91" i="3" s="1"/>
  <c r="AY65" i="11"/>
  <c r="AY16" i="11"/>
  <c r="AY53" i="11"/>
  <c r="AY22" i="11"/>
  <c r="BD65" i="11"/>
  <c r="AQ183" i="1"/>
  <c r="AQ184" i="1" s="1"/>
  <c r="AQ193" i="1"/>
  <c r="AR163" i="1"/>
  <c r="AW163" i="1"/>
  <c r="AQ154" i="1"/>
  <c r="AR153" i="1"/>
  <c r="AS153" i="1"/>
  <c r="AW153" i="1"/>
  <c r="AY24" i="11"/>
  <c r="DL206" i="1"/>
  <c r="V117" i="8"/>
  <c r="X117" i="8" s="1"/>
  <c r="K202" i="3"/>
  <c r="D113" i="41"/>
  <c r="E112" i="41"/>
  <c r="N111" i="41"/>
  <c r="M112" i="41"/>
  <c r="M78" i="41"/>
  <c r="Q116" i="41"/>
  <c r="N194" i="3"/>
  <c r="P194" i="3" s="1"/>
  <c r="W194" i="3"/>
  <c r="U207" i="3"/>
  <c r="AP214" i="3"/>
  <c r="DQ84" i="1"/>
  <c r="DP144" i="1"/>
  <c r="E19" i="4"/>
  <c r="E33" i="4"/>
  <c r="DH166" i="1"/>
  <c r="DI166" i="1"/>
  <c r="AN26" i="3"/>
  <c r="AN33" i="3"/>
  <c r="CR37" i="11"/>
  <c r="CR66" i="11"/>
  <c r="M47" i="41"/>
  <c r="M46" i="41"/>
  <c r="V109" i="8"/>
  <c r="X109" i="8" s="1"/>
  <c r="Z109" i="8" s="1"/>
  <c r="K194" i="3"/>
  <c r="D28" i="8"/>
  <c r="U113" i="3"/>
  <c r="BH144" i="1"/>
  <c r="BI144" i="1"/>
  <c r="BM144" i="1"/>
  <c r="AR164" i="1"/>
  <c r="AQ194" i="1"/>
  <c r="CJ165" i="1"/>
  <c r="CK165" i="1"/>
  <c r="CJ180" i="1"/>
  <c r="CI186" i="1"/>
  <c r="CI210" i="1"/>
  <c r="CI185" i="1"/>
  <c r="CO180" i="1"/>
  <c r="F136" i="60"/>
  <c r="F93" i="60"/>
  <c r="F50" i="60"/>
  <c r="Q26" i="64"/>
  <c r="R87" i="41"/>
  <c r="AB193" i="1"/>
  <c r="AJ34" i="11"/>
  <c r="AO66" i="11" s="1"/>
  <c r="G96" i="60"/>
  <c r="G139" i="60"/>
  <c r="G53" i="60"/>
  <c r="F284" i="44"/>
  <c r="F270" i="44"/>
  <c r="E271" i="44"/>
  <c r="CB24" i="1"/>
  <c r="CB94" i="1"/>
  <c r="CB74" i="1"/>
  <c r="CB54" i="1"/>
  <c r="CB134" i="1"/>
  <c r="CB34" i="1"/>
  <c r="CB64" i="1"/>
  <c r="CA104" i="1"/>
  <c r="CB14" i="1"/>
  <c r="D148" i="3" s="1"/>
  <c r="H148" i="3" s="1"/>
  <c r="CF14" i="1"/>
  <c r="D155" i="3" s="1"/>
  <c r="H155" i="3" s="1"/>
  <c r="CB44" i="1"/>
  <c r="CA144" i="1"/>
  <c r="CB84" i="1"/>
  <c r="T7" i="5"/>
  <c r="CB124" i="1"/>
  <c r="CB96" i="1"/>
  <c r="CB56" i="1"/>
  <c r="CC16" i="1"/>
  <c r="CB76" i="1"/>
  <c r="CB86" i="1"/>
  <c r="CB46" i="1"/>
  <c r="CB36" i="1"/>
  <c r="CB16" i="1"/>
  <c r="CB66" i="1"/>
  <c r="CB126" i="1"/>
  <c r="CB136" i="1"/>
  <c r="CB26" i="1"/>
  <c r="U146" i="3"/>
  <c r="S148" i="3"/>
  <c r="D61" i="8"/>
  <c r="AE127" i="3"/>
  <c r="AG127" i="3" s="1"/>
  <c r="AL127" i="3"/>
  <c r="AN127" i="3" s="1"/>
  <c r="AP210" i="3"/>
  <c r="AP211" i="3" s="1"/>
  <c r="U203" i="3"/>
  <c r="AQ203" i="3"/>
  <c r="O140" i="60"/>
  <c r="AN34" i="3"/>
  <c r="DD211" i="1"/>
  <c r="DC216" i="1"/>
  <c r="AE147" i="3"/>
  <c r="AG147" i="3" s="1"/>
  <c r="AE154" i="3"/>
  <c r="AG154" i="3" s="1"/>
  <c r="AL147" i="3"/>
  <c r="E71" i="9"/>
  <c r="B17" i="5"/>
  <c r="C18" i="5" s="1"/>
  <c r="B39" i="4"/>
  <c r="B9" i="5" s="1"/>
  <c r="N84" i="41"/>
  <c r="FO35" i="11"/>
  <c r="N69" i="9"/>
  <c r="N70" i="10" s="1"/>
  <c r="K12" i="5"/>
  <c r="L8" i="5"/>
  <c r="K37" i="5"/>
  <c r="K53" i="5"/>
  <c r="K8" i="5"/>
  <c r="K42" i="5"/>
  <c r="K11" i="4"/>
  <c r="AS84" i="1"/>
  <c r="AW84" i="1"/>
  <c r="P144" i="1"/>
  <c r="P154" i="1"/>
  <c r="Q144" i="1"/>
  <c r="BV29" i="6"/>
  <c r="BV17" i="6"/>
  <c r="BV35" i="6" s="1"/>
  <c r="BV41" i="6" s="1"/>
  <c r="BV47" i="6" s="1"/>
  <c r="BV23" i="6"/>
  <c r="W103" i="41"/>
  <c r="W105" i="41"/>
  <c r="W104" i="41"/>
  <c r="L87" i="41"/>
  <c r="L86" i="41"/>
  <c r="E187" i="44"/>
  <c r="F200" i="44"/>
  <c r="AO37" i="11"/>
  <c r="O143" i="60"/>
  <c r="C38" i="81"/>
  <c r="H35" i="81" s="1"/>
  <c r="X76" i="52"/>
  <c r="X78" i="52" s="1"/>
  <c r="AC79" i="52" s="1"/>
  <c r="AB166" i="1"/>
  <c r="AC166" i="1"/>
  <c r="U84" i="1"/>
  <c r="C118" i="41"/>
  <c r="AC6" i="10"/>
  <c r="AD6" i="9"/>
  <c r="F143" i="44"/>
  <c r="D80" i="41"/>
  <c r="D82" i="41" s="1"/>
  <c r="W106" i="41"/>
  <c r="X35" i="64"/>
  <c r="H112" i="41"/>
  <c r="I61" i="64"/>
  <c r="I47" i="64"/>
  <c r="AC193" i="3"/>
  <c r="AB108" i="8"/>
  <c r="AD108" i="8" s="1"/>
  <c r="BH55" i="11"/>
  <c r="S194" i="1"/>
  <c r="U164" i="1"/>
  <c r="T164" i="1"/>
  <c r="S184" i="1"/>
  <c r="Y164" i="1"/>
  <c r="AE37" i="5"/>
  <c r="AK165" i="1"/>
  <c r="AG165" i="1"/>
  <c r="AF165" i="1"/>
  <c r="F61" i="64"/>
  <c r="F47" i="64"/>
  <c r="AA194" i="3"/>
  <c r="AC194" i="3" s="1"/>
  <c r="E311" i="44"/>
  <c r="AL112" i="3"/>
  <c r="AJ113" i="3"/>
  <c r="AL113" i="3" s="1"/>
  <c r="AN113" i="3" s="1"/>
  <c r="Q166" i="1"/>
  <c r="P166" i="1"/>
  <c r="P181" i="1"/>
  <c r="O185" i="1"/>
  <c r="O211" i="1"/>
  <c r="Q181" i="1"/>
  <c r="O186" i="1"/>
  <c r="U181" i="1"/>
  <c r="BP165" i="1"/>
  <c r="BU165" i="1"/>
  <c r="BO210" i="1"/>
  <c r="BU180" i="1"/>
  <c r="BP180" i="1"/>
  <c r="BO186" i="1"/>
  <c r="BO185" i="1"/>
  <c r="T180" i="1"/>
  <c r="Y180" i="1"/>
  <c r="S210" i="1"/>
  <c r="S185" i="1"/>
  <c r="S186" i="1"/>
  <c r="U180" i="1"/>
  <c r="BA145" i="1"/>
  <c r="AV145" i="1"/>
  <c r="AW145" i="1"/>
  <c r="AA71" i="9"/>
  <c r="X16" i="5"/>
  <c r="H15" i="60"/>
  <c r="X48" i="5"/>
  <c r="Y5" i="4"/>
  <c r="Y7" i="5"/>
  <c r="Y28" i="5"/>
  <c r="Y47" i="5"/>
  <c r="Y56" i="5"/>
  <c r="Y50" i="5"/>
  <c r="I16" i="60" s="1"/>
  <c r="Y62" i="5"/>
  <c r="Y11" i="5"/>
  <c r="Z5" i="5"/>
  <c r="Y25" i="5"/>
  <c r="Y78" i="5"/>
  <c r="I26" i="60" s="1"/>
  <c r="Y31" i="5"/>
  <c r="Y39" i="5"/>
  <c r="Y34" i="5"/>
  <c r="Y15" i="5"/>
  <c r="AA202" i="3"/>
  <c r="AC202" i="3" s="1"/>
  <c r="E318" i="44"/>
  <c r="F317" i="44"/>
  <c r="AN126" i="3"/>
  <c r="U204" i="3"/>
  <c r="AQ204" i="3"/>
  <c r="AB9" i="4"/>
  <c r="AB10" i="4" s="1"/>
  <c r="AK164" i="1"/>
  <c r="DH181" i="1"/>
  <c r="DG211" i="1"/>
  <c r="DG186" i="1"/>
  <c r="DM181" i="1"/>
  <c r="DG185" i="1"/>
  <c r="DI181" i="1"/>
  <c r="N8" i="64"/>
  <c r="N26" i="64" s="1"/>
  <c r="K26" i="64"/>
  <c r="K109" i="64"/>
  <c r="BL213" i="1"/>
  <c r="BN36" i="11"/>
  <c r="BP213" i="1"/>
  <c r="K79" i="41"/>
  <c r="BI104" i="1"/>
  <c r="BM104" i="1"/>
  <c r="BH104" i="1"/>
  <c r="AL28" i="8"/>
  <c r="BM84" i="1"/>
  <c r="BI84" i="1"/>
  <c r="AN151" i="3"/>
  <c r="AR165" i="1"/>
  <c r="AS165" i="1"/>
  <c r="AQ196" i="1"/>
  <c r="AR191" i="1"/>
  <c r="AW34" i="11"/>
  <c r="AQ195" i="1"/>
  <c r="DL192" i="1"/>
  <c r="I81" i="41"/>
  <c r="I82" i="41" s="1"/>
  <c r="J119" i="41"/>
  <c r="J86" i="41"/>
  <c r="J87" i="41"/>
  <c r="J122" i="41" s="1"/>
  <c r="AL89" i="3"/>
  <c r="AJ92" i="3"/>
  <c r="AL92" i="3" s="1"/>
  <c r="F79" i="41"/>
  <c r="AD12" i="6"/>
  <c r="D146" i="3"/>
  <c r="H146" i="3" s="1"/>
  <c r="CA112" i="1"/>
  <c r="CG45" i="11" s="1"/>
  <c r="CA106" i="1"/>
  <c r="AL61" i="8"/>
  <c r="CB102" i="1"/>
  <c r="CG18" i="11"/>
  <c r="CC102" i="1"/>
  <c r="CG102" i="1"/>
  <c r="AN124" i="3"/>
  <c r="AE76" i="3"/>
  <c r="AG76" i="3" s="1"/>
  <c r="AL76" i="3"/>
  <c r="AN76" i="3" s="1"/>
  <c r="AE134" i="3"/>
  <c r="AG134" i="3" s="1"/>
  <c r="H113" i="41"/>
  <c r="I112" i="41"/>
  <c r="D54" i="5"/>
  <c r="D59" i="5"/>
  <c r="D57" i="5"/>
  <c r="D64" i="5" s="1"/>
  <c r="EW28" i="11" s="1"/>
  <c r="AG27" i="10"/>
  <c r="AM33" i="9"/>
  <c r="AN33" i="9" s="1"/>
  <c r="AL60" i="9"/>
  <c r="BN37" i="11"/>
  <c r="BS66" i="11"/>
  <c r="BN66" i="11"/>
  <c r="DD186" i="1"/>
  <c r="AC85" i="3"/>
  <c r="BG193" i="1"/>
  <c r="BH193" i="1" s="1"/>
  <c r="BG183" i="1"/>
  <c r="BH163" i="1"/>
  <c r="BI163" i="1"/>
  <c r="BM163" i="1"/>
  <c r="BA37" i="11"/>
  <c r="BA66" i="11"/>
  <c r="P104" i="1"/>
  <c r="Q104" i="1"/>
  <c r="E11" i="4"/>
  <c r="H69" i="9"/>
  <c r="H70" i="10" s="1"/>
  <c r="E12" i="5"/>
  <c r="F8" i="5"/>
  <c r="E8" i="5"/>
  <c r="E37" i="5"/>
  <c r="E53" i="5"/>
  <c r="E42" i="5"/>
  <c r="AE155" i="3"/>
  <c r="W202" i="3"/>
  <c r="AC78" i="3"/>
  <c r="T109" i="41"/>
  <c r="U108" i="41"/>
  <c r="AE29" i="3"/>
  <c r="AL29" i="3"/>
  <c r="AN29" i="3" s="1"/>
  <c r="AE36" i="3"/>
  <c r="AO165" i="1"/>
  <c r="AN165" i="1"/>
  <c r="AJ193" i="1"/>
  <c r="AH81" i="9"/>
  <c r="AI81" i="9" s="1"/>
  <c r="AH85" i="9"/>
  <c r="O155" i="60"/>
  <c r="O153" i="60" s="1"/>
  <c r="AQ16" i="11"/>
  <c r="AQ51" i="11"/>
  <c r="AB165" i="1"/>
  <c r="AC165" i="1"/>
  <c r="AA210" i="1"/>
  <c r="AA186" i="1"/>
  <c r="AA185" i="1"/>
  <c r="AB180" i="1"/>
  <c r="AC180" i="1"/>
  <c r="AN98" i="3"/>
  <c r="V42" i="5"/>
  <c r="V37" i="5"/>
  <c r="F11" i="60"/>
  <c r="F40" i="60" s="1"/>
  <c r="F144" i="44"/>
  <c r="E147" i="44"/>
  <c r="J203" i="3"/>
  <c r="W107" i="41"/>
  <c r="X72" i="41"/>
  <c r="X106" i="41"/>
  <c r="X120" i="64"/>
  <c r="X117" i="64"/>
  <c r="AC71" i="3"/>
  <c r="C84" i="41"/>
  <c r="FT47" i="11"/>
  <c r="FJ77" i="11"/>
  <c r="Q8" i="4"/>
  <c r="Q21" i="4"/>
  <c r="Q22" i="4" s="1"/>
  <c r="AV146" i="1"/>
  <c r="AW146" i="1"/>
  <c r="BA146" i="1"/>
  <c r="R117" i="41"/>
  <c r="AA70" i="9"/>
  <c r="H8" i="60"/>
  <c r="AS16" i="11"/>
  <c r="AS51" i="11"/>
  <c r="Z108" i="8"/>
  <c r="Z115" i="8"/>
  <c r="J19" i="6"/>
  <c r="J43" i="6" s="1"/>
  <c r="J25" i="6"/>
  <c r="T191" i="1"/>
  <c r="P191" i="1"/>
  <c r="BQ166" i="1"/>
  <c r="BP166" i="1"/>
  <c r="AU161" i="1"/>
  <c r="Q84" i="41"/>
  <c r="Q85" i="41" s="1"/>
  <c r="X36" i="5"/>
  <c r="H28" i="60"/>
  <c r="H69" i="60" s="1"/>
  <c r="H112" i="60" s="1"/>
  <c r="H158" i="60" s="1"/>
  <c r="H12" i="60"/>
  <c r="X39" i="4"/>
  <c r="F22" i="41"/>
  <c r="F15" i="41"/>
  <c r="F35" i="41"/>
  <c r="F66" i="41"/>
  <c r="F102" i="41"/>
  <c r="F138" i="41"/>
  <c r="E3" i="41"/>
  <c r="AJ184" i="1"/>
  <c r="AI214" i="1"/>
  <c r="O56" i="5"/>
  <c r="BI154" i="1"/>
  <c r="BH154" i="1"/>
  <c r="BM154" i="1"/>
  <c r="DG195" i="1"/>
  <c r="DH191" i="1"/>
  <c r="DG196" i="1"/>
  <c r="AR81" i="11"/>
  <c r="AS6" i="11"/>
  <c r="T18" i="4"/>
  <c r="T17" i="4"/>
  <c r="DL191" i="1"/>
  <c r="AL84" i="3"/>
  <c r="AN84" i="3" s="1"/>
  <c r="AG86" i="1"/>
  <c r="AK86" i="1"/>
  <c r="O12" i="5"/>
  <c r="O8" i="5"/>
  <c r="O53" i="5"/>
  <c r="O26" i="5"/>
  <c r="R69" i="9"/>
  <c r="R70" i="10" s="1"/>
  <c r="O11" i="4"/>
  <c r="O37" i="5"/>
  <c r="O42" i="5"/>
  <c r="AR181" i="1"/>
  <c r="AQ211" i="1"/>
  <c r="AS181" i="1"/>
  <c r="AQ186" i="1"/>
  <c r="AQ185" i="1"/>
  <c r="AR166" i="1"/>
  <c r="CI195" i="1"/>
  <c r="CI196" i="1"/>
  <c r="CN190" i="1"/>
  <c r="CO34" i="11"/>
  <c r="Y76" i="9"/>
  <c r="Y80" i="9" s="1"/>
  <c r="Y75" i="9"/>
  <c r="Y79" i="9" s="1"/>
  <c r="DM182" i="1"/>
  <c r="DL182" i="1"/>
  <c r="DK212" i="1"/>
  <c r="DK186" i="1"/>
  <c r="R88" i="41"/>
  <c r="AA213" i="1"/>
  <c r="AC183" i="1"/>
  <c r="AB183" i="1"/>
  <c r="O79" i="41"/>
  <c r="D153" i="3"/>
  <c r="H153" i="3" s="1"/>
  <c r="CF16" i="1"/>
  <c r="AH12" i="6"/>
  <c r="CC22" i="1"/>
  <c r="CG22" i="1"/>
  <c r="CG62" i="11"/>
  <c r="CG14" i="11"/>
  <c r="CL62" i="11"/>
  <c r="CG52" i="11"/>
  <c r="G39" i="60"/>
  <c r="W9" i="5"/>
  <c r="U74" i="41"/>
  <c r="S78" i="41"/>
  <c r="S113" i="41" s="1"/>
  <c r="G81" i="41"/>
  <c r="G113" i="41"/>
  <c r="F17" i="4"/>
  <c r="F18" i="4"/>
  <c r="D7" i="4"/>
  <c r="D36" i="4"/>
  <c r="D24" i="4"/>
  <c r="O158" i="60"/>
  <c r="X91" i="64"/>
  <c r="DV183" i="1"/>
  <c r="S34" i="4"/>
  <c r="FL75" i="11"/>
  <c r="AL140" i="8"/>
  <c r="DV104" i="1"/>
  <c r="DW104" i="1"/>
  <c r="P43" i="3"/>
  <c r="K80" i="41"/>
  <c r="AE92" i="3"/>
  <c r="AG92" i="3" s="1"/>
  <c r="AL35" i="3"/>
  <c r="AJ36" i="3"/>
  <c r="AL36" i="3" s="1"/>
  <c r="C8" i="5"/>
  <c r="B42" i="5"/>
  <c r="E69" i="9"/>
  <c r="E70" i="10" s="1"/>
  <c r="B11" i="4"/>
  <c r="B53" i="5"/>
  <c r="B37" i="5"/>
  <c r="B12" i="5"/>
  <c r="E70" i="9"/>
  <c r="E86" i="41"/>
  <c r="AX56" i="11"/>
  <c r="AX26" i="11"/>
  <c r="AX32" i="11" s="1"/>
  <c r="AX57" i="11" s="1"/>
  <c r="AX55" i="11"/>
  <c r="AW24" i="1"/>
  <c r="AS24" i="1"/>
  <c r="R89" i="41"/>
  <c r="F123" i="60"/>
  <c r="F80" i="60"/>
  <c r="F178" i="60"/>
  <c r="N143" i="60"/>
  <c r="L88" i="41"/>
  <c r="N201" i="3"/>
  <c r="P201" i="3" s="1"/>
  <c r="W201" i="3"/>
  <c r="T78" i="41"/>
  <c r="AM195" i="1"/>
  <c r="AN195" i="1" s="1"/>
  <c r="AN190" i="1"/>
  <c r="AQ34" i="11"/>
  <c r="AR190" i="1"/>
  <c r="AN57" i="3"/>
  <c r="DG214" i="1"/>
  <c r="DH184" i="1"/>
  <c r="N155" i="60"/>
  <c r="N153" i="60" s="1"/>
  <c r="FW14" i="11"/>
  <c r="FW51" i="11" s="1"/>
  <c r="N10" i="60"/>
  <c r="BH210" i="1"/>
  <c r="DL205" i="1"/>
  <c r="AB164" i="1"/>
  <c r="AA184" i="1"/>
  <c r="AK184" i="1" s="1"/>
  <c r="AA194" i="1"/>
  <c r="AJ194" i="1" s="1"/>
  <c r="AC164" i="1"/>
  <c r="AE83" i="3"/>
  <c r="AG83" i="3" s="1"/>
  <c r="M6" i="9"/>
  <c r="N6" i="10"/>
  <c r="AN77" i="3"/>
  <c r="D81" i="41"/>
  <c r="P83" i="41"/>
  <c r="H79" i="41"/>
  <c r="AD53" i="5"/>
  <c r="AD42" i="5"/>
  <c r="N11" i="60"/>
  <c r="AD37" i="5"/>
  <c r="U54" i="5"/>
  <c r="U44" i="5"/>
  <c r="U47" i="4"/>
  <c r="U48" i="4" s="1"/>
  <c r="U43" i="5"/>
  <c r="E33" i="60"/>
  <c r="E53" i="60"/>
  <c r="E96" i="60"/>
  <c r="E139" i="60"/>
  <c r="E40" i="60"/>
  <c r="T8" i="10"/>
  <c r="T27" i="10" s="1"/>
  <c r="T72" i="9"/>
  <c r="Q67" i="5"/>
  <c r="CB195" i="1" l="1"/>
  <c r="K194" i="1"/>
  <c r="BE155" i="1"/>
  <c r="M183" i="1"/>
  <c r="DH196" i="1"/>
  <c r="BI155" i="1"/>
  <c r="AN82" i="3"/>
  <c r="AN159" i="3"/>
  <c r="EE233" i="1"/>
  <c r="EE243" i="1" s="1"/>
  <c r="EE244" i="1" s="1"/>
  <c r="AW16" i="5"/>
  <c r="AJ71" i="9"/>
  <c r="AG16" i="5"/>
  <c r="FZ15" i="11"/>
  <c r="FZ64" i="11" s="1"/>
  <c r="L45" i="52"/>
  <c r="Q45" i="52" s="1"/>
  <c r="Q44" i="52"/>
  <c r="S44" i="52" s="1"/>
  <c r="T44" i="52" s="1"/>
  <c r="AH87" i="9"/>
  <c r="AL22" i="11"/>
  <c r="AL26" i="11" s="1"/>
  <c r="AL32" i="11" s="1"/>
  <c r="AL57" i="11" s="1"/>
  <c r="O38" i="60"/>
  <c r="O128" i="60" s="1"/>
  <c r="O129" i="60" s="1"/>
  <c r="O190" i="60" s="1"/>
  <c r="AO14" i="11"/>
  <c r="AO16" i="11" s="1"/>
  <c r="AE18" i="5"/>
  <c r="AE13" i="5"/>
  <c r="O91" i="60"/>
  <c r="O122" i="60" s="1"/>
  <c r="CQ80" i="11"/>
  <c r="CR6" i="11"/>
  <c r="CQ81" i="11"/>
  <c r="AR68" i="11"/>
  <c r="AM58" i="11"/>
  <c r="AN22" i="11"/>
  <c r="AN56" i="11" s="1"/>
  <c r="AN53" i="11"/>
  <c r="AH21" i="11"/>
  <c r="AI41" i="11"/>
  <c r="AI10" i="11"/>
  <c r="AN62" i="11" s="1"/>
  <c r="AG10" i="11"/>
  <c r="AL62" i="11" s="1"/>
  <c r="AH18" i="11"/>
  <c r="AM65" i="11" s="1"/>
  <c r="AG18" i="11"/>
  <c r="AI42" i="11"/>
  <c r="AG41" i="11"/>
  <c r="AH24" i="11"/>
  <c r="AJ45" i="11"/>
  <c r="AO68" i="11" s="1"/>
  <c r="AB7" i="11"/>
  <c r="AG6" i="11"/>
  <c r="AJ41" i="11"/>
  <c r="AI12" i="11"/>
  <c r="AG12" i="11"/>
  <c r="AJ12" i="11"/>
  <c r="AJ24" i="11"/>
  <c r="AJ20" i="11"/>
  <c r="AI21" i="11"/>
  <c r="AG30" i="11"/>
  <c r="AI18" i="11"/>
  <c r="AG45" i="11"/>
  <c r="AL68" i="11" s="1"/>
  <c r="AH45" i="11"/>
  <c r="AM68" i="11" s="1"/>
  <c r="AG24" i="11"/>
  <c r="AI20" i="11"/>
  <c r="AH42" i="11"/>
  <c r="AJ42" i="11"/>
  <c r="AJ10" i="11"/>
  <c r="AO62" i="11" s="1"/>
  <c r="AG63" i="11"/>
  <c r="AH63" i="11"/>
  <c r="AI63" i="11"/>
  <c r="AJ30" i="11"/>
  <c r="AG20" i="11"/>
  <c r="AH17" i="11"/>
  <c r="AJ63" i="11"/>
  <c r="AH12" i="11"/>
  <c r="AI24" i="11"/>
  <c r="AJ18" i="11"/>
  <c r="AO65" i="11" s="1"/>
  <c r="AG17" i="11"/>
  <c r="AJ17" i="11"/>
  <c r="AH10" i="11"/>
  <c r="AM62" i="11" s="1"/>
  <c r="AI45" i="11"/>
  <c r="AN68" i="11" s="1"/>
  <c r="AG42" i="11"/>
  <c r="AI17" i="11"/>
  <c r="AH20" i="11"/>
  <c r="AH22" i="11" s="1"/>
  <c r="AJ21" i="11"/>
  <c r="AH41" i="11"/>
  <c r="AG21" i="11"/>
  <c r="AI30" i="11"/>
  <c r="AH30" i="11"/>
  <c r="AI36" i="11"/>
  <c r="AI34" i="11"/>
  <c r="AN66" i="11" s="1"/>
  <c r="FD7" i="11"/>
  <c r="FC41" i="11"/>
  <c r="FC43" i="11"/>
  <c r="FC42" i="11"/>
  <c r="FC45" i="11"/>
  <c r="FC68" i="11" s="1"/>
  <c r="FC63" i="11"/>
  <c r="FC17" i="11"/>
  <c r="FC71" i="11"/>
  <c r="DD41" i="11"/>
  <c r="DF12" i="11"/>
  <c r="DE10" i="11"/>
  <c r="DE58" i="11" s="1"/>
  <c r="DE21" i="11"/>
  <c r="DG20" i="11"/>
  <c r="DE12" i="11"/>
  <c r="DG63" i="11"/>
  <c r="DE63" i="11"/>
  <c r="DD15" i="11"/>
  <c r="DF17" i="11"/>
  <c r="DE17" i="11"/>
  <c r="DG17" i="11"/>
  <c r="DD10" i="11"/>
  <c r="DE30" i="11"/>
  <c r="DG30" i="11"/>
  <c r="DE20" i="11"/>
  <c r="DG43" i="11"/>
  <c r="DD20" i="11"/>
  <c r="DD21" i="11"/>
  <c r="DF41" i="11"/>
  <c r="DG15" i="11"/>
  <c r="DD17" i="11"/>
  <c r="DE43" i="11"/>
  <c r="DD6" i="11"/>
  <c r="DF30" i="11"/>
  <c r="DF43" i="11"/>
  <c r="DE24" i="11"/>
  <c r="DG21" i="11"/>
  <c r="DD12" i="11"/>
  <c r="DD14" i="11" s="1"/>
  <c r="DD51" i="11" s="1"/>
  <c r="DF24" i="11"/>
  <c r="DG42" i="11"/>
  <c r="DF21" i="11"/>
  <c r="DF63" i="11"/>
  <c r="DG12" i="11"/>
  <c r="DG10" i="11"/>
  <c r="DD43" i="11"/>
  <c r="DF15" i="11"/>
  <c r="DD42" i="11"/>
  <c r="DF20" i="11"/>
  <c r="DG18" i="11"/>
  <c r="DE15" i="11"/>
  <c r="DD35" i="11"/>
  <c r="DD34" i="11"/>
  <c r="DD37" i="11" s="1"/>
  <c r="DD30" i="11"/>
  <c r="DD24" i="11"/>
  <c r="DG41" i="11"/>
  <c r="DI7" i="11"/>
  <c r="DF42" i="11"/>
  <c r="DE41" i="11"/>
  <c r="DE42" i="11"/>
  <c r="DF18" i="11"/>
  <c r="DF10" i="11"/>
  <c r="DD63" i="11"/>
  <c r="DG24" i="11"/>
  <c r="DD45" i="11"/>
  <c r="DE18" i="11"/>
  <c r="DD18" i="11"/>
  <c r="DG35" i="11"/>
  <c r="DE35" i="11"/>
  <c r="DG45" i="11"/>
  <c r="DF45" i="11"/>
  <c r="AN58" i="11"/>
  <c r="AS68" i="11"/>
  <c r="AN52" i="11"/>
  <c r="AN14" i="11"/>
  <c r="AS62" i="11"/>
  <c r="AL81" i="11"/>
  <c r="AM6" i="11"/>
  <c r="CY81" i="11"/>
  <c r="CY80" i="11"/>
  <c r="CZ6" i="11"/>
  <c r="FQ7" i="11"/>
  <c r="FP46" i="11"/>
  <c r="FP63" i="11"/>
  <c r="FP42" i="11"/>
  <c r="FP17" i="11"/>
  <c r="FP43" i="11"/>
  <c r="FP41" i="11"/>
  <c r="FP71" i="11"/>
  <c r="DE47" i="11"/>
  <c r="FX71" i="11"/>
  <c r="AM22" i="11"/>
  <c r="AM53" i="11"/>
  <c r="AM52" i="11"/>
  <c r="AM14" i="11"/>
  <c r="AR62" i="11"/>
  <c r="AQ68" i="11"/>
  <c r="AL58" i="11"/>
  <c r="CT16" i="11"/>
  <c r="AQ62" i="11"/>
  <c r="AL52" i="11"/>
  <c r="AL14" i="11"/>
  <c r="AO53" i="11"/>
  <c r="AO22" i="11"/>
  <c r="AO58" i="11"/>
  <c r="AO52" i="11"/>
  <c r="AT62" i="11"/>
  <c r="AL53" i="11"/>
  <c r="AH34" i="11"/>
  <c r="AM66" i="11" s="1"/>
  <c r="CV6" i="11"/>
  <c r="CU81" i="11"/>
  <c r="CU80" i="11"/>
  <c r="O48" i="60"/>
  <c r="O52" i="60" s="1"/>
  <c r="G60" i="5"/>
  <c r="CQ66" i="11"/>
  <c r="CA56" i="11"/>
  <c r="L8" i="10"/>
  <c r="L27" i="10" s="1"/>
  <c r="L47" i="10" s="1"/>
  <c r="L71" i="10" s="1"/>
  <c r="V54" i="5"/>
  <c r="L72" i="9"/>
  <c r="G66" i="5"/>
  <c r="J72" i="9" s="1"/>
  <c r="O13" i="60"/>
  <c r="O34" i="60" s="1"/>
  <c r="V59" i="5"/>
  <c r="V69" i="5" s="1"/>
  <c r="V75" i="5" s="1"/>
  <c r="CF56" i="11"/>
  <c r="AT26" i="11"/>
  <c r="AT32" i="11" s="1"/>
  <c r="AT57" i="11" s="1"/>
  <c r="FX52" i="11"/>
  <c r="FX14" i="11"/>
  <c r="FX51" i="11" s="1"/>
  <c r="CE26" i="11"/>
  <c r="CE32" i="11" s="1"/>
  <c r="CE57" i="11" s="1"/>
  <c r="DU205" i="1"/>
  <c r="DV190" i="1"/>
  <c r="DV200" i="1"/>
  <c r="V57" i="5"/>
  <c r="V72" i="5" s="1"/>
  <c r="DM166" i="1"/>
  <c r="DU196" i="1"/>
  <c r="DU185" i="1"/>
  <c r="DV185" i="1" s="1"/>
  <c r="CA26" i="11"/>
  <c r="CA32" i="11" s="1"/>
  <c r="CA57" i="11" s="1"/>
  <c r="DW181" i="1"/>
  <c r="AP229" i="3"/>
  <c r="AP236" i="3" s="1"/>
  <c r="U236" i="3" s="1"/>
  <c r="AJ236" i="3" s="1"/>
  <c r="U222" i="3"/>
  <c r="AJ222" i="3" s="1"/>
  <c r="S8" i="64"/>
  <c r="S26" i="64" s="1"/>
  <c r="Y138" i="3"/>
  <c r="CF26" i="11"/>
  <c r="CF32" i="11" s="1"/>
  <c r="CF57" i="11" s="1"/>
  <c r="N57" i="5"/>
  <c r="N64" i="5" s="1"/>
  <c r="FG28" i="11" s="1"/>
  <c r="CE56" i="11"/>
  <c r="CH67" i="11"/>
  <c r="G196" i="1"/>
  <c r="H196" i="1" s="1"/>
  <c r="D41" i="4"/>
  <c r="BH26" i="11"/>
  <c r="BH32" i="11" s="1"/>
  <c r="BH57" i="11" s="1"/>
  <c r="CK166" i="1"/>
  <c r="DQ211" i="1"/>
  <c r="Y145" i="3"/>
  <c r="L191" i="1"/>
  <c r="K195" i="1"/>
  <c r="L195" i="1" s="1"/>
  <c r="H43" i="5"/>
  <c r="H47" i="4"/>
  <c r="H48" i="4" s="1"/>
  <c r="H44" i="5"/>
  <c r="DD212" i="1"/>
  <c r="DK36" i="11"/>
  <c r="DK37" i="11" s="1"/>
  <c r="CZ201" i="1"/>
  <c r="DJ35" i="11"/>
  <c r="DD201" i="1"/>
  <c r="BV56" i="11"/>
  <c r="BV26" i="11"/>
  <c r="BV32" i="11" s="1"/>
  <c r="BV57" i="11" s="1"/>
  <c r="BV55" i="11"/>
  <c r="AQ56" i="11"/>
  <c r="AQ26" i="11"/>
  <c r="AQ32" i="11" s="1"/>
  <c r="AQ57" i="11" s="1"/>
  <c r="AQ55" i="11"/>
  <c r="H211" i="1"/>
  <c r="H182" i="1"/>
  <c r="G212" i="1"/>
  <c r="H212" i="1" s="1"/>
  <c r="G186" i="1"/>
  <c r="H186" i="1" s="1"/>
  <c r="CH34" i="11"/>
  <c r="CF193" i="1"/>
  <c r="CA213" i="1"/>
  <c r="CB183" i="1"/>
  <c r="CG183" i="1"/>
  <c r="DK215" i="1"/>
  <c r="C7" i="4"/>
  <c r="H36" i="4"/>
  <c r="H12" i="4"/>
  <c r="I12" i="4"/>
  <c r="H7" i="4"/>
  <c r="H13" i="5"/>
  <c r="I13" i="5"/>
  <c r="BL180" i="1"/>
  <c r="BK210" i="1"/>
  <c r="BK36" i="11" s="1"/>
  <c r="BL55" i="11"/>
  <c r="BL56" i="11"/>
  <c r="BL26" i="11"/>
  <c r="BL32" i="11" s="1"/>
  <c r="BL57" i="11" s="1"/>
  <c r="E13" i="60"/>
  <c r="E29" i="60" s="1"/>
  <c r="CJ190" i="1"/>
  <c r="L183" i="1"/>
  <c r="K211" i="1"/>
  <c r="K185" i="1"/>
  <c r="Q185" i="1" s="1"/>
  <c r="M181" i="1"/>
  <c r="L181" i="1"/>
  <c r="H57" i="5"/>
  <c r="H64" i="5" s="1"/>
  <c r="FA28" i="11" s="1"/>
  <c r="H59" i="5"/>
  <c r="H54" i="5"/>
  <c r="DD202" i="1"/>
  <c r="DK35" i="11"/>
  <c r="AN138" i="3"/>
  <c r="AN162" i="1"/>
  <c r="AO162" i="1"/>
  <c r="AM192" i="1"/>
  <c r="AM166" i="1"/>
  <c r="AS162" i="1"/>
  <c r="AM182" i="1"/>
  <c r="AY182" i="1"/>
  <c r="AY192" i="1"/>
  <c r="BL192" i="1" s="1"/>
  <c r="AZ162" i="1"/>
  <c r="BE162" i="1"/>
  <c r="CZ180" i="1"/>
  <c r="CY200" i="1"/>
  <c r="CY210" i="1"/>
  <c r="DD210" i="1" s="1"/>
  <c r="DA180" i="1"/>
  <c r="CY186" i="1"/>
  <c r="CY185" i="1"/>
  <c r="AS26" i="11"/>
  <c r="AS32" i="11" s="1"/>
  <c r="AS57" i="11" s="1"/>
  <c r="AS56" i="11"/>
  <c r="AS55" i="11"/>
  <c r="H183" i="1"/>
  <c r="G213" i="1"/>
  <c r="BU34" i="11"/>
  <c r="BU66" i="11" s="1"/>
  <c r="BX190" i="1"/>
  <c r="BK55" i="11"/>
  <c r="BK56" i="11"/>
  <c r="BK26" i="11"/>
  <c r="BK32" i="11" s="1"/>
  <c r="BK57" i="11" s="1"/>
  <c r="O195" i="1"/>
  <c r="P195" i="1" s="1"/>
  <c r="W123" i="64"/>
  <c r="BS196" i="1"/>
  <c r="W95" i="64"/>
  <c r="W103" i="64" s="1"/>
  <c r="BT190" i="1"/>
  <c r="DA165" i="1"/>
  <c r="BS195" i="1"/>
  <c r="K213" i="1"/>
  <c r="AT56" i="11"/>
  <c r="S18" i="5"/>
  <c r="AN161" i="3"/>
  <c r="CB200" i="1"/>
  <c r="CE35" i="11"/>
  <c r="CE67" i="11" s="1"/>
  <c r="BP56" i="11"/>
  <c r="BP26" i="11"/>
  <c r="BP32" i="11" s="1"/>
  <c r="BP57" i="11" s="1"/>
  <c r="BP55" i="11"/>
  <c r="BH156" i="1"/>
  <c r="BM156" i="1"/>
  <c r="BH161" i="1"/>
  <c r="BG165" i="1"/>
  <c r="BH165" i="1" s="1"/>
  <c r="BG191" i="1"/>
  <c r="BG195" i="1" s="1"/>
  <c r="BG181" i="1"/>
  <c r="G194" i="1"/>
  <c r="EX34" i="11" s="1"/>
  <c r="EX37" i="11" s="1"/>
  <c r="H164" i="1"/>
  <c r="G184" i="1"/>
  <c r="BT180" i="1"/>
  <c r="BS210" i="1"/>
  <c r="BU36" i="11" s="1"/>
  <c r="P190" i="1"/>
  <c r="AJ180" i="1"/>
  <c r="AI210" i="1"/>
  <c r="AL36" i="11" s="1"/>
  <c r="AK180" i="1"/>
  <c r="BQ165" i="1"/>
  <c r="AO180" i="1"/>
  <c r="BX195" i="1"/>
  <c r="DE180" i="1"/>
  <c r="BM165" i="1"/>
  <c r="BL34" i="11"/>
  <c r="BL191" i="1"/>
  <c r="BP191" i="1"/>
  <c r="BK195" i="1"/>
  <c r="C13" i="5"/>
  <c r="BX210" i="1"/>
  <c r="DE165" i="1"/>
  <c r="AI185" i="1"/>
  <c r="AJ185" i="1" s="1"/>
  <c r="O196" i="1"/>
  <c r="T196" i="1" s="1"/>
  <c r="BF26" i="11"/>
  <c r="BF32" i="11" s="1"/>
  <c r="BF57" i="11" s="1"/>
  <c r="BS186" i="1"/>
  <c r="BT186" i="1" s="1"/>
  <c r="BA162" i="1"/>
  <c r="Y140" i="3"/>
  <c r="L112" i="8"/>
  <c r="L119" i="8"/>
  <c r="CQ55" i="11"/>
  <c r="CQ56" i="11"/>
  <c r="CQ26" i="11"/>
  <c r="CQ32" i="11" s="1"/>
  <c r="CQ57" i="11" s="1"/>
  <c r="CZ166" i="1"/>
  <c r="DE166" i="1"/>
  <c r="CZ190" i="1"/>
  <c r="CY196" i="1"/>
  <c r="DL196" i="1" s="1"/>
  <c r="CY195" i="1"/>
  <c r="DL195" i="1" s="1"/>
  <c r="DI34" i="11"/>
  <c r="CT55" i="11"/>
  <c r="CT26" i="11"/>
  <c r="CT32" i="11" s="1"/>
  <c r="CT57" i="11" s="1"/>
  <c r="CT56" i="11"/>
  <c r="BM155" i="1"/>
  <c r="BH155" i="1"/>
  <c r="BK211" i="1"/>
  <c r="BQ181" i="1"/>
  <c r="BK185" i="1"/>
  <c r="BL185" i="1" s="1"/>
  <c r="BM181" i="1"/>
  <c r="BL181" i="1"/>
  <c r="BR26" i="11"/>
  <c r="BR32" i="11" s="1"/>
  <c r="BR57" i="11" s="1"/>
  <c r="BR55" i="11"/>
  <c r="BR56" i="11"/>
  <c r="Q180" i="1"/>
  <c r="O210" i="1"/>
  <c r="P180" i="1"/>
  <c r="BU26" i="11"/>
  <c r="BU32" i="11" s="1"/>
  <c r="BU57" i="11" s="1"/>
  <c r="BU55" i="11"/>
  <c r="BU56" i="11"/>
  <c r="DV213" i="1"/>
  <c r="AN140" i="3"/>
  <c r="N13" i="5"/>
  <c r="AN106" i="3"/>
  <c r="AV192" i="1"/>
  <c r="BC34" i="11"/>
  <c r="BC66" i="11" s="1"/>
  <c r="M43" i="5"/>
  <c r="M44" i="5"/>
  <c r="M47" i="4"/>
  <c r="M48" i="4" s="1"/>
  <c r="BS213" i="1"/>
  <c r="BT183" i="1"/>
  <c r="J36" i="4"/>
  <c r="J12" i="4"/>
  <c r="J7" i="4"/>
  <c r="F36" i="4"/>
  <c r="G12" i="4"/>
  <c r="F7" i="4"/>
  <c r="C43" i="5"/>
  <c r="C44" i="5"/>
  <c r="C47" i="4"/>
  <c r="C48" i="4" s="1"/>
  <c r="CE186" i="1"/>
  <c r="CF186" i="1" s="1"/>
  <c r="CF180" i="1"/>
  <c r="CE185" i="1"/>
  <c r="CF185" i="1" s="1"/>
  <c r="CE210" i="1"/>
  <c r="L28" i="8"/>
  <c r="AV183" i="1"/>
  <c r="AU213" i="1"/>
  <c r="BD36" i="11" s="1"/>
  <c r="FH24" i="11"/>
  <c r="AZ154" i="1"/>
  <c r="AY164" i="1"/>
  <c r="M56" i="5"/>
  <c r="L47" i="4"/>
  <c r="L48" i="4" s="1"/>
  <c r="L43" i="5"/>
  <c r="L44" i="5"/>
  <c r="BW26" i="11"/>
  <c r="BW32" i="11" s="1"/>
  <c r="BW57" i="11" s="1"/>
  <c r="BW56" i="11"/>
  <c r="BW55" i="11"/>
  <c r="BY166" i="1"/>
  <c r="BT166" i="1"/>
  <c r="BT193" i="1"/>
  <c r="BX34" i="11"/>
  <c r="BL182" i="1"/>
  <c r="BQ182" i="1"/>
  <c r="BK186" i="1"/>
  <c r="BM182" i="1"/>
  <c r="BK212" i="1"/>
  <c r="AN154" i="1"/>
  <c r="AO154" i="1"/>
  <c r="J56" i="5"/>
  <c r="J57" i="5" s="1"/>
  <c r="J64" i="5" s="1"/>
  <c r="FC28" i="11" s="1"/>
  <c r="BX193" i="1"/>
  <c r="CC34" i="11"/>
  <c r="CB193" i="1"/>
  <c r="CP37" i="11"/>
  <c r="CP66" i="11"/>
  <c r="BU166" i="1"/>
  <c r="AN112" i="3"/>
  <c r="CK180" i="1"/>
  <c r="BD213" i="1"/>
  <c r="DW166" i="1"/>
  <c r="DR166" i="1"/>
  <c r="CK154" i="1"/>
  <c r="U56" i="5"/>
  <c r="CF154" i="1"/>
  <c r="CE204" i="1" s="1"/>
  <c r="CJ56" i="11"/>
  <c r="AR55" i="11"/>
  <c r="AR26" i="11"/>
  <c r="AR32" i="11" s="1"/>
  <c r="AR57" i="11" s="1"/>
  <c r="AR56" i="11"/>
  <c r="AL132" i="3"/>
  <c r="AJ134" i="3"/>
  <c r="AL134" i="3" s="1"/>
  <c r="L166" i="1"/>
  <c r="M166" i="1"/>
  <c r="BE154" i="1"/>
  <c r="BA182" i="1"/>
  <c r="AV182" i="1"/>
  <c r="AU212" i="1"/>
  <c r="AW182" i="1"/>
  <c r="BT192" i="1"/>
  <c r="BW34" i="11"/>
  <c r="CB66" i="11" s="1"/>
  <c r="AL158" i="3"/>
  <c r="AJ162" i="3"/>
  <c r="P13" i="5"/>
  <c r="M13" i="5"/>
  <c r="S13" i="5"/>
  <c r="S36" i="4"/>
  <c r="S12" i="4"/>
  <c r="S43" i="4" s="1"/>
  <c r="S7" i="4"/>
  <c r="S41" i="4"/>
  <c r="S24" i="4"/>
  <c r="DF34" i="11"/>
  <c r="CZ192" i="1"/>
  <c r="R47" i="4"/>
  <c r="R48" i="4" s="1"/>
  <c r="R43" i="5"/>
  <c r="R44" i="5"/>
  <c r="R36" i="4"/>
  <c r="R12" i="4"/>
  <c r="R43" i="4" s="1"/>
  <c r="R24" i="4"/>
  <c r="R25" i="4" s="1"/>
  <c r="R41" i="4"/>
  <c r="R7" i="4"/>
  <c r="BE156" i="1"/>
  <c r="BI156" i="1"/>
  <c r="BD156" i="1"/>
  <c r="BD56" i="11"/>
  <c r="BM26" i="11"/>
  <c r="BM32" i="11" s="1"/>
  <c r="BM57" i="11" s="1"/>
  <c r="BM56" i="11"/>
  <c r="BM55" i="11"/>
  <c r="AN95" i="3"/>
  <c r="AN102" i="3"/>
  <c r="AN116" i="3"/>
  <c r="S47" i="4"/>
  <c r="S48" i="4" s="1"/>
  <c r="S44" i="5"/>
  <c r="S43" i="5"/>
  <c r="F47" i="4"/>
  <c r="F48" i="4" s="1"/>
  <c r="F43" i="5"/>
  <c r="F44" i="5"/>
  <c r="Y144" i="3"/>
  <c r="Y137" i="3"/>
  <c r="X212" i="1"/>
  <c r="Y141" i="3"/>
  <c r="N36" i="4"/>
  <c r="N12" i="4"/>
  <c r="N7" i="4"/>
  <c r="CE195" i="1"/>
  <c r="CF195" i="1" s="1"/>
  <c r="CE196" i="1"/>
  <c r="CJ34" i="11"/>
  <c r="CJ37" i="11" s="1"/>
  <c r="CG185" i="1"/>
  <c r="CK155" i="1"/>
  <c r="CG155" i="1"/>
  <c r="CF155" i="1"/>
  <c r="CJ55" i="11"/>
  <c r="CJ26" i="11"/>
  <c r="CJ32" i="11" s="1"/>
  <c r="CJ57" i="11" s="1"/>
  <c r="M182" i="1"/>
  <c r="K186" i="1"/>
  <c r="L182" i="1"/>
  <c r="K212" i="1"/>
  <c r="CV166" i="1"/>
  <c r="DA166" i="1"/>
  <c r="AY166" i="1"/>
  <c r="AZ166" i="1" s="1"/>
  <c r="AY180" i="1"/>
  <c r="BA160" i="1"/>
  <c r="BE160" i="1"/>
  <c r="AY190" i="1"/>
  <c r="AZ160" i="1"/>
  <c r="AY165" i="1"/>
  <c r="AZ165" i="1" s="1"/>
  <c r="BK196" i="1"/>
  <c r="BM34" i="11"/>
  <c r="BP192" i="1"/>
  <c r="CC183" i="1"/>
  <c r="BX183" i="1"/>
  <c r="BW213" i="1"/>
  <c r="BY183" i="1"/>
  <c r="T213" i="1"/>
  <c r="X213" i="1"/>
  <c r="C36" i="4"/>
  <c r="D37" i="4" s="1"/>
  <c r="C24" i="4"/>
  <c r="D25" i="4" s="1"/>
  <c r="F91" i="60"/>
  <c r="F122" i="60" s="1"/>
  <c r="F134" i="60"/>
  <c r="F177" i="60" s="1"/>
  <c r="F48" i="60"/>
  <c r="F79" i="60" s="1"/>
  <c r="F38" i="60"/>
  <c r="O13" i="5"/>
  <c r="DH195" i="1"/>
  <c r="DV195" i="1" s="1"/>
  <c r="CE205" i="1"/>
  <c r="CJ205" i="1" s="1"/>
  <c r="CJ35" i="11"/>
  <c r="CE206" i="1"/>
  <c r="CJ206" i="1" s="1"/>
  <c r="CF200" i="1"/>
  <c r="CJ200" i="1"/>
  <c r="FO68" i="11"/>
  <c r="FO47" i="11"/>
  <c r="C91" i="60"/>
  <c r="C134" i="60"/>
  <c r="C138" i="60" s="1"/>
  <c r="C162" i="60" s="1"/>
  <c r="C48" i="60"/>
  <c r="C52" i="60" s="1"/>
  <c r="C73" i="60" s="1"/>
  <c r="C10" i="60"/>
  <c r="CV182" i="1"/>
  <c r="DA182" i="1"/>
  <c r="CU212" i="1"/>
  <c r="BX55" i="11"/>
  <c r="BX56" i="11"/>
  <c r="BX26" i="11"/>
  <c r="BX32" i="11" s="1"/>
  <c r="BX57" i="11" s="1"/>
  <c r="BZ55" i="11"/>
  <c r="BZ26" i="11"/>
  <c r="BZ32" i="11" s="1"/>
  <c r="BZ57" i="11" s="1"/>
  <c r="BZ56" i="11"/>
  <c r="R59" i="5"/>
  <c r="R54" i="5"/>
  <c r="R57" i="5"/>
  <c r="R64" i="5" s="1"/>
  <c r="FK28" i="11" s="1"/>
  <c r="AO163" i="1"/>
  <c r="AM164" i="1"/>
  <c r="AM183" i="1"/>
  <c r="AN163" i="1"/>
  <c r="AM193" i="1"/>
  <c r="CB36" i="11"/>
  <c r="C54" i="5"/>
  <c r="C57" i="5"/>
  <c r="C64" i="5" s="1"/>
  <c r="C59" i="5"/>
  <c r="N43" i="5"/>
  <c r="N44" i="5"/>
  <c r="N47" i="4"/>
  <c r="N48" i="4" s="1"/>
  <c r="AN36" i="3"/>
  <c r="CJ196" i="1"/>
  <c r="AS163" i="1"/>
  <c r="CG180" i="1"/>
  <c r="BA183" i="1"/>
  <c r="DW183" i="1"/>
  <c r="CK156" i="1"/>
  <c r="CF156" i="1"/>
  <c r="AZ193" i="1"/>
  <c r="BD34" i="11"/>
  <c r="L36" i="4"/>
  <c r="L7" i="4"/>
  <c r="FG77" i="11" s="1"/>
  <c r="L192" i="1"/>
  <c r="K196" i="1"/>
  <c r="BD55" i="11"/>
  <c r="BD26" i="11"/>
  <c r="BD32" i="11" s="1"/>
  <c r="BD57" i="11" s="1"/>
  <c r="CB37" i="11"/>
  <c r="CC56" i="11"/>
  <c r="CC55" i="11"/>
  <c r="CC26" i="11"/>
  <c r="CC32" i="11" s="1"/>
  <c r="CC57" i="11" s="1"/>
  <c r="BS212" i="1"/>
  <c r="BT182" i="1"/>
  <c r="BU182" i="1"/>
  <c r="M36" i="4"/>
  <c r="FF76" i="11" s="1"/>
  <c r="M7" i="4"/>
  <c r="M12" i="4"/>
  <c r="CU194" i="1"/>
  <c r="CU184" i="1"/>
  <c r="CV164" i="1"/>
  <c r="DA164" i="1"/>
  <c r="BC181" i="1"/>
  <c r="BE161" i="1"/>
  <c r="BC191" i="1"/>
  <c r="BI161" i="1"/>
  <c r="BD161" i="1"/>
  <c r="BC164" i="1"/>
  <c r="BC165" i="1"/>
  <c r="BC166" i="1"/>
  <c r="J44" i="5"/>
  <c r="J43" i="5"/>
  <c r="J47" i="4"/>
  <c r="J48" i="4" s="1"/>
  <c r="FL68" i="11"/>
  <c r="FK47" i="11"/>
  <c r="FK68" i="11"/>
  <c r="F57" i="5"/>
  <c r="F64" i="5" s="1"/>
  <c r="EY28" i="11" s="1"/>
  <c r="F54" i="5"/>
  <c r="F59" i="5"/>
  <c r="AL137" i="3"/>
  <c r="AJ141" i="3"/>
  <c r="AL141" i="3" s="1"/>
  <c r="AN141" i="3" s="1"/>
  <c r="L56" i="8"/>
  <c r="Y70" i="10"/>
  <c r="Y87" i="9"/>
  <c r="Y89" i="9" s="1"/>
  <c r="V36" i="4"/>
  <c r="V12" i="4"/>
  <c r="V7" i="4"/>
  <c r="CG165" i="1"/>
  <c r="CF165" i="1"/>
  <c r="CE194" i="1"/>
  <c r="FN34" i="11" s="1"/>
  <c r="FN37" i="11" s="1"/>
  <c r="CF164" i="1"/>
  <c r="CE184" i="1"/>
  <c r="AN83" i="3"/>
  <c r="DC215" i="1"/>
  <c r="X8" i="64"/>
  <c r="X26" i="64" s="1"/>
  <c r="N130" i="44"/>
  <c r="F130" i="44"/>
  <c r="E131" i="44"/>
  <c r="F229" i="44"/>
  <c r="F215" i="44"/>
  <c r="E216" i="44"/>
  <c r="AN60" i="9"/>
  <c r="AE176" i="3"/>
  <c r="AE183" i="3"/>
  <c r="DQ195" i="1"/>
  <c r="DU216" i="1"/>
  <c r="DV206" i="1"/>
  <c r="DR204" i="1"/>
  <c r="R47" i="64"/>
  <c r="R61" i="64"/>
  <c r="R65" i="64" s="1"/>
  <c r="DL183" i="1"/>
  <c r="DK213" i="1"/>
  <c r="DQ213" i="1" s="1"/>
  <c r="DR183" i="1"/>
  <c r="DV203" i="1"/>
  <c r="DV193" i="1"/>
  <c r="DP212" i="1"/>
  <c r="DV212" i="1" s="1"/>
  <c r="DQ182" i="1"/>
  <c r="DW182" i="1" s="1"/>
  <c r="DP186" i="1"/>
  <c r="DQ186" i="1" s="1"/>
  <c r="DW186" i="1" s="1"/>
  <c r="DP196" i="1"/>
  <c r="DQ196" i="1" s="1"/>
  <c r="DV192" i="1"/>
  <c r="V61" i="64"/>
  <c r="V65" i="64" s="1"/>
  <c r="V47" i="64"/>
  <c r="DR182" i="1"/>
  <c r="E244" i="44"/>
  <c r="F243" i="44"/>
  <c r="F257" i="44"/>
  <c r="AI15" i="5"/>
  <c r="AL71" i="9" s="1"/>
  <c r="AK71" i="9"/>
  <c r="N59" i="5"/>
  <c r="N69" i="5" s="1"/>
  <c r="N75" i="5" s="1"/>
  <c r="CZ213" i="1"/>
  <c r="H213" i="1"/>
  <c r="FJ36" i="11"/>
  <c r="BT214" i="1"/>
  <c r="BP214" i="1"/>
  <c r="FJ37" i="11"/>
  <c r="FJ66" i="11"/>
  <c r="AB211" i="1"/>
  <c r="AH36" i="11"/>
  <c r="CQ36" i="11"/>
  <c r="CJ212" i="1"/>
  <c r="DI184" i="1"/>
  <c r="DV196" i="1"/>
  <c r="FX45" i="11"/>
  <c r="FX58" i="11" s="1"/>
  <c r="CF67" i="11"/>
  <c r="AN48" i="3"/>
  <c r="AN41" i="3"/>
  <c r="AE43" i="3"/>
  <c r="AE50" i="3"/>
  <c r="AE44" i="5"/>
  <c r="AE47" i="4"/>
  <c r="AE48" i="4" s="1"/>
  <c r="AE43" i="5"/>
  <c r="O33" i="60"/>
  <c r="O168" i="60" s="1"/>
  <c r="O166" i="60" s="1"/>
  <c r="O40" i="60"/>
  <c r="P40" i="60"/>
  <c r="Y200" i="3"/>
  <c r="S57" i="5"/>
  <c r="S72" i="5" s="1"/>
  <c r="DD184" i="1"/>
  <c r="DC194" i="1"/>
  <c r="DC214" i="1"/>
  <c r="DH214" i="1" s="1"/>
  <c r="DC204" i="1"/>
  <c r="DD204" i="1" s="1"/>
  <c r="AN134" i="3"/>
  <c r="S59" i="5"/>
  <c r="S69" i="5" s="1"/>
  <c r="DL184" i="1"/>
  <c r="DK214" i="1"/>
  <c r="DL214" i="1" s="1"/>
  <c r="S66" i="5"/>
  <c r="V8" i="10" s="1"/>
  <c r="V27" i="10" s="1"/>
  <c r="V61" i="10" s="1"/>
  <c r="V65" i="10" s="1"/>
  <c r="FV35" i="11"/>
  <c r="FV67" i="11" s="1"/>
  <c r="H15" i="52"/>
  <c r="H19" i="52" s="1"/>
  <c r="CA37" i="11"/>
  <c r="CA66" i="11"/>
  <c r="EW34" i="11"/>
  <c r="H194" i="1"/>
  <c r="E62" i="64"/>
  <c r="F60" i="64" s="1"/>
  <c r="F62" i="64" s="1"/>
  <c r="G60" i="64" s="1"/>
  <c r="G62" i="64" s="1"/>
  <c r="H60" i="64" s="1"/>
  <c r="H62" i="64" s="1"/>
  <c r="E65" i="64"/>
  <c r="DU215" i="1"/>
  <c r="DV211" i="1"/>
  <c r="CF36" i="11"/>
  <c r="CB211" i="1"/>
  <c r="DH206" i="1"/>
  <c r="K214" i="1"/>
  <c r="M184" i="1"/>
  <c r="L184" i="1"/>
  <c r="DE36" i="11"/>
  <c r="CZ211" i="1"/>
  <c r="CU215" i="1"/>
  <c r="BW216" i="1"/>
  <c r="CA36" i="11"/>
  <c r="BX211" i="1"/>
  <c r="BW215" i="1"/>
  <c r="FL34" i="11"/>
  <c r="BX194" i="1"/>
  <c r="C215" i="1"/>
  <c r="H215" i="1" s="1"/>
  <c r="H210" i="1"/>
  <c r="C216" i="1"/>
  <c r="BT211" i="1"/>
  <c r="BV36" i="11"/>
  <c r="BW214" i="1"/>
  <c r="BX184" i="1"/>
  <c r="BY184" i="1"/>
  <c r="X211" i="1"/>
  <c r="AN36" i="11"/>
  <c r="AJ212" i="1"/>
  <c r="BT194" i="1"/>
  <c r="FK34" i="11"/>
  <c r="AX37" i="11"/>
  <c r="C147" i="60"/>
  <c r="C61" i="60"/>
  <c r="C104" i="60"/>
  <c r="DA186" i="1"/>
  <c r="CV186" i="1"/>
  <c r="BY185" i="1"/>
  <c r="BX185" i="1"/>
  <c r="BX196" i="1"/>
  <c r="AM37" i="11"/>
  <c r="I185" i="1"/>
  <c r="D185" i="1"/>
  <c r="AV210" i="1"/>
  <c r="BA36" i="11"/>
  <c r="AX36" i="11"/>
  <c r="T212" i="1"/>
  <c r="J61" i="64"/>
  <c r="J65" i="64" s="1"/>
  <c r="J47" i="64"/>
  <c r="CB205" i="1"/>
  <c r="DH205" i="1"/>
  <c r="AM36" i="11"/>
  <c r="AJ211" i="1"/>
  <c r="AI216" i="1"/>
  <c r="AN211" i="1"/>
  <c r="DH210" i="1"/>
  <c r="DL210" i="1"/>
  <c r="C214" i="1"/>
  <c r="I184" i="1"/>
  <c r="D184" i="1"/>
  <c r="DV205" i="1"/>
  <c r="Z72" i="5"/>
  <c r="CZ204" i="1"/>
  <c r="BT184" i="1"/>
  <c r="BU184" i="1"/>
  <c r="L213" i="1"/>
  <c r="P213" i="1"/>
  <c r="EY34" i="11"/>
  <c r="L194" i="1"/>
  <c r="BX186" i="1"/>
  <c r="BY186" i="1"/>
  <c r="CK66" i="11"/>
  <c r="CF37" i="11"/>
  <c r="CF66" i="11"/>
  <c r="D186" i="1"/>
  <c r="I186" i="1"/>
  <c r="BV37" i="11"/>
  <c r="BV66" i="11"/>
  <c r="Y201" i="3"/>
  <c r="F299" i="44"/>
  <c r="E300" i="44"/>
  <c r="D81" i="60"/>
  <c r="S61" i="10"/>
  <c r="S65" i="10" s="1"/>
  <c r="Q70" i="5"/>
  <c r="Q47" i="10"/>
  <c r="Q71" i="10" s="1"/>
  <c r="D182" i="60"/>
  <c r="N52" i="60"/>
  <c r="N73" i="60" s="1"/>
  <c r="AJ47" i="5"/>
  <c r="AI48" i="5"/>
  <c r="GB20" i="11"/>
  <c r="R57" i="60"/>
  <c r="R100" i="60"/>
  <c r="R143" i="60"/>
  <c r="T61" i="64"/>
  <c r="T65" i="64" s="1"/>
  <c r="T47" i="64"/>
  <c r="DV210" i="1"/>
  <c r="DP215" i="1"/>
  <c r="DQ210" i="1"/>
  <c r="DR185" i="1"/>
  <c r="DQ185" i="1"/>
  <c r="DW185" i="1" s="1"/>
  <c r="DH213" i="1"/>
  <c r="AE85" i="3"/>
  <c r="AG85" i="3" s="1"/>
  <c r="O53" i="60"/>
  <c r="P81" i="60" s="1"/>
  <c r="O96" i="60"/>
  <c r="P124" i="60" s="1"/>
  <c r="N95" i="60"/>
  <c r="N53" i="60"/>
  <c r="N96" i="60"/>
  <c r="N158" i="60"/>
  <c r="CC185" i="1"/>
  <c r="CB185" i="1"/>
  <c r="CE37" i="11"/>
  <c r="CE66" i="11"/>
  <c r="CE36" i="11"/>
  <c r="CA215" i="1"/>
  <c r="CB215" i="1" s="1"/>
  <c r="CB210" i="1"/>
  <c r="AJ81" i="9"/>
  <c r="BX37" i="6"/>
  <c r="GA41" i="11"/>
  <c r="N63" i="52" s="1"/>
  <c r="AI78" i="5"/>
  <c r="S26" i="60" s="1"/>
  <c r="P154" i="60"/>
  <c r="P156" i="60"/>
  <c r="Q155" i="60"/>
  <c r="Q153" i="60" s="1"/>
  <c r="AJ28" i="5"/>
  <c r="AK28" i="5" s="1"/>
  <c r="AY56" i="11"/>
  <c r="R119" i="41"/>
  <c r="D117" i="41"/>
  <c r="E116" i="41"/>
  <c r="AC9" i="4"/>
  <c r="U211" i="3"/>
  <c r="AQ211" i="3"/>
  <c r="AL202" i="3"/>
  <c r="H114" i="41"/>
  <c r="I113" i="41"/>
  <c r="H80" i="41"/>
  <c r="M6" i="10"/>
  <c r="L6" i="9"/>
  <c r="N156" i="60"/>
  <c r="N154" i="60"/>
  <c r="AV66" i="11"/>
  <c r="AQ66" i="11"/>
  <c r="AQ37" i="11"/>
  <c r="B54" i="5"/>
  <c r="B59" i="5"/>
  <c r="B57" i="5"/>
  <c r="B64" i="5" s="1"/>
  <c r="K115" i="41"/>
  <c r="L114" i="41"/>
  <c r="O164" i="60"/>
  <c r="O162" i="60" s="1"/>
  <c r="EY72" i="11"/>
  <c r="EY80" i="11" s="1"/>
  <c r="G14" i="4"/>
  <c r="U75" i="41"/>
  <c r="U76" i="41" s="1"/>
  <c r="G178" i="60"/>
  <c r="G123" i="60"/>
  <c r="G80" i="60"/>
  <c r="AQ214" i="1"/>
  <c r="AR184" i="1"/>
  <c r="O44" i="5"/>
  <c r="O47" i="4"/>
  <c r="O48" i="4" s="1"/>
  <c r="O43" i="5"/>
  <c r="N42" i="41"/>
  <c r="N44" i="41" s="1"/>
  <c r="N45" i="41" s="1"/>
  <c r="FM72" i="11"/>
  <c r="FM80" i="11" s="1"/>
  <c r="U14" i="4"/>
  <c r="AT6" i="11"/>
  <c r="AT81" i="11" s="1"/>
  <c r="AS81" i="11"/>
  <c r="E138" i="41"/>
  <c r="E15" i="41"/>
  <c r="E66" i="41"/>
  <c r="D3" i="41"/>
  <c r="E35" i="41"/>
  <c r="E22" i="41"/>
  <c r="E102" i="41"/>
  <c r="AE71" i="3"/>
  <c r="AG71" i="3" s="1"/>
  <c r="AL71" i="3"/>
  <c r="AN71" i="3" s="1"/>
  <c r="X107" i="41"/>
  <c r="Y72" i="41"/>
  <c r="K203" i="3"/>
  <c r="K204" i="3"/>
  <c r="V118" i="8"/>
  <c r="X118" i="8" s="1"/>
  <c r="Z118" i="8" s="1"/>
  <c r="F13" i="60"/>
  <c r="F139" i="60"/>
  <c r="F96" i="60"/>
  <c r="F33" i="60"/>
  <c r="F53" i="60"/>
  <c r="AC186" i="1"/>
  <c r="AB186" i="1"/>
  <c r="AK186" i="1"/>
  <c r="E44" i="5"/>
  <c r="E43" i="5"/>
  <c r="E47" i="4"/>
  <c r="E48" i="4" s="1"/>
  <c r="BH183" i="1"/>
  <c r="BI183" i="1"/>
  <c r="BG213" i="1"/>
  <c r="BH213" i="1" s="1"/>
  <c r="AD24" i="6"/>
  <c r="AD18" i="6"/>
  <c r="AD36" i="6" s="1"/>
  <c r="AD42" i="6" s="1"/>
  <c r="AD48" i="6" s="1"/>
  <c r="AD30" i="6"/>
  <c r="O80" i="41"/>
  <c r="Y8" i="10"/>
  <c r="Y72" i="9"/>
  <c r="V67" i="5"/>
  <c r="AW66" i="11"/>
  <c r="AW37" i="11"/>
  <c r="L109" i="64"/>
  <c r="K110" i="64"/>
  <c r="DH185" i="1"/>
  <c r="DM185" i="1"/>
  <c r="DI185" i="1"/>
  <c r="AB71" i="9"/>
  <c r="Y16" i="5"/>
  <c r="Y17" i="5"/>
  <c r="Y23" i="5"/>
  <c r="I67" i="60"/>
  <c r="I110" i="60" s="1"/>
  <c r="I153" i="60"/>
  <c r="Y29" i="5"/>
  <c r="H100" i="60"/>
  <c r="H57" i="60"/>
  <c r="H143" i="60"/>
  <c r="P185" i="1"/>
  <c r="AB109" i="8"/>
  <c r="AD109" i="8" s="1"/>
  <c r="AF109" i="8" s="1"/>
  <c r="T194" i="1"/>
  <c r="X194" i="1"/>
  <c r="FA34" i="11"/>
  <c r="AF108" i="8"/>
  <c r="AF115" i="8"/>
  <c r="I62" i="64"/>
  <c r="I65" i="64"/>
  <c r="E24" i="81"/>
  <c r="I24" i="81"/>
  <c r="F24" i="81"/>
  <c r="D24" i="81"/>
  <c r="H24" i="81"/>
  <c r="J24" i="81"/>
  <c r="G24" i="81"/>
  <c r="C24" i="81"/>
  <c r="K54" i="5"/>
  <c r="L61" i="8"/>
  <c r="L68" i="8"/>
  <c r="CC36" i="1"/>
  <c r="CG36" i="1"/>
  <c r="T11" i="4"/>
  <c r="T32" i="5"/>
  <c r="T40" i="5"/>
  <c r="T26" i="5"/>
  <c r="U8" i="5"/>
  <c r="T23" i="5"/>
  <c r="D6" i="60"/>
  <c r="T12" i="5"/>
  <c r="T29" i="5"/>
  <c r="T17" i="5"/>
  <c r="W69" i="9"/>
  <c r="T8" i="5"/>
  <c r="T42" i="5"/>
  <c r="T53" i="5"/>
  <c r="T37" i="5"/>
  <c r="P155" i="3"/>
  <c r="AG155" i="3"/>
  <c r="CC34" i="1"/>
  <c r="CG34" i="1"/>
  <c r="O81" i="41"/>
  <c r="F285" i="44"/>
  <c r="E272" i="44"/>
  <c r="F271" i="44"/>
  <c r="AJ37" i="11"/>
  <c r="Q61" i="64"/>
  <c r="Q65" i="64" s="1"/>
  <c r="Q47" i="64"/>
  <c r="CJ186" i="1"/>
  <c r="N112" i="41"/>
  <c r="M113" i="41"/>
  <c r="M79" i="41"/>
  <c r="L203" i="3"/>
  <c r="W203" i="3" s="1"/>
  <c r="AY34" i="11"/>
  <c r="AV193" i="1"/>
  <c r="AY55" i="11"/>
  <c r="AY26" i="11"/>
  <c r="AY32" i="11" s="1"/>
  <c r="AY57" i="11" s="1"/>
  <c r="AJ195" i="1"/>
  <c r="AB195" i="1"/>
  <c r="T112" i="41"/>
  <c r="T111" i="41"/>
  <c r="X103" i="41"/>
  <c r="X104" i="41"/>
  <c r="X105" i="41"/>
  <c r="BH182" i="1"/>
  <c r="BG212" i="1"/>
  <c r="BI182" i="1"/>
  <c r="BG186" i="1"/>
  <c r="AL85" i="3"/>
  <c r="N50" i="3"/>
  <c r="P50" i="3" s="1"/>
  <c r="W50" i="3"/>
  <c r="Y50" i="3" s="1"/>
  <c r="AV155" i="1"/>
  <c r="AW155" i="1"/>
  <c r="BA155" i="1"/>
  <c r="AW156" i="1"/>
  <c r="BA156" i="1"/>
  <c r="AV156" i="1"/>
  <c r="BP195" i="1"/>
  <c r="BT195" i="1"/>
  <c r="X195" i="1"/>
  <c r="T195" i="1"/>
  <c r="L89" i="41"/>
  <c r="N33" i="60"/>
  <c r="N168" i="60" s="1"/>
  <c r="N166" i="60" s="1"/>
  <c r="D116" i="41"/>
  <c r="E115" i="41"/>
  <c r="E75" i="9"/>
  <c r="E79" i="9" s="1"/>
  <c r="E76" i="9"/>
  <c r="E80" i="9" s="1"/>
  <c r="B24" i="4"/>
  <c r="C41" i="4"/>
  <c r="C12" i="4"/>
  <c r="C43" i="4" s="1"/>
  <c r="B7" i="4"/>
  <c r="X123" i="64"/>
  <c r="X95" i="64"/>
  <c r="X103" i="64" s="1"/>
  <c r="X122" i="64"/>
  <c r="P153" i="3"/>
  <c r="AG153" i="3"/>
  <c r="DL212" i="1"/>
  <c r="DK216" i="1"/>
  <c r="O54" i="5"/>
  <c r="O59" i="5"/>
  <c r="T19" i="4"/>
  <c r="T33" i="4"/>
  <c r="H11" i="60"/>
  <c r="C119" i="41"/>
  <c r="C85" i="41"/>
  <c r="J207" i="3"/>
  <c r="E148" i="44"/>
  <c r="F147" i="44"/>
  <c r="AA215" i="1"/>
  <c r="AJ210" i="1"/>
  <c r="AA216" i="1"/>
  <c r="AB210" i="1"/>
  <c r="AG36" i="11"/>
  <c r="E57" i="5"/>
  <c r="E64" i="5" s="1"/>
  <c r="EX28" i="11" s="1"/>
  <c r="E59" i="5"/>
  <c r="E54" i="5"/>
  <c r="E13" i="5"/>
  <c r="F13" i="5"/>
  <c r="K81" i="41"/>
  <c r="AG61" i="10"/>
  <c r="AG65" i="10" s="1"/>
  <c r="AG47" i="10"/>
  <c r="AG71" i="10" s="1"/>
  <c r="CA116" i="1"/>
  <c r="CB106" i="1"/>
  <c r="CC106" i="1"/>
  <c r="CG106" i="1"/>
  <c r="AN89" i="3"/>
  <c r="AN96" i="3"/>
  <c r="K47" i="64"/>
  <c r="K61" i="64"/>
  <c r="K65" i="64" s="1"/>
  <c r="Y36" i="5"/>
  <c r="Y53" i="5" s="1"/>
  <c r="Y57" i="5" s="1"/>
  <c r="AB67" i="10"/>
  <c r="Y26" i="5"/>
  <c r="I101" i="60"/>
  <c r="I144" i="60"/>
  <c r="I58" i="60"/>
  <c r="AB69" i="9"/>
  <c r="Y11" i="4"/>
  <c r="I6" i="60"/>
  <c r="U186" i="1"/>
  <c r="T186" i="1"/>
  <c r="Y186" i="1"/>
  <c r="Q186" i="1"/>
  <c r="P186" i="1"/>
  <c r="T184" i="1"/>
  <c r="S214" i="1"/>
  <c r="U184" i="1"/>
  <c r="Y184" i="1"/>
  <c r="AE194" i="3"/>
  <c r="AG194" i="3" s="1"/>
  <c r="AL194" i="3"/>
  <c r="X43" i="64"/>
  <c r="I83" i="41"/>
  <c r="C86" i="41"/>
  <c r="C121" i="41" s="1"/>
  <c r="K36" i="4"/>
  <c r="K12" i="4"/>
  <c r="K7" i="4"/>
  <c r="L12" i="4"/>
  <c r="AN154" i="3"/>
  <c r="AN147" i="3"/>
  <c r="U148" i="3"/>
  <c r="W148" i="3" s="1"/>
  <c r="D63" i="8"/>
  <c r="CC84" i="1"/>
  <c r="CG84" i="1"/>
  <c r="P148" i="3"/>
  <c r="AG148" i="3"/>
  <c r="CG24" i="1"/>
  <c r="CC24" i="1"/>
  <c r="DQ154" i="1"/>
  <c r="DP204" i="1" s="1"/>
  <c r="DP164" i="1"/>
  <c r="DQ144" i="1"/>
  <c r="DR144" i="1"/>
  <c r="DW144" i="1"/>
  <c r="AJ207" i="3"/>
  <c r="K56" i="5"/>
  <c r="K57" i="5" s="1"/>
  <c r="K64" i="5" s="1"/>
  <c r="FD28" i="11" s="1"/>
  <c r="AR154" i="1"/>
  <c r="AS154" i="1"/>
  <c r="AN43" i="3"/>
  <c r="W60" i="41"/>
  <c r="X61" i="41"/>
  <c r="CC146" i="1"/>
  <c r="CG146" i="1"/>
  <c r="CB146" i="1"/>
  <c r="CA154" i="1"/>
  <c r="CA164" i="1" s="1"/>
  <c r="CG24" i="11"/>
  <c r="CA156" i="1"/>
  <c r="CB152" i="1"/>
  <c r="CA202" i="1" s="1"/>
  <c r="CC152" i="1"/>
  <c r="CG152" i="1"/>
  <c r="CI214" i="1"/>
  <c r="CJ184" i="1"/>
  <c r="CK184" i="1"/>
  <c r="BG184" i="1"/>
  <c r="BM164" i="1"/>
  <c r="BG194" i="1"/>
  <c r="BH164" i="1"/>
  <c r="K195" i="3"/>
  <c r="K196" i="3"/>
  <c r="L196" i="3"/>
  <c r="L197" i="3" s="1"/>
  <c r="V110" i="8"/>
  <c r="X110" i="8" s="1"/>
  <c r="Z110" i="8" s="1"/>
  <c r="AL200" i="3"/>
  <c r="AE201" i="3"/>
  <c r="AG201" i="3" s="1"/>
  <c r="AL201" i="3"/>
  <c r="BP37" i="11"/>
  <c r="BP66" i="11"/>
  <c r="O214" i="1"/>
  <c r="P184" i="1"/>
  <c r="Q184" i="1"/>
  <c r="P200" i="3"/>
  <c r="S15" i="41"/>
  <c r="S22" i="41"/>
  <c r="S102" i="41"/>
  <c r="S138" i="41"/>
  <c r="S35" i="41"/>
  <c r="T3" i="41"/>
  <c r="S66" i="41"/>
  <c r="N85" i="41"/>
  <c r="J88" i="41"/>
  <c r="AD44" i="5"/>
  <c r="FW45" i="11"/>
  <c r="FW18" i="11"/>
  <c r="FX65" i="11" s="1"/>
  <c r="AD43" i="5"/>
  <c r="AD47" i="4"/>
  <c r="AD48" i="4" s="1"/>
  <c r="AB194" i="1"/>
  <c r="FC34" i="11"/>
  <c r="N32" i="60"/>
  <c r="N164" i="60" s="1"/>
  <c r="N162" i="60" s="1"/>
  <c r="N13" i="60"/>
  <c r="E87" i="41"/>
  <c r="AN35" i="3"/>
  <c r="AN42" i="3"/>
  <c r="U109" i="41"/>
  <c r="V108" i="41"/>
  <c r="O114" i="41"/>
  <c r="P113" i="41"/>
  <c r="O82" i="41"/>
  <c r="AB213" i="1"/>
  <c r="AJ36" i="11"/>
  <c r="P84" i="41"/>
  <c r="CO37" i="11"/>
  <c r="CT66" i="11"/>
  <c r="AR185" i="1"/>
  <c r="AS185" i="1"/>
  <c r="AW36" i="11"/>
  <c r="AR211" i="1"/>
  <c r="AQ215" i="1"/>
  <c r="AQ216" i="1"/>
  <c r="O7" i="4"/>
  <c r="O12" i="4"/>
  <c r="P12" i="4"/>
  <c r="O36" i="4"/>
  <c r="O57" i="5"/>
  <c r="O64" i="5" s="1"/>
  <c r="FH28" i="11" s="1"/>
  <c r="H97" i="60"/>
  <c r="H140" i="60"/>
  <c r="H54" i="60"/>
  <c r="R118" i="41"/>
  <c r="H93" i="60"/>
  <c r="H50" i="60"/>
  <c r="H136" i="60"/>
  <c r="V47" i="4"/>
  <c r="V48" i="4" s="1"/>
  <c r="V44" i="5"/>
  <c r="V43" i="5"/>
  <c r="O154" i="60"/>
  <c r="O156" i="60"/>
  <c r="T79" i="41"/>
  <c r="S79" i="41"/>
  <c r="T113" i="41" s="1"/>
  <c r="CG22" i="11"/>
  <c r="CG65" i="11"/>
  <c r="CL65" i="11"/>
  <c r="CG53" i="11"/>
  <c r="CG58" i="11"/>
  <c r="CG68" i="11"/>
  <c r="CL68" i="11"/>
  <c r="F114" i="41"/>
  <c r="F80" i="41"/>
  <c r="J121" i="41"/>
  <c r="J89" i="41"/>
  <c r="J124" i="41" s="1"/>
  <c r="J27" i="41"/>
  <c r="N47" i="64"/>
  <c r="N61" i="64"/>
  <c r="N65" i="64" s="1"/>
  <c r="DH186" i="1"/>
  <c r="DI186" i="1"/>
  <c r="AB30" i="4"/>
  <c r="AA203" i="3"/>
  <c r="AB118" i="8" s="1"/>
  <c r="AD118" i="8" s="1"/>
  <c r="AF118" i="8" s="1"/>
  <c r="E321" i="44"/>
  <c r="F318" i="44"/>
  <c r="I12" i="60"/>
  <c r="Y40" i="5"/>
  <c r="Z5" i="4"/>
  <c r="Z25" i="5"/>
  <c r="Z62" i="5"/>
  <c r="Z15" i="5"/>
  <c r="Z78" i="5"/>
  <c r="Z7" i="5"/>
  <c r="AM7" i="5" s="1"/>
  <c r="Z50" i="5"/>
  <c r="J16" i="60" s="1"/>
  <c r="Z34" i="5"/>
  <c r="Z56" i="5"/>
  <c r="Z31" i="5"/>
  <c r="Z11" i="5"/>
  <c r="AM11" i="5" s="1"/>
  <c r="Z28" i="5"/>
  <c r="AA5" i="5"/>
  <c r="Z47" i="5"/>
  <c r="Z39" i="5"/>
  <c r="I19" i="60"/>
  <c r="Y39" i="4"/>
  <c r="T185" i="1"/>
  <c r="U185" i="1"/>
  <c r="Y185" i="1"/>
  <c r="BQ185" i="1"/>
  <c r="BU185" i="1"/>
  <c r="BP185" i="1"/>
  <c r="F65" i="64"/>
  <c r="AE193" i="3"/>
  <c r="AG193" i="3" s="1"/>
  <c r="AL193" i="3"/>
  <c r="AE200" i="3"/>
  <c r="AG200" i="3" s="1"/>
  <c r="W43" i="64"/>
  <c r="AE6" i="9"/>
  <c r="AD6" i="10"/>
  <c r="T80" i="41"/>
  <c r="K43" i="5"/>
  <c r="K44" i="5"/>
  <c r="K47" i="4"/>
  <c r="K48" i="4" s="1"/>
  <c r="AJ203" i="3"/>
  <c r="W146" i="3"/>
  <c r="AJ146" i="3"/>
  <c r="CG86" i="1"/>
  <c r="CC86" i="1"/>
  <c r="CC144" i="1"/>
  <c r="CB144" i="1"/>
  <c r="CG144" i="1"/>
  <c r="CA114" i="1"/>
  <c r="FM45" i="11" s="1"/>
  <c r="CB104" i="1"/>
  <c r="CC104" i="1"/>
  <c r="CG104" i="1"/>
  <c r="AL63" i="8"/>
  <c r="CJ185" i="1"/>
  <c r="N195" i="3"/>
  <c r="P195" i="3" s="1"/>
  <c r="W195" i="3"/>
  <c r="DR84" i="1"/>
  <c r="DW84" i="1"/>
  <c r="AQ213" i="1"/>
  <c r="AR183" i="1"/>
  <c r="AW183" i="1"/>
  <c r="AG37" i="11"/>
  <c r="AL66" i="11"/>
  <c r="AB196" i="1"/>
  <c r="AJ196" i="1"/>
  <c r="AN99" i="3"/>
  <c r="AM215" i="1"/>
  <c r="AN210" i="1"/>
  <c r="AQ36" i="11"/>
  <c r="AR210" i="1"/>
  <c r="AE54" i="5"/>
  <c r="AE66" i="5"/>
  <c r="AH8" i="10" s="1"/>
  <c r="AE57" i="5"/>
  <c r="AE64" i="5"/>
  <c r="FX28" i="11" s="1"/>
  <c r="AE59" i="5"/>
  <c r="V74" i="41"/>
  <c r="AJ213" i="1"/>
  <c r="BB26" i="11"/>
  <c r="BB32" i="11" s="1"/>
  <c r="BB57" i="11" s="1"/>
  <c r="BB56" i="11"/>
  <c r="L56" i="5"/>
  <c r="AV154" i="1"/>
  <c r="AW154" i="1"/>
  <c r="BA154" i="1"/>
  <c r="BP196" i="1"/>
  <c r="BT196" i="1"/>
  <c r="P194" i="1"/>
  <c r="EZ34" i="11"/>
  <c r="P193" i="3"/>
  <c r="Q86" i="41"/>
  <c r="FX53" i="11"/>
  <c r="FX54" i="11"/>
  <c r="FX22" i="11"/>
  <c r="AD54" i="5"/>
  <c r="AD57" i="5"/>
  <c r="AD66" i="5"/>
  <c r="AD59" i="5"/>
  <c r="AA214" i="1"/>
  <c r="AJ214" i="1" s="1"/>
  <c r="AC184" i="1"/>
  <c r="AB184" i="1"/>
  <c r="B47" i="4"/>
  <c r="B48" i="4" s="1"/>
  <c r="B43" i="5"/>
  <c r="EW76" i="11"/>
  <c r="F19" i="4"/>
  <c r="F24" i="4"/>
  <c r="F33" i="4"/>
  <c r="CG51" i="11"/>
  <c r="CG16" i="11"/>
  <c r="AH30" i="6"/>
  <c r="AH24" i="6"/>
  <c r="AH18" i="6"/>
  <c r="AH36" i="6" s="1"/>
  <c r="AH42" i="6" s="1"/>
  <c r="AH48" i="6" s="1"/>
  <c r="DL186" i="1"/>
  <c r="DM186" i="1"/>
  <c r="AR186" i="1"/>
  <c r="X9" i="5"/>
  <c r="H39" i="60"/>
  <c r="AU191" i="1"/>
  <c r="AU165" i="1"/>
  <c r="BA161" i="1"/>
  <c r="AU164" i="1"/>
  <c r="AU181" i="1"/>
  <c r="AU166" i="1"/>
  <c r="AV161" i="1"/>
  <c r="AW161" i="1"/>
  <c r="AA76" i="9"/>
  <c r="AA80" i="9" s="1"/>
  <c r="AA75" i="9"/>
  <c r="AA79" i="9" s="1"/>
  <c r="D83" i="41"/>
  <c r="AN91" i="3"/>
  <c r="AC185" i="1"/>
  <c r="AK185" i="1"/>
  <c r="AB185" i="1"/>
  <c r="AE78" i="3"/>
  <c r="AG78" i="3" s="1"/>
  <c r="AL78" i="3"/>
  <c r="E36" i="4"/>
  <c r="E7" i="4"/>
  <c r="E41" i="4"/>
  <c r="F12" i="4"/>
  <c r="F41" i="4"/>
  <c r="E24" i="4"/>
  <c r="E25" i="4" s="1"/>
  <c r="E12" i="4"/>
  <c r="E43" i="4" s="1"/>
  <c r="AM60" i="9"/>
  <c r="D66" i="5"/>
  <c r="D69" i="5"/>
  <c r="D60" i="5"/>
  <c r="G82" i="41"/>
  <c r="P146" i="3"/>
  <c r="AG146" i="3"/>
  <c r="AR195" i="1"/>
  <c r="K114" i="41"/>
  <c r="L113" i="41"/>
  <c r="DG216" i="1"/>
  <c r="DH211" i="1"/>
  <c r="DG215" i="1"/>
  <c r="DL211" i="1"/>
  <c r="AB117" i="8"/>
  <c r="AD117" i="8" s="1"/>
  <c r="I28" i="60"/>
  <c r="I69" i="60" s="1"/>
  <c r="I112" i="60" s="1"/>
  <c r="Y32" i="5"/>
  <c r="I8" i="60"/>
  <c r="AB70" i="9"/>
  <c r="Y12" i="5"/>
  <c r="Y48" i="5"/>
  <c r="I15" i="60"/>
  <c r="AA85" i="9"/>
  <c r="AA81" i="9"/>
  <c r="S215" i="1"/>
  <c r="S216" i="1"/>
  <c r="X210" i="1"/>
  <c r="T210" i="1"/>
  <c r="BQ186" i="1"/>
  <c r="BP186" i="1"/>
  <c r="BT210" i="1"/>
  <c r="BP36" i="11"/>
  <c r="BO216" i="1"/>
  <c r="BO215" i="1"/>
  <c r="T211" i="1"/>
  <c r="P211" i="1"/>
  <c r="O216" i="1"/>
  <c r="O215" i="1"/>
  <c r="AA195" i="3"/>
  <c r="AC195" i="3" s="1"/>
  <c r="E114" i="41"/>
  <c r="D115" i="41"/>
  <c r="F66" i="52"/>
  <c r="H66" i="52"/>
  <c r="J66" i="52" s="1"/>
  <c r="F201" i="44"/>
  <c r="E188" i="44"/>
  <c r="L13" i="5"/>
  <c r="K13" i="5"/>
  <c r="AP217" i="3"/>
  <c r="AP218" i="3" s="1"/>
  <c r="U210" i="3"/>
  <c r="CC26" i="1"/>
  <c r="CG26" i="1"/>
  <c r="O83" i="41"/>
  <c r="G40" i="60"/>
  <c r="S61" i="64"/>
  <c r="S65" i="64" s="1"/>
  <c r="S47" i="64"/>
  <c r="CI216" i="1"/>
  <c r="CJ210" i="1"/>
  <c r="CI215" i="1"/>
  <c r="CO36" i="11"/>
  <c r="CN210" i="1"/>
  <c r="EX75" i="11"/>
  <c r="E34" i="4"/>
  <c r="AP221" i="3"/>
  <c r="U214" i="3"/>
  <c r="R90" i="41"/>
  <c r="AN185" i="1"/>
  <c r="AO185" i="1"/>
  <c r="Z116" i="8"/>
  <c r="Y39" i="41"/>
  <c r="Z38" i="41"/>
  <c r="Z39" i="41" s="1"/>
  <c r="CA162" i="1"/>
  <c r="CJ194" i="1"/>
  <c r="FO34" i="11"/>
  <c r="BH166" i="1"/>
  <c r="BI166" i="1"/>
  <c r="BM166" i="1"/>
  <c r="BH192" i="1"/>
  <c r="L57" i="3"/>
  <c r="J63" i="3"/>
  <c r="Q117" i="41"/>
  <c r="P85" i="41"/>
  <c r="K82" i="41"/>
  <c r="FD36" i="11"/>
  <c r="X196" i="1"/>
  <c r="E74" i="60"/>
  <c r="E55" i="60"/>
  <c r="E81" i="60"/>
  <c r="E166" i="60"/>
  <c r="E141" i="60"/>
  <c r="E182" i="60"/>
  <c r="E98" i="60"/>
  <c r="E117" i="60"/>
  <c r="E124" i="60"/>
  <c r="G75" i="5"/>
  <c r="T61" i="10"/>
  <c r="T47" i="10"/>
  <c r="T71" i="10" s="1"/>
  <c r="Q76" i="5"/>
  <c r="AL56" i="11" l="1"/>
  <c r="AL55" i="11"/>
  <c r="C55" i="60"/>
  <c r="C59" i="60" s="1"/>
  <c r="C64" i="60" s="1"/>
  <c r="C66" i="60" s="1"/>
  <c r="EE234" i="1"/>
  <c r="GA64" i="11"/>
  <c r="Q47" i="52"/>
  <c r="Q49" i="52" s="1"/>
  <c r="S45" i="52"/>
  <c r="S47" i="52" s="1"/>
  <c r="S49" i="52" s="1"/>
  <c r="DJ67" i="11"/>
  <c r="DI66" i="11"/>
  <c r="AO51" i="11"/>
  <c r="O85" i="60"/>
  <c r="O86" i="60" s="1"/>
  <c r="O188" i="60" s="1"/>
  <c r="O95" i="60"/>
  <c r="O98" i="60" s="1"/>
  <c r="DF14" i="11"/>
  <c r="DF51" i="11" s="1"/>
  <c r="O79" i="60"/>
  <c r="C74" i="60"/>
  <c r="C25" i="4"/>
  <c r="O74" i="60"/>
  <c r="O167" i="60" s="1"/>
  <c r="AI22" i="11"/>
  <c r="AI56" i="11" s="1"/>
  <c r="BY37" i="6"/>
  <c r="BX25" i="6"/>
  <c r="BX49" i="6"/>
  <c r="T15" i="60"/>
  <c r="AK47" i="5"/>
  <c r="CV80" i="11"/>
  <c r="CV81" i="11"/>
  <c r="CW6" i="11"/>
  <c r="AL16" i="11"/>
  <c r="AL51" i="11"/>
  <c r="DF47" i="11"/>
  <c r="DF58" i="11"/>
  <c r="DD16" i="11"/>
  <c r="DD22" i="11"/>
  <c r="DD53" i="11"/>
  <c r="DE64" i="11"/>
  <c r="DE52" i="11"/>
  <c r="DF52" i="11"/>
  <c r="DF64" i="11"/>
  <c r="DG64" i="11"/>
  <c r="DG52" i="11"/>
  <c r="DD52" i="11"/>
  <c r="DD64" i="11"/>
  <c r="FD34" i="11"/>
  <c r="FD37" i="11" s="1"/>
  <c r="FD17" i="11"/>
  <c r="FE7" i="11"/>
  <c r="FD45" i="11"/>
  <c r="FD68" i="11" s="1"/>
  <c r="FD41" i="11"/>
  <c r="FD71" i="11"/>
  <c r="FD42" i="11"/>
  <c r="FD63" i="11"/>
  <c r="FD43" i="11"/>
  <c r="AH55" i="11"/>
  <c r="AH26" i="11"/>
  <c r="AH32" i="11" s="1"/>
  <c r="AH57" i="11" s="1"/>
  <c r="AH14" i="11"/>
  <c r="AH52" i="11"/>
  <c r="AI53" i="11"/>
  <c r="AH56" i="11"/>
  <c r="AH53" i="11"/>
  <c r="AH37" i="11"/>
  <c r="AO56" i="11"/>
  <c r="AO26" i="11"/>
  <c r="AO32" i="11" s="1"/>
  <c r="AO57" i="11" s="1"/>
  <c r="AO55" i="11"/>
  <c r="FQ46" i="11"/>
  <c r="FQ63" i="11"/>
  <c r="FQ17" i="11"/>
  <c r="FQ71" i="11"/>
  <c r="FQ41" i="11"/>
  <c r="FQ43" i="11"/>
  <c r="FQ42" i="11"/>
  <c r="FR7" i="11"/>
  <c r="AN6" i="11"/>
  <c r="AM81" i="11"/>
  <c r="AN16" i="11"/>
  <c r="AN51" i="11"/>
  <c r="DG58" i="11"/>
  <c r="DG47" i="11"/>
  <c r="DE53" i="11"/>
  <c r="DE22" i="11"/>
  <c r="DG53" i="11"/>
  <c r="DG22" i="11"/>
  <c r="DE6" i="11"/>
  <c r="DD81" i="11"/>
  <c r="DD80" i="11"/>
  <c r="AI37" i="11"/>
  <c r="AJ52" i="11"/>
  <c r="AJ14" i="11"/>
  <c r="AH6" i="11"/>
  <c r="AG81" i="11"/>
  <c r="AG14" i="11"/>
  <c r="AG52" i="11"/>
  <c r="AM51" i="11"/>
  <c r="AM16" i="11"/>
  <c r="AM26" i="11"/>
  <c r="AM32" i="11" s="1"/>
  <c r="AM57" i="11" s="1"/>
  <c r="AM56" i="11"/>
  <c r="AM55" i="11"/>
  <c r="FY71" i="11"/>
  <c r="FZ7" i="11"/>
  <c r="CZ80" i="11"/>
  <c r="DA6" i="11"/>
  <c r="CZ81" i="11"/>
  <c r="DD47" i="11"/>
  <c r="DD58" i="11"/>
  <c r="DF22" i="11"/>
  <c r="DF53" i="11"/>
  <c r="DI20" i="11"/>
  <c r="DL41" i="11"/>
  <c r="DK20" i="11"/>
  <c r="DK18" i="11"/>
  <c r="DL15" i="11"/>
  <c r="DJ21" i="11"/>
  <c r="DI18" i="11"/>
  <c r="DK24" i="11"/>
  <c r="DL20" i="11"/>
  <c r="DL43" i="11"/>
  <c r="DJ43" i="11"/>
  <c r="DJ24" i="11"/>
  <c r="DK43" i="11"/>
  <c r="DI12" i="11"/>
  <c r="DK30" i="11"/>
  <c r="DI43" i="11"/>
  <c r="DJ34" i="11"/>
  <c r="DJ66" i="11" s="1"/>
  <c r="DI17" i="11"/>
  <c r="DL24" i="11"/>
  <c r="DJ12" i="11"/>
  <c r="DL45" i="11"/>
  <c r="DK15" i="11"/>
  <c r="DI63" i="11"/>
  <c r="DK10" i="11"/>
  <c r="DL17" i="11"/>
  <c r="DK12" i="11"/>
  <c r="DI42" i="11"/>
  <c r="DK41" i="11"/>
  <c r="DJ15" i="11"/>
  <c r="DK21" i="11"/>
  <c r="DK34" i="11"/>
  <c r="DK66" i="11" s="1"/>
  <c r="DI21" i="11"/>
  <c r="DL18" i="11"/>
  <c r="DN7" i="11"/>
  <c r="DI15" i="11"/>
  <c r="DI45" i="11"/>
  <c r="DL30" i="11"/>
  <c r="DL42" i="11"/>
  <c r="DL63" i="11"/>
  <c r="DI10" i="11"/>
  <c r="DK45" i="11"/>
  <c r="DJ42" i="11"/>
  <c r="DI30" i="11"/>
  <c r="DI41" i="11"/>
  <c r="DL10" i="11"/>
  <c r="DJ10" i="11"/>
  <c r="DJ41" i="11"/>
  <c r="DJ20" i="11"/>
  <c r="DI24" i="11"/>
  <c r="DL12" i="11"/>
  <c r="DK63" i="11"/>
  <c r="DK42" i="11"/>
  <c r="DJ17" i="11"/>
  <c r="DJ63" i="11"/>
  <c r="DI6" i="11"/>
  <c r="DL21" i="11"/>
  <c r="DK17" i="11"/>
  <c r="DJ30" i="11"/>
  <c r="DJ18" i="11"/>
  <c r="DL35" i="11"/>
  <c r="DL67" i="11" s="1"/>
  <c r="DJ36" i="11"/>
  <c r="DJ37" i="11" s="1"/>
  <c r="DL36" i="11"/>
  <c r="DL37" i="11" s="1"/>
  <c r="DJ45" i="11"/>
  <c r="DL34" i="11"/>
  <c r="DL66" i="11" s="1"/>
  <c r="DG14" i="11"/>
  <c r="DE14" i="11"/>
  <c r="DE51" i="11" s="1"/>
  <c r="AH58" i="11"/>
  <c r="AE10" i="11"/>
  <c r="AC63" i="11"/>
  <c r="AD17" i="11"/>
  <c r="AB41" i="11"/>
  <c r="AB12" i="11"/>
  <c r="AE45" i="11"/>
  <c r="AJ68" i="11" s="1"/>
  <c r="AC45" i="11"/>
  <c r="AD24" i="11"/>
  <c r="AD12" i="11"/>
  <c r="AD21" i="11"/>
  <c r="AE21" i="11"/>
  <c r="AB6" i="11"/>
  <c r="AE24" i="11"/>
  <c r="W7" i="11"/>
  <c r="AD41" i="11"/>
  <c r="AB34" i="11"/>
  <c r="AB63" i="11"/>
  <c r="AB45" i="11"/>
  <c r="AG68" i="11" s="1"/>
  <c r="AB30" i="11"/>
  <c r="AC20" i="11"/>
  <c r="AD30" i="11"/>
  <c r="AD45" i="11"/>
  <c r="AI68" i="11" s="1"/>
  <c r="AE63" i="11"/>
  <c r="AB10" i="11"/>
  <c r="AG62" i="11" s="1"/>
  <c r="AE30" i="11"/>
  <c r="AE17" i="11"/>
  <c r="AC10" i="11"/>
  <c r="AH62" i="11" s="1"/>
  <c r="AB36" i="11"/>
  <c r="AB17" i="11"/>
  <c r="AB21" i="11"/>
  <c r="AD63" i="11"/>
  <c r="AC24" i="11"/>
  <c r="AC41" i="11"/>
  <c r="AC21" i="11"/>
  <c r="AC12" i="11"/>
  <c r="AD18" i="11"/>
  <c r="AI65" i="11" s="1"/>
  <c r="AD42" i="11"/>
  <c r="AB42" i="11"/>
  <c r="AB18" i="11"/>
  <c r="AB24" i="11"/>
  <c r="AC17" i="11"/>
  <c r="AD20" i="11"/>
  <c r="AC30" i="11"/>
  <c r="AE12" i="11"/>
  <c r="AC18" i="11"/>
  <c r="AE41" i="11"/>
  <c r="AC34" i="11"/>
  <c r="AH66" i="11" s="1"/>
  <c r="AD10" i="11"/>
  <c r="AI62" i="11" s="1"/>
  <c r="AB20" i="11"/>
  <c r="AE36" i="11"/>
  <c r="AC42" i="11"/>
  <c r="AE20" i="11"/>
  <c r="AE42" i="11"/>
  <c r="AE34" i="11"/>
  <c r="AE18" i="11"/>
  <c r="AJ65" i="11" s="1"/>
  <c r="AD34" i="11"/>
  <c r="AI66" i="11" s="1"/>
  <c r="AD36" i="11"/>
  <c r="AC36" i="11"/>
  <c r="AI52" i="11"/>
  <c r="AI14" i="11"/>
  <c r="AN65" i="11"/>
  <c r="CR81" i="11"/>
  <c r="CR80" i="11"/>
  <c r="AI58" i="11"/>
  <c r="AJ22" i="11"/>
  <c r="AJ53" i="11"/>
  <c r="AG58" i="11"/>
  <c r="AJ58" i="11"/>
  <c r="AG53" i="11"/>
  <c r="AG22" i="11"/>
  <c r="AG56" i="11" s="1"/>
  <c r="AL65" i="11"/>
  <c r="AN55" i="11"/>
  <c r="AN26" i="11"/>
  <c r="AN32" i="11" s="1"/>
  <c r="AN57" i="11" s="1"/>
  <c r="L61" i="10"/>
  <c r="L65" i="10" s="1"/>
  <c r="G67" i="5"/>
  <c r="J8" i="10"/>
  <c r="J27" i="10" s="1"/>
  <c r="J61" i="10" s="1"/>
  <c r="J65" i="10" s="1"/>
  <c r="O29" i="60"/>
  <c r="O41" i="60"/>
  <c r="CO66" i="11"/>
  <c r="O17" i="60"/>
  <c r="O35" i="60" s="1"/>
  <c r="V60" i="5"/>
  <c r="V64" i="5"/>
  <c r="FO28" i="11" s="1"/>
  <c r="FX16" i="11"/>
  <c r="F117" i="60"/>
  <c r="E17" i="60"/>
  <c r="DL213" i="1"/>
  <c r="C141" i="60"/>
  <c r="C145" i="60" s="1"/>
  <c r="C171" i="60" s="1"/>
  <c r="CF205" i="1"/>
  <c r="FA76" i="11"/>
  <c r="H37" i="4"/>
  <c r="I37" i="4"/>
  <c r="AO166" i="1"/>
  <c r="AN166" i="1"/>
  <c r="AS166" i="1"/>
  <c r="H69" i="5"/>
  <c r="H60" i="5"/>
  <c r="H66" i="5"/>
  <c r="L185" i="1"/>
  <c r="M185" i="1"/>
  <c r="CH36" i="11"/>
  <c r="CF213" i="1"/>
  <c r="E34" i="60"/>
  <c r="F166" i="60"/>
  <c r="AS34" i="11"/>
  <c r="AM196" i="1"/>
  <c r="AR192" i="1"/>
  <c r="AN192" i="1"/>
  <c r="K215" i="1"/>
  <c r="L215" i="1" s="1"/>
  <c r="L211" i="1"/>
  <c r="DK67" i="11"/>
  <c r="FC77" i="11"/>
  <c r="H8" i="4"/>
  <c r="I8" i="4"/>
  <c r="G216" i="1"/>
  <c r="H216" i="1" s="1"/>
  <c r="BP210" i="1"/>
  <c r="F41" i="60"/>
  <c r="F128" i="60" s="1"/>
  <c r="F129" i="60" s="1"/>
  <c r="BS215" i="1"/>
  <c r="BX215" i="1" s="1"/>
  <c r="AO182" i="1"/>
  <c r="AM186" i="1"/>
  <c r="AM212" i="1"/>
  <c r="AS182" i="1"/>
  <c r="AN182" i="1"/>
  <c r="CH37" i="11"/>
  <c r="CM66" i="11"/>
  <c r="CZ185" i="1"/>
  <c r="DA185" i="1"/>
  <c r="CZ200" i="1"/>
  <c r="CY206" i="1"/>
  <c r="CY205" i="1"/>
  <c r="DI35" i="11"/>
  <c r="DD200" i="1"/>
  <c r="BH34" i="11"/>
  <c r="BH37" i="11" s="1"/>
  <c r="BD192" i="1"/>
  <c r="BU186" i="1"/>
  <c r="J59" i="5"/>
  <c r="J66" i="5" s="1"/>
  <c r="M72" i="9" s="1"/>
  <c r="P210" i="1"/>
  <c r="DE185" i="1"/>
  <c r="BG185" i="1"/>
  <c r="BH185" i="1" s="1"/>
  <c r="BG211" i="1"/>
  <c r="BG215" i="1" s="1"/>
  <c r="BH181" i="1"/>
  <c r="CZ186" i="1"/>
  <c r="DE186" i="1"/>
  <c r="AZ182" i="1"/>
  <c r="AY212" i="1"/>
  <c r="BE182" i="1"/>
  <c r="BL36" i="11"/>
  <c r="BL211" i="1"/>
  <c r="BK215" i="1"/>
  <c r="BP215" i="1" s="1"/>
  <c r="BP211" i="1"/>
  <c r="BL37" i="11"/>
  <c r="BL66" i="11"/>
  <c r="BQ66" i="11"/>
  <c r="BU37" i="11"/>
  <c r="BZ66" i="11"/>
  <c r="BG196" i="1"/>
  <c r="DM214" i="1"/>
  <c r="DD214" i="1"/>
  <c r="AZ192" i="1"/>
  <c r="H184" i="1"/>
  <c r="G214" i="1"/>
  <c r="EX36" i="11" s="1"/>
  <c r="AI215" i="1"/>
  <c r="AJ215" i="1" s="1"/>
  <c r="DI36" i="11"/>
  <c r="DI37" i="11" s="1"/>
  <c r="CY216" i="1"/>
  <c r="DL216" i="1" s="1"/>
  <c r="CY215" i="1"/>
  <c r="DL215" i="1" s="1"/>
  <c r="CZ210" i="1"/>
  <c r="AZ213" i="1"/>
  <c r="C166" i="60"/>
  <c r="F138" i="60"/>
  <c r="F162" i="60" s="1"/>
  <c r="F95" i="60"/>
  <c r="F116" i="60" s="1"/>
  <c r="FO76" i="11"/>
  <c r="V37" i="4"/>
  <c r="BH191" i="1"/>
  <c r="BD191" i="1"/>
  <c r="BC196" i="1"/>
  <c r="BC195" i="1"/>
  <c r="BH195" i="1" s="1"/>
  <c r="BI66" i="11"/>
  <c r="BD37" i="11"/>
  <c r="AT34" i="11"/>
  <c r="AY66" i="11" s="1"/>
  <c r="AN193" i="1"/>
  <c r="CC37" i="11"/>
  <c r="CH66" i="11"/>
  <c r="CC66" i="11"/>
  <c r="AN78" i="3"/>
  <c r="CK186" i="1"/>
  <c r="CF184" i="1"/>
  <c r="CE214" i="1"/>
  <c r="FN36" i="11" s="1"/>
  <c r="FH77" i="11"/>
  <c r="M8" i="4"/>
  <c r="BD165" i="1"/>
  <c r="BE165" i="1"/>
  <c r="BI165" i="1"/>
  <c r="DA184" i="1"/>
  <c r="CU214" i="1"/>
  <c r="CV184" i="1"/>
  <c r="DF36" i="11"/>
  <c r="CZ212" i="1"/>
  <c r="C95" i="60"/>
  <c r="C117" i="60"/>
  <c r="AY196" i="1"/>
  <c r="BL196" i="1" s="1"/>
  <c r="BF34" i="11"/>
  <c r="AZ190" i="1"/>
  <c r="AY195" i="1"/>
  <c r="BL190" i="1"/>
  <c r="BD190" i="1"/>
  <c r="S25" i="4"/>
  <c r="FL76" i="11"/>
  <c r="S37" i="4"/>
  <c r="AN139" i="3"/>
  <c r="AN132" i="3"/>
  <c r="AN160" i="3"/>
  <c r="BX66" i="11"/>
  <c r="BX37" i="11"/>
  <c r="AY184" i="1"/>
  <c r="AY194" i="1"/>
  <c r="BL194" i="1" s="1"/>
  <c r="AZ164" i="1"/>
  <c r="FA77" i="11"/>
  <c r="G8" i="4"/>
  <c r="AN137" i="3"/>
  <c r="AN144" i="3"/>
  <c r="BE164" i="1"/>
  <c r="BC194" i="1"/>
  <c r="BD194" i="1" s="1"/>
  <c r="BC184" i="1"/>
  <c r="BD164" i="1"/>
  <c r="FR34" i="11"/>
  <c r="CZ194" i="1"/>
  <c r="BW36" i="11"/>
  <c r="BT212" i="1"/>
  <c r="M37" i="4"/>
  <c r="FE76" i="11"/>
  <c r="R60" i="5"/>
  <c r="R66" i="5"/>
  <c r="R69" i="5"/>
  <c r="S70" i="5" s="1"/>
  <c r="C32" i="60"/>
  <c r="C13" i="60"/>
  <c r="CJ195" i="1"/>
  <c r="CC36" i="11"/>
  <c r="BX213" i="1"/>
  <c r="CB213" i="1"/>
  <c r="BM37" i="11"/>
  <c r="BR66" i="11"/>
  <c r="K216" i="1"/>
  <c r="L216" i="1" s="1"/>
  <c r="L212" i="1"/>
  <c r="N8" i="4"/>
  <c r="AN158" i="3"/>
  <c r="AL162" i="3"/>
  <c r="AN162" i="3" s="1"/>
  <c r="BC36" i="11"/>
  <c r="AV212" i="1"/>
  <c r="AZ212" i="1"/>
  <c r="FN35" i="11"/>
  <c r="FO67" i="11" s="1"/>
  <c r="CJ204" i="1"/>
  <c r="BK216" i="1"/>
  <c r="BP216" i="1" s="1"/>
  <c r="BP212" i="1"/>
  <c r="BL212" i="1"/>
  <c r="BM36" i="11"/>
  <c r="CJ36" i="11"/>
  <c r="CE216" i="1"/>
  <c r="CJ216" i="1" s="1"/>
  <c r="CE215" i="1"/>
  <c r="CJ215" i="1" s="1"/>
  <c r="J37" i="4"/>
  <c r="FC76" i="11"/>
  <c r="BT213" i="1"/>
  <c r="BX36" i="11"/>
  <c r="BI164" i="1"/>
  <c r="F74" i="60"/>
  <c r="CF210" i="1"/>
  <c r="BS216" i="1"/>
  <c r="BT216" i="1" s="1"/>
  <c r="FO77" i="11"/>
  <c r="V8" i="4"/>
  <c r="F66" i="5"/>
  <c r="F69" i="5"/>
  <c r="F60" i="5"/>
  <c r="BE181" i="1"/>
  <c r="BI181" i="1"/>
  <c r="BD181" i="1"/>
  <c r="BC186" i="1"/>
  <c r="BC211" i="1"/>
  <c r="BC185" i="1"/>
  <c r="L196" i="1"/>
  <c r="P196" i="1"/>
  <c r="F21" i="4"/>
  <c r="BX212" i="1"/>
  <c r="AO183" i="1"/>
  <c r="AN183" i="1"/>
  <c r="AM213" i="1"/>
  <c r="AR213" i="1" s="1"/>
  <c r="CJ67" i="11"/>
  <c r="CO67" i="11"/>
  <c r="FK77" i="11"/>
  <c r="R8" i="4"/>
  <c r="R21" i="4"/>
  <c r="R22" i="4" s="1"/>
  <c r="FK76" i="11"/>
  <c r="R37" i="4"/>
  <c r="DF37" i="11"/>
  <c r="S8" i="4"/>
  <c r="FL77" i="11"/>
  <c r="S21" i="4"/>
  <c r="BW37" i="11"/>
  <c r="BW66" i="11"/>
  <c r="E19" i="60"/>
  <c r="U59" i="5"/>
  <c r="U57" i="5"/>
  <c r="U66" i="5"/>
  <c r="EY76" i="11"/>
  <c r="G37" i="4"/>
  <c r="BC37" i="11"/>
  <c r="DH215" i="1"/>
  <c r="DV215" i="1" s="1"/>
  <c r="AS183" i="1"/>
  <c r="CK185" i="1"/>
  <c r="AR193" i="1"/>
  <c r="DQ215" i="1"/>
  <c r="P212" i="1"/>
  <c r="CU216" i="1"/>
  <c r="BD166" i="1"/>
  <c r="BE166" i="1"/>
  <c r="F52" i="60"/>
  <c r="F73" i="60" s="1"/>
  <c r="C69" i="5"/>
  <c r="C75" i="5" s="1"/>
  <c r="C60" i="5"/>
  <c r="C66" i="5"/>
  <c r="AO164" i="1"/>
  <c r="AN164" i="1"/>
  <c r="AS164" i="1"/>
  <c r="AM194" i="1"/>
  <c r="AM184" i="1"/>
  <c r="F186" i="60"/>
  <c r="F187" i="60" s="1"/>
  <c r="F85" i="60"/>
  <c r="F86" i="60" s="1"/>
  <c r="AY210" i="1"/>
  <c r="AY185" i="1"/>
  <c r="BM180" i="1"/>
  <c r="AY186" i="1"/>
  <c r="AZ186" i="1" s="1"/>
  <c r="AZ180" i="1"/>
  <c r="BE180" i="1"/>
  <c r="BA180" i="1"/>
  <c r="L186" i="1"/>
  <c r="M186" i="1"/>
  <c r="N37" i="4"/>
  <c r="FG76" i="11"/>
  <c r="CJ66" i="11"/>
  <c r="BL186" i="1"/>
  <c r="BM186" i="1"/>
  <c r="M59" i="5"/>
  <c r="M57" i="5"/>
  <c r="M64" i="5" s="1"/>
  <c r="FF28" i="11" s="1"/>
  <c r="FE77" i="11"/>
  <c r="J8" i="4"/>
  <c r="AF116" i="8"/>
  <c r="F131" i="44"/>
  <c r="N131" i="44"/>
  <c r="N132" i="44"/>
  <c r="F230" i="44"/>
  <c r="F216" i="44"/>
  <c r="E217" i="44"/>
  <c r="DP216" i="1"/>
  <c r="DQ216" i="1" s="1"/>
  <c r="DR214" i="1"/>
  <c r="DQ212" i="1"/>
  <c r="DR186" i="1"/>
  <c r="F258" i="44"/>
  <c r="F244" i="44"/>
  <c r="E245" i="44"/>
  <c r="AC203" i="3"/>
  <c r="AL203" i="3" s="1"/>
  <c r="AL204" i="3" s="1"/>
  <c r="AJ15" i="5"/>
  <c r="GB15" i="11"/>
  <c r="GB64" i="11" s="1"/>
  <c r="FX47" i="11"/>
  <c r="FX68" i="11"/>
  <c r="N66" i="5"/>
  <c r="Q72" i="9" s="1"/>
  <c r="N60" i="5"/>
  <c r="O189" i="60"/>
  <c r="O187" i="60" s="1"/>
  <c r="O177" i="60" s="1"/>
  <c r="S67" i="5"/>
  <c r="S64" i="5"/>
  <c r="FL28" i="11" s="1"/>
  <c r="V47" i="10"/>
  <c r="V71" i="10" s="1"/>
  <c r="S60" i="5"/>
  <c r="S75" i="5"/>
  <c r="S62" i="10"/>
  <c r="T60" i="10" s="1"/>
  <c r="T62" i="10" s="1"/>
  <c r="DH194" i="1"/>
  <c r="DD194" i="1"/>
  <c r="AA72" i="5"/>
  <c r="AA73" i="5" s="1"/>
  <c r="DH204" i="1"/>
  <c r="V72" i="9"/>
  <c r="EY66" i="11"/>
  <c r="EY37" i="11"/>
  <c r="AM72" i="5"/>
  <c r="EW37" i="11"/>
  <c r="EX66" i="11"/>
  <c r="BX214" i="1"/>
  <c r="FL36" i="11"/>
  <c r="FL37" i="11"/>
  <c r="FL66" i="11"/>
  <c r="EW36" i="11"/>
  <c r="FK37" i="11"/>
  <c r="FK66" i="11"/>
  <c r="EY36" i="11"/>
  <c r="F300" i="44"/>
  <c r="E301" i="44"/>
  <c r="F310" i="44"/>
  <c r="CN133" i="1"/>
  <c r="S168" i="3"/>
  <c r="CN63" i="1"/>
  <c r="CN73" i="1"/>
  <c r="CN23" i="1"/>
  <c r="CO23" i="1" s="1"/>
  <c r="CN53" i="1"/>
  <c r="CW10" i="11"/>
  <c r="CM103" i="1"/>
  <c r="CN83" i="1"/>
  <c r="CO83" i="1" s="1"/>
  <c r="CN43" i="1"/>
  <c r="CN93" i="1"/>
  <c r="CM143" i="1"/>
  <c r="CN33" i="1"/>
  <c r="CO33" i="1" s="1"/>
  <c r="CN123" i="1"/>
  <c r="CN13" i="1"/>
  <c r="N55" i="60"/>
  <c r="N70" i="60" s="1"/>
  <c r="S100" i="60"/>
  <c r="S57" i="60"/>
  <c r="S143" i="60"/>
  <c r="AJ48" i="5"/>
  <c r="GC20" i="11"/>
  <c r="AO47" i="5"/>
  <c r="F182" i="60"/>
  <c r="G182" i="60"/>
  <c r="N117" i="60"/>
  <c r="N169" i="60" s="1"/>
  <c r="O55" i="60"/>
  <c r="O73" i="60"/>
  <c r="O163" i="60" s="1"/>
  <c r="O81" i="60"/>
  <c r="N74" i="60"/>
  <c r="N167" i="60" s="1"/>
  <c r="O117" i="60"/>
  <c r="O169" i="60" s="1"/>
  <c r="O124" i="60"/>
  <c r="N98" i="60"/>
  <c r="N116" i="60"/>
  <c r="N165" i="60" s="1"/>
  <c r="CF215" i="1"/>
  <c r="Y42" i="5"/>
  <c r="Y43" i="5" s="1"/>
  <c r="F81" i="60"/>
  <c r="G81" i="60"/>
  <c r="F124" i="60"/>
  <c r="Z117" i="8"/>
  <c r="AI43" i="10"/>
  <c r="AI85" i="9"/>
  <c r="AI31" i="9"/>
  <c r="AK81" i="9"/>
  <c r="AJ27" i="9"/>
  <c r="CB37" i="6" s="1"/>
  <c r="Q110" i="60"/>
  <c r="Q156" i="60" s="1"/>
  <c r="Q154" i="60"/>
  <c r="GB41" i="11"/>
  <c r="AJ78" i="5"/>
  <c r="R155" i="60"/>
  <c r="R153" i="60" s="1"/>
  <c r="R67" i="60"/>
  <c r="G124" i="60"/>
  <c r="AE195" i="3"/>
  <c r="AG195" i="3" s="1"/>
  <c r="AL195" i="3"/>
  <c r="AN202" i="3" s="1"/>
  <c r="AE202" i="3"/>
  <c r="AG202" i="3" s="1"/>
  <c r="N197" i="3"/>
  <c r="P197" i="3" s="1"/>
  <c r="W197" i="3"/>
  <c r="AD72" i="5"/>
  <c r="DQ204" i="1"/>
  <c r="DV204" i="1"/>
  <c r="U111" i="41"/>
  <c r="U77" i="41"/>
  <c r="U112" i="41" s="1"/>
  <c r="FO37" i="11"/>
  <c r="FO66" i="11"/>
  <c r="CC162" i="1"/>
  <c r="CA192" i="1"/>
  <c r="CG162" i="1"/>
  <c r="CB162" i="1"/>
  <c r="CA182" i="1"/>
  <c r="CA166" i="1"/>
  <c r="Y103" i="41"/>
  <c r="Y104" i="41"/>
  <c r="Y105" i="41"/>
  <c r="AP228" i="3"/>
  <c r="AP235" i="3" s="1"/>
  <c r="U221" i="3"/>
  <c r="AJ210" i="3"/>
  <c r="T216" i="1"/>
  <c r="X216" i="1"/>
  <c r="AB76" i="9"/>
  <c r="AB80" i="9" s="1"/>
  <c r="AB75" i="9"/>
  <c r="AB79" i="9" s="1"/>
  <c r="F43" i="4"/>
  <c r="AW166" i="1"/>
  <c r="AV166" i="1"/>
  <c r="BA166" i="1"/>
  <c r="AV165" i="1"/>
  <c r="BA165" i="1"/>
  <c r="AW165" i="1"/>
  <c r="G83" i="41"/>
  <c r="F25" i="4"/>
  <c r="AD69" i="5"/>
  <c r="AD60" i="5"/>
  <c r="AY36" i="11"/>
  <c r="AV213" i="1"/>
  <c r="Y146" i="3"/>
  <c r="Y153" i="3"/>
  <c r="W45" i="64"/>
  <c r="W61" i="64" s="1"/>
  <c r="W65" i="64" s="1"/>
  <c r="W47" i="64"/>
  <c r="Z40" i="5"/>
  <c r="J12" i="60"/>
  <c r="J8" i="60"/>
  <c r="AC70" i="9"/>
  <c r="Z12" i="5"/>
  <c r="Z13" i="5" s="1"/>
  <c r="J101" i="60"/>
  <c r="J144" i="60"/>
  <c r="J58" i="60"/>
  <c r="I97" i="60"/>
  <c r="I54" i="60"/>
  <c r="I140" i="60"/>
  <c r="AB31" i="4"/>
  <c r="AB27" i="4"/>
  <c r="AB28" i="4" s="1"/>
  <c r="FU73" i="11"/>
  <c r="K83" i="41"/>
  <c r="FH76" i="11"/>
  <c r="O37" i="4"/>
  <c r="P37" i="4"/>
  <c r="FW58" i="11"/>
  <c r="FW47" i="11"/>
  <c r="N86" i="41"/>
  <c r="EZ36" i="11"/>
  <c r="P214" i="1"/>
  <c r="CC154" i="1"/>
  <c r="T56" i="5"/>
  <c r="T59" i="5" s="1"/>
  <c r="CG154" i="1"/>
  <c r="CB154" i="1"/>
  <c r="CA204" i="1" s="1"/>
  <c r="T81" i="41"/>
  <c r="FF77" i="11"/>
  <c r="K8" i="4"/>
  <c r="L8" i="4"/>
  <c r="FD76" i="11"/>
  <c r="K37" i="4"/>
  <c r="L37" i="4"/>
  <c r="X45" i="64"/>
  <c r="X61" i="64" s="1"/>
  <c r="X65" i="64" s="1"/>
  <c r="X47" i="64"/>
  <c r="Q87" i="41"/>
  <c r="Y36" i="4"/>
  <c r="I11" i="60"/>
  <c r="Y37" i="5"/>
  <c r="K116" i="41"/>
  <c r="L115" i="41"/>
  <c r="E69" i="5"/>
  <c r="E60" i="5"/>
  <c r="E66" i="5"/>
  <c r="K207" i="3"/>
  <c r="V122" i="8"/>
  <c r="X122" i="8" s="1"/>
  <c r="Z122" i="8" s="1"/>
  <c r="L207" i="3"/>
  <c r="N163" i="60"/>
  <c r="BH212" i="1"/>
  <c r="L90" i="41"/>
  <c r="AY37" i="11"/>
  <c r="BD66" i="11"/>
  <c r="M80" i="41"/>
  <c r="F286" i="44"/>
  <c r="E273" i="44"/>
  <c r="F272" i="44"/>
  <c r="T54" i="5"/>
  <c r="T18" i="5"/>
  <c r="U18" i="5"/>
  <c r="K59" i="5"/>
  <c r="J60" i="64"/>
  <c r="J62" i="64" s="1"/>
  <c r="K60" i="64" s="1"/>
  <c r="K62" i="64" s="1"/>
  <c r="L60" i="64" s="1"/>
  <c r="L62" i="64" s="1"/>
  <c r="M60" i="64" s="1"/>
  <c r="M62" i="64" s="1"/>
  <c r="N60" i="64"/>
  <c r="N62" i="64" s="1"/>
  <c r="F34" i="60"/>
  <c r="F17" i="60"/>
  <c r="F29" i="60"/>
  <c r="F43" i="60" s="1"/>
  <c r="Y106" i="41"/>
  <c r="G18" i="4"/>
  <c r="G17" i="4"/>
  <c r="K6" i="9"/>
  <c r="L6" i="10"/>
  <c r="K117" i="41"/>
  <c r="L116" i="41"/>
  <c r="U218" i="3"/>
  <c r="AD9" i="4"/>
  <c r="AQ218" i="3"/>
  <c r="O118" i="41"/>
  <c r="P117" i="41"/>
  <c r="AP224" i="3"/>
  <c r="U217" i="3"/>
  <c r="BT215" i="1"/>
  <c r="T215" i="1"/>
  <c r="X215" i="1"/>
  <c r="I100" i="60"/>
  <c r="I57" i="60"/>
  <c r="I143" i="60"/>
  <c r="I50" i="60"/>
  <c r="I136" i="60"/>
  <c r="I93" i="60"/>
  <c r="D118" i="41"/>
  <c r="E117" i="41"/>
  <c r="AV181" i="1"/>
  <c r="AW181" i="1"/>
  <c r="BA181" i="1"/>
  <c r="AU211" i="1"/>
  <c r="AU185" i="1"/>
  <c r="AU186" i="1"/>
  <c r="AZ191" i="1"/>
  <c r="AV191" i="1"/>
  <c r="BB34" i="11"/>
  <c r="AU196" i="1"/>
  <c r="AU195" i="1"/>
  <c r="AB214" i="1"/>
  <c r="FC36" i="11"/>
  <c r="AG72" i="9"/>
  <c r="AD67" i="5"/>
  <c r="R120" i="41"/>
  <c r="V109" i="41"/>
  <c r="W108" i="41"/>
  <c r="O85" i="41"/>
  <c r="O120" i="41" s="1"/>
  <c r="AF6" i="9"/>
  <c r="AE6" i="10"/>
  <c r="Y9" i="5"/>
  <c r="I39" i="60"/>
  <c r="Z48" i="5"/>
  <c r="J15" i="60"/>
  <c r="AM47" i="5"/>
  <c r="J28" i="60"/>
  <c r="J69" i="60" s="1"/>
  <c r="J112" i="60" s="1"/>
  <c r="Z32" i="5"/>
  <c r="J6" i="60"/>
  <c r="AC69" i="9"/>
  <c r="Z8" i="5"/>
  <c r="Z11" i="4"/>
  <c r="AC67" i="10"/>
  <c r="Z26" i="5"/>
  <c r="S114" i="41"/>
  <c r="O8" i="4"/>
  <c r="P8" i="4"/>
  <c r="E88" i="41"/>
  <c r="FC37" i="11"/>
  <c r="FC66" i="11"/>
  <c r="AN200" i="3"/>
  <c r="FO36" i="11"/>
  <c r="CG35" i="11"/>
  <c r="CB202" i="1"/>
  <c r="CA206" i="1"/>
  <c r="CF202" i="1"/>
  <c r="L63" i="8"/>
  <c r="L70" i="8"/>
  <c r="T214" i="1"/>
  <c r="FA36" i="11"/>
  <c r="X214" i="1"/>
  <c r="K84" i="41"/>
  <c r="I91" i="60"/>
  <c r="I134" i="60"/>
  <c r="I10" i="60"/>
  <c r="I48" i="60"/>
  <c r="Y54" i="5"/>
  <c r="Y59" i="5"/>
  <c r="Y64" i="5"/>
  <c r="FR28" i="11" s="1"/>
  <c r="Y72" i="5"/>
  <c r="AB215" i="1"/>
  <c r="D85" i="41"/>
  <c r="T34" i="4"/>
  <c r="FM75" i="11"/>
  <c r="AN85" i="3"/>
  <c r="T43" i="5"/>
  <c r="T44" i="5"/>
  <c r="T47" i="4"/>
  <c r="T48" i="4" s="1"/>
  <c r="T7" i="4"/>
  <c r="T36" i="4"/>
  <c r="T12" i="4"/>
  <c r="T43" i="4" s="1"/>
  <c r="U12" i="4"/>
  <c r="T24" i="4"/>
  <c r="T25" i="4" s="1"/>
  <c r="T41" i="4"/>
  <c r="Y66" i="5"/>
  <c r="M109" i="64"/>
  <c r="L110" i="64"/>
  <c r="AN92" i="3"/>
  <c r="Y107" i="41"/>
  <c r="Z72" i="41"/>
  <c r="Z107" i="41" s="1"/>
  <c r="Z106" i="41"/>
  <c r="Q88" i="41"/>
  <c r="CN131" i="1"/>
  <c r="CN41" i="1"/>
  <c r="CN51" i="1"/>
  <c r="CN61" i="1"/>
  <c r="CN11" i="1"/>
  <c r="S166" i="3"/>
  <c r="CN121" i="1"/>
  <c r="CM141" i="1"/>
  <c r="CM15" i="1"/>
  <c r="CU10" i="11"/>
  <c r="CN71" i="1"/>
  <c r="CN81" i="1"/>
  <c r="CO81" i="1" s="1"/>
  <c r="CN31" i="1"/>
  <c r="CO31" i="1" s="1"/>
  <c r="CN21" i="1"/>
  <c r="CO21" i="1" s="1"/>
  <c r="CM101" i="1"/>
  <c r="CN91" i="1"/>
  <c r="D66" i="41"/>
  <c r="D15" i="41"/>
  <c r="D35" i="41"/>
  <c r="D22" i="41"/>
  <c r="C3" i="41"/>
  <c r="D102" i="41"/>
  <c r="D138" i="41"/>
  <c r="N47" i="41"/>
  <c r="N46" i="41"/>
  <c r="U110" i="41"/>
  <c r="U78" i="41"/>
  <c r="U113" i="41" s="1"/>
  <c r="U79" i="41"/>
  <c r="U114" i="41" s="1"/>
  <c r="J70" i="3"/>
  <c r="L64" i="3"/>
  <c r="D75" i="5"/>
  <c r="EZ77" i="11"/>
  <c r="E21" i="4"/>
  <c r="F8" i="4"/>
  <c r="AV164" i="1"/>
  <c r="AW164" i="1"/>
  <c r="AU184" i="1"/>
  <c r="AU194" i="1"/>
  <c r="BA164" i="1"/>
  <c r="D84" i="41"/>
  <c r="D86" i="41" s="1"/>
  <c r="EZ37" i="11"/>
  <c r="EZ66" i="11"/>
  <c r="P86" i="41"/>
  <c r="AE67" i="5"/>
  <c r="AH72" i="9"/>
  <c r="AA5" i="4"/>
  <c r="AA39" i="4" s="1"/>
  <c r="AB5" i="5"/>
  <c r="AA39" i="5"/>
  <c r="AA62" i="5"/>
  <c r="AA47" i="5"/>
  <c r="AA25" i="5"/>
  <c r="AA15" i="5"/>
  <c r="AA34" i="5"/>
  <c r="AA78" i="5"/>
  <c r="AA7" i="5"/>
  <c r="AA31" i="5"/>
  <c r="AA50" i="5"/>
  <c r="AA11" i="5"/>
  <c r="AA28" i="5"/>
  <c r="AA56" i="5"/>
  <c r="J19" i="60"/>
  <c r="J26" i="60"/>
  <c r="AM78" i="5"/>
  <c r="Z39" i="4"/>
  <c r="F321" i="44"/>
  <c r="AA207" i="3"/>
  <c r="E322" i="44"/>
  <c r="J19" i="41"/>
  <c r="K23" i="41"/>
  <c r="Q119" i="41"/>
  <c r="O117" i="41"/>
  <c r="P116" i="41"/>
  <c r="N17" i="60"/>
  <c r="N29" i="60"/>
  <c r="N34" i="60"/>
  <c r="T102" i="41"/>
  <c r="U3" i="41"/>
  <c r="T66" i="41"/>
  <c r="T15" i="41"/>
  <c r="T22" i="41"/>
  <c r="T35" i="41"/>
  <c r="T138" i="41"/>
  <c r="AJ204" i="3"/>
  <c r="BH184" i="1"/>
  <c r="BG214" i="1"/>
  <c r="CB156" i="1"/>
  <c r="CG156" i="1"/>
  <c r="CC156" i="1"/>
  <c r="X60" i="41"/>
  <c r="Y61" i="41"/>
  <c r="Y148" i="3"/>
  <c r="Y155" i="3"/>
  <c r="AB70" i="10"/>
  <c r="Y202" i="3"/>
  <c r="BH186" i="1"/>
  <c r="O116" i="41"/>
  <c r="P115" i="41"/>
  <c r="U13" i="5"/>
  <c r="T13" i="5"/>
  <c r="W10" i="4"/>
  <c r="S80" i="41"/>
  <c r="DP75" i="11"/>
  <c r="Y27" i="10"/>
  <c r="P114" i="41"/>
  <c r="O115" i="41"/>
  <c r="AR169" i="3"/>
  <c r="U165" i="3"/>
  <c r="L92" i="41"/>
  <c r="H115" i="41"/>
  <c r="I114" i="41"/>
  <c r="N57" i="3"/>
  <c r="P57" i="3" s="1"/>
  <c r="W57" i="3"/>
  <c r="Y57" i="3" s="1"/>
  <c r="Z103" i="41"/>
  <c r="Z104" i="41"/>
  <c r="Z105" i="41"/>
  <c r="AJ214" i="3"/>
  <c r="E189" i="44"/>
  <c r="F202" i="44"/>
  <c r="AB110" i="8"/>
  <c r="AD110" i="8" s="1"/>
  <c r="AF110" i="8" s="1"/>
  <c r="AC196" i="3"/>
  <c r="AC197" i="3" s="1"/>
  <c r="AE197" i="3" s="1"/>
  <c r="AG197" i="3" s="1"/>
  <c r="I158" i="60"/>
  <c r="D67" i="5"/>
  <c r="G72" i="9"/>
  <c r="G8" i="10"/>
  <c r="G27" i="10" s="1"/>
  <c r="EX76" i="11"/>
  <c r="E37" i="4"/>
  <c r="F37" i="4"/>
  <c r="H80" i="60"/>
  <c r="H178" i="60"/>
  <c r="H123" i="60"/>
  <c r="F34" i="4"/>
  <c r="EY75" i="11"/>
  <c r="AD64" i="5"/>
  <c r="FW28" i="11" s="1"/>
  <c r="FX56" i="11"/>
  <c r="FX55" i="11"/>
  <c r="FX26" i="11"/>
  <c r="FX32" i="11" s="1"/>
  <c r="FX57" i="11" s="1"/>
  <c r="L57" i="5"/>
  <c r="L64" i="5" s="1"/>
  <c r="FE28" i="11" s="1"/>
  <c r="L59" i="5"/>
  <c r="V75" i="41"/>
  <c r="AE69" i="5"/>
  <c r="AE60" i="5"/>
  <c r="FM47" i="11"/>
  <c r="FM68" i="11"/>
  <c r="FN68" i="11"/>
  <c r="CC164" i="1"/>
  <c r="CB164" i="1"/>
  <c r="CA194" i="1"/>
  <c r="CA184" i="1"/>
  <c r="CG164" i="1"/>
  <c r="AL146" i="3"/>
  <c r="AJ148" i="3"/>
  <c r="AL148" i="3" s="1"/>
  <c r="R91" i="41"/>
  <c r="I147" i="60"/>
  <c r="I104" i="60"/>
  <c r="I61" i="60"/>
  <c r="Z29" i="5"/>
  <c r="Z36" i="5"/>
  <c r="Z42" i="5" s="1"/>
  <c r="AC71" i="9"/>
  <c r="Z16" i="5"/>
  <c r="Z17" i="5"/>
  <c r="Z18" i="5" s="1"/>
  <c r="Z23" i="5"/>
  <c r="AM15" i="5"/>
  <c r="F115" i="41"/>
  <c r="F82" i="41"/>
  <c r="F81" i="41"/>
  <c r="G114" i="41"/>
  <c r="CG55" i="11"/>
  <c r="CG26" i="11"/>
  <c r="CG32" i="11" s="1"/>
  <c r="CG57" i="11" s="1"/>
  <c r="T114" i="41"/>
  <c r="AR215" i="1"/>
  <c r="Q118" i="41"/>
  <c r="FW16" i="11"/>
  <c r="FW22" i="11"/>
  <c r="FW54" i="11"/>
  <c r="FW53" i="11"/>
  <c r="J123" i="41"/>
  <c r="AN201" i="3"/>
  <c r="N196" i="3"/>
  <c r="W196" i="3"/>
  <c r="CG56" i="11"/>
  <c r="W74" i="41"/>
  <c r="W75" i="41"/>
  <c r="N87" i="41"/>
  <c r="AJ211" i="3"/>
  <c r="DP194" i="1"/>
  <c r="DQ164" i="1"/>
  <c r="DP184" i="1"/>
  <c r="DR164" i="1"/>
  <c r="DW164" i="1"/>
  <c r="J90" i="41"/>
  <c r="AB216" i="1"/>
  <c r="AJ216" i="1"/>
  <c r="E149" i="44"/>
  <c r="F148" i="44"/>
  <c r="J208" i="3"/>
  <c r="C120" i="41"/>
  <c r="C87" i="41"/>
  <c r="H96" i="60"/>
  <c r="H40" i="60"/>
  <c r="H139" i="60"/>
  <c r="H53" i="60"/>
  <c r="O60" i="5"/>
  <c r="O66" i="5"/>
  <c r="O69" i="5"/>
  <c r="L91" i="41"/>
  <c r="O84" i="41"/>
  <c r="G84" i="41"/>
  <c r="N203" i="3"/>
  <c r="L204" i="3"/>
  <c r="M114" i="41"/>
  <c r="N113" i="41"/>
  <c r="W70" i="10"/>
  <c r="X87" i="9"/>
  <c r="X89" i="9" s="1"/>
  <c r="D91" i="60"/>
  <c r="D48" i="60"/>
  <c r="D10" i="60"/>
  <c r="D134" i="60"/>
  <c r="D38" i="60"/>
  <c r="E38" i="60"/>
  <c r="D33" i="60"/>
  <c r="FA37" i="11"/>
  <c r="FB66" i="11"/>
  <c r="FA66" i="11"/>
  <c r="AB85" i="9"/>
  <c r="AB81" i="9"/>
  <c r="U17" i="4"/>
  <c r="U18" i="4" s="1"/>
  <c r="B69" i="5"/>
  <c r="B60" i="5"/>
  <c r="B66" i="5"/>
  <c r="H81" i="41"/>
  <c r="H83" i="41"/>
  <c r="H82" i="41"/>
  <c r="I84" i="41"/>
  <c r="E89" i="41"/>
  <c r="AC10" i="4"/>
  <c r="E145" i="60"/>
  <c r="E159" i="60"/>
  <c r="E170" i="60"/>
  <c r="E113" i="60"/>
  <c r="E118" i="60"/>
  <c r="E102" i="60"/>
  <c r="E59" i="60"/>
  <c r="E70" i="60"/>
  <c r="E75" i="60"/>
  <c r="T65" i="10"/>
  <c r="U235" i="3" l="1"/>
  <c r="AJ235" i="3" s="1"/>
  <c r="C70" i="60"/>
  <c r="C76" i="60"/>
  <c r="C75" i="60"/>
  <c r="AI26" i="11"/>
  <c r="AI32" i="11" s="1"/>
  <c r="AI57" i="11" s="1"/>
  <c r="O116" i="60"/>
  <c r="O165" i="60" s="1"/>
  <c r="DF16" i="11"/>
  <c r="T26" i="60"/>
  <c r="AK78" i="5"/>
  <c r="AI55" i="11"/>
  <c r="FD66" i="11"/>
  <c r="BY25" i="6"/>
  <c r="BX85" i="6"/>
  <c r="CC37" i="6"/>
  <c r="CB49" i="6"/>
  <c r="CC49" i="6" s="1"/>
  <c r="CB25" i="6"/>
  <c r="CB85" i="6" s="1"/>
  <c r="BX55" i="6"/>
  <c r="BY49" i="6"/>
  <c r="AO15" i="5"/>
  <c r="AK15" i="5"/>
  <c r="GD20" i="11"/>
  <c r="U15" i="60"/>
  <c r="AK48" i="5"/>
  <c r="AE37" i="11"/>
  <c r="AJ66" i="11"/>
  <c r="AD58" i="11"/>
  <c r="AB58" i="11"/>
  <c r="X17" i="11"/>
  <c r="X20" i="11"/>
  <c r="W6" i="11"/>
  <c r="W42" i="11"/>
  <c r="Y10" i="11"/>
  <c r="AD62" i="11" s="1"/>
  <c r="W20" i="11"/>
  <c r="W41" i="11"/>
  <c r="Y17" i="11"/>
  <c r="Z42" i="11"/>
  <c r="W17" i="11"/>
  <c r="Z24" i="11"/>
  <c r="R7" i="11"/>
  <c r="Z17" i="11"/>
  <c r="W10" i="11"/>
  <c r="AB62" i="11" s="1"/>
  <c r="X12" i="11"/>
  <c r="Y21" i="11"/>
  <c r="X10" i="11"/>
  <c r="AC62" i="11" s="1"/>
  <c r="Y42" i="11"/>
  <c r="Y30" i="11"/>
  <c r="Z20" i="11"/>
  <c r="X21" i="11"/>
  <c r="X63" i="11"/>
  <c r="Z63" i="11"/>
  <c r="Y24" i="11"/>
  <c r="W63" i="11"/>
  <c r="Z18" i="11"/>
  <c r="AE65" i="11" s="1"/>
  <c r="Y41" i="11"/>
  <c r="W30" i="11"/>
  <c r="W45" i="11"/>
  <c r="Z45" i="11"/>
  <c r="AE68" i="11" s="1"/>
  <c r="X30" i="11"/>
  <c r="W18" i="11"/>
  <c r="AB65" i="11" s="1"/>
  <c r="X45" i="11"/>
  <c r="W24" i="11"/>
  <c r="X41" i="11"/>
  <c r="Y63" i="11"/>
  <c r="Z10" i="11"/>
  <c r="W12" i="11"/>
  <c r="W14" i="11" s="1"/>
  <c r="Z30" i="11"/>
  <c r="Y20" i="11"/>
  <c r="Z21" i="11"/>
  <c r="Y45" i="11"/>
  <c r="Z12" i="11"/>
  <c r="Z41" i="11"/>
  <c r="Y12" i="11"/>
  <c r="Y14" i="11" s="1"/>
  <c r="X24" i="11"/>
  <c r="W21" i="11"/>
  <c r="X42" i="11"/>
  <c r="X18" i="11"/>
  <c r="Y18" i="11"/>
  <c r="AD65" i="11" s="1"/>
  <c r="Y34" i="11"/>
  <c r="AD66" i="11" s="1"/>
  <c r="W34" i="11"/>
  <c r="W37" i="11" s="1"/>
  <c r="X34" i="11"/>
  <c r="AC66" i="11" s="1"/>
  <c r="Z34" i="11"/>
  <c r="AE66" i="11" s="1"/>
  <c r="Z36" i="11"/>
  <c r="X36" i="11"/>
  <c r="Y36" i="11"/>
  <c r="W36" i="11"/>
  <c r="AE58" i="11"/>
  <c r="DJ62" i="11"/>
  <c r="DJ14" i="11"/>
  <c r="DP42" i="11"/>
  <c r="DN15" i="11"/>
  <c r="DP12" i="11"/>
  <c r="DN35" i="11"/>
  <c r="DN67" i="11" s="1"/>
  <c r="DN24" i="11"/>
  <c r="DN34" i="11"/>
  <c r="DN66" i="11" s="1"/>
  <c r="DP21" i="11"/>
  <c r="DQ34" i="11"/>
  <c r="DQ66" i="11" s="1"/>
  <c r="DN63" i="11"/>
  <c r="DO43" i="11"/>
  <c r="DN18" i="11"/>
  <c r="DQ36" i="11"/>
  <c r="DQ37" i="11" s="1"/>
  <c r="DP20" i="11"/>
  <c r="DQ17" i="11"/>
  <c r="DQ18" i="11"/>
  <c r="DQ10" i="11"/>
  <c r="DO24" i="11"/>
  <c r="DQ42" i="11"/>
  <c r="DN30" i="11"/>
  <c r="DO63" i="11"/>
  <c r="DO21" i="11"/>
  <c r="DQ45" i="11"/>
  <c r="DP35" i="11"/>
  <c r="DP67" i="11" s="1"/>
  <c r="DO34" i="11"/>
  <c r="DO66" i="11" s="1"/>
  <c r="DN10" i="11"/>
  <c r="DQ15" i="11"/>
  <c r="DP15" i="11"/>
  <c r="DO18" i="11"/>
  <c r="DN41" i="11"/>
  <c r="DO30" i="11"/>
  <c r="DO42" i="11"/>
  <c r="DP45" i="11"/>
  <c r="DQ21" i="11"/>
  <c r="DO45" i="11"/>
  <c r="DN12" i="11"/>
  <c r="DN43" i="11"/>
  <c r="DP18" i="11"/>
  <c r="DO10" i="11"/>
  <c r="DQ20" i="11"/>
  <c r="DO35" i="11"/>
  <c r="DO67" i="11" s="1"/>
  <c r="DO20" i="11"/>
  <c r="DQ30" i="11"/>
  <c r="DN6" i="11"/>
  <c r="DQ41" i="11"/>
  <c r="DP24" i="11"/>
  <c r="DQ35" i="11"/>
  <c r="DQ67" i="11" s="1"/>
  <c r="DO41" i="11"/>
  <c r="DO15" i="11"/>
  <c r="DO17" i="11"/>
  <c r="DP10" i="11"/>
  <c r="DQ63" i="11"/>
  <c r="DN45" i="11"/>
  <c r="DP17" i="11"/>
  <c r="DP63" i="11"/>
  <c r="DN17" i="11"/>
  <c r="DO12" i="11"/>
  <c r="DO36" i="11"/>
  <c r="DO37" i="11" s="1"/>
  <c r="DN20" i="11"/>
  <c r="DQ12" i="11"/>
  <c r="DN21" i="11"/>
  <c r="DN42" i="11"/>
  <c r="DP34" i="11"/>
  <c r="DP66" i="11" s="1"/>
  <c r="DP36" i="11"/>
  <c r="DP37" i="11" s="1"/>
  <c r="DP30" i="11"/>
  <c r="DP41" i="11"/>
  <c r="DQ24" i="11"/>
  <c r="DQ43" i="11"/>
  <c r="DS7" i="11"/>
  <c r="DP43" i="11"/>
  <c r="DN36" i="11"/>
  <c r="DN37" i="11" s="1"/>
  <c r="DK52" i="11"/>
  <c r="DK64" i="11"/>
  <c r="AI6" i="11"/>
  <c r="AH81" i="11"/>
  <c r="DE16" i="11"/>
  <c r="AH65" i="11"/>
  <c r="AC53" i="11"/>
  <c r="AC22" i="11"/>
  <c r="AC56" i="11" s="1"/>
  <c r="AE52" i="11"/>
  <c r="AE62" i="11"/>
  <c r="DG16" i="11"/>
  <c r="DG51" i="11"/>
  <c r="DL14" i="11"/>
  <c r="DL62" i="11"/>
  <c r="DK47" i="11"/>
  <c r="DK59" i="11" s="1"/>
  <c r="DK68" i="11"/>
  <c r="DK58" i="11"/>
  <c r="DL22" i="11"/>
  <c r="DL56" i="11" s="1"/>
  <c r="DL53" i="11"/>
  <c r="DL65" i="11"/>
  <c r="DJ52" i="11"/>
  <c r="DJ64" i="11"/>
  <c r="DL58" i="11"/>
  <c r="DL47" i="11"/>
  <c r="DL59" i="11" s="1"/>
  <c r="DL68" i="11"/>
  <c r="DL52" i="11"/>
  <c r="DL64" i="11"/>
  <c r="GA7" i="11"/>
  <c r="FZ71" i="11"/>
  <c r="DE81" i="11"/>
  <c r="DF6" i="11"/>
  <c r="DE80" i="11"/>
  <c r="CW81" i="11"/>
  <c r="CW80" i="11"/>
  <c r="AG26" i="11"/>
  <c r="AG32" i="11" s="1"/>
  <c r="AG57" i="11" s="1"/>
  <c r="AG55" i="11"/>
  <c r="AJ26" i="11"/>
  <c r="AJ32" i="11" s="1"/>
  <c r="AJ57" i="11" s="1"/>
  <c r="AJ55" i="11"/>
  <c r="AI16" i="11"/>
  <c r="AI51" i="11"/>
  <c r="AD37" i="11"/>
  <c r="AD14" i="11"/>
  <c r="AD52" i="11"/>
  <c r="AE14" i="11"/>
  <c r="AD22" i="11"/>
  <c r="AD53" i="11"/>
  <c r="AB52" i="11"/>
  <c r="AB14" i="11"/>
  <c r="AB37" i="11"/>
  <c r="AG66" i="11"/>
  <c r="AC6" i="11"/>
  <c r="AB81" i="11"/>
  <c r="DI14" i="11"/>
  <c r="DI62" i="11"/>
  <c r="DI68" i="11"/>
  <c r="DI58" i="11"/>
  <c r="DI47" i="11"/>
  <c r="DI59" i="11" s="1"/>
  <c r="DK62" i="11"/>
  <c r="DK14" i="11"/>
  <c r="DK65" i="11"/>
  <c r="DK22" i="11"/>
  <c r="DK56" i="11" s="1"/>
  <c r="DK53" i="11"/>
  <c r="AG51" i="11"/>
  <c r="AG16" i="11"/>
  <c r="AJ62" i="11"/>
  <c r="DG56" i="11"/>
  <c r="DG55" i="11"/>
  <c r="DG26" i="11"/>
  <c r="DG32" i="11" s="1"/>
  <c r="DG57" i="11" s="1"/>
  <c r="DE56" i="11"/>
  <c r="DE26" i="11"/>
  <c r="DE32" i="11" s="1"/>
  <c r="DE57" i="11" s="1"/>
  <c r="DE55" i="11"/>
  <c r="AO6" i="11"/>
  <c r="AO81" i="11" s="1"/>
  <c r="AN81" i="11"/>
  <c r="AH51" i="11"/>
  <c r="AH16" i="11"/>
  <c r="AE53" i="11"/>
  <c r="AE22" i="11"/>
  <c r="AE56" i="11" s="1"/>
  <c r="AC37" i="11"/>
  <c r="AG65" i="11"/>
  <c r="AB53" i="11"/>
  <c r="AB22" i="11"/>
  <c r="AC52" i="11"/>
  <c r="AC14" i="11"/>
  <c r="AC58" i="11"/>
  <c r="AH68" i="11"/>
  <c r="DJ47" i="11"/>
  <c r="DJ59" i="11" s="1"/>
  <c r="DJ68" i="11"/>
  <c r="DJ58" i="11"/>
  <c r="DJ65" i="11"/>
  <c r="DJ53" i="11"/>
  <c r="DJ22" i="11"/>
  <c r="DJ6" i="11"/>
  <c r="DI80" i="11"/>
  <c r="DI81" i="11"/>
  <c r="DI52" i="11"/>
  <c r="DI64" i="11"/>
  <c r="DI22" i="11"/>
  <c r="DI53" i="11"/>
  <c r="DI65" i="11"/>
  <c r="DF56" i="11"/>
  <c r="DF55" i="11"/>
  <c r="DF26" i="11"/>
  <c r="DF32" i="11" s="1"/>
  <c r="DF57" i="11" s="1"/>
  <c r="DB6" i="11"/>
  <c r="DA80" i="11"/>
  <c r="DA81" i="11"/>
  <c r="AJ51" i="11"/>
  <c r="AJ16" i="11"/>
  <c r="FR46" i="11"/>
  <c r="FR45" i="11"/>
  <c r="FR71" i="11"/>
  <c r="FR63" i="11"/>
  <c r="FR43" i="11"/>
  <c r="FR17" i="11"/>
  <c r="FR41" i="11"/>
  <c r="FS7" i="11"/>
  <c r="FR42" i="11"/>
  <c r="FR35" i="11"/>
  <c r="AJ56" i="11"/>
  <c r="FE63" i="11"/>
  <c r="FE71" i="11"/>
  <c r="FE17" i="11"/>
  <c r="FE45" i="11"/>
  <c r="FE68" i="11" s="1"/>
  <c r="FE42" i="11"/>
  <c r="FE43" i="11"/>
  <c r="FF7" i="11"/>
  <c r="FE41" i="11"/>
  <c r="DD55" i="11"/>
  <c r="DD26" i="11"/>
  <c r="DD32" i="11" s="1"/>
  <c r="DD57" i="11" s="1"/>
  <c r="DD56" i="11"/>
  <c r="J47" i="10"/>
  <c r="J71" i="10" s="1"/>
  <c r="O23" i="60"/>
  <c r="O25" i="60" s="1"/>
  <c r="O43" i="60"/>
  <c r="F98" i="60"/>
  <c r="F118" i="60" s="1"/>
  <c r="E35" i="60"/>
  <c r="F141" i="60"/>
  <c r="F183" i="60" s="1"/>
  <c r="C150" i="60"/>
  <c r="C152" i="60" s="1"/>
  <c r="AC204" i="3"/>
  <c r="AR176" i="3"/>
  <c r="C170" i="60"/>
  <c r="C159" i="60"/>
  <c r="S22" i="4"/>
  <c r="AR212" i="1"/>
  <c r="AM216" i="1"/>
  <c r="AN212" i="1"/>
  <c r="AS36" i="11"/>
  <c r="AN215" i="1"/>
  <c r="AS186" i="1"/>
  <c r="AN186" i="1"/>
  <c r="AO186" i="1"/>
  <c r="H75" i="5"/>
  <c r="I70" i="5"/>
  <c r="H70" i="5"/>
  <c r="F22" i="4"/>
  <c r="BG216" i="1"/>
  <c r="P215" i="1"/>
  <c r="AN196" i="1"/>
  <c r="AR196" i="1"/>
  <c r="AS66" i="11"/>
  <c r="AS37" i="11"/>
  <c r="AX66" i="11"/>
  <c r="K8" i="10"/>
  <c r="K27" i="10" s="1"/>
  <c r="K72" i="9"/>
  <c r="H67" i="5"/>
  <c r="BH66" i="11"/>
  <c r="J60" i="5"/>
  <c r="J69" i="5"/>
  <c r="CZ215" i="1"/>
  <c r="J67" i="5"/>
  <c r="H214" i="1"/>
  <c r="CZ216" i="1"/>
  <c r="DI67" i="11"/>
  <c r="CZ206" i="1"/>
  <c r="DD206" i="1"/>
  <c r="BM66" i="11"/>
  <c r="M8" i="10"/>
  <c r="M27" i="10" s="1"/>
  <c r="M61" i="10" s="1"/>
  <c r="M65" i="10" s="1"/>
  <c r="L214" i="1"/>
  <c r="BH36" i="11"/>
  <c r="BD212" i="1"/>
  <c r="CZ205" i="1"/>
  <c r="DD205" i="1"/>
  <c r="BX216" i="1"/>
  <c r="M60" i="5"/>
  <c r="M66" i="5"/>
  <c r="M69" i="5"/>
  <c r="AZ185" i="1"/>
  <c r="BM185" i="1"/>
  <c r="U69" i="5"/>
  <c r="U60" i="5"/>
  <c r="BD211" i="1"/>
  <c r="BC215" i="1"/>
  <c r="BH211" i="1"/>
  <c r="BC216" i="1"/>
  <c r="R67" i="5"/>
  <c r="U8" i="10"/>
  <c r="U27" i="10" s="1"/>
  <c r="U72" i="9"/>
  <c r="AZ184" i="1"/>
  <c r="AY214" i="1"/>
  <c r="BL214" i="1" s="1"/>
  <c r="BM184" i="1"/>
  <c r="D70" i="5"/>
  <c r="BD210" i="1"/>
  <c r="AY216" i="1"/>
  <c r="BF36" i="11"/>
  <c r="AY215" i="1"/>
  <c r="BL215" i="1" s="1"/>
  <c r="BL210" i="1"/>
  <c r="AZ210" i="1"/>
  <c r="AS184" i="1"/>
  <c r="AM214" i="1"/>
  <c r="AN184" i="1"/>
  <c r="AO184" i="1"/>
  <c r="E147" i="60"/>
  <c r="E171" i="60" s="1"/>
  <c r="E61" i="60"/>
  <c r="E64" i="60" s="1"/>
  <c r="E66" i="60" s="1"/>
  <c r="E104" i="60"/>
  <c r="E119" i="60" s="1"/>
  <c r="AN213" i="1"/>
  <c r="AT36" i="11"/>
  <c r="BD186" i="1"/>
  <c r="BE186" i="1"/>
  <c r="C29" i="60"/>
  <c r="C34" i="60"/>
  <c r="C17" i="60"/>
  <c r="BE184" i="1"/>
  <c r="BD184" i="1"/>
  <c r="BC214" i="1"/>
  <c r="P216" i="1"/>
  <c r="BD196" i="1"/>
  <c r="D76" i="5"/>
  <c r="CJ214" i="1"/>
  <c r="BH216" i="1"/>
  <c r="AN194" i="1"/>
  <c r="FE34" i="11"/>
  <c r="AR194" i="1"/>
  <c r="F72" i="9"/>
  <c r="F8" i="10"/>
  <c r="F27" i="10" s="1"/>
  <c r="C67" i="5"/>
  <c r="U67" i="5"/>
  <c r="X8" i="10"/>
  <c r="X72" i="9"/>
  <c r="F75" i="5"/>
  <c r="G76" i="5" s="1"/>
  <c r="G70" i="5"/>
  <c r="BL216" i="1"/>
  <c r="C116" i="60"/>
  <c r="C98" i="60"/>
  <c r="CZ214" i="1"/>
  <c r="FR36" i="11"/>
  <c r="BH194" i="1"/>
  <c r="E23" i="60"/>
  <c r="E25" i="60" s="1"/>
  <c r="BI186" i="1"/>
  <c r="BI184" i="1"/>
  <c r="F55" i="60"/>
  <c r="F75" i="60" s="1"/>
  <c r="DH216" i="1"/>
  <c r="DV216" i="1" s="1"/>
  <c r="U64" i="5"/>
  <c r="FN28" i="11" s="1"/>
  <c r="U72" i="5"/>
  <c r="V73" i="5" s="1"/>
  <c r="BD185" i="1"/>
  <c r="BE185" i="1"/>
  <c r="BI185" i="1"/>
  <c r="I72" i="9"/>
  <c r="I8" i="10"/>
  <c r="I27" i="10" s="1"/>
  <c r="F67" i="5"/>
  <c r="R70" i="5"/>
  <c r="R75" i="5"/>
  <c r="R76" i="5" s="1"/>
  <c r="FR37" i="11"/>
  <c r="BH196" i="1"/>
  <c r="BF66" i="11"/>
  <c r="BF37" i="11"/>
  <c r="BK66" i="11"/>
  <c r="AT37" i="11"/>
  <c r="AT66" i="11"/>
  <c r="GC15" i="11"/>
  <c r="AM71" i="9"/>
  <c r="E218" i="44"/>
  <c r="F217" i="44"/>
  <c r="F231" i="44"/>
  <c r="FX59" i="11"/>
  <c r="J54" i="52"/>
  <c r="J56" i="52" s="1"/>
  <c r="F259" i="44"/>
  <c r="E246" i="44"/>
  <c r="F245" i="44"/>
  <c r="J36" i="52"/>
  <c r="J41" i="52" s="1"/>
  <c r="J47" i="52" s="1"/>
  <c r="J49" i="52" s="1"/>
  <c r="FX69" i="11"/>
  <c r="N67" i="5"/>
  <c r="S9" i="9"/>
  <c r="D15" i="52"/>
  <c r="D19" i="52" s="1"/>
  <c r="FT35" i="11"/>
  <c r="AB73" i="5"/>
  <c r="CO143" i="1"/>
  <c r="CM153" i="1"/>
  <c r="CN143" i="1"/>
  <c r="CO103" i="1"/>
  <c r="CM113" i="1"/>
  <c r="CW45" i="11" s="1"/>
  <c r="CN103" i="1"/>
  <c r="AL83" i="8"/>
  <c r="CW18" i="11"/>
  <c r="D168" i="3"/>
  <c r="H168" i="3" s="1"/>
  <c r="AP13" i="6"/>
  <c r="CW52" i="11"/>
  <c r="CW14" i="11"/>
  <c r="CW62" i="11"/>
  <c r="U168" i="3"/>
  <c r="D83" i="8"/>
  <c r="L83" i="8" s="1"/>
  <c r="E302" i="44"/>
  <c r="F301" i="44"/>
  <c r="CR93" i="1"/>
  <c r="CR23" i="1"/>
  <c r="CR43" i="1"/>
  <c r="CR83" i="1"/>
  <c r="CQ143" i="1"/>
  <c r="S175" i="3"/>
  <c r="CQ103" i="1"/>
  <c r="CV13" i="1"/>
  <c r="CR63" i="1"/>
  <c r="CR133" i="1"/>
  <c r="CR123" i="1"/>
  <c r="CR33" i="1"/>
  <c r="CR53" i="1"/>
  <c r="CR13" i="1"/>
  <c r="CR73" i="1"/>
  <c r="DB10" i="11"/>
  <c r="Y47" i="4"/>
  <c r="Y48" i="4" s="1"/>
  <c r="Y44" i="5"/>
  <c r="N59" i="60"/>
  <c r="N64" i="60" s="1"/>
  <c r="N66" i="60" s="1"/>
  <c r="N75" i="60"/>
  <c r="T57" i="60"/>
  <c r="T100" i="60"/>
  <c r="T143" i="60"/>
  <c r="N118" i="60"/>
  <c r="N102" i="60"/>
  <c r="N113" i="60"/>
  <c r="O59" i="60"/>
  <c r="O70" i="60"/>
  <c r="O84" i="60" s="1"/>
  <c r="O82" i="60"/>
  <c r="O75" i="60"/>
  <c r="O118" i="60"/>
  <c r="O102" i="60"/>
  <c r="O125" i="60"/>
  <c r="O113" i="60"/>
  <c r="AA29" i="5"/>
  <c r="AJ85" i="9"/>
  <c r="AJ31" i="9"/>
  <c r="AJ40" i="10"/>
  <c r="AJ43" i="10" s="1"/>
  <c r="C17" i="81" s="1"/>
  <c r="C18" i="81" s="1"/>
  <c r="AQ18" i="10"/>
  <c r="AI45" i="10"/>
  <c r="AL81" i="9"/>
  <c r="AK27" i="9"/>
  <c r="GC41" i="11"/>
  <c r="AO78" i="5"/>
  <c r="R154" i="60"/>
  <c r="R110" i="60"/>
  <c r="R156" i="60" s="1"/>
  <c r="S155" i="60"/>
  <c r="S153" i="60" s="1"/>
  <c r="S67" i="60"/>
  <c r="T66" i="5"/>
  <c r="W8" i="10" s="1"/>
  <c r="D121" i="41"/>
  <c r="E120" i="41"/>
  <c r="Z47" i="4"/>
  <c r="Z43" i="5"/>
  <c r="Z44" i="5"/>
  <c r="U19" i="4"/>
  <c r="U33" i="4"/>
  <c r="U24" i="4"/>
  <c r="U25" i="4" s="1"/>
  <c r="U21" i="4"/>
  <c r="T69" i="5"/>
  <c r="T60" i="5"/>
  <c r="I86" i="41"/>
  <c r="I85" i="41"/>
  <c r="H116" i="41"/>
  <c r="I115" i="41"/>
  <c r="E72" i="9"/>
  <c r="B67" i="5"/>
  <c r="E8" i="10"/>
  <c r="E27" i="10" s="1"/>
  <c r="D32" i="60"/>
  <c r="D13" i="60"/>
  <c r="P203" i="3"/>
  <c r="O119" i="41"/>
  <c r="P118" i="41"/>
  <c r="H81" i="60"/>
  <c r="H124" i="60"/>
  <c r="C88" i="41"/>
  <c r="C123" i="41" s="1"/>
  <c r="J125" i="41"/>
  <c r="DP214" i="1"/>
  <c r="DQ184" i="1"/>
  <c r="DW184" i="1" s="1"/>
  <c r="DR184" i="1"/>
  <c r="F116" i="41"/>
  <c r="G115" i="41"/>
  <c r="F83" i="41"/>
  <c r="F84" i="41" s="1"/>
  <c r="CB184" i="1"/>
  <c r="CC184" i="1"/>
  <c r="CA214" i="1"/>
  <c r="CG184" i="1"/>
  <c r="G47" i="10"/>
  <c r="G71" i="10" s="1"/>
  <c r="G61" i="10"/>
  <c r="G65" i="10" s="1"/>
  <c r="E190" i="44"/>
  <c r="F203" i="44"/>
  <c r="CN132" i="1"/>
  <c r="CN122" i="1"/>
  <c r="CN62" i="1"/>
  <c r="CN92" i="1"/>
  <c r="CV10" i="11"/>
  <c r="CM142" i="1"/>
  <c r="CM146" i="1" s="1"/>
  <c r="CN22" i="1"/>
  <c r="CO22" i="1" s="1"/>
  <c r="CN12" i="1"/>
  <c r="CN72" i="1"/>
  <c r="CN82" i="1"/>
  <c r="CO82" i="1" s="1"/>
  <c r="CN32" i="1"/>
  <c r="CO32" i="1" s="1"/>
  <c r="CN42" i="1"/>
  <c r="S167" i="3"/>
  <c r="S169" i="3" s="1"/>
  <c r="CM102" i="1"/>
  <c r="CM106" i="1" s="1"/>
  <c r="CN52" i="1"/>
  <c r="S115" i="41"/>
  <c r="S81" i="41"/>
  <c r="Z61" i="41"/>
  <c r="Z60" i="41" s="1"/>
  <c r="Y60" i="41"/>
  <c r="J29" i="41"/>
  <c r="J31" i="41"/>
  <c r="J142" i="41"/>
  <c r="J175" i="41" s="1"/>
  <c r="J18" i="41" s="1"/>
  <c r="J7" i="41" s="1"/>
  <c r="J8" i="41" s="1"/>
  <c r="J11" i="41" s="1"/>
  <c r="K142" i="41"/>
  <c r="K16" i="41"/>
  <c r="AB122" i="8"/>
  <c r="AD122" i="8" s="1"/>
  <c r="AF122" i="8" s="1"/>
  <c r="AC207" i="3"/>
  <c r="K19" i="60"/>
  <c r="AA32" i="5"/>
  <c r="K28" i="60"/>
  <c r="K69" i="60" s="1"/>
  <c r="K112" i="60" s="1"/>
  <c r="AD71" i="9"/>
  <c r="AA16" i="5"/>
  <c r="D22" i="52"/>
  <c r="D24" i="52" s="1"/>
  <c r="I121" i="64"/>
  <c r="AA23" i="5"/>
  <c r="AA17" i="5"/>
  <c r="AA18" i="5" s="1"/>
  <c r="AA19" i="5"/>
  <c r="D9" i="52" s="1"/>
  <c r="D13" i="52" s="1"/>
  <c r="FT17" i="11"/>
  <c r="AA40" i="5"/>
  <c r="K12" i="60"/>
  <c r="AV194" i="1"/>
  <c r="AZ194" i="1"/>
  <c r="CN101" i="1"/>
  <c r="CU18" i="11"/>
  <c r="CO101" i="1"/>
  <c r="CM111" i="1"/>
  <c r="CU45" i="11" s="1"/>
  <c r="CM105" i="1"/>
  <c r="AL81" i="8"/>
  <c r="CN141" i="1"/>
  <c r="CM145" i="1"/>
  <c r="CO141" i="1"/>
  <c r="CM161" i="1"/>
  <c r="CN151" i="1"/>
  <c r="CM201" i="1" s="1"/>
  <c r="CM14" i="1"/>
  <c r="AB8" i="10"/>
  <c r="Y67" i="5"/>
  <c r="AB72" i="9"/>
  <c r="T8" i="4"/>
  <c r="FM77" i="11"/>
  <c r="T21" i="4"/>
  <c r="T22" i="4" s="1"/>
  <c r="U8" i="4"/>
  <c r="Z73" i="5"/>
  <c r="I52" i="60"/>
  <c r="Z53" i="5"/>
  <c r="AC70" i="10"/>
  <c r="AC87" i="9"/>
  <c r="AC89" i="9" s="1"/>
  <c r="AV196" i="1"/>
  <c r="AZ196" i="1"/>
  <c r="AW186" i="1"/>
  <c r="AV186" i="1"/>
  <c r="BA186" i="1"/>
  <c r="G85" i="41"/>
  <c r="AP231" i="3"/>
  <c r="AP238" i="3" s="1"/>
  <c r="AP239" i="3" s="1"/>
  <c r="U224" i="3"/>
  <c r="AD10" i="4"/>
  <c r="AD7" i="4"/>
  <c r="K69" i="5"/>
  <c r="K60" i="5"/>
  <c r="K66" i="5"/>
  <c r="F287" i="44"/>
  <c r="F273" i="44"/>
  <c r="E274" i="44"/>
  <c r="M115" i="41"/>
  <c r="N114" i="41"/>
  <c r="M81" i="41"/>
  <c r="E70" i="5"/>
  <c r="E75" i="5"/>
  <c r="F70" i="5"/>
  <c r="J54" i="60"/>
  <c r="J140" i="60"/>
  <c r="J97" i="60"/>
  <c r="AP225" i="3"/>
  <c r="CC182" i="1"/>
  <c r="CA212" i="1"/>
  <c r="CA186" i="1"/>
  <c r="CG182" i="1"/>
  <c r="CB182" i="1"/>
  <c r="D186" i="60"/>
  <c r="D187" i="60" s="1"/>
  <c r="D85" i="60"/>
  <c r="D86" i="60" s="1"/>
  <c r="O67" i="5"/>
  <c r="R72" i="9"/>
  <c r="X108" i="41"/>
  <c r="W109" i="41"/>
  <c r="V110" i="41"/>
  <c r="H117" i="41"/>
  <c r="I116" i="41"/>
  <c r="B75" i="5"/>
  <c r="C76" i="5" s="1"/>
  <c r="C70" i="5"/>
  <c r="E85" i="60"/>
  <c r="E86" i="60" s="1"/>
  <c r="E186" i="60"/>
  <c r="E187" i="60" s="1"/>
  <c r="D79" i="60"/>
  <c r="D52" i="60"/>
  <c r="E79" i="60"/>
  <c r="D74" i="60"/>
  <c r="O75" i="5"/>
  <c r="O76" i="5" s="1"/>
  <c r="O70" i="5"/>
  <c r="V123" i="8"/>
  <c r="X123" i="8" s="1"/>
  <c r="Z123" i="8" s="1"/>
  <c r="L208" i="3"/>
  <c r="K208" i="3"/>
  <c r="W76" i="41"/>
  <c r="P119" i="41"/>
  <c r="F117" i="41"/>
  <c r="G116" i="41"/>
  <c r="AN148" i="3"/>
  <c r="AN155" i="3"/>
  <c r="CB194" i="1"/>
  <c r="FM34" i="11"/>
  <c r="CF194" i="1"/>
  <c r="O86" i="41"/>
  <c r="AE196" i="3"/>
  <c r="AG196" i="3" s="1"/>
  <c r="AL196" i="3"/>
  <c r="X74" i="41"/>
  <c r="X75" i="41"/>
  <c r="X110" i="41" s="1"/>
  <c r="AE204" i="3"/>
  <c r="AG204" i="3" s="1"/>
  <c r="N35" i="60"/>
  <c r="N173" i="60" s="1"/>
  <c r="N171" i="60" s="1"/>
  <c r="N23" i="60"/>
  <c r="N25" i="60" s="1"/>
  <c r="J153" i="60"/>
  <c r="J67" i="60"/>
  <c r="J110" i="60" s="1"/>
  <c r="AD69" i="9"/>
  <c r="K6" i="60"/>
  <c r="AA11" i="4"/>
  <c r="AA8" i="5"/>
  <c r="AD67" i="10"/>
  <c r="AA26" i="5"/>
  <c r="AC5" i="5"/>
  <c r="AB5" i="4"/>
  <c r="AB39" i="4" s="1"/>
  <c r="AB56" i="5"/>
  <c r="AB15" i="5"/>
  <c r="AB34" i="5"/>
  <c r="AB28" i="5"/>
  <c r="AB7" i="5"/>
  <c r="AB25" i="5"/>
  <c r="AB31" i="5"/>
  <c r="AB39" i="5"/>
  <c r="AB78" i="5"/>
  <c r="AB50" i="5"/>
  <c r="AB47" i="5"/>
  <c r="AB62" i="5"/>
  <c r="AB11" i="5"/>
  <c r="Q120" i="41"/>
  <c r="D119" i="41"/>
  <c r="E118" i="41"/>
  <c r="AW184" i="1"/>
  <c r="AU214" i="1"/>
  <c r="AV184" i="1"/>
  <c r="BA184" i="1"/>
  <c r="R92" i="41"/>
  <c r="R122" i="41"/>
  <c r="N109" i="64"/>
  <c r="M110" i="64"/>
  <c r="U43" i="4"/>
  <c r="I32" i="60"/>
  <c r="I13" i="60"/>
  <c r="K119" i="41"/>
  <c r="L118" i="41"/>
  <c r="CL67" i="11"/>
  <c r="CG67" i="11"/>
  <c r="J134" i="60"/>
  <c r="J91" i="60"/>
  <c r="J48" i="60"/>
  <c r="J10" i="60"/>
  <c r="J38" i="60"/>
  <c r="J57" i="60"/>
  <c r="J100" i="60"/>
  <c r="J143" i="60"/>
  <c r="Y203" i="3"/>
  <c r="V76" i="41"/>
  <c r="V111" i="41" s="1"/>
  <c r="K85" i="41"/>
  <c r="BB37" i="11"/>
  <c r="BG66" i="11"/>
  <c r="BB66" i="11"/>
  <c r="AV185" i="1"/>
  <c r="AW185" i="1"/>
  <c r="BA185" i="1"/>
  <c r="H84" i="41"/>
  <c r="K6" i="10"/>
  <c r="J6" i="9"/>
  <c r="J91" i="41"/>
  <c r="L93" i="41"/>
  <c r="C89" i="41"/>
  <c r="C124" i="41" s="1"/>
  <c r="I53" i="60"/>
  <c r="I40" i="60"/>
  <c r="I33" i="60"/>
  <c r="I139" i="60"/>
  <c r="I96" i="60"/>
  <c r="FR76" i="11"/>
  <c r="FM35" i="11"/>
  <c r="CB204" i="1"/>
  <c r="CF204" i="1"/>
  <c r="H54" i="52"/>
  <c r="H56" i="52" s="1"/>
  <c r="FW59" i="11"/>
  <c r="FW69" i="11"/>
  <c r="H36" i="52"/>
  <c r="H41" i="52" s="1"/>
  <c r="H47" i="52" s="1"/>
  <c r="H49" i="52" s="1"/>
  <c r="E90" i="41"/>
  <c r="FU74" i="11"/>
  <c r="FU81" i="11"/>
  <c r="AJ221" i="3"/>
  <c r="U80" i="41"/>
  <c r="J15" i="52"/>
  <c r="J19" i="52" s="1"/>
  <c r="FW35" i="11"/>
  <c r="AD73" i="5"/>
  <c r="AE73" i="5"/>
  <c r="O42" i="41"/>
  <c r="O44" i="41" s="1"/>
  <c r="O45" i="41" s="1"/>
  <c r="V14" i="4"/>
  <c r="FN72" i="11"/>
  <c r="FN80" i="11" s="1"/>
  <c r="D122" i="60"/>
  <c r="E122" i="60"/>
  <c r="D95" i="60"/>
  <c r="D117" i="60"/>
  <c r="H182" i="60"/>
  <c r="DQ194" i="1"/>
  <c r="DV194" i="1"/>
  <c r="W77" i="41"/>
  <c r="AC81" i="9"/>
  <c r="AC85" i="9"/>
  <c r="AN153" i="3"/>
  <c r="AN146" i="3"/>
  <c r="AE70" i="5"/>
  <c r="FX36" i="11"/>
  <c r="FX37" i="11" s="1"/>
  <c r="AE75" i="5"/>
  <c r="AJ165" i="3"/>
  <c r="W165" i="3"/>
  <c r="Y165" i="3" s="1"/>
  <c r="Y61" i="10"/>
  <c r="Y65" i="10" s="1"/>
  <c r="Y47" i="10"/>
  <c r="Y71" i="10" s="1"/>
  <c r="K8" i="60"/>
  <c r="AA12" i="5"/>
  <c r="AA13" i="5" s="1"/>
  <c r="AD70" i="9"/>
  <c r="C138" i="41"/>
  <c r="C66" i="41"/>
  <c r="C15" i="41"/>
  <c r="C35" i="41"/>
  <c r="C102" i="41"/>
  <c r="C22" i="41"/>
  <c r="CU62" i="11"/>
  <c r="CU14" i="11"/>
  <c r="CU52" i="11"/>
  <c r="D81" i="8"/>
  <c r="L81" i="8" s="1"/>
  <c r="U166" i="3"/>
  <c r="D120" i="41"/>
  <c r="E119" i="41"/>
  <c r="CR61" i="1"/>
  <c r="CR41" i="1"/>
  <c r="CR51" i="1"/>
  <c r="CR21" i="1"/>
  <c r="CR131" i="1"/>
  <c r="CR121" i="1"/>
  <c r="CQ101" i="1"/>
  <c r="CR91" i="1"/>
  <c r="CV11" i="1"/>
  <c r="S173" i="3"/>
  <c r="CR11" i="1"/>
  <c r="CQ141" i="1"/>
  <c r="CR31" i="1"/>
  <c r="CR81" i="1"/>
  <c r="CR71" i="1"/>
  <c r="CZ10" i="11"/>
  <c r="Y69" i="5"/>
  <c r="Y60" i="5"/>
  <c r="I138" i="60"/>
  <c r="I162" i="60" s="1"/>
  <c r="Z36" i="4"/>
  <c r="Z12" i="4"/>
  <c r="AM11" i="4"/>
  <c r="AG6" i="9"/>
  <c r="AF6" i="10"/>
  <c r="AV211" i="1"/>
  <c r="BB36" i="11"/>
  <c r="AZ211" i="1"/>
  <c r="AU216" i="1"/>
  <c r="AU215" i="1"/>
  <c r="X10" i="4"/>
  <c r="EZ72" i="11"/>
  <c r="EZ80" i="11" s="1"/>
  <c r="H14" i="4"/>
  <c r="G41" i="4"/>
  <c r="N207" i="3"/>
  <c r="P207" i="3" s="1"/>
  <c r="W207" i="3"/>
  <c r="Y207" i="3" s="1"/>
  <c r="H8" i="10"/>
  <c r="H27" i="10" s="1"/>
  <c r="H72" i="9"/>
  <c r="E67" i="5"/>
  <c r="K118" i="41"/>
  <c r="L117" i="41"/>
  <c r="AC75" i="9"/>
  <c r="AC79" i="9" s="1"/>
  <c r="AC76" i="9"/>
  <c r="AC80" i="9" s="1"/>
  <c r="FW36" i="11"/>
  <c r="FW37" i="11" s="1"/>
  <c r="AD75" i="5"/>
  <c r="AP232" i="3"/>
  <c r="T82" i="41"/>
  <c r="H118" i="41"/>
  <c r="I117" i="41"/>
  <c r="C122" i="41"/>
  <c r="C27" i="41"/>
  <c r="S172" i="3"/>
  <c r="CR120" i="1"/>
  <c r="CR60" i="1"/>
  <c r="CR20" i="1"/>
  <c r="CQ100" i="1"/>
  <c r="CR50" i="1"/>
  <c r="CR90" i="1"/>
  <c r="CQ15" i="1"/>
  <c r="CR70" i="1"/>
  <c r="CR10" i="1"/>
  <c r="CR80" i="1"/>
  <c r="CR130" i="1"/>
  <c r="CR30" i="1"/>
  <c r="CQ140" i="1"/>
  <c r="CR40" i="1"/>
  <c r="CV10" i="1"/>
  <c r="CY10" i="11"/>
  <c r="N88" i="41"/>
  <c r="L66" i="5"/>
  <c r="L60" i="5"/>
  <c r="L69" i="5"/>
  <c r="K26" i="60"/>
  <c r="AA64" i="5"/>
  <c r="FT28" i="11" s="1"/>
  <c r="FT41" i="11"/>
  <c r="K15" i="60"/>
  <c r="AA48" i="5"/>
  <c r="AA9" i="5"/>
  <c r="K39" i="60"/>
  <c r="AH27" i="10"/>
  <c r="AH47" i="9"/>
  <c r="N64" i="3"/>
  <c r="W64" i="3"/>
  <c r="Y64" i="3" s="1"/>
  <c r="U41" i="4"/>
  <c r="D177" i="60"/>
  <c r="D138" i="60"/>
  <c r="E177" i="60"/>
  <c r="D166" i="60"/>
  <c r="N204" i="3"/>
  <c r="P204" i="3" s="1"/>
  <c r="W204" i="3"/>
  <c r="Y204" i="3" s="1"/>
  <c r="J209" i="3"/>
  <c r="L209" i="3" s="1"/>
  <c r="F149" i="44"/>
  <c r="E150" i="44"/>
  <c r="P196" i="3"/>
  <c r="FW26" i="11"/>
  <c r="FW32" i="11" s="1"/>
  <c r="FW57" i="11" s="1"/>
  <c r="FW56" i="11"/>
  <c r="FW55" i="11"/>
  <c r="Z37" i="5"/>
  <c r="J11" i="60"/>
  <c r="D87" i="41"/>
  <c r="U22" i="41"/>
  <c r="U66" i="41"/>
  <c r="U35" i="41"/>
  <c r="U138" i="41"/>
  <c r="V3" i="41"/>
  <c r="U102" i="41"/>
  <c r="U15" i="41"/>
  <c r="E323" i="44"/>
  <c r="F322" i="44"/>
  <c r="AA208" i="3"/>
  <c r="J39" i="60"/>
  <c r="Z9" i="5"/>
  <c r="J61" i="60"/>
  <c r="J104" i="60"/>
  <c r="J147" i="60"/>
  <c r="K16" i="60"/>
  <c r="AA36" i="5"/>
  <c r="P87" i="41"/>
  <c r="L71" i="3"/>
  <c r="J77" i="3"/>
  <c r="CM16" i="1"/>
  <c r="CN135" i="1"/>
  <c r="CN85" i="1"/>
  <c r="CO85" i="1" s="1"/>
  <c r="CN65" i="1"/>
  <c r="CN55" i="1"/>
  <c r="CN95" i="1"/>
  <c r="CN25" i="1"/>
  <c r="CO25" i="1" s="1"/>
  <c r="CO15" i="1"/>
  <c r="CN35" i="1"/>
  <c r="CO35" i="1" s="1"/>
  <c r="CN45" i="1"/>
  <c r="CN75" i="1"/>
  <c r="CN125" i="1"/>
  <c r="CN15" i="1"/>
  <c r="D166" i="3"/>
  <c r="H166" i="3" s="1"/>
  <c r="AP11" i="6"/>
  <c r="FM76" i="11"/>
  <c r="T37" i="4"/>
  <c r="U37" i="4"/>
  <c r="I95" i="60"/>
  <c r="CB206" i="1"/>
  <c r="CF206" i="1"/>
  <c r="J158" i="60"/>
  <c r="I123" i="60"/>
  <c r="I178" i="60"/>
  <c r="I80" i="60"/>
  <c r="AV195" i="1"/>
  <c r="AZ195" i="1"/>
  <c r="AF117" i="8"/>
  <c r="AJ217" i="3"/>
  <c r="G33" i="4"/>
  <c r="G19" i="4"/>
  <c r="G43" i="4" s="1"/>
  <c r="G24" i="4"/>
  <c r="G25" i="4" s="1"/>
  <c r="G21" i="4"/>
  <c r="G22" i="4" s="1"/>
  <c r="F23" i="60"/>
  <c r="F25" i="60" s="1"/>
  <c r="F35" i="60"/>
  <c r="O60" i="64"/>
  <c r="O62" i="64" s="1"/>
  <c r="P60" i="64" s="1"/>
  <c r="P62" i="64" s="1"/>
  <c r="Q60" i="64" s="1"/>
  <c r="Q62" i="64" s="1"/>
  <c r="R60" i="64" s="1"/>
  <c r="R62" i="64" s="1"/>
  <c r="S60" i="64"/>
  <c r="S62" i="64" s="1"/>
  <c r="R121" i="41"/>
  <c r="Q89" i="41"/>
  <c r="Q90" i="41"/>
  <c r="D19" i="60"/>
  <c r="T57" i="5"/>
  <c r="J50" i="60"/>
  <c r="J93" i="60"/>
  <c r="J136" i="60"/>
  <c r="CQ14" i="1"/>
  <c r="AE203" i="3"/>
  <c r="CC166" i="1"/>
  <c r="CB166" i="1"/>
  <c r="CG166" i="1"/>
  <c r="CG34" i="11"/>
  <c r="CA196" i="1"/>
  <c r="CB192" i="1"/>
  <c r="CF192" i="1"/>
  <c r="M82" i="41"/>
  <c r="T9" i="9"/>
  <c r="U60" i="10"/>
  <c r="AQ239" i="3" l="1"/>
  <c r="AG9" i="4"/>
  <c r="AF9" i="4"/>
  <c r="AQ232" i="3"/>
  <c r="GD41" i="11"/>
  <c r="U26" i="60"/>
  <c r="O42" i="60"/>
  <c r="O186" i="60" s="1"/>
  <c r="CB55" i="6"/>
  <c r="CC25" i="6"/>
  <c r="FR47" i="11"/>
  <c r="AB66" i="11"/>
  <c r="GD15" i="11"/>
  <c r="GD64" i="11" s="1"/>
  <c r="AN71" i="9"/>
  <c r="U100" i="60"/>
  <c r="U143" i="60"/>
  <c r="U57" i="60"/>
  <c r="F125" i="60"/>
  <c r="FS42" i="11"/>
  <c r="FS41" i="11"/>
  <c r="FS17" i="11"/>
  <c r="FS46" i="11"/>
  <c r="FS71" i="11"/>
  <c r="FS45" i="11"/>
  <c r="FS43" i="11"/>
  <c r="FS34" i="11"/>
  <c r="FS66" i="11" s="1"/>
  <c r="FS63" i="11"/>
  <c r="FS36" i="11"/>
  <c r="FS37" i="11" s="1"/>
  <c r="FS35" i="11"/>
  <c r="FS67" i="11" s="1"/>
  <c r="DB81" i="11"/>
  <c r="DB80" i="11"/>
  <c r="DK6" i="11"/>
  <c r="DJ81" i="11"/>
  <c r="DJ80" i="11"/>
  <c r="DI16" i="11"/>
  <c r="DI51" i="11"/>
  <c r="AD56" i="11"/>
  <c r="AD55" i="11"/>
  <c r="AD26" i="11"/>
  <c r="AD32" i="11" s="1"/>
  <c r="AD57" i="11" s="1"/>
  <c r="GB7" i="11"/>
  <c r="GA71" i="11"/>
  <c r="DN80" i="11"/>
  <c r="DO6" i="11"/>
  <c r="DN81" i="11"/>
  <c r="DP52" i="11"/>
  <c r="DP64" i="11"/>
  <c r="DQ65" i="11"/>
  <c r="DQ22" i="11"/>
  <c r="DQ56" i="11" s="1"/>
  <c r="DQ53" i="11"/>
  <c r="DN65" i="11"/>
  <c r="DN22" i="11"/>
  <c r="DN56" i="11" s="1"/>
  <c r="DN53" i="11"/>
  <c r="X37" i="11"/>
  <c r="AC65" i="11"/>
  <c r="X53" i="11"/>
  <c r="X22" i="11"/>
  <c r="X56" i="11" s="1"/>
  <c r="Y51" i="11"/>
  <c r="Y16" i="11"/>
  <c r="Z52" i="11"/>
  <c r="Z14" i="11"/>
  <c r="AC68" i="11"/>
  <c r="X58" i="11"/>
  <c r="W58" i="11"/>
  <c r="X52" i="11"/>
  <c r="X14" i="11"/>
  <c r="Y52" i="11"/>
  <c r="DJ56" i="11"/>
  <c r="DJ26" i="11"/>
  <c r="DJ32" i="11" s="1"/>
  <c r="DJ57" i="11" s="1"/>
  <c r="DJ55" i="11"/>
  <c r="AC51" i="11"/>
  <c r="AC16" i="11"/>
  <c r="AB26" i="11"/>
  <c r="AB32" i="11" s="1"/>
  <c r="AB57" i="11" s="1"/>
  <c r="AB55" i="11"/>
  <c r="AB56" i="11"/>
  <c r="AD51" i="11"/>
  <c r="AD16" i="11"/>
  <c r="DF80" i="11"/>
  <c r="DG6" i="11"/>
  <c r="DF81" i="11"/>
  <c r="AC26" i="11"/>
  <c r="AC32" i="11" s="1"/>
  <c r="AC57" i="11" s="1"/>
  <c r="AC55" i="11"/>
  <c r="DP62" i="11"/>
  <c r="DP14" i="11"/>
  <c r="DO62" i="11"/>
  <c r="DO14" i="11"/>
  <c r="DO58" i="11"/>
  <c r="DO47" i="11"/>
  <c r="DO59" i="11" s="1"/>
  <c r="DO68" i="11"/>
  <c r="DQ64" i="11"/>
  <c r="DQ52" i="11"/>
  <c r="DQ68" i="11"/>
  <c r="DQ58" i="11"/>
  <c r="DQ47" i="11"/>
  <c r="DQ59" i="11" s="1"/>
  <c r="DN64" i="11"/>
  <c r="DN52" i="11"/>
  <c r="W53" i="11"/>
  <c r="W22" i="11"/>
  <c r="W56" i="11" s="1"/>
  <c r="S42" i="11"/>
  <c r="S10" i="11"/>
  <c r="T10" i="11"/>
  <c r="Y62" i="11" s="1"/>
  <c r="R30" i="11"/>
  <c r="R6" i="11"/>
  <c r="S21" i="11"/>
  <c r="R20" i="11"/>
  <c r="M7" i="11"/>
  <c r="R17" i="11"/>
  <c r="S24" i="11"/>
  <c r="R18" i="11"/>
  <c r="W65" i="11" s="1"/>
  <c r="S30" i="11"/>
  <c r="U17" i="11"/>
  <c r="T45" i="11"/>
  <c r="Y68" i="11" s="1"/>
  <c r="U42" i="11"/>
  <c r="R10" i="11"/>
  <c r="W62" i="11" s="1"/>
  <c r="U24" i="11"/>
  <c r="T24" i="11"/>
  <c r="T12" i="11"/>
  <c r="R24" i="11"/>
  <c r="R21" i="11"/>
  <c r="T21" i="11"/>
  <c r="R12" i="11"/>
  <c r="S41" i="11"/>
  <c r="R42" i="11"/>
  <c r="U45" i="11"/>
  <c r="Z68" i="11" s="1"/>
  <c r="S63" i="11"/>
  <c r="T20" i="11"/>
  <c r="R63" i="11"/>
  <c r="R45" i="11"/>
  <c r="U41" i="11"/>
  <c r="U10" i="11"/>
  <c r="U30" i="11"/>
  <c r="T17" i="11"/>
  <c r="S20" i="11"/>
  <c r="R41" i="11"/>
  <c r="S45" i="11"/>
  <c r="X68" i="11" s="1"/>
  <c r="T30" i="11"/>
  <c r="S18" i="11"/>
  <c r="T18" i="11"/>
  <c r="Y65" i="11" s="1"/>
  <c r="T63" i="11"/>
  <c r="T42" i="11"/>
  <c r="T41" i="11"/>
  <c r="U12" i="11"/>
  <c r="U20" i="11"/>
  <c r="U21" i="11"/>
  <c r="U63" i="11"/>
  <c r="S17" i="11"/>
  <c r="U18" i="11"/>
  <c r="Z65" i="11" s="1"/>
  <c r="S12" i="11"/>
  <c r="S14" i="11" s="1"/>
  <c r="U34" i="11"/>
  <c r="Z66" i="11" s="1"/>
  <c r="S34" i="11"/>
  <c r="T34" i="11"/>
  <c r="Y66" i="11" s="1"/>
  <c r="S36" i="11"/>
  <c r="U36" i="11"/>
  <c r="R34" i="11"/>
  <c r="T36" i="11"/>
  <c r="R36" i="11"/>
  <c r="FF45" i="11"/>
  <c r="FF68" i="11" s="1"/>
  <c r="FF17" i="11"/>
  <c r="FF63" i="11"/>
  <c r="FF41" i="11"/>
  <c r="FF71" i="11"/>
  <c r="FF34" i="11"/>
  <c r="FF37" i="11" s="1"/>
  <c r="FF43" i="11"/>
  <c r="FF36" i="11"/>
  <c r="FG7" i="11"/>
  <c r="FG36" i="11" s="1"/>
  <c r="FF42" i="11"/>
  <c r="DI56" i="11"/>
  <c r="DI55" i="11"/>
  <c r="DI26" i="11"/>
  <c r="DI32" i="11" s="1"/>
  <c r="DI57" i="11" s="1"/>
  <c r="AE55" i="11"/>
  <c r="AE26" i="11"/>
  <c r="AE32" i="11" s="1"/>
  <c r="AE57" i="11" s="1"/>
  <c r="DK51" i="11"/>
  <c r="DK16" i="11"/>
  <c r="AD6" i="11"/>
  <c r="AC81" i="11"/>
  <c r="AB51" i="11"/>
  <c r="AB16" i="11"/>
  <c r="AE51" i="11"/>
  <c r="AE16" i="11"/>
  <c r="DL55" i="11"/>
  <c r="DL26" i="11"/>
  <c r="DL32" i="11" s="1"/>
  <c r="DL57" i="11" s="1"/>
  <c r="AI81" i="11"/>
  <c r="AJ6" i="11"/>
  <c r="AJ81" i="11" s="1"/>
  <c r="DP53" i="11"/>
  <c r="DP22" i="11"/>
  <c r="DP65" i="11"/>
  <c r="DN62" i="11"/>
  <c r="DN14" i="11"/>
  <c r="Y37" i="11"/>
  <c r="X6" i="11"/>
  <c r="W81" i="11"/>
  <c r="AB68" i="11"/>
  <c r="DK55" i="11"/>
  <c r="DK26" i="11"/>
  <c r="DK32" i="11" s="1"/>
  <c r="DK57" i="11" s="1"/>
  <c r="DL16" i="11"/>
  <c r="DL51" i="11"/>
  <c r="DT17" i="11"/>
  <c r="DT24" i="11"/>
  <c r="DS20" i="11"/>
  <c r="DT20" i="11"/>
  <c r="DV42" i="11"/>
  <c r="DV15" i="11"/>
  <c r="DS42" i="11"/>
  <c r="DS21" i="11"/>
  <c r="DS17" i="11"/>
  <c r="DU10" i="11"/>
  <c r="DT45" i="11"/>
  <c r="DX7" i="11"/>
  <c r="DV43" i="11"/>
  <c r="DT36" i="11"/>
  <c r="DT37" i="11" s="1"/>
  <c r="DU15" i="11"/>
  <c r="DV35" i="11"/>
  <c r="DV67" i="11" s="1"/>
  <c r="DS12" i="11"/>
  <c r="DU20" i="11"/>
  <c r="DT63" i="11"/>
  <c r="DV20" i="11"/>
  <c r="DS10" i="11"/>
  <c r="DS18" i="11"/>
  <c r="DT12" i="11"/>
  <c r="DU21" i="11"/>
  <c r="DS6" i="11"/>
  <c r="DS45" i="11"/>
  <c r="DU45" i="11"/>
  <c r="DU36" i="11"/>
  <c r="DU37" i="11" s="1"/>
  <c r="DT42" i="11"/>
  <c r="DS36" i="11"/>
  <c r="DS37" i="11" s="1"/>
  <c r="DT21" i="11"/>
  <c r="DV63" i="11"/>
  <c r="DT41" i="11"/>
  <c r="DV17" i="11"/>
  <c r="DS24" i="11"/>
  <c r="DU12" i="11"/>
  <c r="DU35" i="11"/>
  <c r="DU67" i="11" s="1"/>
  <c r="DT43" i="11"/>
  <c r="DS15" i="11"/>
  <c r="DS35" i="11"/>
  <c r="DS67" i="11" s="1"/>
  <c r="DS34" i="11"/>
  <c r="DS66" i="11" s="1"/>
  <c r="DS43" i="11"/>
  <c r="DV34" i="11"/>
  <c r="DV66" i="11" s="1"/>
  <c r="DV10" i="11"/>
  <c r="DU42" i="11"/>
  <c r="DT18" i="11"/>
  <c r="DU24" i="11"/>
  <c r="DV18" i="11"/>
  <c r="DS41" i="11"/>
  <c r="DV36" i="11"/>
  <c r="DV37" i="11" s="1"/>
  <c r="DT15" i="11"/>
  <c r="DU41" i="11"/>
  <c r="DT34" i="11"/>
  <c r="DT66" i="11" s="1"/>
  <c r="DU43" i="11"/>
  <c r="DU17" i="11"/>
  <c r="DU63" i="11"/>
  <c r="DU30" i="11"/>
  <c r="DT10" i="11"/>
  <c r="DV12" i="11"/>
  <c r="DV24" i="11"/>
  <c r="DT30" i="11"/>
  <c r="DU34" i="11"/>
  <c r="DU66" i="11" s="1"/>
  <c r="DV41" i="11"/>
  <c r="DS30" i="11"/>
  <c r="DU18" i="11"/>
  <c r="DV21" i="11"/>
  <c r="DV45" i="11"/>
  <c r="DT35" i="11"/>
  <c r="DT67" i="11" s="1"/>
  <c r="DV30" i="11"/>
  <c r="DS63" i="11"/>
  <c r="DN58" i="11"/>
  <c r="DN68" i="11"/>
  <c r="DN47" i="11"/>
  <c r="DN59" i="11" s="1"/>
  <c r="DO64" i="11"/>
  <c r="DO52" i="11"/>
  <c r="DP47" i="11"/>
  <c r="DP59" i="11" s="1"/>
  <c r="DP58" i="11"/>
  <c r="DP68" i="11"/>
  <c r="DO65" i="11"/>
  <c r="DO53" i="11"/>
  <c r="DO22" i="11"/>
  <c r="DQ14" i="11"/>
  <c r="DQ62" i="11"/>
  <c r="DJ51" i="11"/>
  <c r="DJ16" i="11"/>
  <c r="Z37" i="11"/>
  <c r="Y53" i="11"/>
  <c r="Y22" i="11"/>
  <c r="Y58" i="11"/>
  <c r="W16" i="11"/>
  <c r="W51" i="11"/>
  <c r="Z58" i="11"/>
  <c r="Z53" i="11"/>
  <c r="Z22" i="11"/>
  <c r="W52" i="11"/>
  <c r="AD68" i="11"/>
  <c r="F102" i="60"/>
  <c r="F107" i="60" s="1"/>
  <c r="F109" i="60" s="1"/>
  <c r="F113" i="60"/>
  <c r="F127" i="60" s="1"/>
  <c r="O127" i="60"/>
  <c r="E150" i="60"/>
  <c r="E152" i="60" s="1"/>
  <c r="E107" i="60"/>
  <c r="E109" i="60" s="1"/>
  <c r="F145" i="60"/>
  <c r="F150" i="60" s="1"/>
  <c r="F152" i="60" s="1"/>
  <c r="F70" i="60"/>
  <c r="F84" i="60" s="1"/>
  <c r="F82" i="60"/>
  <c r="F159" i="60"/>
  <c r="F185" i="60" s="1"/>
  <c r="F170" i="60"/>
  <c r="M47" i="10"/>
  <c r="M71" i="10" s="1"/>
  <c r="K47" i="10"/>
  <c r="K71" i="10" s="1"/>
  <c r="K61" i="10"/>
  <c r="K65" i="10" s="1"/>
  <c r="AN216" i="1"/>
  <c r="AR216" i="1"/>
  <c r="I76" i="5"/>
  <c r="H76" i="5"/>
  <c r="J75" i="5"/>
  <c r="J76" i="5" s="1"/>
  <c r="J70" i="5"/>
  <c r="E76" i="60"/>
  <c r="BD214" i="1"/>
  <c r="GC64" i="11"/>
  <c r="X27" i="10"/>
  <c r="DO75" i="11"/>
  <c r="C23" i="60"/>
  <c r="C25" i="60" s="1"/>
  <c r="C35" i="60"/>
  <c r="U75" i="5"/>
  <c r="V76" i="5" s="1"/>
  <c r="V70" i="5"/>
  <c r="BD216" i="1"/>
  <c r="P70" i="5"/>
  <c r="M75" i="5"/>
  <c r="N70" i="5"/>
  <c r="F42" i="60"/>
  <c r="I61" i="10"/>
  <c r="I65" i="10" s="1"/>
  <c r="I47" i="10"/>
  <c r="I71" i="10" s="1"/>
  <c r="C102" i="60"/>
  <c r="C118" i="60"/>
  <c r="C113" i="60"/>
  <c r="FE37" i="11"/>
  <c r="FE66" i="11"/>
  <c r="AN214" i="1"/>
  <c r="AR214" i="1"/>
  <c r="FE36" i="11"/>
  <c r="U47" i="10"/>
  <c r="U71" i="10" s="1"/>
  <c r="U61" i="10"/>
  <c r="U65" i="10" s="1"/>
  <c r="P72" i="9"/>
  <c r="P8" i="10"/>
  <c r="P27" i="10" s="1"/>
  <c r="M67" i="5"/>
  <c r="F59" i="60"/>
  <c r="F76" i="60" s="1"/>
  <c r="S76" i="5"/>
  <c r="F47" i="10"/>
  <c r="F71" i="10" s="1"/>
  <c r="F61" i="10"/>
  <c r="F65" i="10" s="1"/>
  <c r="BH214" i="1"/>
  <c r="BD215" i="1"/>
  <c r="BH215" i="1"/>
  <c r="S61" i="9"/>
  <c r="S66" i="9" s="1"/>
  <c r="F232" i="44"/>
  <c r="E219" i="44"/>
  <c r="F218" i="44"/>
  <c r="E247" i="44"/>
  <c r="F260" i="44"/>
  <c r="F246" i="44"/>
  <c r="S16" i="9"/>
  <c r="S23" i="9" s="1"/>
  <c r="S63" i="9" s="1"/>
  <c r="AJ45" i="10"/>
  <c r="FU67" i="11"/>
  <c r="AT13" i="6"/>
  <c r="D175" i="3"/>
  <c r="H175" i="3" s="1"/>
  <c r="U175" i="3"/>
  <c r="D90" i="8"/>
  <c r="CS23" i="1"/>
  <c r="CW23" i="1"/>
  <c r="AJ168" i="3"/>
  <c r="AL168" i="3" s="1"/>
  <c r="AN168" i="3" s="1"/>
  <c r="W168" i="3"/>
  <c r="Y168" i="3" s="1"/>
  <c r="CW16" i="11"/>
  <c r="CW51" i="11"/>
  <c r="CW65" i="11"/>
  <c r="CW53" i="11"/>
  <c r="CW22" i="11"/>
  <c r="CS143" i="1"/>
  <c r="CW143" i="1"/>
  <c r="CQ163" i="1"/>
  <c r="CR153" i="1"/>
  <c r="CQ203" i="1" s="1"/>
  <c r="CR143" i="1"/>
  <c r="U182" i="3"/>
  <c r="U189" i="3"/>
  <c r="DB52" i="11"/>
  <c r="DB62" i="11"/>
  <c r="DB14" i="11"/>
  <c r="DG62" i="11"/>
  <c r="CW33" i="1"/>
  <c r="CS33" i="1"/>
  <c r="AX13" i="6"/>
  <c r="D182" i="3"/>
  <c r="H182" i="3" s="1"/>
  <c r="CS83" i="1"/>
  <c r="CW83" i="1"/>
  <c r="AP19" i="6"/>
  <c r="AP37" i="6" s="1"/>
  <c r="AP43" i="6" s="1"/>
  <c r="AP49" i="6" s="1"/>
  <c r="AP31" i="6"/>
  <c r="AP25" i="6"/>
  <c r="CM163" i="1"/>
  <c r="CO153" i="1"/>
  <c r="CW24" i="11"/>
  <c r="CS153" i="1"/>
  <c r="CN153" i="1"/>
  <c r="CM203" i="1" s="1"/>
  <c r="CW103" i="1"/>
  <c r="DB18" i="11"/>
  <c r="CR103" i="1"/>
  <c r="AL90" i="8"/>
  <c r="CQ113" i="1"/>
  <c r="DB45" i="11" s="1"/>
  <c r="CS103" i="1"/>
  <c r="E303" i="44"/>
  <c r="F302" i="44"/>
  <c r="AG168" i="3"/>
  <c r="P168" i="3"/>
  <c r="CW58" i="11"/>
  <c r="CW68" i="11"/>
  <c r="N76" i="60"/>
  <c r="N172" i="60" s="1"/>
  <c r="O107" i="60"/>
  <c r="O109" i="60" s="1"/>
  <c r="O119" i="60"/>
  <c r="O174" i="60" s="1"/>
  <c r="N107" i="60"/>
  <c r="N109" i="60" s="1"/>
  <c r="N119" i="60"/>
  <c r="N174" i="60" s="1"/>
  <c r="O64" i="60"/>
  <c r="O66" i="60" s="1"/>
  <c r="O83" i="60" s="1"/>
  <c r="O76" i="60"/>
  <c r="O172" i="60" s="1"/>
  <c r="W72" i="9"/>
  <c r="T67" i="5"/>
  <c r="AK31" i="9"/>
  <c r="AK85" i="9"/>
  <c r="AK40" i="10"/>
  <c r="AK43" i="10" s="1"/>
  <c r="D17" i="81" s="1"/>
  <c r="D18" i="81" s="1"/>
  <c r="AM81" i="9"/>
  <c r="AL27" i="9"/>
  <c r="S154" i="60"/>
  <c r="S110" i="60"/>
  <c r="S156" i="60" s="1"/>
  <c r="T155" i="60"/>
  <c r="T153" i="60" s="1"/>
  <c r="T67" i="60"/>
  <c r="I141" i="60"/>
  <c r="I159" i="60" s="1"/>
  <c r="U22" i="4"/>
  <c r="CN201" i="1"/>
  <c r="CM205" i="1"/>
  <c r="CN205" i="1" s="1"/>
  <c r="CU35" i="11"/>
  <c r="CU67" i="11" s="1"/>
  <c r="F119" i="41"/>
  <c r="G118" i="41"/>
  <c r="CR74" i="1"/>
  <c r="CR14" i="1"/>
  <c r="D176" i="3" s="1"/>
  <c r="H176" i="3" s="1"/>
  <c r="CR54" i="1"/>
  <c r="CR34" i="1"/>
  <c r="CR134" i="1"/>
  <c r="CR124" i="1"/>
  <c r="CR94" i="1"/>
  <c r="CV14" i="1"/>
  <c r="D183" i="3" s="1"/>
  <c r="H183" i="3" s="1"/>
  <c r="CQ104" i="1"/>
  <c r="CQ144" i="1"/>
  <c r="CR64" i="1"/>
  <c r="CR24" i="1"/>
  <c r="CR84" i="1"/>
  <c r="CR44" i="1"/>
  <c r="X7" i="5"/>
  <c r="N209" i="3"/>
  <c r="P209" i="3" s="1"/>
  <c r="W209" i="3"/>
  <c r="Y209" i="3" s="1"/>
  <c r="M117" i="41"/>
  <c r="N116" i="41"/>
  <c r="D147" i="60"/>
  <c r="D61" i="60"/>
  <c r="D104" i="60"/>
  <c r="R124" i="41"/>
  <c r="AP29" i="6"/>
  <c r="AP23" i="6"/>
  <c r="AP17" i="6"/>
  <c r="AP35" i="6" s="1"/>
  <c r="AP41" i="6" s="1"/>
  <c r="AP47" i="6" s="1"/>
  <c r="P88" i="41"/>
  <c r="Q121" i="41"/>
  <c r="AB123" i="8"/>
  <c r="AD123" i="8" s="1"/>
  <c r="AF123" i="8" s="1"/>
  <c r="EJ75" i="11"/>
  <c r="AH62" i="9"/>
  <c r="AH65" i="9" s="1"/>
  <c r="AH49" i="9"/>
  <c r="O8" i="10"/>
  <c r="O27" i="10" s="1"/>
  <c r="O72" i="9"/>
  <c r="L67" i="5"/>
  <c r="CW80" i="1"/>
  <c r="CS80" i="1"/>
  <c r="CQ16" i="1"/>
  <c r="CQ110" i="1"/>
  <c r="CY45" i="11" s="1"/>
  <c r="CQ105" i="1"/>
  <c r="CW100" i="1"/>
  <c r="AL87" i="8"/>
  <c r="CR100" i="1"/>
  <c r="CS100" i="1"/>
  <c r="CY18" i="11"/>
  <c r="D87" i="8"/>
  <c r="U172" i="3"/>
  <c r="N89" i="41"/>
  <c r="CZ14" i="11"/>
  <c r="DE62" i="11"/>
  <c r="CZ62" i="11"/>
  <c r="CZ52" i="11"/>
  <c r="CW141" i="1"/>
  <c r="CS141" i="1"/>
  <c r="CQ151" i="1"/>
  <c r="CR141" i="1"/>
  <c r="CW21" i="1"/>
  <c r="CS21" i="1"/>
  <c r="AL165" i="3"/>
  <c r="FW67" i="11"/>
  <c r="FX67" i="11"/>
  <c r="H119" i="41"/>
  <c r="I118" i="41"/>
  <c r="K120" i="41"/>
  <c r="L119" i="41"/>
  <c r="K87" i="41"/>
  <c r="K86" i="41"/>
  <c r="J79" i="60"/>
  <c r="J52" i="60"/>
  <c r="AV214" i="1"/>
  <c r="AZ214" i="1"/>
  <c r="AE70" i="9"/>
  <c r="FU12" i="11"/>
  <c r="AB12" i="5"/>
  <c r="L8" i="60"/>
  <c r="FU41" i="11"/>
  <c r="L26" i="60"/>
  <c r="D63" i="52"/>
  <c r="AB64" i="5"/>
  <c r="FU28" i="11" s="1"/>
  <c r="AE69" i="9"/>
  <c r="L6" i="60"/>
  <c r="FU10" i="11"/>
  <c r="AB11" i="4"/>
  <c r="AB8" i="5"/>
  <c r="L19" i="60"/>
  <c r="FU24" i="11"/>
  <c r="AA12" i="4"/>
  <c r="AA36" i="4"/>
  <c r="AA7" i="4"/>
  <c r="AE9" i="4"/>
  <c r="AE10" i="4" s="1"/>
  <c r="AQ225" i="3"/>
  <c r="U225" i="3"/>
  <c r="F76" i="5"/>
  <c r="E76" i="5"/>
  <c r="N72" i="9"/>
  <c r="N8" i="10"/>
  <c r="N27" i="10" s="1"/>
  <c r="K67" i="5"/>
  <c r="I73" i="60"/>
  <c r="I55" i="60"/>
  <c r="CM181" i="1"/>
  <c r="CM191" i="1"/>
  <c r="CM165" i="1"/>
  <c r="CN161" i="1"/>
  <c r="CO161" i="1"/>
  <c r="CM116" i="1"/>
  <c r="CO106" i="1"/>
  <c r="CN106" i="1"/>
  <c r="AD81" i="9"/>
  <c r="AD85" i="9"/>
  <c r="K104" i="60"/>
  <c r="K61" i="60"/>
  <c r="K147" i="60"/>
  <c r="F204" i="44"/>
  <c r="E191" i="44"/>
  <c r="CB214" i="1"/>
  <c r="FM36" i="11"/>
  <c r="CF214" i="1"/>
  <c r="T64" i="5"/>
  <c r="FM28" i="11" s="1"/>
  <c r="T72" i="5"/>
  <c r="U73" i="5" s="1"/>
  <c r="K11" i="60"/>
  <c r="AA37" i="5"/>
  <c r="V22" i="41"/>
  <c r="V66" i="41"/>
  <c r="V138" i="41"/>
  <c r="W3" i="41"/>
  <c r="V102" i="41"/>
  <c r="V35" i="41"/>
  <c r="V15" i="41"/>
  <c r="D122" i="41"/>
  <c r="E121" i="41"/>
  <c r="O173" i="60"/>
  <c r="O171" i="60" s="1"/>
  <c r="AX10" i="6"/>
  <c r="D179" i="3"/>
  <c r="H179" i="3" s="1"/>
  <c r="CV15" i="1"/>
  <c r="AV216" i="1"/>
  <c r="AZ216" i="1"/>
  <c r="FS76" i="11"/>
  <c r="Z37" i="4"/>
  <c r="CW31" i="1"/>
  <c r="CS31" i="1"/>
  <c r="D180" i="3"/>
  <c r="H180" i="3" s="1"/>
  <c r="AX11" i="6"/>
  <c r="U169" i="3"/>
  <c r="W169" i="3" s="1"/>
  <c r="Y169" i="3" s="1"/>
  <c r="D84" i="8"/>
  <c r="L84" i="8" s="1"/>
  <c r="AD75" i="9"/>
  <c r="AD79" i="9" s="1"/>
  <c r="AD76" i="9"/>
  <c r="AD80" i="9" s="1"/>
  <c r="FX34" i="11"/>
  <c r="AE76" i="5"/>
  <c r="W112" i="41"/>
  <c r="O47" i="41"/>
  <c r="O46" i="41"/>
  <c r="J32" i="60"/>
  <c r="J13" i="60"/>
  <c r="I29" i="60"/>
  <c r="I17" i="60"/>
  <c r="I34" i="60"/>
  <c r="AE67" i="10"/>
  <c r="AB26" i="5"/>
  <c r="R123" i="41"/>
  <c r="Q91" i="41"/>
  <c r="P166" i="3"/>
  <c r="AG166" i="3"/>
  <c r="K101" i="60"/>
  <c r="K144" i="60"/>
  <c r="K58" i="60"/>
  <c r="AJ218" i="3"/>
  <c r="K209" i="3"/>
  <c r="V124" i="8"/>
  <c r="X124" i="8" s="1"/>
  <c r="Z124" i="8" s="1"/>
  <c r="AH47" i="10"/>
  <c r="AH71" i="10" s="1"/>
  <c r="AH61" i="10"/>
  <c r="AH65" i="10" s="1"/>
  <c r="K67" i="60"/>
  <c r="K110" i="60" s="1"/>
  <c r="K153" i="60"/>
  <c r="CR150" i="1"/>
  <c r="CQ200" i="1" s="1"/>
  <c r="CW140" i="1"/>
  <c r="CS140" i="1"/>
  <c r="CQ160" i="1"/>
  <c r="CQ145" i="1"/>
  <c r="CR140" i="1"/>
  <c r="CR125" i="1"/>
  <c r="CS15" i="1"/>
  <c r="CR135" i="1"/>
  <c r="CR55" i="1"/>
  <c r="CR35" i="1"/>
  <c r="CR75" i="1"/>
  <c r="CR25" i="1"/>
  <c r="CR65" i="1"/>
  <c r="CR45" i="1"/>
  <c r="CR85" i="1"/>
  <c r="CR95" i="1"/>
  <c r="CS20" i="1"/>
  <c r="CW20" i="1"/>
  <c r="D23" i="41"/>
  <c r="C19" i="41"/>
  <c r="H17" i="4"/>
  <c r="H18" i="4"/>
  <c r="AH6" i="9"/>
  <c r="AG6" i="10"/>
  <c r="AT11" i="6"/>
  <c r="D173" i="3"/>
  <c r="H173" i="3" s="1"/>
  <c r="CW101" i="1"/>
  <c r="CS101" i="1"/>
  <c r="AL88" i="8"/>
  <c r="CQ111" i="1"/>
  <c r="CZ45" i="11" s="1"/>
  <c r="CR101" i="1"/>
  <c r="CZ18" i="11"/>
  <c r="K136" i="60"/>
  <c r="K50" i="60"/>
  <c r="K93" i="60"/>
  <c r="J126" i="41"/>
  <c r="J95" i="60"/>
  <c r="J122" i="60"/>
  <c r="R93" i="41"/>
  <c r="FU30" i="11"/>
  <c r="FU17" i="11"/>
  <c r="AB40" i="5"/>
  <c r="L12" i="60"/>
  <c r="AB29" i="5"/>
  <c r="AB9" i="5"/>
  <c r="L39" i="60"/>
  <c r="AA42" i="5"/>
  <c r="K10" i="60"/>
  <c r="K38" i="60"/>
  <c r="K48" i="60"/>
  <c r="K134" i="60"/>
  <c r="K91" i="60"/>
  <c r="FM37" i="11"/>
  <c r="FM66" i="11"/>
  <c r="FN66" i="11"/>
  <c r="U187" i="3"/>
  <c r="N208" i="3"/>
  <c r="P208" i="3" s="1"/>
  <c r="W208" i="3"/>
  <c r="Y208" i="3" s="1"/>
  <c r="CC186" i="1"/>
  <c r="CB186" i="1"/>
  <c r="CG186" i="1"/>
  <c r="M116" i="41"/>
  <c r="N115" i="41"/>
  <c r="M84" i="41"/>
  <c r="M83" i="41"/>
  <c r="M86" i="41" s="1"/>
  <c r="F274" i="44"/>
  <c r="F288" i="44"/>
  <c r="E275" i="44"/>
  <c r="G86" i="41"/>
  <c r="CU58" i="11"/>
  <c r="CU68" i="11"/>
  <c r="I123" i="64"/>
  <c r="I122" i="64"/>
  <c r="K158" i="60"/>
  <c r="AC208" i="3"/>
  <c r="L142" i="41"/>
  <c r="S116" i="41"/>
  <c r="S82" i="41"/>
  <c r="T115" i="41"/>
  <c r="CN102" i="1"/>
  <c r="CV18" i="11"/>
  <c r="CM112" i="1"/>
  <c r="CV45" i="11" s="1"/>
  <c r="CO102" i="1"/>
  <c r="AL82" i="8"/>
  <c r="CO142" i="1"/>
  <c r="CM152" i="1"/>
  <c r="CM162" i="1" s="1"/>
  <c r="CM166" i="1" s="1"/>
  <c r="CN142" i="1"/>
  <c r="V77" i="41"/>
  <c r="U180" i="3"/>
  <c r="F86" i="41"/>
  <c r="F121" i="41" s="1"/>
  <c r="J92" i="41"/>
  <c r="J127" i="41" s="1"/>
  <c r="D41" i="60"/>
  <c r="D128" i="60" s="1"/>
  <c r="D129" i="60" s="1"/>
  <c r="D29" i="60"/>
  <c r="D17" i="60"/>
  <c r="D23" i="60" s="1"/>
  <c r="D25" i="60" s="1"/>
  <c r="D34" i="60"/>
  <c r="E41" i="60"/>
  <c r="E128" i="60" s="1"/>
  <c r="E129" i="60" s="1"/>
  <c r="V78" i="41"/>
  <c r="V113" i="41" s="1"/>
  <c r="FN75" i="11"/>
  <c r="U34" i="4"/>
  <c r="Z48" i="4"/>
  <c r="AM47" i="4"/>
  <c r="N71" i="3"/>
  <c r="P71" i="3" s="1"/>
  <c r="W71" i="3"/>
  <c r="Y71" i="3" s="1"/>
  <c r="J123" i="60"/>
  <c r="J178" i="60"/>
  <c r="J80" i="60"/>
  <c r="E91" i="41"/>
  <c r="I166" i="60"/>
  <c r="I182" i="60"/>
  <c r="N121" i="64"/>
  <c r="AB16" i="5"/>
  <c r="AB23" i="5"/>
  <c r="FU15" i="11"/>
  <c r="F22" i="52"/>
  <c r="F24" i="52" s="1"/>
  <c r="AE71" i="9"/>
  <c r="AB19" i="5"/>
  <c r="AB17" i="5"/>
  <c r="AL197" i="3"/>
  <c r="CB196" i="1"/>
  <c r="CF196" i="1"/>
  <c r="CG37" i="11"/>
  <c r="CL66" i="11"/>
  <c r="CG66" i="11"/>
  <c r="CR132" i="1"/>
  <c r="CR32" i="1"/>
  <c r="CR72" i="1"/>
  <c r="CR82" i="1"/>
  <c r="CR62" i="1"/>
  <c r="CR22" i="1"/>
  <c r="CR52" i="1"/>
  <c r="CV12" i="1"/>
  <c r="CV16" i="1" s="1"/>
  <c r="CR122" i="1"/>
  <c r="S174" i="3"/>
  <c r="CR92" i="1"/>
  <c r="DA10" i="11"/>
  <c r="CQ102" i="1"/>
  <c r="CQ106" i="1" s="1"/>
  <c r="CR12" i="1"/>
  <c r="CR16" i="1" s="1"/>
  <c r="CQ142" i="1"/>
  <c r="CR42" i="1"/>
  <c r="S75" i="64"/>
  <c r="S80" i="64" s="1"/>
  <c r="S87" i="64" s="1"/>
  <c r="X60" i="64"/>
  <c r="X62" i="64" s="1"/>
  <c r="X75" i="64" s="1"/>
  <c r="X80" i="64" s="1"/>
  <c r="X87" i="64" s="1"/>
  <c r="T60" i="64"/>
  <c r="T62" i="64" s="1"/>
  <c r="U60" i="64" s="1"/>
  <c r="U62" i="64" s="1"/>
  <c r="V60" i="64" s="1"/>
  <c r="V62" i="64" s="1"/>
  <c r="R75" i="64"/>
  <c r="R80" i="64" s="1"/>
  <c r="R87" i="64" s="1"/>
  <c r="R114" i="64" s="1"/>
  <c r="G34" i="4"/>
  <c r="EZ75" i="11"/>
  <c r="I116" i="60"/>
  <c r="I98" i="60"/>
  <c r="CN26" i="1"/>
  <c r="CO26" i="1" s="1"/>
  <c r="CN76" i="1"/>
  <c r="CO16" i="1"/>
  <c r="CN136" i="1"/>
  <c r="CN126" i="1"/>
  <c r="CN16" i="1"/>
  <c r="CN86" i="1"/>
  <c r="CO86" i="1" s="1"/>
  <c r="CN46" i="1"/>
  <c r="CN56" i="1"/>
  <c r="CN66" i="1"/>
  <c r="CN96" i="1"/>
  <c r="CN36" i="1"/>
  <c r="CO36" i="1" s="1"/>
  <c r="L78" i="3"/>
  <c r="J84" i="3"/>
  <c r="F323" i="44"/>
  <c r="AA209" i="3"/>
  <c r="AC209" i="3" s="1"/>
  <c r="E324" i="44"/>
  <c r="D162" i="60"/>
  <c r="D141" i="60"/>
  <c r="AN203" i="3"/>
  <c r="K100" i="60"/>
  <c r="K143" i="60"/>
  <c r="K57" i="60"/>
  <c r="L75" i="5"/>
  <c r="L70" i="5"/>
  <c r="M70" i="5"/>
  <c r="CY62" i="11"/>
  <c r="CY14" i="11"/>
  <c r="CY52" i="11"/>
  <c r="DD62" i="11"/>
  <c r="CW30" i="1"/>
  <c r="CS30" i="1"/>
  <c r="CR15" i="1"/>
  <c r="D172" i="3"/>
  <c r="H172" i="3" s="1"/>
  <c r="AT10" i="6"/>
  <c r="AV215" i="1"/>
  <c r="AZ215" i="1"/>
  <c r="CW81" i="1"/>
  <c r="CS81" i="1"/>
  <c r="D88" i="8"/>
  <c r="U173" i="3"/>
  <c r="AJ166" i="3"/>
  <c r="AL166" i="3" s="1"/>
  <c r="AN166" i="3" s="1"/>
  <c r="W166" i="3"/>
  <c r="Y166" i="3" s="1"/>
  <c r="CU16" i="11"/>
  <c r="CU51" i="11"/>
  <c r="D116" i="60"/>
  <c r="D98" i="60"/>
  <c r="V17" i="4"/>
  <c r="V18" i="4"/>
  <c r="U115" i="41"/>
  <c r="U81" i="41"/>
  <c r="FM67" i="11"/>
  <c r="FN67" i="11"/>
  <c r="I117" i="60"/>
  <c r="I124" i="60"/>
  <c r="I74" i="60"/>
  <c r="I81" i="60"/>
  <c r="L94" i="41"/>
  <c r="I6" i="9"/>
  <c r="J6" i="10"/>
  <c r="J85" i="60"/>
  <c r="J86" i="60" s="1"/>
  <c r="J186" i="60"/>
  <c r="J187" i="60" s="1"/>
  <c r="J138" i="60"/>
  <c r="J162" i="60" s="1"/>
  <c r="J177" i="60"/>
  <c r="N110" i="64"/>
  <c r="O109" i="64"/>
  <c r="FU20" i="11"/>
  <c r="AB48" i="5"/>
  <c r="L15" i="60"/>
  <c r="L28" i="60"/>
  <c r="L69" i="60" s="1"/>
  <c r="L112" i="60" s="1"/>
  <c r="L158" i="60" s="1"/>
  <c r="AB32" i="5"/>
  <c r="AB36" i="5"/>
  <c r="AB42" i="5" s="1"/>
  <c r="AC5" i="4"/>
  <c r="AC39" i="4" s="1"/>
  <c r="AC25" i="5"/>
  <c r="AC34" i="5"/>
  <c r="AC56" i="5"/>
  <c r="AC39" i="5"/>
  <c r="AC78" i="5"/>
  <c r="AC7" i="5"/>
  <c r="AC50" i="5"/>
  <c r="AC15" i="5"/>
  <c r="AC11" i="5"/>
  <c r="AC28" i="5"/>
  <c r="AC31" i="5"/>
  <c r="AC47" i="5"/>
  <c r="AD70" i="10"/>
  <c r="AD87" i="9"/>
  <c r="AD89" i="9" s="1"/>
  <c r="X76" i="41"/>
  <c r="X109" i="41"/>
  <c r="Y108" i="41"/>
  <c r="O121" i="41"/>
  <c r="O88" i="41"/>
  <c r="O87" i="41"/>
  <c r="P120" i="41"/>
  <c r="W78" i="41"/>
  <c r="D73" i="60"/>
  <c r="D55" i="60"/>
  <c r="W110" i="41"/>
  <c r="CB212" i="1"/>
  <c r="CG36" i="11"/>
  <c r="CA216" i="1"/>
  <c r="CF212" i="1"/>
  <c r="C90" i="41"/>
  <c r="M85" i="41"/>
  <c r="M87" i="41" s="1"/>
  <c r="K75" i="5"/>
  <c r="K70" i="5"/>
  <c r="CN134" i="1"/>
  <c r="CN94" i="1"/>
  <c r="CN74" i="1"/>
  <c r="CM104" i="1"/>
  <c r="CN24" i="1"/>
  <c r="CO24" i="1" s="1"/>
  <c r="CN124" i="1"/>
  <c r="CN44" i="1"/>
  <c r="CN84" i="1"/>
  <c r="CO84" i="1" s="1"/>
  <c r="W7" i="5"/>
  <c r="CN14" i="1"/>
  <c r="D169" i="3" s="1"/>
  <c r="H169" i="3" s="1"/>
  <c r="CN64" i="1"/>
  <c r="CM144" i="1"/>
  <c r="CN54" i="1"/>
  <c r="CN34" i="1"/>
  <c r="CO34" i="1" s="1"/>
  <c r="CN145" i="1"/>
  <c r="CN155" i="1"/>
  <c r="CO145" i="1"/>
  <c r="AE207" i="3"/>
  <c r="AG207" i="3" s="1"/>
  <c r="AL207" i="3"/>
  <c r="Y74" i="41"/>
  <c r="D82" i="8"/>
  <c r="L82" i="8" s="1"/>
  <c r="U167" i="3"/>
  <c r="CV62" i="11"/>
  <c r="CV52" i="11"/>
  <c r="CV14" i="11"/>
  <c r="H85" i="41"/>
  <c r="H86" i="41" s="1"/>
  <c r="I87" i="41"/>
  <c r="W79" i="41"/>
  <c r="W27" i="10"/>
  <c r="DN75" i="11"/>
  <c r="J33" i="60"/>
  <c r="J139" i="60"/>
  <c r="J53" i="60"/>
  <c r="J96" i="60"/>
  <c r="J40" i="60"/>
  <c r="E153" i="44"/>
  <c r="F150" i="44"/>
  <c r="J210" i="3"/>
  <c r="L210" i="3" s="1"/>
  <c r="K123" i="60"/>
  <c r="K178" i="60"/>
  <c r="K80" i="60"/>
  <c r="T83" i="41"/>
  <c r="T84" i="41" s="1"/>
  <c r="FW34" i="11"/>
  <c r="H47" i="10"/>
  <c r="H71" i="10" s="1"/>
  <c r="H61" i="10"/>
  <c r="H65" i="10" s="1"/>
  <c r="Y75" i="5"/>
  <c r="L16" i="60"/>
  <c r="FU21" i="11"/>
  <c r="AA53" i="5"/>
  <c r="AJ224" i="3"/>
  <c r="AJ225" i="3" s="1"/>
  <c r="Z66" i="5"/>
  <c r="Z54" i="5"/>
  <c r="Z59" i="5"/>
  <c r="Z57" i="5"/>
  <c r="Z64" i="5" s="1"/>
  <c r="FS28" i="11" s="1"/>
  <c r="AB27" i="10"/>
  <c r="DT75" i="11"/>
  <c r="CN146" i="1"/>
  <c r="CO146" i="1"/>
  <c r="CN105" i="1"/>
  <c r="CO105" i="1"/>
  <c r="CM115" i="1"/>
  <c r="CU65" i="11"/>
  <c r="CU22" i="11"/>
  <c r="CU53" i="11"/>
  <c r="K97" i="60"/>
  <c r="K140" i="60"/>
  <c r="K54" i="60"/>
  <c r="Z74" i="41"/>
  <c r="Z75" i="41"/>
  <c r="D167" i="3"/>
  <c r="H167" i="3" s="1"/>
  <c r="AP12" i="6"/>
  <c r="F118" i="41"/>
  <c r="G117" i="41"/>
  <c r="F85" i="41"/>
  <c r="F87" i="41" s="1"/>
  <c r="DQ214" i="1"/>
  <c r="DV214" i="1"/>
  <c r="D88" i="41"/>
  <c r="E47" i="10"/>
  <c r="E71" i="10" s="1"/>
  <c r="E61" i="10"/>
  <c r="T75" i="5"/>
  <c r="T70" i="5"/>
  <c r="U70" i="5"/>
  <c r="T61" i="9"/>
  <c r="T66" i="9" s="1"/>
  <c r="T16" i="9"/>
  <c r="T23" i="9" s="1"/>
  <c r="AG10" i="4" l="1"/>
  <c r="F126" i="60"/>
  <c r="U67" i="60"/>
  <c r="U155" i="60"/>
  <c r="U153" i="60" s="1"/>
  <c r="U62" i="10"/>
  <c r="U9" i="9" s="1"/>
  <c r="U16" i="9" s="1"/>
  <c r="U23" i="9" s="1"/>
  <c r="FT67" i="11"/>
  <c r="F119" i="60"/>
  <c r="Z55" i="11"/>
  <c r="Z26" i="11"/>
  <c r="Z32" i="11" s="1"/>
  <c r="Z57" i="11" s="1"/>
  <c r="DV53" i="11"/>
  <c r="DV22" i="11"/>
  <c r="DV56" i="11" s="1"/>
  <c r="DV65" i="11"/>
  <c r="DV14" i="11"/>
  <c r="DV62" i="11"/>
  <c r="EA34" i="11"/>
  <c r="EA66" i="11" s="1"/>
  <c r="DY24" i="11"/>
  <c r="DZ35" i="11"/>
  <c r="DZ67" i="11" s="1"/>
  <c r="DX18" i="11"/>
  <c r="EA17" i="11"/>
  <c r="DZ36" i="11"/>
  <c r="DZ37" i="11" s="1"/>
  <c r="DX63" i="11"/>
  <c r="DX17" i="11"/>
  <c r="DX43" i="11"/>
  <c r="DX12" i="11"/>
  <c r="EA36" i="11"/>
  <c r="EA37" i="11" s="1"/>
  <c r="DX15" i="11"/>
  <c r="DX20" i="11"/>
  <c r="DZ21" i="11"/>
  <c r="DX30" i="11"/>
  <c r="EA18" i="11"/>
  <c r="DX42" i="11"/>
  <c r="DY15" i="11"/>
  <c r="DX34" i="11"/>
  <c r="DX66" i="11" s="1"/>
  <c r="DY18" i="11"/>
  <c r="DZ10" i="11"/>
  <c r="DX35" i="11"/>
  <c r="DX67" i="11" s="1"/>
  <c r="DX41" i="11"/>
  <c r="DZ63" i="11"/>
  <c r="EA45" i="11"/>
  <c r="DY17" i="11"/>
  <c r="EA15" i="11"/>
  <c r="EA24" i="11"/>
  <c r="DY30" i="11"/>
  <c r="EA63" i="11"/>
  <c r="EC7" i="11"/>
  <c r="DX45" i="11"/>
  <c r="DX36" i="11"/>
  <c r="DX37" i="11" s="1"/>
  <c r="DY12" i="11"/>
  <c r="DX21" i="11"/>
  <c r="DZ20" i="11"/>
  <c r="DY41" i="11"/>
  <c r="DZ30" i="11"/>
  <c r="DY10" i="11"/>
  <c r="DX10" i="11"/>
  <c r="DZ15" i="11"/>
  <c r="DZ24" i="11"/>
  <c r="DZ18" i="11"/>
  <c r="DZ17" i="11"/>
  <c r="DZ42" i="11"/>
  <c r="EA20" i="11"/>
  <c r="EA41" i="11"/>
  <c r="DX6" i="11"/>
  <c r="DZ41" i="11"/>
  <c r="DY63" i="11"/>
  <c r="DY43" i="11"/>
  <c r="DY42" i="11"/>
  <c r="DY36" i="11"/>
  <c r="DY37" i="11" s="1"/>
  <c r="EA21" i="11"/>
  <c r="DY45" i="11"/>
  <c r="EA43" i="11"/>
  <c r="EA12" i="11"/>
  <c r="EA10" i="11"/>
  <c r="DY35" i="11"/>
  <c r="DY67" i="11" s="1"/>
  <c r="DZ45" i="11"/>
  <c r="DZ12" i="11"/>
  <c r="DX24" i="11"/>
  <c r="EA35" i="11"/>
  <c r="EA67" i="11" s="1"/>
  <c r="DY21" i="11"/>
  <c r="DZ43" i="11"/>
  <c r="EA42" i="11"/>
  <c r="DZ34" i="11"/>
  <c r="DZ66" i="11" s="1"/>
  <c r="DY34" i="11"/>
  <c r="DY66" i="11" s="1"/>
  <c r="EA30" i="11"/>
  <c r="DY20" i="11"/>
  <c r="Z56" i="11"/>
  <c r="DN16" i="11"/>
  <c r="DN51" i="11"/>
  <c r="S16" i="11"/>
  <c r="S51" i="11"/>
  <c r="R58" i="11"/>
  <c r="U58" i="11"/>
  <c r="T58" i="11"/>
  <c r="S52" i="11"/>
  <c r="DO51" i="11"/>
  <c r="DO16" i="11"/>
  <c r="DG81" i="11"/>
  <c r="DG80" i="11"/>
  <c r="X26" i="11"/>
  <c r="X32" i="11" s="1"/>
  <c r="X57" i="11" s="1"/>
  <c r="X55" i="11"/>
  <c r="DV68" i="11"/>
  <c r="DV47" i="11"/>
  <c r="DV58" i="11"/>
  <c r="DT64" i="11"/>
  <c r="DT52" i="11"/>
  <c r="DS52" i="11"/>
  <c r="DS64" i="11"/>
  <c r="DU47" i="11"/>
  <c r="DU58" i="11"/>
  <c r="DU68" i="11"/>
  <c r="DU52" i="11"/>
  <c r="DU64" i="11"/>
  <c r="DT68" i="11"/>
  <c r="DT58" i="11"/>
  <c r="DT47" i="11"/>
  <c r="T37" i="11"/>
  <c r="U22" i="11"/>
  <c r="U56" i="11" s="1"/>
  <c r="U53" i="11"/>
  <c r="S58" i="11"/>
  <c r="S6" i="11"/>
  <c r="R81" i="11"/>
  <c r="W68" i="11"/>
  <c r="DQ55" i="11"/>
  <c r="DQ26" i="11"/>
  <c r="DQ32" i="11" s="1"/>
  <c r="DQ57" i="11" s="1"/>
  <c r="GC7" i="11"/>
  <c r="GB71" i="11"/>
  <c r="DK80" i="11"/>
  <c r="DL6" i="11"/>
  <c r="DK81" i="11"/>
  <c r="FT68" i="11"/>
  <c r="FS68" i="11"/>
  <c r="Y55" i="11"/>
  <c r="Y26" i="11"/>
  <c r="Y32" i="11" s="1"/>
  <c r="Y57" i="11" s="1"/>
  <c r="DQ16" i="11"/>
  <c r="DQ51" i="11"/>
  <c r="DT14" i="11"/>
  <c r="DT62" i="11"/>
  <c r="DT53" i="11"/>
  <c r="DT65" i="11"/>
  <c r="DT22" i="11"/>
  <c r="DS58" i="11"/>
  <c r="DS68" i="11"/>
  <c r="DS47" i="11"/>
  <c r="DS53" i="11"/>
  <c r="DS65" i="11"/>
  <c r="DS22" i="11"/>
  <c r="DU14" i="11"/>
  <c r="DU62" i="11"/>
  <c r="DV64" i="11"/>
  <c r="DV52" i="11"/>
  <c r="AE6" i="11"/>
  <c r="AE81" i="11" s="1"/>
  <c r="AD81" i="11"/>
  <c r="W66" i="11"/>
  <c r="R37" i="11"/>
  <c r="S37" i="11"/>
  <c r="T53" i="11"/>
  <c r="T22" i="11"/>
  <c r="T56" i="11" s="1"/>
  <c r="U52" i="11"/>
  <c r="U14" i="11"/>
  <c r="R52" i="11"/>
  <c r="R14" i="11"/>
  <c r="N20" i="11"/>
  <c r="O41" i="11"/>
  <c r="M17" i="11"/>
  <c r="P24" i="11"/>
  <c r="M12" i="11"/>
  <c r="N42" i="11"/>
  <c r="N30" i="11"/>
  <c r="M63" i="11"/>
  <c r="N10" i="11"/>
  <c r="O17" i="11"/>
  <c r="N12" i="11"/>
  <c r="M6" i="11"/>
  <c r="M41" i="11"/>
  <c r="M21" i="11"/>
  <c r="P42" i="11"/>
  <c r="H7" i="11"/>
  <c r="P12" i="11"/>
  <c r="P17" i="11"/>
  <c r="N24" i="11"/>
  <c r="O24" i="11"/>
  <c r="M30" i="11"/>
  <c r="P63" i="11"/>
  <c r="N63" i="11"/>
  <c r="P30" i="11"/>
  <c r="O63" i="11"/>
  <c r="M42" i="11"/>
  <c r="P20" i="11"/>
  <c r="O21" i="11"/>
  <c r="O12" i="11"/>
  <c r="M24" i="11"/>
  <c r="O20" i="11"/>
  <c r="O42" i="11"/>
  <c r="N41" i="11"/>
  <c r="M10" i="11"/>
  <c r="R62" i="11" s="1"/>
  <c r="N45" i="11"/>
  <c r="P45" i="11"/>
  <c r="O10" i="11"/>
  <c r="M45" i="11"/>
  <c r="R68" i="11" s="1"/>
  <c r="N21" i="11"/>
  <c r="O45" i="11"/>
  <c r="M20" i="11"/>
  <c r="P21" i="11"/>
  <c r="P10" i="11"/>
  <c r="U62" i="11" s="1"/>
  <c r="N17" i="11"/>
  <c r="P41" i="11"/>
  <c r="N18" i="11"/>
  <c r="S65" i="11" s="1"/>
  <c r="O30" i="11"/>
  <c r="M18" i="11"/>
  <c r="R65" i="11" s="1"/>
  <c r="O18" i="11"/>
  <c r="P18" i="11"/>
  <c r="M34" i="11"/>
  <c r="R66" i="11" s="1"/>
  <c r="M36" i="11"/>
  <c r="P34" i="11"/>
  <c r="U66" i="11" s="1"/>
  <c r="O34" i="11"/>
  <c r="T66" i="11" s="1"/>
  <c r="P36" i="11"/>
  <c r="N34" i="11"/>
  <c r="N36" i="11"/>
  <c r="O36" i="11"/>
  <c r="Y56" i="11"/>
  <c r="DP51" i="11"/>
  <c r="DP16" i="11"/>
  <c r="X62" i="11"/>
  <c r="Z62" i="11"/>
  <c r="DN26" i="11"/>
  <c r="DN32" i="11" s="1"/>
  <c r="DN57" i="11" s="1"/>
  <c r="DN55" i="11"/>
  <c r="DP6" i="11"/>
  <c r="DO80" i="11"/>
  <c r="DO81" i="11"/>
  <c r="DO56" i="11"/>
  <c r="DO26" i="11"/>
  <c r="DO32" i="11" s="1"/>
  <c r="DO57" i="11" s="1"/>
  <c r="DO55" i="11"/>
  <c r="DU22" i="11"/>
  <c r="DU53" i="11"/>
  <c r="DU65" i="11"/>
  <c r="DS81" i="11"/>
  <c r="DT6" i="11"/>
  <c r="DS80" i="11"/>
  <c r="DS62" i="11"/>
  <c r="DS14" i="11"/>
  <c r="Y6" i="11"/>
  <c r="X81" i="11"/>
  <c r="DP56" i="11"/>
  <c r="DP55" i="11"/>
  <c r="DP26" i="11"/>
  <c r="DP32" i="11" s="1"/>
  <c r="DP57" i="11" s="1"/>
  <c r="FG34" i="11"/>
  <c r="FG63" i="11"/>
  <c r="FG41" i="11"/>
  <c r="FG17" i="11"/>
  <c r="FH7" i="11"/>
  <c r="FG42" i="11"/>
  <c r="FG43" i="11"/>
  <c r="FG45" i="11"/>
  <c r="FG71" i="11"/>
  <c r="U37" i="11"/>
  <c r="S22" i="11"/>
  <c r="S56" i="11" s="1"/>
  <c r="S53" i="11"/>
  <c r="R53" i="11"/>
  <c r="R22" i="11"/>
  <c r="R56" i="11" s="1"/>
  <c r="T14" i="11"/>
  <c r="T52" i="11"/>
  <c r="T62" i="11"/>
  <c r="W26" i="11"/>
  <c r="W32" i="11" s="1"/>
  <c r="W57" i="11" s="1"/>
  <c r="W55" i="11"/>
  <c r="X51" i="11"/>
  <c r="X16" i="11"/>
  <c r="Z51" i="11"/>
  <c r="Z16" i="11"/>
  <c r="X65" i="11"/>
  <c r="X66" i="11"/>
  <c r="FS47" i="11"/>
  <c r="FF66" i="11"/>
  <c r="F184" i="60"/>
  <c r="K76" i="5"/>
  <c r="F171" i="60"/>
  <c r="AF10" i="4"/>
  <c r="F64" i="60"/>
  <c r="F66" i="60" s="1"/>
  <c r="F83" i="60" s="1"/>
  <c r="C107" i="60"/>
  <c r="C109" i="60" s="1"/>
  <c r="C119" i="60"/>
  <c r="P61" i="10"/>
  <c r="P65" i="10" s="1"/>
  <c r="P47" i="10"/>
  <c r="P71" i="10" s="1"/>
  <c r="N76" i="5"/>
  <c r="P76" i="5"/>
  <c r="X47" i="10"/>
  <c r="X71" i="10" s="1"/>
  <c r="X61" i="10"/>
  <c r="X65" i="10" s="1"/>
  <c r="CW56" i="11"/>
  <c r="F219" i="44"/>
  <c r="E220" i="44"/>
  <c r="F233" i="44"/>
  <c r="AM27" i="9"/>
  <c r="AM31" i="9" s="1"/>
  <c r="AN81" i="9"/>
  <c r="AN27" i="9" s="1"/>
  <c r="F261" i="44"/>
  <c r="F247" i="44"/>
  <c r="E248" i="44"/>
  <c r="S56" i="9"/>
  <c r="AK45" i="10"/>
  <c r="DB58" i="11"/>
  <c r="DB68" i="11"/>
  <c r="DG68" i="11"/>
  <c r="CQ183" i="1"/>
  <c r="CS163" i="1"/>
  <c r="CR163" i="1"/>
  <c r="CQ193" i="1"/>
  <c r="CW163" i="1"/>
  <c r="L97" i="8"/>
  <c r="L90" i="8"/>
  <c r="CW35" i="11"/>
  <c r="CW67" i="11" s="1"/>
  <c r="CN203" i="1"/>
  <c r="CM193" i="1"/>
  <c r="CO163" i="1"/>
  <c r="CM183" i="1"/>
  <c r="CN163" i="1"/>
  <c r="W182" i="3"/>
  <c r="AJ182" i="3"/>
  <c r="AL182" i="3" s="1"/>
  <c r="AJ175" i="3"/>
  <c r="AL175" i="3" s="1"/>
  <c r="AN175" i="3" s="1"/>
  <c r="W175" i="3"/>
  <c r="Y175" i="3" s="1"/>
  <c r="F311" i="44"/>
  <c r="E304" i="44"/>
  <c r="F303" i="44"/>
  <c r="AG182" i="3"/>
  <c r="P182" i="3"/>
  <c r="W189" i="3"/>
  <c r="AJ189" i="3"/>
  <c r="AL189" i="3" s="1"/>
  <c r="P175" i="3"/>
  <c r="AG175" i="3"/>
  <c r="DB65" i="11"/>
  <c r="DG65" i="11"/>
  <c r="DB53" i="11"/>
  <c r="DB22" i="11"/>
  <c r="AX19" i="6"/>
  <c r="AX37" i="6" s="1"/>
  <c r="AX43" i="6" s="1"/>
  <c r="AX49" i="6" s="1"/>
  <c r="AX25" i="6"/>
  <c r="AX31" i="6"/>
  <c r="DB51" i="11"/>
  <c r="DB16" i="11"/>
  <c r="CR203" i="1"/>
  <c r="CV203" i="1" s="1"/>
  <c r="DB35" i="11"/>
  <c r="CW26" i="11"/>
  <c r="CW32" i="11" s="1"/>
  <c r="CW57" i="11" s="1"/>
  <c r="CW55" i="11"/>
  <c r="AT31" i="6"/>
  <c r="AT19" i="6"/>
  <c r="AT37" i="6" s="1"/>
  <c r="AT43" i="6" s="1"/>
  <c r="AT49" i="6" s="1"/>
  <c r="AT25" i="6"/>
  <c r="O126" i="60"/>
  <c r="I145" i="60"/>
  <c r="I150" i="60" s="1"/>
  <c r="I152" i="60" s="1"/>
  <c r="I170" i="60"/>
  <c r="AL31" i="9"/>
  <c r="AL40" i="10"/>
  <c r="AL43" i="10" s="1"/>
  <c r="E17" i="81" s="1"/>
  <c r="E18" i="81" s="1"/>
  <c r="AL85" i="9"/>
  <c r="T110" i="60"/>
  <c r="T156" i="60" s="1"/>
  <c r="T154" i="60"/>
  <c r="F122" i="41"/>
  <c r="F88" i="41"/>
  <c r="N210" i="3"/>
  <c r="P210" i="3" s="1"/>
  <c r="W210" i="3"/>
  <c r="Y210" i="3" s="1"/>
  <c r="L211" i="3"/>
  <c r="AB43" i="5"/>
  <c r="FU18" i="11"/>
  <c r="FU45" i="11"/>
  <c r="AB47" i="4"/>
  <c r="AB48" i="4" s="1"/>
  <c r="AB44" i="5"/>
  <c r="T85" i="41"/>
  <c r="M122" i="41"/>
  <c r="N121" i="41"/>
  <c r="M121" i="41"/>
  <c r="N120" i="41"/>
  <c r="H87" i="41"/>
  <c r="I120" i="41"/>
  <c r="CR200" i="1"/>
  <c r="CV200" i="1" s="1"/>
  <c r="CY35" i="11"/>
  <c r="AL209" i="3"/>
  <c r="AN209" i="3" s="1"/>
  <c r="AE209" i="3"/>
  <c r="AG209" i="3" s="1"/>
  <c r="CR106" i="1"/>
  <c r="CQ116" i="1"/>
  <c r="CS106" i="1"/>
  <c r="CW106" i="1"/>
  <c r="Z69" i="5"/>
  <c r="Z60" i="5"/>
  <c r="AA54" i="5"/>
  <c r="AA59" i="5"/>
  <c r="AA57" i="5"/>
  <c r="AA66" i="5"/>
  <c r="Y109" i="41"/>
  <c r="Z108" i="41"/>
  <c r="D43" i="60"/>
  <c r="E43" i="60"/>
  <c r="M142" i="41"/>
  <c r="G121" i="41"/>
  <c r="G87" i="41"/>
  <c r="K95" i="60"/>
  <c r="K122" i="60"/>
  <c r="K32" i="60"/>
  <c r="K13" i="60"/>
  <c r="DE68" i="11"/>
  <c r="CZ68" i="11"/>
  <c r="CZ58" i="11"/>
  <c r="AG173" i="3"/>
  <c r="P173" i="3"/>
  <c r="H33" i="4"/>
  <c r="H19" i="4"/>
  <c r="H43" i="4" s="1"/>
  <c r="H24" i="4"/>
  <c r="H25" i="4" s="1"/>
  <c r="H21" i="4"/>
  <c r="H22" i="4" s="1"/>
  <c r="CW35" i="1"/>
  <c r="CS35" i="1"/>
  <c r="CR160" i="1"/>
  <c r="CS160" i="1"/>
  <c r="CQ180" i="1"/>
  <c r="CQ190" i="1"/>
  <c r="CW160" i="1"/>
  <c r="I23" i="60"/>
  <c r="I25" i="60" s="1"/>
  <c r="I35" i="60"/>
  <c r="P180" i="3"/>
  <c r="AG180" i="3"/>
  <c r="AX22" i="6"/>
  <c r="AX16" i="6"/>
  <c r="AX34" i="6" s="1"/>
  <c r="AX40" i="6" s="1"/>
  <c r="AX46" i="6" s="1"/>
  <c r="AX28" i="6"/>
  <c r="K96" i="60"/>
  <c r="K40" i="60"/>
  <c r="K53" i="60"/>
  <c r="K139" i="60"/>
  <c r="K33" i="60"/>
  <c r="CN166" i="1"/>
  <c r="CO166" i="1"/>
  <c r="N61" i="10"/>
  <c r="N65" i="10" s="1"/>
  <c r="N47" i="10"/>
  <c r="N71" i="10" s="1"/>
  <c r="L61" i="60"/>
  <c r="L104" i="60"/>
  <c r="AB36" i="4"/>
  <c r="AB7" i="4"/>
  <c r="AB12" i="4"/>
  <c r="L93" i="60"/>
  <c r="L50" i="60"/>
  <c r="AE75" i="9"/>
  <c r="AE79" i="9" s="1"/>
  <c r="AE76" i="9"/>
  <c r="AE80" i="9" s="1"/>
  <c r="K122" i="41"/>
  <c r="L121" i="41"/>
  <c r="K88" i="41"/>
  <c r="CS151" i="1"/>
  <c r="CW151" i="1"/>
  <c r="CQ155" i="1"/>
  <c r="CR151" i="1"/>
  <c r="CQ201" i="1" s="1"/>
  <c r="CQ154" i="1"/>
  <c r="CQ156" i="1"/>
  <c r="CZ24" i="11"/>
  <c r="AJ172" i="3"/>
  <c r="W172" i="3"/>
  <c r="Y172" i="3" s="1"/>
  <c r="P89" i="41"/>
  <c r="Q122" i="41"/>
  <c r="CW24" i="1"/>
  <c r="CS24" i="1"/>
  <c r="P183" i="3"/>
  <c r="AG183" i="3"/>
  <c r="CW34" i="1"/>
  <c r="CS34" i="1"/>
  <c r="C125" i="41"/>
  <c r="C91" i="41"/>
  <c r="CB216" i="1"/>
  <c r="CF216" i="1"/>
  <c r="O123" i="41"/>
  <c r="O89" i="41"/>
  <c r="AC29" i="5"/>
  <c r="AC36" i="5"/>
  <c r="AC53" i="5" s="1"/>
  <c r="AC57" i="5" s="1"/>
  <c r="AB124" i="8"/>
  <c r="AD124" i="8" s="1"/>
  <c r="AF124" i="8" s="1"/>
  <c r="CR152" i="1"/>
  <c r="CS142" i="1"/>
  <c r="CW142" i="1"/>
  <c r="CQ162" i="1"/>
  <c r="CQ202" i="1"/>
  <c r="CR142" i="1"/>
  <c r="E154" i="44"/>
  <c r="J214" i="3"/>
  <c r="F153" i="44"/>
  <c r="J141" i="60"/>
  <c r="J182" i="60"/>
  <c r="J166" i="60"/>
  <c r="J93" i="41"/>
  <c r="CV51" i="11"/>
  <c r="CV16" i="11"/>
  <c r="Y76" i="41"/>
  <c r="Z110" i="41" s="1"/>
  <c r="CO144" i="1"/>
  <c r="CN144" i="1"/>
  <c r="AL84" i="8"/>
  <c r="CM114" i="1"/>
  <c r="FP45" i="11" s="1"/>
  <c r="CN104" i="1"/>
  <c r="CO104" i="1"/>
  <c r="X111" i="41"/>
  <c r="X77" i="41"/>
  <c r="AF70" i="9"/>
  <c r="M8" i="60"/>
  <c r="FV12" i="11"/>
  <c r="AC12" i="5"/>
  <c r="M26" i="60"/>
  <c r="F63" i="52"/>
  <c r="FV41" i="11"/>
  <c r="AF67" i="10"/>
  <c r="FV46" i="11"/>
  <c r="AC26" i="5"/>
  <c r="O110" i="64"/>
  <c r="P109" i="64"/>
  <c r="U116" i="41"/>
  <c r="U82" i="41"/>
  <c r="P42" i="41"/>
  <c r="P44" i="41" s="1"/>
  <c r="P45" i="41" s="1"/>
  <c r="W14" i="4"/>
  <c r="FO72" i="11"/>
  <c r="FO80" i="11" s="1"/>
  <c r="V41" i="4"/>
  <c r="AJ173" i="3"/>
  <c r="AL173" i="3" s="1"/>
  <c r="AN173" i="3" s="1"/>
  <c r="W173" i="3"/>
  <c r="Y173" i="3" s="1"/>
  <c r="D159" i="60"/>
  <c r="D170" i="60"/>
  <c r="D145" i="60"/>
  <c r="D150" i="60" s="1"/>
  <c r="D152" i="60" s="1"/>
  <c r="D183" i="60"/>
  <c r="E183" i="60"/>
  <c r="W60" i="64"/>
  <c r="W62" i="64" s="1"/>
  <c r="W75" i="64" s="1"/>
  <c r="W80" i="64" s="1"/>
  <c r="W87" i="64" s="1"/>
  <c r="V75" i="64"/>
  <c r="V80" i="64" s="1"/>
  <c r="V87" i="64" s="1"/>
  <c r="V114" i="64" s="1"/>
  <c r="AT12" i="6"/>
  <c r="D174" i="3"/>
  <c r="H174" i="3" s="1"/>
  <c r="D89" i="8"/>
  <c r="U174" i="3"/>
  <c r="CS22" i="1"/>
  <c r="CW22" i="1"/>
  <c r="CS32" i="1"/>
  <c r="CW32" i="1"/>
  <c r="AE81" i="9"/>
  <c r="AE85" i="9"/>
  <c r="E92" i="41"/>
  <c r="CM192" i="1"/>
  <c r="CM196" i="1" s="1"/>
  <c r="CN196" i="1" s="1"/>
  <c r="CM182" i="1"/>
  <c r="CM186" i="1" s="1"/>
  <c r="CN162" i="1"/>
  <c r="CO162" i="1"/>
  <c r="S117" i="41"/>
  <c r="T116" i="41"/>
  <c r="S83" i="41"/>
  <c r="G120" i="41"/>
  <c r="E276" i="44"/>
  <c r="F275" i="44"/>
  <c r="F289" i="44"/>
  <c r="K138" i="60"/>
  <c r="K162" i="60" s="1"/>
  <c r="K177" i="60"/>
  <c r="AA47" i="4"/>
  <c r="AA48" i="4" s="1"/>
  <c r="AA43" i="5"/>
  <c r="AA44" i="5"/>
  <c r="J116" i="60"/>
  <c r="J98" i="60"/>
  <c r="AT17" i="6"/>
  <c r="AT35" i="6" s="1"/>
  <c r="AT41" i="6" s="1"/>
  <c r="AT47" i="6" s="1"/>
  <c r="AT29" i="6"/>
  <c r="AT23" i="6"/>
  <c r="FA72" i="11"/>
  <c r="FA80" i="11" s="1"/>
  <c r="I14" i="4"/>
  <c r="H41" i="4"/>
  <c r="D16" i="41"/>
  <c r="C31" i="41"/>
  <c r="C29" i="41"/>
  <c r="D142" i="41"/>
  <c r="C142" i="41"/>
  <c r="C175" i="41" s="1"/>
  <c r="C18" i="41" s="1"/>
  <c r="C7" i="41" s="1"/>
  <c r="C8" i="41" s="1"/>
  <c r="C11" i="41" s="1"/>
  <c r="CQ146" i="1"/>
  <c r="F205" i="44"/>
  <c r="E192" i="44"/>
  <c r="CM164" i="1"/>
  <c r="CO181" i="1"/>
  <c r="CM211" i="1"/>
  <c r="CN181" i="1"/>
  <c r="CM185" i="1"/>
  <c r="FT77" i="11"/>
  <c r="AB53" i="5"/>
  <c r="FU14" i="11"/>
  <c r="J73" i="60"/>
  <c r="J55" i="60"/>
  <c r="N90" i="41"/>
  <c r="S176" i="3"/>
  <c r="CS105" i="1"/>
  <c r="CQ115" i="1"/>
  <c r="CR105" i="1"/>
  <c r="CW105" i="1"/>
  <c r="O47" i="10"/>
  <c r="O71" i="10" s="1"/>
  <c r="O61" i="10"/>
  <c r="O65" i="10" s="1"/>
  <c r="P122" i="41"/>
  <c r="D35" i="60"/>
  <c r="H6" i="60"/>
  <c r="X8" i="5"/>
  <c r="X11" i="4"/>
  <c r="AA69" i="9"/>
  <c r="X42" i="5"/>
  <c r="X53" i="5"/>
  <c r="X29" i="5"/>
  <c r="X32" i="5"/>
  <c r="X23" i="5"/>
  <c r="X12" i="5"/>
  <c r="X40" i="5"/>
  <c r="X26" i="5"/>
  <c r="X17" i="5"/>
  <c r="Y18" i="5" s="1"/>
  <c r="Y8" i="5"/>
  <c r="X37" i="5"/>
  <c r="U181" i="3"/>
  <c r="AJ167" i="3"/>
  <c r="AL167" i="3" s="1"/>
  <c r="AN167" i="3" s="1"/>
  <c r="W167" i="3"/>
  <c r="Y167" i="3" s="1"/>
  <c r="W8" i="5"/>
  <c r="G6" i="60"/>
  <c r="W11" i="4"/>
  <c r="Z69" i="9"/>
  <c r="W29" i="5"/>
  <c r="W12" i="5"/>
  <c r="W13" i="5" s="1"/>
  <c r="W17" i="5"/>
  <c r="W42" i="5"/>
  <c r="W53" i="5"/>
  <c r="W40" i="5"/>
  <c r="W23" i="5"/>
  <c r="W26" i="5"/>
  <c r="W32" i="5"/>
  <c r="W37" i="5"/>
  <c r="AF69" i="9"/>
  <c r="FV10" i="11"/>
  <c r="M6" i="60"/>
  <c r="AC8" i="5"/>
  <c r="AC11" i="4"/>
  <c r="AD8" i="5"/>
  <c r="I6" i="10"/>
  <c r="H6" i="9"/>
  <c r="V19" i="4"/>
  <c r="V43" i="4" s="1"/>
  <c r="V24" i="4"/>
  <c r="V25" i="4" s="1"/>
  <c r="V33" i="4"/>
  <c r="V21" i="4"/>
  <c r="V22" i="4" s="1"/>
  <c r="AP24" i="6"/>
  <c r="AP30" i="6"/>
  <c r="AP18" i="6"/>
  <c r="AP36" i="6" s="1"/>
  <c r="AP42" i="6" s="1"/>
  <c r="AP48" i="6" s="1"/>
  <c r="Z76" i="41"/>
  <c r="AB47" i="10"/>
  <c r="AB71" i="10" s="1"/>
  <c r="AB61" i="10"/>
  <c r="AB65" i="10" s="1"/>
  <c r="Z67" i="5"/>
  <c r="AC8" i="10"/>
  <c r="AC72" i="9"/>
  <c r="L58" i="60"/>
  <c r="L144" i="60"/>
  <c r="L101" i="60"/>
  <c r="I88" i="41"/>
  <c r="Y75" i="41"/>
  <c r="Y110" i="41" s="1"/>
  <c r="M120" i="41"/>
  <c r="N119" i="41"/>
  <c r="AC48" i="5"/>
  <c r="FV20" i="11"/>
  <c r="M15" i="60"/>
  <c r="AD48" i="5"/>
  <c r="H22" i="52"/>
  <c r="H24" i="52" s="1"/>
  <c r="AC16" i="5"/>
  <c r="AF71" i="9"/>
  <c r="FV15" i="11"/>
  <c r="AC17" i="5"/>
  <c r="AC23" i="5"/>
  <c r="AD16" i="5"/>
  <c r="AC40" i="5"/>
  <c r="M12" i="60"/>
  <c r="FV17" i="11"/>
  <c r="M39" i="60"/>
  <c r="AC9" i="5"/>
  <c r="L100" i="60"/>
  <c r="L143" i="60"/>
  <c r="L57" i="60"/>
  <c r="L95" i="41"/>
  <c r="D102" i="60"/>
  <c r="D107" i="60" s="1"/>
  <c r="D109" i="60" s="1"/>
  <c r="D113" i="60"/>
  <c r="D118" i="60"/>
  <c r="D125" i="60"/>
  <c r="E125" i="60"/>
  <c r="L95" i="8"/>
  <c r="L88" i="8"/>
  <c r="AT28" i="6"/>
  <c r="AT16" i="6"/>
  <c r="AT34" i="6" s="1"/>
  <c r="AT40" i="6" s="1"/>
  <c r="AT46" i="6" s="1"/>
  <c r="AT22" i="6"/>
  <c r="CY16" i="11"/>
  <c r="CY51" i="11"/>
  <c r="J91" i="3"/>
  <c r="L85" i="3"/>
  <c r="CW102" i="1"/>
  <c r="AL89" i="8"/>
  <c r="CS102" i="1"/>
  <c r="CQ112" i="1"/>
  <c r="DA45" i="11" s="1"/>
  <c r="CR102" i="1"/>
  <c r="DA18" i="11"/>
  <c r="W180" i="3"/>
  <c r="AJ180" i="3"/>
  <c r="AL180" i="3" s="1"/>
  <c r="AL208" i="3"/>
  <c r="AN208" i="3" s="1"/>
  <c r="AE208" i="3"/>
  <c r="AG208" i="3" s="1"/>
  <c r="M119" i="41"/>
  <c r="N118" i="41"/>
  <c r="AJ187" i="3"/>
  <c r="AL187" i="3" s="1"/>
  <c r="W187" i="3"/>
  <c r="K52" i="60"/>
  <c r="K73" i="60" s="1"/>
  <c r="K79" i="60"/>
  <c r="L80" i="60"/>
  <c r="L179" i="60" s="1"/>
  <c r="L123" i="60"/>
  <c r="L181" i="60" s="1"/>
  <c r="L180" i="60"/>
  <c r="L178" i="60" s="1"/>
  <c r="L140" i="60"/>
  <c r="L97" i="60"/>
  <c r="L54" i="60"/>
  <c r="R94" i="41"/>
  <c r="CZ22" i="11"/>
  <c r="DE65" i="11"/>
  <c r="CZ65" i="11"/>
  <c r="CZ53" i="11"/>
  <c r="CS25" i="1"/>
  <c r="CW25" i="1"/>
  <c r="CS145" i="1"/>
  <c r="CR145" i="1"/>
  <c r="CW145" i="1"/>
  <c r="W80" i="41"/>
  <c r="FX66" i="11"/>
  <c r="CN165" i="1"/>
  <c r="CO165" i="1"/>
  <c r="I75" i="60"/>
  <c r="I70" i="60"/>
  <c r="I59" i="60"/>
  <c r="U188" i="3"/>
  <c r="AE7" i="4"/>
  <c r="AA37" i="4"/>
  <c r="FT76" i="11"/>
  <c r="L91" i="60"/>
  <c r="L48" i="60"/>
  <c r="L10" i="60"/>
  <c r="L32" i="60" s="1"/>
  <c r="L164" i="60" s="1"/>
  <c r="L162" i="60" s="1"/>
  <c r="L38" i="60"/>
  <c r="L67" i="60"/>
  <c r="L155" i="60"/>
  <c r="L153" i="60" s="1"/>
  <c r="AB13" i="5"/>
  <c r="AN165" i="3"/>
  <c r="CZ16" i="11"/>
  <c r="CZ51" i="11"/>
  <c r="L94" i="8"/>
  <c r="L87" i="8"/>
  <c r="CY58" i="11"/>
  <c r="CY68" i="11"/>
  <c r="DD68" i="11"/>
  <c r="U186" i="3"/>
  <c r="CS144" i="1"/>
  <c r="CR144" i="1"/>
  <c r="CW144" i="1"/>
  <c r="AG176" i="3"/>
  <c r="P176" i="3"/>
  <c r="J81" i="60"/>
  <c r="J74" i="60"/>
  <c r="I102" i="60"/>
  <c r="I118" i="60"/>
  <c r="I113" i="60"/>
  <c r="AN204" i="3"/>
  <c r="F9" i="52"/>
  <c r="F13" i="52" s="1"/>
  <c r="AB20" i="5"/>
  <c r="FU52" i="11"/>
  <c r="CV22" i="11"/>
  <c r="CV65" i="11"/>
  <c r="CV53" i="11"/>
  <c r="E60" i="10"/>
  <c r="E62" i="10" s="1"/>
  <c r="F60" i="10" s="1"/>
  <c r="F62" i="10" s="1"/>
  <c r="G60" i="10" s="1"/>
  <c r="G62" i="10" s="1"/>
  <c r="E65" i="10"/>
  <c r="F120" i="41"/>
  <c r="G119" i="41"/>
  <c r="Z77" i="41"/>
  <c r="T76" i="5"/>
  <c r="U76" i="5"/>
  <c r="P167" i="3"/>
  <c r="AG167" i="3"/>
  <c r="CU56" i="11"/>
  <c r="CU55" i="11"/>
  <c r="CU26" i="11"/>
  <c r="CU32" i="11" s="1"/>
  <c r="CU57" i="11" s="1"/>
  <c r="D123" i="41"/>
  <c r="E122" i="41"/>
  <c r="D89" i="41"/>
  <c r="Z109" i="41"/>
  <c r="K211" i="3"/>
  <c r="K210" i="3"/>
  <c r="V125" i="8"/>
  <c r="X125" i="8" s="1"/>
  <c r="Z125" i="8" s="1"/>
  <c r="J124" i="60"/>
  <c r="J117" i="60"/>
  <c r="W61" i="10"/>
  <c r="W65" i="10" s="1"/>
  <c r="W47" i="10"/>
  <c r="W71" i="10" s="1"/>
  <c r="H120" i="41"/>
  <c r="H88" i="41"/>
  <c r="H89" i="41" s="1"/>
  <c r="I119" i="41"/>
  <c r="AN207" i="3"/>
  <c r="AG169" i="3"/>
  <c r="P169" i="3"/>
  <c r="D70" i="60"/>
  <c r="D59" i="60"/>
  <c r="D64" i="60" s="1"/>
  <c r="D66" i="60" s="1"/>
  <c r="D75" i="60"/>
  <c r="D82" i="60"/>
  <c r="E82" i="60"/>
  <c r="O122" i="41"/>
  <c r="P121" i="41"/>
  <c r="M28" i="60"/>
  <c r="M69" i="60" s="1"/>
  <c r="M112" i="60" s="1"/>
  <c r="AM31" i="5"/>
  <c r="AC32" i="5"/>
  <c r="M16" i="60"/>
  <c r="FV21" i="11"/>
  <c r="FV24" i="11"/>
  <c r="M19" i="60"/>
  <c r="L11" i="60"/>
  <c r="AB37" i="5"/>
  <c r="AG172" i="3"/>
  <c r="P172" i="3"/>
  <c r="L76" i="5"/>
  <c r="M76" i="5"/>
  <c r="AC30" i="4"/>
  <c r="F324" i="44"/>
  <c r="AA210" i="3"/>
  <c r="AB125" i="8" s="1"/>
  <c r="AD125" i="8" s="1"/>
  <c r="AF125" i="8" s="1"/>
  <c r="E327" i="44"/>
  <c r="N78" i="3"/>
  <c r="W78" i="3"/>
  <c r="Y78" i="3" s="1"/>
  <c r="DA62" i="11"/>
  <c r="DA14" i="11"/>
  <c r="DA52" i="11"/>
  <c r="DF62" i="11"/>
  <c r="D181" i="3"/>
  <c r="H181" i="3" s="1"/>
  <c r="AX12" i="6"/>
  <c r="CS82" i="1"/>
  <c r="CW82" i="1"/>
  <c r="AB18" i="5"/>
  <c r="N122" i="64"/>
  <c r="N123" i="64"/>
  <c r="D42" i="60"/>
  <c r="E42" i="60"/>
  <c r="V112" i="41"/>
  <c r="V79" i="41"/>
  <c r="W113" i="41" s="1"/>
  <c r="V80" i="41"/>
  <c r="V115" i="41" s="1"/>
  <c r="CS152" i="1"/>
  <c r="CM156" i="1"/>
  <c r="CM154" i="1"/>
  <c r="CV24" i="11"/>
  <c r="CO152" i="1"/>
  <c r="CN152" i="1"/>
  <c r="CM202" i="1" s="1"/>
  <c r="CV58" i="11"/>
  <c r="CV68" i="11"/>
  <c r="M118" i="41"/>
  <c r="N117" i="41"/>
  <c r="M88" i="41"/>
  <c r="W111" i="41"/>
  <c r="K85" i="60"/>
  <c r="K86" i="60" s="1"/>
  <c r="K186" i="60"/>
  <c r="K187" i="60" s="1"/>
  <c r="AH6" i="10"/>
  <c r="U179" i="3"/>
  <c r="AR183" i="3"/>
  <c r="U183" i="3" s="1"/>
  <c r="W183" i="3" s="1"/>
  <c r="CS85" i="1"/>
  <c r="CW85" i="1"/>
  <c r="R125" i="41"/>
  <c r="Q92" i="41"/>
  <c r="J41" i="60"/>
  <c r="J128" i="60" s="1"/>
  <c r="J129" i="60" s="1"/>
  <c r="J29" i="60"/>
  <c r="J17" i="60"/>
  <c r="J34" i="60"/>
  <c r="AX17" i="6"/>
  <c r="AX35" i="6" s="1"/>
  <c r="AX41" i="6" s="1"/>
  <c r="AX47" i="6" s="1"/>
  <c r="AX29" i="6"/>
  <c r="AX23" i="6"/>
  <c r="P179" i="3"/>
  <c r="AG179" i="3"/>
  <c r="W138" i="41"/>
  <c r="W15" i="41"/>
  <c r="W22" i="41"/>
  <c r="X3" i="41"/>
  <c r="W102" i="41"/>
  <c r="W35" i="41"/>
  <c r="W66" i="41"/>
  <c r="CM195" i="1"/>
  <c r="CN195" i="1" s="1"/>
  <c r="CN191" i="1"/>
  <c r="CU34" i="11"/>
  <c r="AE70" i="10"/>
  <c r="AE87" i="9"/>
  <c r="AE89" i="9" s="1"/>
  <c r="K121" i="41"/>
  <c r="L120" i="41"/>
  <c r="CQ161" i="1"/>
  <c r="CY22" i="11"/>
  <c r="CY65" i="11"/>
  <c r="CY53" i="11"/>
  <c r="DD65" i="11"/>
  <c r="CR46" i="1"/>
  <c r="CR76" i="1"/>
  <c r="CS16" i="1"/>
  <c r="CR136" i="1"/>
  <c r="CR86" i="1"/>
  <c r="CR36" i="1"/>
  <c r="CR26" i="1"/>
  <c r="CR96" i="1"/>
  <c r="CR66" i="1"/>
  <c r="CR56" i="1"/>
  <c r="CR126" i="1"/>
  <c r="CS84" i="1"/>
  <c r="CW84" i="1"/>
  <c r="AL91" i="8"/>
  <c r="CQ114" i="1"/>
  <c r="FQ45" i="11" s="1"/>
  <c r="CR104" i="1"/>
  <c r="CW104" i="1"/>
  <c r="CS104" i="1"/>
  <c r="T56" i="9"/>
  <c r="T63" i="9"/>
  <c r="U110" i="60" l="1"/>
  <c r="U156" i="60" s="1"/>
  <c r="U154" i="60"/>
  <c r="U61" i="9"/>
  <c r="U66" i="9" s="1"/>
  <c r="V60" i="10"/>
  <c r="V62" i="10" s="1"/>
  <c r="W60" i="10" s="1"/>
  <c r="W62" i="10" s="1"/>
  <c r="W9" i="9" s="1"/>
  <c r="AI37" i="9"/>
  <c r="AI39" i="9" s="1"/>
  <c r="AI64" i="9" s="1"/>
  <c r="AJ35" i="9"/>
  <c r="T51" i="11"/>
  <c r="T16" i="11"/>
  <c r="P37" i="11"/>
  <c r="O22" i="11"/>
  <c r="O56" i="11" s="1"/>
  <c r="O53" i="11"/>
  <c r="O52" i="11"/>
  <c r="O14" i="11"/>
  <c r="N14" i="11"/>
  <c r="N52" i="11"/>
  <c r="T65" i="11"/>
  <c r="DT56" i="11"/>
  <c r="DT55" i="11"/>
  <c r="DT26" i="11"/>
  <c r="DT32" i="11" s="1"/>
  <c r="DT57" i="11" s="1"/>
  <c r="DT16" i="11"/>
  <c r="DT51" i="11"/>
  <c r="GC71" i="11"/>
  <c r="GD7" i="11"/>
  <c r="GD71" i="11" s="1"/>
  <c r="DZ47" i="11"/>
  <c r="DZ59" i="11" s="1"/>
  <c r="DZ58" i="11"/>
  <c r="DZ68" i="11"/>
  <c r="DX80" i="11"/>
  <c r="DX81" i="11"/>
  <c r="DY6" i="11"/>
  <c r="DX14" i="11"/>
  <c r="DX62" i="11"/>
  <c r="DX68" i="11"/>
  <c r="EC68" i="11"/>
  <c r="DX47" i="11"/>
  <c r="DX59" i="11" s="1"/>
  <c r="DX58" i="11"/>
  <c r="DY65" i="11"/>
  <c r="DY53" i="11"/>
  <c r="DY22" i="11"/>
  <c r="DY56" i="11" s="1"/>
  <c r="EA22" i="11"/>
  <c r="EA65" i="11"/>
  <c r="EA53" i="11"/>
  <c r="DX52" i="11"/>
  <c r="DX64" i="11"/>
  <c r="DX65" i="11"/>
  <c r="DX22" i="11"/>
  <c r="DX53" i="11"/>
  <c r="Y81" i="11"/>
  <c r="Z6" i="11"/>
  <c r="Z81" i="11" s="1"/>
  <c r="DU6" i="11"/>
  <c r="DT80" i="11"/>
  <c r="DT81" i="11"/>
  <c r="DU56" i="11"/>
  <c r="DU55" i="11"/>
  <c r="DU26" i="11"/>
  <c r="DU32" i="11" s="1"/>
  <c r="DU57" i="11" s="1"/>
  <c r="N37" i="11"/>
  <c r="M53" i="11"/>
  <c r="M22" i="11"/>
  <c r="M56" i="11" s="1"/>
  <c r="O58" i="11"/>
  <c r="P58" i="11"/>
  <c r="H42" i="11"/>
  <c r="J42" i="11"/>
  <c r="H45" i="11"/>
  <c r="M68" i="11" s="1"/>
  <c r="H21" i="11"/>
  <c r="K10" i="11"/>
  <c r="P62" i="11" s="1"/>
  <c r="J41" i="11"/>
  <c r="K41" i="11"/>
  <c r="I24" i="11"/>
  <c r="I63" i="11"/>
  <c r="I42" i="11"/>
  <c r="H12" i="11"/>
  <c r="K17" i="11"/>
  <c r="J24" i="11"/>
  <c r="H6" i="11"/>
  <c r="H18" i="11"/>
  <c r="J12" i="11"/>
  <c r="I12" i="11"/>
  <c r="H41" i="11"/>
  <c r="J63" i="11"/>
  <c r="I17" i="11"/>
  <c r="H30" i="11"/>
  <c r="K45" i="11"/>
  <c r="C7" i="11"/>
  <c r="J10" i="11"/>
  <c r="H10" i="11"/>
  <c r="M62" i="11" s="1"/>
  <c r="I10" i="11"/>
  <c r="K30" i="11"/>
  <c r="H17" i="11"/>
  <c r="J30" i="11"/>
  <c r="K24" i="11"/>
  <c r="I34" i="11"/>
  <c r="N66" i="11" s="1"/>
  <c r="I30" i="11"/>
  <c r="K20" i="11"/>
  <c r="H20" i="11"/>
  <c r="K21" i="11"/>
  <c r="I45" i="11"/>
  <c r="N68" i="11" s="1"/>
  <c r="J45" i="11"/>
  <c r="I21" i="11"/>
  <c r="K63" i="11"/>
  <c r="I20" i="11"/>
  <c r="H63" i="11"/>
  <c r="H34" i="11"/>
  <c r="M66" i="11" s="1"/>
  <c r="H24" i="11"/>
  <c r="K12" i="11"/>
  <c r="K42" i="11"/>
  <c r="K18" i="11"/>
  <c r="P65" i="11" s="1"/>
  <c r="I18" i="11"/>
  <c r="N65" i="11" s="1"/>
  <c r="J20" i="11"/>
  <c r="J17" i="11"/>
  <c r="I41" i="11"/>
  <c r="J21" i="11"/>
  <c r="H36" i="11"/>
  <c r="I36" i="11"/>
  <c r="J18" i="11"/>
  <c r="K34" i="11"/>
  <c r="P66" i="11" s="1"/>
  <c r="J34" i="11"/>
  <c r="O66" i="11" s="1"/>
  <c r="J36" i="11"/>
  <c r="K36" i="11"/>
  <c r="N6" i="11"/>
  <c r="M81" i="11"/>
  <c r="T55" i="11"/>
  <c r="T26" i="11"/>
  <c r="T32" i="11" s="1"/>
  <c r="T57" i="11" s="1"/>
  <c r="DU16" i="11"/>
  <c r="DU51" i="11"/>
  <c r="DS59" i="11"/>
  <c r="DL81" i="11"/>
  <c r="DL80" i="11"/>
  <c r="T6" i="11"/>
  <c r="S81" i="11"/>
  <c r="DU59" i="11"/>
  <c r="DY58" i="11"/>
  <c r="DY47" i="11"/>
  <c r="DY59" i="11" s="1"/>
  <c r="DY68" i="11"/>
  <c r="DZ22" i="11"/>
  <c r="DZ56" i="11" s="1"/>
  <c r="DZ53" i="11"/>
  <c r="DZ65" i="11"/>
  <c r="DY14" i="11"/>
  <c r="DY62" i="11"/>
  <c r="EF21" i="11"/>
  <c r="EE43" i="11"/>
  <c r="EF24" i="11"/>
  <c r="EF63" i="11"/>
  <c r="ED63" i="11"/>
  <c r="EC20" i="11"/>
  <c r="EE18" i="11"/>
  <c r="EF18" i="11"/>
  <c r="EE17" i="11"/>
  <c r="EC6" i="11"/>
  <c r="EC18" i="11"/>
  <c r="EF17" i="11"/>
  <c r="ED43" i="11"/>
  <c r="EC63" i="11"/>
  <c r="ED42" i="11"/>
  <c r="EE15" i="11"/>
  <c r="ED24" i="11"/>
  <c r="ED30" i="11"/>
  <c r="ED35" i="11"/>
  <c r="ED67" i="11" s="1"/>
  <c r="ED15" i="11"/>
  <c r="ED41" i="11"/>
  <c r="EE45" i="11"/>
  <c r="EC30" i="11"/>
  <c r="EC42" i="11"/>
  <c r="EC41" i="11"/>
  <c r="EE42" i="11"/>
  <c r="EC24" i="11"/>
  <c r="ED45" i="11"/>
  <c r="EE24" i="11"/>
  <c r="EF41" i="11"/>
  <c r="EF20" i="11"/>
  <c r="EC21" i="11"/>
  <c r="EE36" i="11"/>
  <c r="EE37" i="11" s="1"/>
  <c r="ED34" i="11"/>
  <c r="ED66" i="11" s="1"/>
  <c r="EF43" i="11"/>
  <c r="ED10" i="11"/>
  <c r="EE41" i="11"/>
  <c r="EF36" i="11"/>
  <c r="EF37" i="11" s="1"/>
  <c r="EE63" i="11"/>
  <c r="EF35" i="11"/>
  <c r="EF67" i="11" s="1"/>
  <c r="EF10" i="11"/>
  <c r="EC15" i="11"/>
  <c r="ED12" i="11"/>
  <c r="EF15" i="11"/>
  <c r="ED20" i="11"/>
  <c r="EC10" i="11"/>
  <c r="EE10" i="11"/>
  <c r="EF34" i="11"/>
  <c r="EF66" i="11" s="1"/>
  <c r="ED17" i="11"/>
  <c r="EF45" i="11"/>
  <c r="EF42" i="11"/>
  <c r="EE35" i="11"/>
  <c r="EE67" i="11" s="1"/>
  <c r="EC12" i="11"/>
  <c r="EE21" i="11"/>
  <c r="EE12" i="11"/>
  <c r="EC43" i="11"/>
  <c r="EH7" i="11"/>
  <c r="EE30" i="11"/>
  <c r="EF30" i="11"/>
  <c r="EF12" i="11"/>
  <c r="ED21" i="11"/>
  <c r="EC35" i="11"/>
  <c r="EC67" i="11" s="1"/>
  <c r="ED36" i="11"/>
  <c r="ED37" i="11" s="1"/>
  <c r="EE34" i="11"/>
  <c r="EE66" i="11" s="1"/>
  <c r="ED18" i="11"/>
  <c r="EC17" i="11"/>
  <c r="EC34" i="11"/>
  <c r="EC66" i="11" s="1"/>
  <c r="EE20" i="11"/>
  <c r="EC36" i="11"/>
  <c r="EC37" i="11" s="1"/>
  <c r="EA64" i="11"/>
  <c r="EA52" i="11"/>
  <c r="DV51" i="11"/>
  <c r="DV16" i="11"/>
  <c r="R55" i="11"/>
  <c r="R26" i="11"/>
  <c r="R32" i="11" s="1"/>
  <c r="R57" i="11" s="1"/>
  <c r="S26" i="11"/>
  <c r="S32" i="11" s="1"/>
  <c r="S57" i="11" s="1"/>
  <c r="S55" i="11"/>
  <c r="FH63" i="11"/>
  <c r="FH41" i="11"/>
  <c r="FH42" i="11"/>
  <c r="FH34" i="11"/>
  <c r="FH36" i="11"/>
  <c r="FH71" i="11"/>
  <c r="FH43" i="11"/>
  <c r="FH45" i="11"/>
  <c r="FH17" i="11"/>
  <c r="DS16" i="11"/>
  <c r="DS51" i="11"/>
  <c r="M37" i="11"/>
  <c r="P52" i="11"/>
  <c r="P14" i="11"/>
  <c r="N58" i="11"/>
  <c r="R16" i="11"/>
  <c r="R51" i="11"/>
  <c r="U51" i="11"/>
  <c r="U16" i="11"/>
  <c r="DS56" i="11"/>
  <c r="DS55" i="11"/>
  <c r="DS26" i="11"/>
  <c r="DS32" i="11" s="1"/>
  <c r="DS57" i="11" s="1"/>
  <c r="U26" i="11"/>
  <c r="U32" i="11" s="1"/>
  <c r="U57" i="11" s="1"/>
  <c r="U55" i="11"/>
  <c r="DT59" i="11"/>
  <c r="T68" i="11"/>
  <c r="U68" i="11"/>
  <c r="EA62" i="11"/>
  <c r="EA14" i="11"/>
  <c r="DY52" i="11"/>
  <c r="DY64" i="11"/>
  <c r="FG68" i="11"/>
  <c r="FG37" i="11"/>
  <c r="FG66" i="11"/>
  <c r="DP81" i="11"/>
  <c r="DP80" i="11"/>
  <c r="DQ6" i="11"/>
  <c r="O37" i="11"/>
  <c r="P22" i="11"/>
  <c r="P56" i="11" s="1"/>
  <c r="P53" i="11"/>
  <c r="N53" i="11"/>
  <c r="N22" i="11"/>
  <c r="M58" i="11"/>
  <c r="M52" i="11"/>
  <c r="M14" i="11"/>
  <c r="S66" i="11"/>
  <c r="S68" i="11"/>
  <c r="U65" i="11"/>
  <c r="DV59" i="11"/>
  <c r="S62" i="11"/>
  <c r="DZ52" i="11"/>
  <c r="DZ64" i="11"/>
  <c r="EA58" i="11"/>
  <c r="EA68" i="11"/>
  <c r="EA47" i="11"/>
  <c r="EA59" i="11" s="1"/>
  <c r="DZ62" i="11"/>
  <c r="DZ14" i="11"/>
  <c r="DV55" i="11"/>
  <c r="DV26" i="11"/>
  <c r="DV32" i="11" s="1"/>
  <c r="DV57" i="11" s="1"/>
  <c r="AM40" i="10"/>
  <c r="AM43" i="10" s="1"/>
  <c r="Y180" i="3"/>
  <c r="AN40" i="10"/>
  <c r="AN43" i="10" s="1"/>
  <c r="F220" i="44"/>
  <c r="F234" i="44"/>
  <c r="E221" i="44"/>
  <c r="AM85" i="9"/>
  <c r="AN85" i="9"/>
  <c r="AN31" i="9"/>
  <c r="F262" i="44"/>
  <c r="F248" i="44"/>
  <c r="E249" i="44"/>
  <c r="AL169" i="3"/>
  <c r="AN169" i="3" s="1"/>
  <c r="AL45" i="10"/>
  <c r="Y182" i="3"/>
  <c r="CQ164" i="1"/>
  <c r="CS164" i="1" s="1"/>
  <c r="AC42" i="5"/>
  <c r="FV18" i="11" s="1"/>
  <c r="FV54" i="11" s="1"/>
  <c r="Y189" i="3"/>
  <c r="Y196" i="3"/>
  <c r="E305" i="44"/>
  <c r="F305" i="44" s="1"/>
  <c r="F304" i="44"/>
  <c r="AN182" i="3"/>
  <c r="CS183" i="1"/>
  <c r="CR183" i="1"/>
  <c r="CW183" i="1"/>
  <c r="CQ213" i="1"/>
  <c r="DB26" i="11"/>
  <c r="DB32" i="11" s="1"/>
  <c r="DB57" i="11" s="1"/>
  <c r="DB56" i="11"/>
  <c r="DB55" i="11"/>
  <c r="CN183" i="1"/>
  <c r="CO183" i="1"/>
  <c r="CM213" i="1"/>
  <c r="CR193" i="1"/>
  <c r="CV193" i="1"/>
  <c r="DB34" i="11"/>
  <c r="DG67" i="11"/>
  <c r="DB67" i="11"/>
  <c r="AN189" i="3"/>
  <c r="AN196" i="3"/>
  <c r="CN193" i="1"/>
  <c r="CW34" i="11"/>
  <c r="CQ206" i="1"/>
  <c r="I171" i="60"/>
  <c r="AH9" i="4"/>
  <c r="AI9" i="4" s="1"/>
  <c r="AJ9" i="4" s="1"/>
  <c r="AK9" i="4" s="1"/>
  <c r="K141" i="60"/>
  <c r="K159" i="60" s="1"/>
  <c r="K55" i="60"/>
  <c r="K82" i="60" s="1"/>
  <c r="D76" i="60"/>
  <c r="D119" i="60"/>
  <c r="H90" i="41"/>
  <c r="CO186" i="1"/>
  <c r="CN186" i="1"/>
  <c r="L13" i="60"/>
  <c r="L53" i="60"/>
  <c r="L33" i="60"/>
  <c r="L168" i="60" s="1"/>
  <c r="L166" i="60" s="1"/>
  <c r="L96" i="60"/>
  <c r="L40" i="60"/>
  <c r="W186" i="3"/>
  <c r="AJ186" i="3"/>
  <c r="M80" i="60"/>
  <c r="M179" i="60" s="1"/>
  <c r="M180" i="60"/>
  <c r="M178" i="60" s="1"/>
  <c r="M123" i="60"/>
  <c r="M181" i="60" s="1"/>
  <c r="H9" i="52"/>
  <c r="H13" i="52" s="1"/>
  <c r="W13" i="52" s="1"/>
  <c r="AC18" i="5"/>
  <c r="AC27" i="10"/>
  <c r="DU75" i="11"/>
  <c r="CN185" i="1"/>
  <c r="CO185" i="1"/>
  <c r="I17" i="4"/>
  <c r="L89" i="8"/>
  <c r="L96" i="8"/>
  <c r="D184" i="60"/>
  <c r="E184" i="60"/>
  <c r="P46" i="41"/>
  <c r="P47" i="41"/>
  <c r="AC13" i="5"/>
  <c r="AD13" i="5"/>
  <c r="AF76" i="9"/>
  <c r="AF80" i="9" s="1"/>
  <c r="AF75" i="9"/>
  <c r="AF79" i="9" s="1"/>
  <c r="X112" i="41"/>
  <c r="FP68" i="11"/>
  <c r="FP47" i="11"/>
  <c r="L214" i="3"/>
  <c r="V129" i="8"/>
  <c r="X129" i="8" s="1"/>
  <c r="Z129" i="8" s="1"/>
  <c r="K214" i="3"/>
  <c r="CS154" i="1"/>
  <c r="CR154" i="1"/>
  <c r="CQ204" i="1" s="1"/>
  <c r="CW154" i="1"/>
  <c r="X56" i="5"/>
  <c r="X59" i="5" s="1"/>
  <c r="FU76" i="11"/>
  <c r="AB37" i="4"/>
  <c r="K81" i="60"/>
  <c r="K74" i="60"/>
  <c r="CR190" i="1"/>
  <c r="CY34" i="11"/>
  <c r="CV190" i="1"/>
  <c r="H34" i="4"/>
  <c r="FA75" i="11"/>
  <c r="AA60" i="5"/>
  <c r="AA69" i="5"/>
  <c r="Z75" i="5"/>
  <c r="Z76" i="5" s="1"/>
  <c r="Z70" i="5"/>
  <c r="T86" i="41"/>
  <c r="FU68" i="11"/>
  <c r="FU47" i="11"/>
  <c r="FU58" i="11"/>
  <c r="CW26" i="1"/>
  <c r="CS26" i="1"/>
  <c r="CS161" i="1"/>
  <c r="CQ191" i="1"/>
  <c r="CQ195" i="1" s="1"/>
  <c r="CR161" i="1"/>
  <c r="CQ181" i="1"/>
  <c r="CQ185" i="1" s="1"/>
  <c r="CW161" i="1"/>
  <c r="AJ179" i="3"/>
  <c r="W179" i="3"/>
  <c r="Y179" i="3" s="1"/>
  <c r="CN154" i="1"/>
  <c r="CM204" i="1" s="1"/>
  <c r="W56" i="5"/>
  <c r="W59" i="5" s="1"/>
  <c r="CO154" i="1"/>
  <c r="V81" i="41"/>
  <c r="V116" i="41" s="1"/>
  <c r="DA16" i="11"/>
  <c r="DA51" i="11"/>
  <c r="P78" i="3"/>
  <c r="AC27" i="4"/>
  <c r="AC28" i="4" s="1"/>
  <c r="AC31" i="4"/>
  <c r="FV73" i="11"/>
  <c r="M144" i="60"/>
  <c r="M101" i="60"/>
  <c r="M58" i="60"/>
  <c r="M158" i="60"/>
  <c r="D83" i="60"/>
  <c r="E83" i="60"/>
  <c r="L52" i="60"/>
  <c r="L79" i="60"/>
  <c r="DF68" i="11"/>
  <c r="DA68" i="11"/>
  <c r="DA58" i="11"/>
  <c r="N85" i="3"/>
  <c r="W85" i="3"/>
  <c r="Y85" i="3" s="1"/>
  <c r="L96" i="41"/>
  <c r="FV52" i="11"/>
  <c r="FV64" i="11"/>
  <c r="FW64" i="11"/>
  <c r="I123" i="41"/>
  <c r="I89" i="41"/>
  <c r="G6" i="9"/>
  <c r="H6" i="10"/>
  <c r="AC7" i="4"/>
  <c r="AC36" i="4"/>
  <c r="AC12" i="4"/>
  <c r="AD12" i="4"/>
  <c r="M48" i="60"/>
  <c r="N79" i="60" s="1"/>
  <c r="M91" i="60"/>
  <c r="N122" i="60" s="1"/>
  <c r="M10" i="60"/>
  <c r="M38" i="60"/>
  <c r="N38" i="60"/>
  <c r="X18" i="5"/>
  <c r="W18" i="5"/>
  <c r="W12" i="4"/>
  <c r="W36" i="4"/>
  <c r="W7" i="4"/>
  <c r="W181" i="3"/>
  <c r="AJ181" i="3"/>
  <c r="AL181" i="3" s="1"/>
  <c r="X13" i="5"/>
  <c r="Y13" i="5"/>
  <c r="X54" i="5"/>
  <c r="D91" i="8"/>
  <c r="U176" i="3"/>
  <c r="W176" i="3" s="1"/>
  <c r="Y176" i="3" s="1"/>
  <c r="AJ169" i="3"/>
  <c r="CN164" i="1"/>
  <c r="CO164" i="1"/>
  <c r="CM194" i="1"/>
  <c r="CM184" i="1"/>
  <c r="CR146" i="1"/>
  <c r="CS146" i="1"/>
  <c r="CW146" i="1"/>
  <c r="E142" i="41"/>
  <c r="J118" i="60"/>
  <c r="J102" i="60"/>
  <c r="J125" i="60"/>
  <c r="J113" i="60"/>
  <c r="J127" i="60" s="1"/>
  <c r="E93" i="41"/>
  <c r="P174" i="3"/>
  <c r="AG174" i="3"/>
  <c r="U117" i="41"/>
  <c r="U83" i="41"/>
  <c r="U84" i="41"/>
  <c r="U119" i="41" s="1"/>
  <c r="Q109" i="64"/>
  <c r="P110" i="64"/>
  <c r="X78" i="41"/>
  <c r="Y77" i="41"/>
  <c r="F154" i="44"/>
  <c r="J215" i="3"/>
  <c r="E155" i="44"/>
  <c r="P124" i="41"/>
  <c r="P90" i="41"/>
  <c r="Q123" i="41"/>
  <c r="AL172" i="3"/>
  <c r="CR201" i="1"/>
  <c r="CV201" i="1" s="1"/>
  <c r="CZ35" i="11"/>
  <c r="K123" i="41"/>
  <c r="L122" i="41"/>
  <c r="K89" i="41"/>
  <c r="CQ165" i="1"/>
  <c r="CQ166" i="1"/>
  <c r="FU54" i="11"/>
  <c r="FU53" i="11"/>
  <c r="FU22" i="11"/>
  <c r="N211" i="3"/>
  <c r="P211" i="3" s="1"/>
  <c r="W211" i="3"/>
  <c r="Y211" i="3" s="1"/>
  <c r="CU66" i="11"/>
  <c r="CU37" i="11"/>
  <c r="X22" i="41"/>
  <c r="X35" i="41"/>
  <c r="X102" i="41"/>
  <c r="X66" i="41"/>
  <c r="X15" i="41"/>
  <c r="X138" i="41"/>
  <c r="Y3" i="41"/>
  <c r="P181" i="3"/>
  <c r="AG181" i="3"/>
  <c r="Z87" i="9"/>
  <c r="Z89" i="9" s="1"/>
  <c r="Z70" i="10"/>
  <c r="X12" i="4"/>
  <c r="X36" i="4"/>
  <c r="X7" i="4"/>
  <c r="Y12" i="4"/>
  <c r="FQ68" i="11"/>
  <c r="FQ47" i="11"/>
  <c r="FR68" i="11"/>
  <c r="CW36" i="1"/>
  <c r="CS36" i="1"/>
  <c r="R126" i="41"/>
  <c r="Q93" i="41"/>
  <c r="M123" i="41"/>
  <c r="N122" i="41"/>
  <c r="CN202" i="1"/>
  <c r="CV35" i="11"/>
  <c r="CV67" i="11" s="1"/>
  <c r="CM206" i="1"/>
  <c r="CN206" i="1" s="1"/>
  <c r="CN156" i="1"/>
  <c r="CO156" i="1"/>
  <c r="E328" i="44"/>
  <c r="F327" i="44"/>
  <c r="AA214" i="3"/>
  <c r="M61" i="60"/>
  <c r="M104" i="60"/>
  <c r="D84" i="60"/>
  <c r="E84" i="60"/>
  <c r="CV56" i="11"/>
  <c r="CV55" i="11"/>
  <c r="CV26" i="11"/>
  <c r="CV32" i="11" s="1"/>
  <c r="CV57" i="11" s="1"/>
  <c r="I107" i="60"/>
  <c r="I109" i="60" s="1"/>
  <c r="I119" i="60"/>
  <c r="L154" i="60"/>
  <c r="L110" i="60"/>
  <c r="L156" i="60" s="1"/>
  <c r="L122" i="60"/>
  <c r="L95" i="60"/>
  <c r="L116" i="60" s="1"/>
  <c r="L165" i="60" s="1"/>
  <c r="AE8" i="4"/>
  <c r="AJ188" i="3"/>
  <c r="AL188" i="3" s="1"/>
  <c r="W188" i="3"/>
  <c r="R95" i="41"/>
  <c r="Y187" i="3"/>
  <c r="Y194" i="3"/>
  <c r="AN180" i="3"/>
  <c r="J98" i="3"/>
  <c r="L92" i="3"/>
  <c r="D127" i="60"/>
  <c r="E127" i="60"/>
  <c r="M140" i="60"/>
  <c r="M54" i="60"/>
  <c r="M97" i="60"/>
  <c r="AF81" i="9"/>
  <c r="AF85" i="9"/>
  <c r="M57" i="60"/>
  <c r="M143" i="60"/>
  <c r="M100" i="60"/>
  <c r="Z78" i="41"/>
  <c r="FO75" i="11"/>
  <c r="V34" i="4"/>
  <c r="AC59" i="5"/>
  <c r="AC64" i="5"/>
  <c r="FV28" i="11" s="1"/>
  <c r="AC54" i="5"/>
  <c r="AC66" i="5"/>
  <c r="FV62" i="11"/>
  <c r="FV14" i="11"/>
  <c r="FW62" i="11"/>
  <c r="G91" i="60"/>
  <c r="G10" i="60"/>
  <c r="G48" i="60"/>
  <c r="G134" i="60"/>
  <c r="G38" i="60"/>
  <c r="G33" i="60"/>
  <c r="X47" i="4"/>
  <c r="X48" i="4" s="1"/>
  <c r="X43" i="5"/>
  <c r="X44" i="5"/>
  <c r="H10" i="60"/>
  <c r="H38" i="60"/>
  <c r="H91" i="60"/>
  <c r="H48" i="60"/>
  <c r="H134" i="60"/>
  <c r="H33" i="60"/>
  <c r="I38" i="60"/>
  <c r="J59" i="60"/>
  <c r="J82" i="60"/>
  <c r="J70" i="60"/>
  <c r="J84" i="60" s="1"/>
  <c r="J75" i="60"/>
  <c r="E277" i="44"/>
  <c r="F290" i="44"/>
  <c r="F276" i="44"/>
  <c r="S118" i="41"/>
  <c r="T117" i="41"/>
  <c r="S84" i="41"/>
  <c r="CN182" i="1"/>
  <c r="CM212" i="1"/>
  <c r="CM216" i="1" s="1"/>
  <c r="CN216" i="1" s="1"/>
  <c r="CO182" i="1"/>
  <c r="AT24" i="6"/>
  <c r="AT18" i="6"/>
  <c r="AT36" i="6" s="1"/>
  <c r="AT42" i="6" s="1"/>
  <c r="AT48" i="6" s="1"/>
  <c r="AT30" i="6"/>
  <c r="D185" i="60"/>
  <c r="E185" i="60"/>
  <c r="Y111" i="41"/>
  <c r="J128" i="41"/>
  <c r="J94" i="41"/>
  <c r="J145" i="60"/>
  <c r="J183" i="60"/>
  <c r="J170" i="60"/>
  <c r="J159" i="60"/>
  <c r="J185" i="60" s="1"/>
  <c r="CR202" i="1"/>
  <c r="CV202" i="1" s="1"/>
  <c r="DA35" i="11"/>
  <c r="AC210" i="3"/>
  <c r="AC37" i="5"/>
  <c r="AM36" i="5"/>
  <c r="M11" i="60"/>
  <c r="O124" i="41"/>
  <c r="O90" i="41"/>
  <c r="C126" i="41"/>
  <c r="C92" i="41"/>
  <c r="P123" i="41"/>
  <c r="CZ56" i="11"/>
  <c r="CS155" i="1"/>
  <c r="CR155" i="1"/>
  <c r="CW155" i="1"/>
  <c r="FU77" i="11"/>
  <c r="AB8" i="4"/>
  <c r="K117" i="60"/>
  <c r="K124" i="60"/>
  <c r="CR180" i="1"/>
  <c r="CS180" i="1"/>
  <c r="CQ210" i="1"/>
  <c r="CW180" i="1"/>
  <c r="K116" i="60"/>
  <c r="K98" i="60"/>
  <c r="AA67" i="5"/>
  <c r="AD8" i="10"/>
  <c r="AD72" i="9"/>
  <c r="CY67" i="11"/>
  <c r="DD67" i="11"/>
  <c r="I121" i="41"/>
  <c r="F123" i="41"/>
  <c r="F89" i="41"/>
  <c r="J43" i="60"/>
  <c r="CZ26" i="11"/>
  <c r="CZ32" i="11" s="1"/>
  <c r="CZ57" i="11" s="1"/>
  <c r="CZ55" i="11"/>
  <c r="W47" i="4"/>
  <c r="W48" i="4" s="1"/>
  <c r="W44" i="5"/>
  <c r="W43" i="5"/>
  <c r="CS86" i="1"/>
  <c r="CW86" i="1"/>
  <c r="CY56" i="11"/>
  <c r="CY26" i="11"/>
  <c r="CY32" i="11" s="1"/>
  <c r="CY57" i="11" s="1"/>
  <c r="CY55" i="11"/>
  <c r="J23" i="60"/>
  <c r="J25" i="60" s="1"/>
  <c r="J35" i="60"/>
  <c r="AJ6" i="9"/>
  <c r="M89" i="41"/>
  <c r="V114" i="41"/>
  <c r="AX18" i="6"/>
  <c r="AX36" i="6" s="1"/>
  <c r="AX42" i="6" s="1"/>
  <c r="AX48" i="6" s="1"/>
  <c r="AX24" i="6"/>
  <c r="AX30" i="6"/>
  <c r="D124" i="41"/>
  <c r="D90" i="41"/>
  <c r="E123" i="41"/>
  <c r="H60" i="10"/>
  <c r="H62" i="10" s="1"/>
  <c r="G9" i="9"/>
  <c r="W81" i="41"/>
  <c r="AR190" i="3"/>
  <c r="U190" i="3" s="1"/>
  <c r="W190" i="3" s="1"/>
  <c r="L128" i="60"/>
  <c r="L85" i="60"/>
  <c r="L86" i="60" s="1"/>
  <c r="L188" i="60" s="1"/>
  <c r="I64" i="60"/>
  <c r="I66" i="60" s="1"/>
  <c r="I76" i="60"/>
  <c r="AN187" i="3"/>
  <c r="AN194" i="3"/>
  <c r="DA65" i="11"/>
  <c r="DA53" i="11"/>
  <c r="DA22" i="11"/>
  <c r="DF65" i="11"/>
  <c r="D126" i="60"/>
  <c r="E126" i="60"/>
  <c r="I122" i="41"/>
  <c r="Z111" i="41"/>
  <c r="AF70" i="10"/>
  <c r="AF87" i="9"/>
  <c r="AF89" i="9" s="1"/>
  <c r="AG89" i="9" s="1"/>
  <c r="AH89" i="9" s="1"/>
  <c r="AI89" i="9" s="1"/>
  <c r="AJ89" i="9" s="1"/>
  <c r="AK89" i="9" s="1"/>
  <c r="AL89" i="9" s="1"/>
  <c r="AM89" i="9" s="1"/>
  <c r="AN89" i="9" s="1"/>
  <c r="AG87" i="9"/>
  <c r="W54" i="5"/>
  <c r="AA70" i="10"/>
  <c r="AA87" i="9"/>
  <c r="AA89" i="9" s="1"/>
  <c r="AB87" i="9"/>
  <c r="AB89" i="9" s="1"/>
  <c r="N91" i="41"/>
  <c r="FU51" i="11"/>
  <c r="FU16" i="11"/>
  <c r="AB59" i="5"/>
  <c r="AB54" i="5"/>
  <c r="AB57" i="5"/>
  <c r="AB66" i="5"/>
  <c r="CU36" i="11"/>
  <c r="CN211" i="1"/>
  <c r="CM215" i="1"/>
  <c r="CN215" i="1" s="1"/>
  <c r="E193" i="44"/>
  <c r="F207" i="44" s="1"/>
  <c r="F206" i="44"/>
  <c r="CV34" i="11"/>
  <c r="CN192" i="1"/>
  <c r="AJ174" i="3"/>
  <c r="AL174" i="3" s="1"/>
  <c r="AN174" i="3" s="1"/>
  <c r="W174" i="3"/>
  <c r="Y174" i="3" s="1"/>
  <c r="W17" i="4"/>
  <c r="W18" i="4"/>
  <c r="M67" i="60"/>
  <c r="M155" i="60"/>
  <c r="M153" i="60" s="1"/>
  <c r="M50" i="60"/>
  <c r="M93" i="60"/>
  <c r="W114" i="41"/>
  <c r="CQ182" i="1"/>
  <c r="CR162" i="1"/>
  <c r="CQ192" i="1"/>
  <c r="CW162" i="1"/>
  <c r="CS162" i="1"/>
  <c r="D171" i="60"/>
  <c r="CS156" i="1"/>
  <c r="CR156" i="1"/>
  <c r="CW156" i="1"/>
  <c r="K166" i="60"/>
  <c r="K182" i="60"/>
  <c r="K34" i="60"/>
  <c r="K29" i="60"/>
  <c r="K43" i="60" s="1"/>
  <c r="K17" i="60"/>
  <c r="K41" i="60"/>
  <c r="K128" i="60" s="1"/>
  <c r="K129" i="60" s="1"/>
  <c r="G122" i="41"/>
  <c r="G88" i="41"/>
  <c r="N142" i="41"/>
  <c r="CQ205" i="1"/>
  <c r="CR205" i="1" s="1"/>
  <c r="CV205" i="1" s="1"/>
  <c r="H121" i="41"/>
  <c r="U63" i="9"/>
  <c r="U56" i="9"/>
  <c r="AN45" i="10" l="1"/>
  <c r="G17" i="81"/>
  <c r="G18" i="81" s="1"/>
  <c r="AM45" i="10"/>
  <c r="F17" i="81"/>
  <c r="F18" i="81" s="1"/>
  <c r="V9" i="9"/>
  <c r="K14" i="11"/>
  <c r="K51" i="11" s="1"/>
  <c r="AK35" i="9"/>
  <c r="AJ37" i="9"/>
  <c r="AJ39" i="9" s="1"/>
  <c r="AJ64" i="9" s="1"/>
  <c r="M16" i="11"/>
  <c r="M51" i="11"/>
  <c r="EE62" i="11"/>
  <c r="EE14" i="11"/>
  <c r="EC53" i="11"/>
  <c r="EC22" i="11"/>
  <c r="EC65" i="11"/>
  <c r="EE53" i="11"/>
  <c r="EE22" i="11"/>
  <c r="EE65" i="11"/>
  <c r="DY16" i="11"/>
  <c r="DY51" i="11"/>
  <c r="J53" i="11"/>
  <c r="J22" i="11"/>
  <c r="K53" i="11"/>
  <c r="K22" i="11"/>
  <c r="K56" i="11" s="1"/>
  <c r="H37" i="11"/>
  <c r="H22" i="11"/>
  <c r="H56" i="11" s="1"/>
  <c r="I52" i="11"/>
  <c r="I14" i="11"/>
  <c r="K58" i="11"/>
  <c r="I6" i="11"/>
  <c r="H81" i="11"/>
  <c r="P68" i="11"/>
  <c r="M26" i="11"/>
  <c r="M32" i="11" s="1"/>
  <c r="M57" i="11" s="1"/>
  <c r="M55" i="11"/>
  <c r="DY26" i="11"/>
  <c r="DY32" i="11" s="1"/>
  <c r="DY57" i="11" s="1"/>
  <c r="DY55" i="11"/>
  <c r="DX16" i="11"/>
  <c r="DX51" i="11"/>
  <c r="DZ51" i="11"/>
  <c r="DZ16" i="11"/>
  <c r="N26" i="11"/>
  <c r="N32" i="11" s="1"/>
  <c r="N57" i="11" s="1"/>
  <c r="N55" i="11"/>
  <c r="DQ81" i="11"/>
  <c r="DQ80" i="11"/>
  <c r="EA16" i="11"/>
  <c r="EA51" i="11"/>
  <c r="N56" i="11"/>
  <c r="P51" i="11"/>
  <c r="P16" i="11"/>
  <c r="FH37" i="11"/>
  <c r="FI66" i="11"/>
  <c r="FH66" i="11"/>
  <c r="EF47" i="11"/>
  <c r="EF59" i="11" s="1"/>
  <c r="EF58" i="11"/>
  <c r="EF68" i="11"/>
  <c r="EC59" i="11"/>
  <c r="EC62" i="11"/>
  <c r="EC58" i="11"/>
  <c r="EC14" i="11"/>
  <c r="EC52" i="11"/>
  <c r="EC64" i="11"/>
  <c r="EE68" i="11"/>
  <c r="EE47" i="11"/>
  <c r="EE59" i="11" s="1"/>
  <c r="EE58" i="11"/>
  <c r="ED6" i="11"/>
  <c r="EC80" i="11"/>
  <c r="J58" i="11"/>
  <c r="H52" i="11"/>
  <c r="H14" i="11"/>
  <c r="K52" i="11"/>
  <c r="O68" i="11"/>
  <c r="DU81" i="11"/>
  <c r="DV6" i="11"/>
  <c r="DU80" i="11"/>
  <c r="DX56" i="11"/>
  <c r="DX26" i="11"/>
  <c r="DX32" i="11" s="1"/>
  <c r="DX57" i="11" s="1"/>
  <c r="DX55" i="11"/>
  <c r="DZ6" i="11"/>
  <c r="DY80" i="11"/>
  <c r="DY81" i="11"/>
  <c r="N51" i="11"/>
  <c r="N16" i="11"/>
  <c r="O65" i="11"/>
  <c r="P55" i="11"/>
  <c r="P26" i="11"/>
  <c r="P32" i="11" s="1"/>
  <c r="P57" i="11" s="1"/>
  <c r="FH68" i="11"/>
  <c r="FI68" i="11"/>
  <c r="ED22" i="11"/>
  <c r="ED65" i="11"/>
  <c r="ED53" i="11"/>
  <c r="EK43" i="11"/>
  <c r="EJ17" i="11"/>
  <c r="EI18" i="11"/>
  <c r="EH63" i="11"/>
  <c r="EH21" i="11"/>
  <c r="EH20" i="11"/>
  <c r="EK15" i="11"/>
  <c r="EH15" i="11"/>
  <c r="EH24" i="11"/>
  <c r="EH18" i="11"/>
  <c r="EJ10" i="11"/>
  <c r="EJ15" i="11"/>
  <c r="EI21" i="11"/>
  <c r="EI30" i="11"/>
  <c r="EK21" i="11"/>
  <c r="EH6" i="11"/>
  <c r="EK34" i="11"/>
  <c r="EK66" i="11" s="1"/>
  <c r="EK24" i="11"/>
  <c r="EI24" i="11"/>
  <c r="EH43" i="11"/>
  <c r="EJ20" i="11"/>
  <c r="EH42" i="11"/>
  <c r="EJ21" i="11"/>
  <c r="EK42" i="11"/>
  <c r="EH35" i="11"/>
  <c r="EJ12" i="11"/>
  <c r="EH45" i="11"/>
  <c r="EJ45" i="11"/>
  <c r="EI17" i="11"/>
  <c r="EK17" i="11"/>
  <c r="EJ42" i="11"/>
  <c r="EK41" i="11"/>
  <c r="EI34" i="11"/>
  <c r="EI66" i="11" s="1"/>
  <c r="EJ41" i="11"/>
  <c r="EK12" i="11"/>
  <c r="EK35" i="11"/>
  <c r="EI12" i="11"/>
  <c r="EJ30" i="11"/>
  <c r="EJ43" i="11"/>
  <c r="EH30" i="11"/>
  <c r="EI20" i="11"/>
  <c r="EK30" i="11"/>
  <c r="EK10" i="11"/>
  <c r="EJ35" i="11"/>
  <c r="EK20" i="11"/>
  <c r="EI15" i="11"/>
  <c r="EJ36" i="11"/>
  <c r="EJ37" i="11" s="1"/>
  <c r="EJ24" i="11"/>
  <c r="EJ63" i="11"/>
  <c r="EI42" i="11"/>
  <c r="EK63" i="11"/>
  <c r="EI41" i="11"/>
  <c r="EK18" i="11"/>
  <c r="EH34" i="11"/>
  <c r="EH66" i="11" s="1"/>
  <c r="EH41" i="11"/>
  <c r="EI35" i="11"/>
  <c r="EH36" i="11"/>
  <c r="EH37" i="11" s="1"/>
  <c r="EH12" i="11"/>
  <c r="EI63" i="11"/>
  <c r="EJ34" i="11"/>
  <c r="EJ66" i="11" s="1"/>
  <c r="EI10" i="11"/>
  <c r="EI45" i="11"/>
  <c r="EH17" i="11"/>
  <c r="EH10" i="11"/>
  <c r="EI43" i="11"/>
  <c r="EI36" i="11"/>
  <c r="EI37" i="11" s="1"/>
  <c r="EJ18" i="11"/>
  <c r="EK45" i="11"/>
  <c r="EK36" i="11"/>
  <c r="EK37" i="11" s="1"/>
  <c r="EF14" i="11"/>
  <c r="EF62" i="11"/>
  <c r="J37" i="11"/>
  <c r="I58" i="11"/>
  <c r="J14" i="11"/>
  <c r="J52" i="11"/>
  <c r="O62" i="11"/>
  <c r="EF52" i="11"/>
  <c r="EF64" i="11"/>
  <c r="ED14" i="11"/>
  <c r="ED62" i="11"/>
  <c r="ED68" i="11"/>
  <c r="ED58" i="11"/>
  <c r="ED47" i="11"/>
  <c r="ED59" i="11" s="1"/>
  <c r="ED64" i="11"/>
  <c r="ED52" i="11"/>
  <c r="EE64" i="11"/>
  <c r="EE52" i="11"/>
  <c r="EF22" i="11"/>
  <c r="EF56" i="11" s="1"/>
  <c r="EF53" i="11"/>
  <c r="EF65" i="11"/>
  <c r="DZ26" i="11"/>
  <c r="DZ32" i="11" s="1"/>
  <c r="DZ57" i="11" s="1"/>
  <c r="DZ55" i="11"/>
  <c r="U6" i="11"/>
  <c r="U81" i="11" s="1"/>
  <c r="T81" i="11"/>
  <c r="O6" i="11"/>
  <c r="N81" i="11"/>
  <c r="K37" i="11"/>
  <c r="I22" i="11"/>
  <c r="I56" i="11" s="1"/>
  <c r="I53" i="11"/>
  <c r="I37" i="11"/>
  <c r="C62" i="11"/>
  <c r="D21" i="11"/>
  <c r="F10" i="11"/>
  <c r="K62" i="11" s="1"/>
  <c r="E63" i="11"/>
  <c r="D20" i="11"/>
  <c r="F18" i="11"/>
  <c r="K65" i="11" s="1"/>
  <c r="D24" i="11"/>
  <c r="F24" i="11"/>
  <c r="E21" i="11"/>
  <c r="F41" i="11"/>
  <c r="D17" i="11"/>
  <c r="C24" i="11"/>
  <c r="E45" i="11"/>
  <c r="C30" i="11"/>
  <c r="D12" i="11"/>
  <c r="F12" i="11"/>
  <c r="F17" i="11"/>
  <c r="E17" i="11"/>
  <c r="E42" i="11"/>
  <c r="E10" i="11"/>
  <c r="E52" i="11" s="1"/>
  <c r="C12" i="11"/>
  <c r="E62" i="11"/>
  <c r="D63" i="11"/>
  <c r="F42" i="11"/>
  <c r="E12" i="11"/>
  <c r="E41" i="11"/>
  <c r="D42" i="11"/>
  <c r="E18" i="11"/>
  <c r="J65" i="11" s="1"/>
  <c r="C6" i="11"/>
  <c r="F45" i="11"/>
  <c r="K68" i="11" s="1"/>
  <c r="D62" i="11"/>
  <c r="F62" i="11"/>
  <c r="C45" i="11"/>
  <c r="H68" i="11" s="1"/>
  <c r="C21" i="11"/>
  <c r="C18" i="11"/>
  <c r="H65" i="11" s="1"/>
  <c r="C42" i="11"/>
  <c r="E30" i="11"/>
  <c r="F63" i="11"/>
  <c r="C63" i="11"/>
  <c r="C10" i="11"/>
  <c r="H62" i="11" s="1"/>
  <c r="C41" i="11"/>
  <c r="D10" i="11"/>
  <c r="D45" i="11"/>
  <c r="E20" i="11"/>
  <c r="D41" i="11"/>
  <c r="C20" i="11"/>
  <c r="F20" i="11"/>
  <c r="E24" i="11"/>
  <c r="C17" i="11"/>
  <c r="F21" i="11"/>
  <c r="F30" i="11"/>
  <c r="D30" i="11"/>
  <c r="D18" i="11"/>
  <c r="I65" i="11" s="1"/>
  <c r="D34" i="11"/>
  <c r="D37" i="11" s="1"/>
  <c r="F34" i="11"/>
  <c r="F37" i="11" s="1"/>
  <c r="C34" i="11"/>
  <c r="C37" i="11" s="1"/>
  <c r="E34" i="11"/>
  <c r="E37" i="11" s="1"/>
  <c r="F36" i="11"/>
  <c r="C36" i="11"/>
  <c r="E36" i="11"/>
  <c r="D36" i="11"/>
  <c r="H53" i="11"/>
  <c r="H58" i="11"/>
  <c r="M65" i="11"/>
  <c r="EA56" i="11"/>
  <c r="EA55" i="11"/>
  <c r="EA26" i="11"/>
  <c r="EA32" i="11" s="1"/>
  <c r="EA57" i="11" s="1"/>
  <c r="N62" i="11"/>
  <c r="O51" i="11"/>
  <c r="O16" i="11"/>
  <c r="O55" i="11"/>
  <c r="O26" i="11"/>
  <c r="O32" i="11" s="1"/>
  <c r="O57" i="11" s="1"/>
  <c r="F221" i="44"/>
  <c r="F235" i="44"/>
  <c r="AO9" i="4"/>
  <c r="F249" i="44"/>
  <c r="F263" i="44"/>
  <c r="CR164" i="1"/>
  <c r="CQ194" i="1"/>
  <c r="FQ34" i="11" s="1"/>
  <c r="CQ184" i="1"/>
  <c r="CR184" i="1" s="1"/>
  <c r="CW164" i="1"/>
  <c r="AC44" i="5"/>
  <c r="AC43" i="5"/>
  <c r="Y183" i="3"/>
  <c r="FV45" i="11"/>
  <c r="FV47" i="11" s="1"/>
  <c r="F36" i="52" s="1"/>
  <c r="F41" i="52" s="1"/>
  <c r="F47" i="52" s="1"/>
  <c r="F49" i="52" s="1"/>
  <c r="AC47" i="4"/>
  <c r="AC48" i="4" s="1"/>
  <c r="CW36" i="11"/>
  <c r="CN213" i="1"/>
  <c r="DG66" i="11"/>
  <c r="DB37" i="11"/>
  <c r="DB66" i="11"/>
  <c r="AJ176" i="3"/>
  <c r="CW37" i="11"/>
  <c r="CW66" i="11"/>
  <c r="CR213" i="1"/>
  <c r="CV213" i="1" s="1"/>
  <c r="DB36" i="11"/>
  <c r="K145" i="60"/>
  <c r="K150" i="60" s="1"/>
  <c r="K152" i="60" s="1"/>
  <c r="K70" i="60"/>
  <c r="K84" i="60" s="1"/>
  <c r="K183" i="60"/>
  <c r="K170" i="60"/>
  <c r="N85" i="60"/>
  <c r="N86" i="60" s="1"/>
  <c r="N188" i="60" s="1"/>
  <c r="N128" i="60"/>
  <c r="N129" i="60" s="1"/>
  <c r="CQ186" i="1"/>
  <c r="CW186" i="1" s="1"/>
  <c r="X60" i="10"/>
  <c r="X62" i="10" s="1"/>
  <c r="Y60" i="10" s="1"/>
  <c r="Y62" i="10" s="1"/>
  <c r="K59" i="60"/>
  <c r="K64" i="60" s="1"/>
  <c r="K66" i="60" s="1"/>
  <c r="K75" i="60"/>
  <c r="W66" i="5"/>
  <c r="Z8" i="10" s="1"/>
  <c r="X66" i="5"/>
  <c r="AA8" i="10" s="1"/>
  <c r="K185" i="60"/>
  <c r="CR195" i="1"/>
  <c r="CV195" i="1" s="1"/>
  <c r="CZ195" i="1" s="1"/>
  <c r="DD195" i="1"/>
  <c r="W33" i="4"/>
  <c r="W19" i="4"/>
  <c r="W43" i="4" s="1"/>
  <c r="AB60" i="5"/>
  <c r="AB69" i="5"/>
  <c r="CS185" i="1"/>
  <c r="CR185" i="1"/>
  <c r="CW185" i="1"/>
  <c r="H52" i="60"/>
  <c r="H79" i="60"/>
  <c r="I79" i="60"/>
  <c r="H74" i="60"/>
  <c r="G177" i="60"/>
  <c r="G138" i="60"/>
  <c r="G166" i="60"/>
  <c r="FV51" i="11"/>
  <c r="FV16" i="11"/>
  <c r="L120" i="3"/>
  <c r="L99" i="3"/>
  <c r="J105" i="3"/>
  <c r="J107" i="60"/>
  <c r="J109" i="60" s="1"/>
  <c r="J119" i="60"/>
  <c r="FP77" i="11"/>
  <c r="W8" i="4"/>
  <c r="W21" i="4"/>
  <c r="W22" i="4" s="1"/>
  <c r="L97" i="41"/>
  <c r="L98" i="60"/>
  <c r="L117" i="60"/>
  <c r="L169" i="60" s="1"/>
  <c r="L124" i="60"/>
  <c r="K23" i="60"/>
  <c r="K25" i="60" s="1"/>
  <c r="K42" i="60" s="1"/>
  <c r="K35" i="60"/>
  <c r="CV192" i="1"/>
  <c r="CR192" i="1"/>
  <c r="DA34" i="11"/>
  <c r="FP72" i="11"/>
  <c r="FP80" i="11" s="1"/>
  <c r="X14" i="4"/>
  <c r="Q42" i="41"/>
  <c r="Q44" i="41" s="1"/>
  <c r="Q45" i="41" s="1"/>
  <c r="CV66" i="11"/>
  <c r="CV37" i="11"/>
  <c r="AE72" i="9"/>
  <c r="AE8" i="10"/>
  <c r="AB67" i="5"/>
  <c r="W60" i="5"/>
  <c r="W69" i="5"/>
  <c r="G61" i="9"/>
  <c r="G66" i="9" s="1"/>
  <c r="G16" i="9"/>
  <c r="G23" i="9" s="1"/>
  <c r="J42" i="60"/>
  <c r="C127" i="41"/>
  <c r="C93" i="41"/>
  <c r="M33" i="60"/>
  <c r="M168" i="60" s="1"/>
  <c r="M166" i="60" s="1"/>
  <c r="M53" i="60"/>
  <c r="N81" i="60" s="1"/>
  <c r="M96" i="60"/>
  <c r="N124" i="60" s="1"/>
  <c r="M40" i="60"/>
  <c r="N40" i="60"/>
  <c r="DA67" i="11"/>
  <c r="DF67" i="11"/>
  <c r="S119" i="41"/>
  <c r="S85" i="41"/>
  <c r="T118" i="41"/>
  <c r="J64" i="60"/>
  <c r="J66" i="60" s="1"/>
  <c r="J83" i="60" s="1"/>
  <c r="J76" i="60"/>
  <c r="I186" i="60"/>
  <c r="I187" i="60" s="1"/>
  <c r="I85" i="60"/>
  <c r="I86" i="60" s="1"/>
  <c r="H122" i="60"/>
  <c r="H95" i="60"/>
  <c r="I122" i="60"/>
  <c r="H117" i="60"/>
  <c r="G79" i="60"/>
  <c r="G52" i="60"/>
  <c r="G74" i="60"/>
  <c r="W115" i="41"/>
  <c r="AB129" i="8"/>
  <c r="AD129" i="8" s="1"/>
  <c r="AF129" i="8" s="1"/>
  <c r="AC214" i="3"/>
  <c r="EC81" i="11"/>
  <c r="V82" i="41"/>
  <c r="FV22" i="11"/>
  <c r="FV65" i="11"/>
  <c r="FV53" i="11"/>
  <c r="FW65" i="11"/>
  <c r="CR165" i="1"/>
  <c r="CS165" i="1"/>
  <c r="CW165" i="1"/>
  <c r="AL176" i="3"/>
  <c r="AN176" i="3" s="1"/>
  <c r="AN172" i="3"/>
  <c r="U118" i="41"/>
  <c r="U85" i="41"/>
  <c r="FP34" i="11"/>
  <c r="CN194" i="1"/>
  <c r="FP76" i="11"/>
  <c r="W37" i="4"/>
  <c r="M32" i="60"/>
  <c r="M164" i="60" s="1"/>
  <c r="M162" i="60" s="1"/>
  <c r="M13" i="60"/>
  <c r="FV76" i="11"/>
  <c r="AC37" i="4"/>
  <c r="L73" i="60"/>
  <c r="L163" i="60" s="1"/>
  <c r="L55" i="60"/>
  <c r="H19" i="60"/>
  <c r="X57" i="5"/>
  <c r="C42" i="41"/>
  <c r="C44" i="41" s="1"/>
  <c r="C45" i="41" s="1"/>
  <c r="C47" i="41" s="1"/>
  <c r="FB72" i="11"/>
  <c r="FB80" i="11" s="1"/>
  <c r="J14" i="4"/>
  <c r="I41" i="4"/>
  <c r="AJ190" i="3"/>
  <c r="AL186" i="3"/>
  <c r="W116" i="41"/>
  <c r="Z10" i="4"/>
  <c r="AA10" i="4"/>
  <c r="Z7" i="4"/>
  <c r="R96" i="41"/>
  <c r="L215" i="3"/>
  <c r="V130" i="8"/>
  <c r="X130" i="8" s="1"/>
  <c r="Z130" i="8" s="1"/>
  <c r="K215" i="3"/>
  <c r="F142" i="41"/>
  <c r="M128" i="60"/>
  <c r="M85" i="60"/>
  <c r="M86" i="60" s="1"/>
  <c r="M188" i="60" s="1"/>
  <c r="AJ183" i="3"/>
  <c r="AL179" i="3"/>
  <c r="FU59" i="11"/>
  <c r="D54" i="52"/>
  <c r="D56" i="52" s="1"/>
  <c r="D62" i="52" s="1"/>
  <c r="D64" i="52" s="1"/>
  <c r="D68" i="52" s="1"/>
  <c r="D36" i="52"/>
  <c r="D41" i="52" s="1"/>
  <c r="D47" i="52" s="1"/>
  <c r="D49" i="52" s="1"/>
  <c r="FU69" i="11"/>
  <c r="AC47" i="10"/>
  <c r="AC71" i="10" s="1"/>
  <c r="AC61" i="10"/>
  <c r="AC65" i="10" s="1"/>
  <c r="G123" i="41"/>
  <c r="G89" i="41"/>
  <c r="Y10" i="4"/>
  <c r="Y7" i="4"/>
  <c r="AM7" i="4" s="1"/>
  <c r="AM9" i="4"/>
  <c r="I60" i="10"/>
  <c r="I62" i="10" s="1"/>
  <c r="H9" i="9"/>
  <c r="AJ6" i="10"/>
  <c r="AK6" i="9"/>
  <c r="H122" i="41"/>
  <c r="J150" i="60"/>
  <c r="J152" i="60" s="1"/>
  <c r="J184" i="60" s="1"/>
  <c r="J171" i="60"/>
  <c r="H186" i="60"/>
  <c r="H187" i="60" s="1"/>
  <c r="H85" i="60"/>
  <c r="H86" i="60" s="1"/>
  <c r="G32" i="60"/>
  <c r="G13" i="60"/>
  <c r="AC69" i="5"/>
  <c r="AC60" i="5"/>
  <c r="Y188" i="3"/>
  <c r="Y195" i="3"/>
  <c r="Q94" i="41"/>
  <c r="R127" i="41"/>
  <c r="X8" i="4"/>
  <c r="FQ77" i="11"/>
  <c r="FU55" i="11"/>
  <c r="FU26" i="11"/>
  <c r="FU32" i="11" s="1"/>
  <c r="FU57" i="11" s="1"/>
  <c r="FU56" i="11"/>
  <c r="CZ67" i="11"/>
  <c r="DE67" i="11"/>
  <c r="Y112" i="41"/>
  <c r="Y79" i="41"/>
  <c r="Y78" i="41"/>
  <c r="X113" i="41"/>
  <c r="X79" i="41"/>
  <c r="Q110" i="64"/>
  <c r="R109" i="64"/>
  <c r="E94" i="41"/>
  <c r="L91" i="8"/>
  <c r="L98" i="8"/>
  <c r="AN181" i="3"/>
  <c r="W41" i="4"/>
  <c r="M95" i="60"/>
  <c r="M116" i="60" s="1"/>
  <c r="M165" i="60" s="1"/>
  <c r="M122" i="60"/>
  <c r="FV77" i="11"/>
  <c r="AC8" i="4"/>
  <c r="AD8" i="4"/>
  <c r="I124" i="41"/>
  <c r="I90" i="41"/>
  <c r="G19" i="60"/>
  <c r="W57" i="5"/>
  <c r="CV191" i="1"/>
  <c r="CR191" i="1"/>
  <c r="CZ34" i="11"/>
  <c r="T87" i="41"/>
  <c r="CY66" i="11"/>
  <c r="CY37" i="11"/>
  <c r="DD66" i="11"/>
  <c r="I18" i="4"/>
  <c r="Y186" i="3"/>
  <c r="Y193" i="3"/>
  <c r="L81" i="60"/>
  <c r="L74" i="60"/>
  <c r="L167" i="60" s="1"/>
  <c r="H91" i="41"/>
  <c r="L189" i="60"/>
  <c r="L187" i="60" s="1"/>
  <c r="L177" i="60" s="1"/>
  <c r="L134" i="60" s="1"/>
  <c r="L139" i="60" s="1"/>
  <c r="L182" i="60" s="1"/>
  <c r="L129" i="60"/>
  <c r="L190" i="60" s="1"/>
  <c r="K102" i="60"/>
  <c r="K118" i="60"/>
  <c r="K125" i="60"/>
  <c r="K113" i="60"/>
  <c r="AE210" i="3"/>
  <c r="AL210" i="3"/>
  <c r="AC211" i="3"/>
  <c r="AE211" i="3" s="1"/>
  <c r="AG211" i="3" s="1"/>
  <c r="CR166" i="1"/>
  <c r="CS166" i="1"/>
  <c r="CW166" i="1"/>
  <c r="CO184" i="1"/>
  <c r="CN184" i="1"/>
  <c r="CM214" i="1"/>
  <c r="F6" i="9"/>
  <c r="G6" i="10"/>
  <c r="CS181" i="1"/>
  <c r="CQ211" i="1"/>
  <c r="CR181" i="1"/>
  <c r="CR206" i="1"/>
  <c r="CV206" i="1" s="1"/>
  <c r="O142" i="41"/>
  <c r="DA56" i="11"/>
  <c r="DA26" i="11"/>
  <c r="DA32" i="11" s="1"/>
  <c r="DA57" i="11" s="1"/>
  <c r="DA55" i="11"/>
  <c r="D125" i="41"/>
  <c r="E124" i="41"/>
  <c r="D91" i="41"/>
  <c r="DV75" i="11"/>
  <c r="AD27" i="10"/>
  <c r="CW182" i="1"/>
  <c r="CQ212" i="1"/>
  <c r="CR182" i="1"/>
  <c r="CS182" i="1"/>
  <c r="M154" i="60"/>
  <c r="M110" i="60"/>
  <c r="M156" i="60" s="1"/>
  <c r="N92" i="41"/>
  <c r="Y190" i="3"/>
  <c r="Y197" i="3"/>
  <c r="M124" i="41"/>
  <c r="N123" i="41"/>
  <c r="M90" i="41"/>
  <c r="F124" i="41"/>
  <c r="F90" i="41"/>
  <c r="CR210" i="1"/>
  <c r="CV210" i="1" s="1"/>
  <c r="CY36" i="11"/>
  <c r="O125" i="41"/>
  <c r="O91" i="41"/>
  <c r="J129" i="41"/>
  <c r="J95" i="41"/>
  <c r="CN212" i="1"/>
  <c r="CV36" i="11"/>
  <c r="F277" i="44"/>
  <c r="F291" i="44"/>
  <c r="H138" i="60"/>
  <c r="H177" i="60"/>
  <c r="H166" i="60"/>
  <c r="I177" i="60"/>
  <c r="H32" i="60"/>
  <c r="H13" i="60"/>
  <c r="G186" i="60"/>
  <c r="G187" i="60" s="1"/>
  <c r="G85" i="60"/>
  <c r="G86" i="60" s="1"/>
  <c r="G95" i="60"/>
  <c r="G122" i="60"/>
  <c r="G117" i="60"/>
  <c r="AF8" i="10"/>
  <c r="AF72" i="9"/>
  <c r="AC67" i="5"/>
  <c r="N92" i="3"/>
  <c r="W92" i="3"/>
  <c r="Y92" i="3" s="1"/>
  <c r="W82" i="41"/>
  <c r="AN188" i="3"/>
  <c r="AN195" i="3"/>
  <c r="F328" i="44"/>
  <c r="E329" i="44"/>
  <c r="AA215" i="3"/>
  <c r="AC215" i="3" s="1"/>
  <c r="X37" i="4"/>
  <c r="FQ76" i="11"/>
  <c r="Y37" i="4"/>
  <c r="Z79" i="41"/>
  <c r="Z3" i="41"/>
  <c r="Y138" i="41"/>
  <c r="Y66" i="41"/>
  <c r="Y22" i="41"/>
  <c r="Y102" i="41"/>
  <c r="Y35" i="41"/>
  <c r="Y15" i="41"/>
  <c r="K124" i="41"/>
  <c r="L123" i="41"/>
  <c r="K90" i="41"/>
  <c r="P125" i="41"/>
  <c r="P91" i="41"/>
  <c r="Q124" i="41"/>
  <c r="F155" i="44"/>
  <c r="J216" i="3"/>
  <c r="E156" i="44"/>
  <c r="X60" i="5"/>
  <c r="X69" i="5"/>
  <c r="Y181" i="3"/>
  <c r="W24" i="4"/>
  <c r="W25" i="4" s="1"/>
  <c r="M79" i="60"/>
  <c r="M52" i="60"/>
  <c r="M73" i="60" s="1"/>
  <c r="M163" i="60" s="1"/>
  <c r="P85" i="3"/>
  <c r="FV81" i="11"/>
  <c r="FV74" i="11"/>
  <c r="CN204" i="1"/>
  <c r="FP35" i="11"/>
  <c r="FP67" i="11" s="1"/>
  <c r="FT36" i="11"/>
  <c r="FT37" i="11" s="1"/>
  <c r="AA70" i="5"/>
  <c r="AA75" i="5"/>
  <c r="CQ196" i="1"/>
  <c r="CR204" i="1"/>
  <c r="CV204" i="1" s="1"/>
  <c r="FQ35" i="11"/>
  <c r="N214" i="3"/>
  <c r="P214" i="3" s="1"/>
  <c r="W214" i="3"/>
  <c r="Y214" i="3" s="1"/>
  <c r="L17" i="60"/>
  <c r="L41" i="60"/>
  <c r="L29" i="60"/>
  <c r="L43" i="60" s="1"/>
  <c r="L34" i="60"/>
  <c r="W16" i="9"/>
  <c r="W23" i="9" s="1"/>
  <c r="W61" i="9"/>
  <c r="W66" i="9" s="1"/>
  <c r="H17" i="81" l="1"/>
  <c r="H18" i="81" s="1"/>
  <c r="K16" i="11"/>
  <c r="E14" i="11"/>
  <c r="E51" i="11" s="1"/>
  <c r="V61" i="9"/>
  <c r="V66" i="9" s="1"/>
  <c r="V16" i="9"/>
  <c r="V23" i="9" s="1"/>
  <c r="V56" i="9" s="1"/>
  <c r="E58" i="11"/>
  <c r="D58" i="11"/>
  <c r="C58" i="11"/>
  <c r="J62" i="11"/>
  <c r="I66" i="11"/>
  <c r="I68" i="11"/>
  <c r="AL35" i="9"/>
  <c r="AK37" i="9"/>
  <c r="AK39" i="9" s="1"/>
  <c r="AK64" i="9" s="1"/>
  <c r="J66" i="11"/>
  <c r="D14" i="11"/>
  <c r="D52" i="11"/>
  <c r="F58" i="11"/>
  <c r="F53" i="11"/>
  <c r="F22" i="11"/>
  <c r="F56" i="11" s="1"/>
  <c r="K66" i="11"/>
  <c r="EF55" i="11"/>
  <c r="EF26" i="11"/>
  <c r="EF32" i="11" s="1"/>
  <c r="EF57" i="11" s="1"/>
  <c r="J51" i="11"/>
  <c r="J16" i="11"/>
  <c r="EF51" i="11"/>
  <c r="EF16" i="11"/>
  <c r="EI58" i="11"/>
  <c r="EI47" i="11"/>
  <c r="EI59" i="11" s="1"/>
  <c r="EI68" i="11"/>
  <c r="EK14" i="11"/>
  <c r="EK62" i="11"/>
  <c r="EH47" i="11"/>
  <c r="EH59" i="11" s="1"/>
  <c r="EH68" i="11"/>
  <c r="EH58" i="11"/>
  <c r="EJ62" i="11"/>
  <c r="EJ14" i="11"/>
  <c r="EK52" i="11"/>
  <c r="EK64" i="11"/>
  <c r="EI22" i="11"/>
  <c r="EI53" i="11"/>
  <c r="EI65" i="11"/>
  <c r="H51" i="11"/>
  <c r="H16" i="11"/>
  <c r="EC16" i="11"/>
  <c r="EC51" i="11"/>
  <c r="EE16" i="11"/>
  <c r="EE51" i="11"/>
  <c r="ER7" i="11"/>
  <c r="EP17" i="11"/>
  <c r="EP63" i="11"/>
  <c r="EO17" i="11"/>
  <c r="EM20" i="11"/>
  <c r="EM30" i="11"/>
  <c r="EN43" i="11"/>
  <c r="EO15" i="11"/>
  <c r="EO42" i="11"/>
  <c r="EM63" i="11"/>
  <c r="EM41" i="11"/>
  <c r="EN21" i="11"/>
  <c r="EN30" i="11"/>
  <c r="EO63" i="11"/>
  <c r="EN63" i="11"/>
  <c r="EP43" i="11"/>
  <c r="EP30" i="11"/>
  <c r="EN17" i="11"/>
  <c r="EP21" i="11"/>
  <c r="EP15" i="11"/>
  <c r="EM17" i="11"/>
  <c r="EN20" i="11"/>
  <c r="EO20" i="11"/>
  <c r="EM21" i="11"/>
  <c r="EO30" i="11"/>
  <c r="EP20" i="11"/>
  <c r="EO21" i="11"/>
  <c r="EO43" i="11"/>
  <c r="EO41" i="11"/>
  <c r="EM6" i="11"/>
  <c r="EP41" i="11"/>
  <c r="EP42" i="11"/>
  <c r="EM15" i="11"/>
  <c r="EN15" i="11"/>
  <c r="EM43" i="11"/>
  <c r="EN41" i="11"/>
  <c r="EN42" i="11"/>
  <c r="EM42" i="11"/>
  <c r="EH53" i="11"/>
  <c r="EH22" i="11"/>
  <c r="EH65" i="11"/>
  <c r="ED56" i="11"/>
  <c r="ED55" i="11"/>
  <c r="ED26" i="11"/>
  <c r="ED32" i="11" s="1"/>
  <c r="ED57" i="11" s="1"/>
  <c r="DZ80" i="11"/>
  <c r="DZ81" i="11"/>
  <c r="EA6" i="11"/>
  <c r="J26" i="11"/>
  <c r="J32" i="11" s="1"/>
  <c r="J57" i="11" s="1"/>
  <c r="J55" i="11"/>
  <c r="C52" i="11"/>
  <c r="C14" i="11"/>
  <c r="E53" i="11"/>
  <c r="E22" i="11"/>
  <c r="EK58" i="11"/>
  <c r="EK68" i="11"/>
  <c r="EK47" i="11"/>
  <c r="EK59" i="11" s="1"/>
  <c r="EH62" i="11"/>
  <c r="EH14" i="11"/>
  <c r="EK65" i="11"/>
  <c r="EK53" i="11"/>
  <c r="EK22" i="11"/>
  <c r="EH67" i="11"/>
  <c r="DV80" i="11"/>
  <c r="DV81" i="11"/>
  <c r="EE6" i="11"/>
  <c r="ED80" i="11"/>
  <c r="I51" i="11"/>
  <c r="I16" i="11"/>
  <c r="H55" i="11"/>
  <c r="H26" i="11"/>
  <c r="H32" i="11" s="1"/>
  <c r="H57" i="11" s="1"/>
  <c r="K55" i="11"/>
  <c r="K26" i="11"/>
  <c r="K32" i="11" s="1"/>
  <c r="K57" i="11" s="1"/>
  <c r="EC56" i="11"/>
  <c r="EC26" i="11"/>
  <c r="EC32" i="11" s="1"/>
  <c r="EC57" i="11" s="1"/>
  <c r="EC55" i="11"/>
  <c r="D22" i="11"/>
  <c r="D53" i="11"/>
  <c r="D6" i="11"/>
  <c r="E6" i="11" s="1"/>
  <c r="F6" i="11" s="1"/>
  <c r="F81" i="11" s="1"/>
  <c r="ED51" i="11"/>
  <c r="ED16" i="11"/>
  <c r="EI62" i="11"/>
  <c r="EI14" i="11"/>
  <c r="EI52" i="11"/>
  <c r="EI64" i="11"/>
  <c r="C53" i="11"/>
  <c r="C22" i="11"/>
  <c r="F52" i="11"/>
  <c r="F14" i="11"/>
  <c r="I26" i="11"/>
  <c r="I32" i="11" s="1"/>
  <c r="I57" i="11" s="1"/>
  <c r="I55" i="11"/>
  <c r="P6" i="11"/>
  <c r="P81" i="11" s="1"/>
  <c r="O81" i="11"/>
  <c r="EJ53" i="11"/>
  <c r="EJ22" i="11"/>
  <c r="EJ56" i="11" s="1"/>
  <c r="EJ65" i="11"/>
  <c r="EI67" i="11"/>
  <c r="EJ67" i="11"/>
  <c r="EK67" i="11"/>
  <c r="EJ58" i="11"/>
  <c r="EJ68" i="11"/>
  <c r="EJ47" i="11"/>
  <c r="EJ59" i="11" s="1"/>
  <c r="EH80" i="11"/>
  <c r="EI6" i="11"/>
  <c r="EJ64" i="11"/>
  <c r="EJ52" i="11"/>
  <c r="EH52" i="11"/>
  <c r="EH64" i="11"/>
  <c r="J56" i="11"/>
  <c r="J68" i="11"/>
  <c r="J6" i="11"/>
  <c r="I81" i="11"/>
  <c r="I62" i="11"/>
  <c r="H66" i="11"/>
  <c r="EE56" i="11"/>
  <c r="EE55" i="11"/>
  <c r="EE26" i="11"/>
  <c r="EE32" i="11" s="1"/>
  <c r="EE57" i="11" s="1"/>
  <c r="CV194" i="1"/>
  <c r="CR194" i="1"/>
  <c r="CS184" i="1"/>
  <c r="FV69" i="11"/>
  <c r="CW184" i="1"/>
  <c r="CQ214" i="1"/>
  <c r="FQ36" i="11" s="1"/>
  <c r="F54" i="52"/>
  <c r="F56" i="52" s="1"/>
  <c r="CR186" i="1"/>
  <c r="FV58" i="11"/>
  <c r="FV59" i="11"/>
  <c r="FW68" i="11"/>
  <c r="FV68" i="11"/>
  <c r="CQ216" i="1"/>
  <c r="CR216" i="1" s="1"/>
  <c r="CV216" i="1" s="1"/>
  <c r="CS186" i="1"/>
  <c r="K171" i="60"/>
  <c r="CQ215" i="1"/>
  <c r="CR215" i="1" s="1"/>
  <c r="CV215" i="1" s="1"/>
  <c r="M81" i="60"/>
  <c r="X9" i="9"/>
  <c r="Z72" i="9"/>
  <c r="K76" i="60"/>
  <c r="M98" i="60"/>
  <c r="W67" i="5"/>
  <c r="X67" i="5"/>
  <c r="AA72" i="9"/>
  <c r="K83" i="60"/>
  <c r="AE215" i="3"/>
  <c r="AG215" i="3" s="1"/>
  <c r="AL215" i="3"/>
  <c r="AN215" i="3" s="1"/>
  <c r="N189" i="60"/>
  <c r="N187" i="60" s="1"/>
  <c r="N177" i="60" s="1"/>
  <c r="N190" i="60"/>
  <c r="V131" i="8"/>
  <c r="X131" i="8" s="1"/>
  <c r="Z131" i="8" s="1"/>
  <c r="K216" i="3"/>
  <c r="H162" i="60"/>
  <c r="H141" i="60"/>
  <c r="G142" i="41"/>
  <c r="H116" i="60"/>
  <c r="H98" i="60"/>
  <c r="C128" i="41"/>
  <c r="C94" i="41"/>
  <c r="W75" i="5"/>
  <c r="W76" i="5" s="1"/>
  <c r="W70" i="5"/>
  <c r="N120" i="3"/>
  <c r="P120" i="3" s="1"/>
  <c r="N127" i="3"/>
  <c r="P127" i="3" s="1"/>
  <c r="W120" i="3"/>
  <c r="G162" i="60"/>
  <c r="G141" i="60"/>
  <c r="FT34" i="11"/>
  <c r="FT66" i="11" s="1"/>
  <c r="AA76" i="5"/>
  <c r="K125" i="41"/>
  <c r="K91" i="41"/>
  <c r="L124" i="41"/>
  <c r="AA216" i="3"/>
  <c r="AC216" i="3" s="1"/>
  <c r="F329" i="44"/>
  <c r="E330" i="44"/>
  <c r="AF27" i="10"/>
  <c r="EH75" i="11"/>
  <c r="J130" i="41"/>
  <c r="J96" i="41"/>
  <c r="F125" i="41"/>
  <c r="F91" i="41"/>
  <c r="M125" i="41"/>
  <c r="N124" i="41"/>
  <c r="M91" i="41"/>
  <c r="N93" i="41"/>
  <c r="DA36" i="11"/>
  <c r="CR212" i="1"/>
  <c r="CV212" i="1" s="1"/>
  <c r="M55" i="60"/>
  <c r="N82" i="60" s="1"/>
  <c r="AN210" i="3"/>
  <c r="AL211" i="3"/>
  <c r="AN211" i="3" s="1"/>
  <c r="FQ37" i="11"/>
  <c r="FQ66" i="11"/>
  <c r="FR66" i="11"/>
  <c r="CZ37" i="11"/>
  <c r="CZ66" i="11"/>
  <c r="E95" i="41"/>
  <c r="X114" i="41"/>
  <c r="X80" i="41"/>
  <c r="Y113" i="41"/>
  <c r="Z112" i="41"/>
  <c r="Q95" i="41"/>
  <c r="R128" i="41"/>
  <c r="AL6" i="9"/>
  <c r="AK6" i="10"/>
  <c r="I9" i="9"/>
  <c r="J60" i="10"/>
  <c r="J62" i="10" s="1"/>
  <c r="G124" i="41"/>
  <c r="G90" i="41"/>
  <c r="H123" i="41"/>
  <c r="L216" i="3"/>
  <c r="AL190" i="3"/>
  <c r="AN186" i="3"/>
  <c r="AN193" i="3"/>
  <c r="J18" i="4"/>
  <c r="J17" i="4"/>
  <c r="M41" i="60"/>
  <c r="M29" i="60"/>
  <c r="M34" i="60"/>
  <c r="M17" i="60"/>
  <c r="N41" i="60"/>
  <c r="FP66" i="11"/>
  <c r="FP37" i="11"/>
  <c r="Z80" i="41"/>
  <c r="K184" i="60"/>
  <c r="M117" i="60"/>
  <c r="M169" i="60" s="1"/>
  <c r="M124" i="60"/>
  <c r="DX75" i="11"/>
  <c r="AE27" i="10"/>
  <c r="Q47" i="41"/>
  <c r="Q46" i="41"/>
  <c r="J126" i="60"/>
  <c r="H73" i="60"/>
  <c r="H55" i="60"/>
  <c r="W34" i="4"/>
  <c r="FP75" i="11"/>
  <c r="X75" i="5"/>
  <c r="X70" i="5"/>
  <c r="Y70" i="5"/>
  <c r="AB130" i="8"/>
  <c r="AD130" i="8" s="1"/>
  <c r="AF130" i="8" s="1"/>
  <c r="ED81" i="11"/>
  <c r="G116" i="60"/>
  <c r="G98" i="60"/>
  <c r="D126" i="41"/>
  <c r="D92" i="41"/>
  <c r="E125" i="41"/>
  <c r="Y114" i="41"/>
  <c r="H16" i="9"/>
  <c r="H23" i="9" s="1"/>
  <c r="H61" i="9"/>
  <c r="H66" i="9" s="1"/>
  <c r="R97" i="41"/>
  <c r="CR196" i="1"/>
  <c r="CV196" i="1" s="1"/>
  <c r="CZ196" i="1" s="1"/>
  <c r="DD196" i="1"/>
  <c r="Z27" i="10"/>
  <c r="DQ75" i="11"/>
  <c r="F6" i="10"/>
  <c r="E6" i="9"/>
  <c r="E6" i="10" s="1"/>
  <c r="K107" i="60"/>
  <c r="K109" i="60" s="1"/>
  <c r="K126" i="60" s="1"/>
  <c r="K119" i="60"/>
  <c r="H92" i="41"/>
  <c r="I19" i="4"/>
  <c r="I43" i="4" s="1"/>
  <c r="I33" i="4"/>
  <c r="I24" i="4"/>
  <c r="I25" i="4" s="1"/>
  <c r="I21" i="4"/>
  <c r="I22" i="4" s="1"/>
  <c r="W64" i="5"/>
  <c r="FP28" i="11" s="1"/>
  <c r="W72" i="5"/>
  <c r="W73" i="5" s="1"/>
  <c r="I125" i="41"/>
  <c r="I91" i="41"/>
  <c r="AC75" i="5"/>
  <c r="FV36" i="11"/>
  <c r="FV37" i="11" s="1"/>
  <c r="AC70" i="5"/>
  <c r="AD70" i="5"/>
  <c r="M129" i="60"/>
  <c r="M190" i="60" s="1"/>
  <c r="M189" i="60"/>
  <c r="M187" i="60" s="1"/>
  <c r="M177" i="60" s="1"/>
  <c r="M134" i="60" s="1"/>
  <c r="M139" i="60" s="1"/>
  <c r="M182" i="60" s="1"/>
  <c r="W83" i="41"/>
  <c r="X64" i="5"/>
  <c r="FQ28" i="11" s="1"/>
  <c r="X72" i="5"/>
  <c r="DS75" i="11"/>
  <c r="AA27" i="10"/>
  <c r="AE214" i="3"/>
  <c r="AG214" i="3" s="1"/>
  <c r="AL214" i="3"/>
  <c r="Z113" i="41"/>
  <c r="G73" i="60"/>
  <c r="G55" i="60"/>
  <c r="M74" i="60"/>
  <c r="M167" i="60" s="1"/>
  <c r="G63" i="9"/>
  <c r="G56" i="9"/>
  <c r="X17" i="4"/>
  <c r="DA37" i="11"/>
  <c r="DF66" i="11"/>
  <c r="DA66" i="11"/>
  <c r="L113" i="60"/>
  <c r="L127" i="60" s="1"/>
  <c r="L118" i="60"/>
  <c r="L102" i="60"/>
  <c r="L125" i="60"/>
  <c r="J112" i="3"/>
  <c r="V20" i="8"/>
  <c r="L106" i="3"/>
  <c r="AB75" i="5"/>
  <c r="FU36" i="11"/>
  <c r="FU37" i="11" s="1"/>
  <c r="AB70" i="5"/>
  <c r="P142" i="41"/>
  <c r="CN214" i="1"/>
  <c r="FP36" i="11"/>
  <c r="L138" i="60"/>
  <c r="L141" i="60" s="1"/>
  <c r="W215" i="3"/>
  <c r="Y215" i="3" s="1"/>
  <c r="N215" i="3"/>
  <c r="P215" i="3" s="1"/>
  <c r="Z8" i="4"/>
  <c r="FS77" i="11"/>
  <c r="AA8" i="4"/>
  <c r="U120" i="41"/>
  <c r="U86" i="41"/>
  <c r="FV26" i="11"/>
  <c r="FV32" i="11" s="1"/>
  <c r="FV57" i="11" s="1"/>
  <c r="FV55" i="11"/>
  <c r="FV56" i="11"/>
  <c r="L23" i="60"/>
  <c r="L25" i="60" s="1"/>
  <c r="L42" i="60" s="1"/>
  <c r="L186" i="60" s="1"/>
  <c r="L35" i="60"/>
  <c r="L173" i="60" s="1"/>
  <c r="L171" i="60" s="1"/>
  <c r="FQ67" i="11"/>
  <c r="FR67" i="11"/>
  <c r="O179" i="44"/>
  <c r="F156" i="44"/>
  <c r="AD17" i="4"/>
  <c r="J217" i="3"/>
  <c r="E159" i="44"/>
  <c r="P126" i="41"/>
  <c r="P92" i="41"/>
  <c r="Q125" i="41"/>
  <c r="Z66" i="41"/>
  <c r="Z15" i="41"/>
  <c r="Z102" i="41"/>
  <c r="Z138" i="41"/>
  <c r="Z22" i="41"/>
  <c r="Z35" i="41"/>
  <c r="P92" i="3"/>
  <c r="H17" i="60"/>
  <c r="H23" i="60" s="1"/>
  <c r="H25" i="60" s="1"/>
  <c r="I42" i="60" s="1"/>
  <c r="H29" i="60"/>
  <c r="I43" i="60" s="1"/>
  <c r="H34" i="60"/>
  <c r="H41" i="60"/>
  <c r="H128" i="60" s="1"/>
  <c r="H129" i="60" s="1"/>
  <c r="I41" i="60"/>
  <c r="I128" i="60" s="1"/>
  <c r="I129" i="60" s="1"/>
  <c r="O126" i="41"/>
  <c r="O92" i="41"/>
  <c r="AD61" i="10"/>
  <c r="AD65" i="10" s="1"/>
  <c r="AD47" i="10"/>
  <c r="AD71" i="10" s="1"/>
  <c r="CR211" i="1"/>
  <c r="CV211" i="1" s="1"/>
  <c r="CZ36" i="11"/>
  <c r="K127" i="60"/>
  <c r="T88" i="41"/>
  <c r="G104" i="60"/>
  <c r="G147" i="60"/>
  <c r="G61" i="60"/>
  <c r="S109" i="64"/>
  <c r="R110" i="64"/>
  <c r="S110" i="64" s="1"/>
  <c r="Y81" i="41"/>
  <c r="Y80" i="41"/>
  <c r="G41" i="60"/>
  <c r="G128" i="60" s="1"/>
  <c r="G129" i="60" s="1"/>
  <c r="G17" i="60"/>
  <c r="G23" i="60" s="1"/>
  <c r="G25" i="60" s="1"/>
  <c r="G34" i="60"/>
  <c r="G29" i="60"/>
  <c r="FR77" i="11"/>
  <c r="Y8" i="4"/>
  <c r="AL183" i="3"/>
  <c r="AN183" i="3" s="1"/>
  <c r="AN179" i="3"/>
  <c r="H147" i="60"/>
  <c r="H61" i="60"/>
  <c r="H104" i="60"/>
  <c r="L82" i="60"/>
  <c r="L70" i="60"/>
  <c r="L84" i="60" s="1"/>
  <c r="L75" i="60"/>
  <c r="L59" i="60"/>
  <c r="V117" i="41"/>
  <c r="V83" i="41"/>
  <c r="S120" i="41"/>
  <c r="S86" i="41"/>
  <c r="T119" i="41"/>
  <c r="L98" i="41"/>
  <c r="N99" i="3"/>
  <c r="P99" i="3" s="1"/>
  <c r="W99" i="3"/>
  <c r="Y99" i="3" s="1"/>
  <c r="W56" i="9"/>
  <c r="W63" i="9"/>
  <c r="Z60" i="10"/>
  <c r="Y9" i="9"/>
  <c r="I17" i="81" l="1"/>
  <c r="J17" i="81" s="1"/>
  <c r="E16" i="11"/>
  <c r="V63" i="9"/>
  <c r="AM35" i="9"/>
  <c r="AL37" i="9"/>
  <c r="AL39" i="9" s="1"/>
  <c r="AL64" i="9" s="1"/>
  <c r="EJ6" i="11"/>
  <c r="EI80" i="11"/>
  <c r="F51" i="11"/>
  <c r="F16" i="11"/>
  <c r="EE80" i="11"/>
  <c r="EF6" i="11"/>
  <c r="EF80" i="11" s="1"/>
  <c r="EH51" i="11"/>
  <c r="EH16" i="11"/>
  <c r="C51" i="11"/>
  <c r="C16" i="11"/>
  <c r="EM64" i="11"/>
  <c r="ER17" i="11"/>
  <c r="ER43" i="11"/>
  <c r="ER30" i="11"/>
  <c r="ES20" i="11"/>
  <c r="ES15" i="11"/>
  <c r="ES64" i="11" s="1"/>
  <c r="ES41" i="11"/>
  <c r="ES24" i="11"/>
  <c r="ER20" i="11"/>
  <c r="ER15" i="11"/>
  <c r="ER64" i="11" s="1"/>
  <c r="ER41" i="11"/>
  <c r="ES21" i="11"/>
  <c r="ES17" i="11"/>
  <c r="ES12" i="11"/>
  <c r="ER6" i="11"/>
  <c r="ES43" i="11"/>
  <c r="ES30" i="11"/>
  <c r="ER21" i="11"/>
  <c r="ER12" i="11"/>
  <c r="ES10" i="11"/>
  <c r="ER24" i="11"/>
  <c r="ER42" i="11"/>
  <c r="ET17" i="11"/>
  <c r="EU17" i="11"/>
  <c r="EU21" i="11"/>
  <c r="ES42" i="11"/>
  <c r="ET20" i="11"/>
  <c r="ET41" i="11"/>
  <c r="EU20" i="11"/>
  <c r="EU43" i="11"/>
  <c r="ET42" i="11"/>
  <c r="ER10" i="11"/>
  <c r="ET15" i="11"/>
  <c r="ET24" i="11"/>
  <c r="ET43" i="11"/>
  <c r="EU15" i="11"/>
  <c r="ET30" i="11"/>
  <c r="EU30" i="11"/>
  <c r="ET21" i="11"/>
  <c r="ER18" i="11"/>
  <c r="ER45" i="11"/>
  <c r="EU41" i="11"/>
  <c r="ES18" i="11"/>
  <c r="ES35" i="11"/>
  <c r="EU42" i="11"/>
  <c r="ES34" i="11"/>
  <c r="ES45" i="11"/>
  <c r="ER35" i="11"/>
  <c r="ES36" i="11"/>
  <c r="ES37" i="11" s="1"/>
  <c r="ER34" i="11"/>
  <c r="ER36" i="11"/>
  <c r="ER37" i="11" s="1"/>
  <c r="EJ51" i="11"/>
  <c r="EJ16" i="11"/>
  <c r="EK16" i="11"/>
  <c r="EK51" i="11"/>
  <c r="D56" i="11"/>
  <c r="D55" i="11"/>
  <c r="D26" i="11"/>
  <c r="D32" i="11" s="1"/>
  <c r="D57" i="11" s="1"/>
  <c r="EK56" i="11"/>
  <c r="EK26" i="11"/>
  <c r="EK32" i="11" s="1"/>
  <c r="EK57" i="11" s="1"/>
  <c r="EK55" i="11"/>
  <c r="EH56" i="11"/>
  <c r="EH55" i="11"/>
  <c r="EH26" i="11"/>
  <c r="EH32" i="11" s="1"/>
  <c r="EH57" i="11" s="1"/>
  <c r="EI55" i="11"/>
  <c r="EI26" i="11"/>
  <c r="EI32" i="11" s="1"/>
  <c r="EI57" i="11" s="1"/>
  <c r="F55" i="11"/>
  <c r="F26" i="11"/>
  <c r="F32" i="11" s="1"/>
  <c r="F57" i="11" s="1"/>
  <c r="D51" i="11"/>
  <c r="D16" i="11"/>
  <c r="J81" i="11"/>
  <c r="K6" i="11"/>
  <c r="FF18" i="11" s="1"/>
  <c r="EJ55" i="11"/>
  <c r="EJ26" i="11"/>
  <c r="EJ32" i="11" s="1"/>
  <c r="EJ57" i="11" s="1"/>
  <c r="C56" i="11"/>
  <c r="C55" i="11"/>
  <c r="C26" i="11"/>
  <c r="C32" i="11" s="1"/>
  <c r="C57" i="11" s="1"/>
  <c r="EI16" i="11"/>
  <c r="EI51" i="11"/>
  <c r="FP24" i="11"/>
  <c r="FH10" i="11"/>
  <c r="FH30" i="11"/>
  <c r="FG21" i="11"/>
  <c r="FG18" i="11"/>
  <c r="FS10" i="11"/>
  <c r="FE20" i="11"/>
  <c r="FL10" i="11"/>
  <c r="FS20" i="11"/>
  <c r="EZ10" i="11"/>
  <c r="FJ24" i="11"/>
  <c r="FJ56" i="11" s="1"/>
  <c r="EZ24" i="11"/>
  <c r="FM18" i="11"/>
  <c r="FQ12" i="11"/>
  <c r="FD24" i="11"/>
  <c r="FE18" i="11"/>
  <c r="EW12" i="11"/>
  <c r="FL20" i="11"/>
  <c r="FM12" i="11"/>
  <c r="FF30" i="11"/>
  <c r="FP30" i="11"/>
  <c r="FA24" i="11"/>
  <c r="FR20" i="11"/>
  <c r="EY18" i="11"/>
  <c r="FM15" i="11"/>
  <c r="FR12" i="11"/>
  <c r="FB24" i="11"/>
  <c r="FO21" i="11"/>
  <c r="FL24" i="11"/>
  <c r="FL15" i="11"/>
  <c r="FL64" i="11" s="1"/>
  <c r="FD12" i="11"/>
  <c r="FT18" i="11"/>
  <c r="EY24" i="11"/>
  <c r="EW21" i="11"/>
  <c r="EY30" i="11"/>
  <c r="FB21" i="11"/>
  <c r="FK21" i="11"/>
  <c r="FS24" i="11"/>
  <c r="FT15" i="11"/>
  <c r="FU64" i="11" s="1"/>
  <c r="FF12" i="11"/>
  <c r="FE30" i="11"/>
  <c r="FN24" i="11"/>
  <c r="E56" i="11"/>
  <c r="E55" i="11"/>
  <c r="E26" i="11"/>
  <c r="E32" i="11" s="1"/>
  <c r="E57" i="11" s="1"/>
  <c r="EA80" i="11"/>
  <c r="EA81" i="11"/>
  <c r="EP64" i="11"/>
  <c r="EO64" i="11"/>
  <c r="EX24" i="11"/>
  <c r="FP20" i="11"/>
  <c r="FR30" i="11"/>
  <c r="FO24" i="11"/>
  <c r="FE21" i="11"/>
  <c r="FN20" i="11"/>
  <c r="FT20" i="11"/>
  <c r="FE10" i="11"/>
  <c r="FM24" i="11"/>
  <c r="FC12" i="11"/>
  <c r="FN15" i="11"/>
  <c r="EY21" i="11"/>
  <c r="EY12" i="11"/>
  <c r="EX12" i="11"/>
  <c r="EZ18" i="11"/>
  <c r="FQ15" i="11"/>
  <c r="FD20" i="11"/>
  <c r="FK20" i="11"/>
  <c r="FK24" i="11"/>
  <c r="FM30" i="11"/>
  <c r="FB10" i="11"/>
  <c r="FR10" i="11"/>
  <c r="FT21" i="11"/>
  <c r="EY20" i="11"/>
  <c r="FL21" i="11"/>
  <c r="EN64" i="11"/>
  <c r="EN6" i="11"/>
  <c r="EM80" i="11"/>
  <c r="EI56" i="11"/>
  <c r="FK30" i="11"/>
  <c r="CR214" i="1"/>
  <c r="CV214" i="1" s="1"/>
  <c r="DD215" i="1"/>
  <c r="X16" i="9"/>
  <c r="X23" i="9" s="1"/>
  <c r="X63" i="9" s="1"/>
  <c r="DD216" i="1"/>
  <c r="X61" i="9"/>
  <c r="X66" i="9" s="1"/>
  <c r="M118" i="60"/>
  <c r="N125" i="60"/>
  <c r="M125" i="60"/>
  <c r="M102" i="60"/>
  <c r="M107" i="60" s="1"/>
  <c r="M109" i="60" s="1"/>
  <c r="N126" i="60" s="1"/>
  <c r="M113" i="60"/>
  <c r="N127" i="60" s="1"/>
  <c r="L136" i="60"/>
  <c r="H35" i="60"/>
  <c r="S121" i="41"/>
  <c r="T120" i="41"/>
  <c r="S87" i="41"/>
  <c r="L64" i="60"/>
  <c r="L66" i="60" s="1"/>
  <c r="L83" i="60" s="1"/>
  <c r="L76" i="60"/>
  <c r="L172" i="60" s="1"/>
  <c r="H42" i="60"/>
  <c r="G42" i="60"/>
  <c r="Y82" i="41"/>
  <c r="E160" i="44"/>
  <c r="J221" i="3"/>
  <c r="F159" i="44"/>
  <c r="L159" i="60"/>
  <c r="L185" i="60" s="1"/>
  <c r="L183" i="60"/>
  <c r="L145" i="60"/>
  <c r="L147" i="60" s="1"/>
  <c r="L150" i="60" s="1"/>
  <c r="L152" i="60" s="1"/>
  <c r="L184" i="60" s="1"/>
  <c r="L170" i="60"/>
  <c r="Q142" i="41"/>
  <c r="L113" i="3"/>
  <c r="V27" i="8"/>
  <c r="Y14" i="4"/>
  <c r="FQ72" i="11"/>
  <c r="FQ80" i="11" s="1"/>
  <c r="R42" i="41"/>
  <c r="R44" i="41" s="1"/>
  <c r="R45" i="41" s="1"/>
  <c r="X41" i="4"/>
  <c r="AN214" i="3"/>
  <c r="FV34" i="11"/>
  <c r="AC76" i="5"/>
  <c r="AD76" i="5"/>
  <c r="I34" i="4"/>
  <c r="FB75" i="11"/>
  <c r="AL6" i="10"/>
  <c r="AM6" i="9"/>
  <c r="X115" i="41"/>
  <c r="X81" i="41"/>
  <c r="F126" i="41"/>
  <c r="F92" i="41"/>
  <c r="AD30" i="4"/>
  <c r="F330" i="44"/>
  <c r="AA217" i="3"/>
  <c r="AC217" i="3" s="1"/>
  <c r="E333" i="44"/>
  <c r="K126" i="41"/>
  <c r="K92" i="41"/>
  <c r="L125" i="41"/>
  <c r="G159" i="60"/>
  <c r="G185" i="60" s="1"/>
  <c r="G145" i="60"/>
  <c r="G150" i="60" s="1"/>
  <c r="G152" i="60" s="1"/>
  <c r="G184" i="60" s="1"/>
  <c r="G183" i="60"/>
  <c r="G170" i="60"/>
  <c r="H183" i="60"/>
  <c r="H170" i="60"/>
  <c r="H145" i="60"/>
  <c r="H150" i="60" s="1"/>
  <c r="H152" i="60" s="1"/>
  <c r="H159" i="60"/>
  <c r="I183" i="60"/>
  <c r="G35" i="60"/>
  <c r="T89" i="41"/>
  <c r="V132" i="8"/>
  <c r="X132" i="8" s="1"/>
  <c r="Z132" i="8" s="1"/>
  <c r="K218" i="3"/>
  <c r="K217" i="3"/>
  <c r="AB76" i="5"/>
  <c r="FU34" i="11"/>
  <c r="FU66" i="11" s="1"/>
  <c r="X18" i="4"/>
  <c r="G70" i="60"/>
  <c r="G84" i="60" s="1"/>
  <c r="G82" i="60"/>
  <c r="G75" i="60"/>
  <c r="G59" i="60"/>
  <c r="G64" i="60" s="1"/>
  <c r="G66" i="60" s="1"/>
  <c r="G83" i="60" s="1"/>
  <c r="Z61" i="10"/>
  <c r="Z65" i="10" s="1"/>
  <c r="Z47" i="10"/>
  <c r="Z71" i="10" s="1"/>
  <c r="D127" i="41"/>
  <c r="D93" i="41"/>
  <c r="E126" i="41"/>
  <c r="H75" i="60"/>
  <c r="H82" i="60"/>
  <c r="H59" i="60"/>
  <c r="H64" i="60" s="1"/>
  <c r="H66" i="60" s="1"/>
  <c r="H70" i="60"/>
  <c r="I82" i="60"/>
  <c r="AE47" i="10"/>
  <c r="AE61" i="10"/>
  <c r="AE65" i="10" s="1"/>
  <c r="M43" i="60"/>
  <c r="N43" i="60"/>
  <c r="N216" i="3"/>
  <c r="P216" i="3" s="1"/>
  <c r="W216" i="3"/>
  <c r="Y216" i="3" s="1"/>
  <c r="J9" i="9"/>
  <c r="K60" i="10"/>
  <c r="K62" i="10" s="1"/>
  <c r="X82" i="41"/>
  <c r="N94" i="41"/>
  <c r="C129" i="41"/>
  <c r="C95" i="41"/>
  <c r="Z81" i="41"/>
  <c r="Z116" i="41" s="1"/>
  <c r="V118" i="41"/>
  <c r="V84" i="41"/>
  <c r="W118" i="41" s="1"/>
  <c r="H43" i="60"/>
  <c r="G43" i="60"/>
  <c r="Y115" i="41"/>
  <c r="O127" i="41"/>
  <c r="O93" i="41"/>
  <c r="P127" i="41"/>
  <c r="P93" i="41"/>
  <c r="Q126" i="41"/>
  <c r="FW72" i="11"/>
  <c r="FW80" i="11" s="1"/>
  <c r="AE14" i="4"/>
  <c r="X42" i="41"/>
  <c r="U121" i="41"/>
  <c r="U87" i="41"/>
  <c r="N134" i="60"/>
  <c r="M138" i="60"/>
  <c r="M141" i="60" s="1"/>
  <c r="N106" i="3"/>
  <c r="P106" i="3" s="1"/>
  <c r="W106" i="3"/>
  <c r="Y106" i="3" s="1"/>
  <c r="L107" i="60"/>
  <c r="L109" i="60" s="1"/>
  <c r="L126" i="60" s="1"/>
  <c r="L119" i="60"/>
  <c r="L174" i="60" s="1"/>
  <c r="X73" i="5"/>
  <c r="Y73" i="5"/>
  <c r="W84" i="41"/>
  <c r="I126" i="41"/>
  <c r="I92" i="41"/>
  <c r="H93" i="41"/>
  <c r="H56" i="9"/>
  <c r="H63" i="9"/>
  <c r="Z115" i="41"/>
  <c r="FC72" i="11"/>
  <c r="FC80" i="11" s="1"/>
  <c r="D42" i="41"/>
  <c r="D44" i="41" s="1"/>
  <c r="D45" i="41" s="1"/>
  <c r="K14" i="4"/>
  <c r="J41" i="4"/>
  <c r="AN190" i="3"/>
  <c r="AN197" i="3"/>
  <c r="I61" i="9"/>
  <c r="I66" i="9" s="1"/>
  <c r="I16" i="9"/>
  <c r="I23" i="9" s="1"/>
  <c r="Q96" i="41"/>
  <c r="R129" i="41"/>
  <c r="M70" i="60"/>
  <c r="N84" i="60" s="1"/>
  <c r="M75" i="60"/>
  <c r="M59" i="60"/>
  <c r="M82" i="60"/>
  <c r="J131" i="41"/>
  <c r="J97" i="41"/>
  <c r="AF61" i="10"/>
  <c r="AF65" i="10" s="1"/>
  <c r="AF47" i="10"/>
  <c r="AB131" i="8"/>
  <c r="AD131" i="8" s="1"/>
  <c r="AF131" i="8" s="1"/>
  <c r="EE81" i="11"/>
  <c r="Y120" i="3"/>
  <c r="Y127" i="3"/>
  <c r="Z82" i="41"/>
  <c r="L217" i="3"/>
  <c r="L218" i="3" s="1"/>
  <c r="Y116" i="41"/>
  <c r="T109" i="64"/>
  <c r="S111" i="64"/>
  <c r="S113" i="64" s="1"/>
  <c r="S114" i="64" s="1"/>
  <c r="V21" i="8"/>
  <c r="X20" i="8"/>
  <c r="Z34" i="8" s="1"/>
  <c r="AA61" i="10"/>
  <c r="AA65" i="10" s="1"/>
  <c r="AA47" i="10"/>
  <c r="AA71" i="10" s="1"/>
  <c r="R98" i="41"/>
  <c r="G118" i="60"/>
  <c r="G125" i="60"/>
  <c r="G102" i="60"/>
  <c r="G107" i="60" s="1"/>
  <c r="G109" i="60" s="1"/>
  <c r="G126" i="60" s="1"/>
  <c r="G113" i="60"/>
  <c r="G127" i="60" s="1"/>
  <c r="AL216" i="3"/>
  <c r="AN216" i="3" s="1"/>
  <c r="AE216" i="3"/>
  <c r="AG216" i="3" s="1"/>
  <c r="X76" i="5"/>
  <c r="Y76" i="5"/>
  <c r="M23" i="60"/>
  <c r="M25" i="60" s="1"/>
  <c r="M35" i="60"/>
  <c r="M173" i="60" s="1"/>
  <c r="M171" i="60" s="1"/>
  <c r="J33" i="4"/>
  <c r="J24" i="4"/>
  <c r="J25" i="4" s="1"/>
  <c r="J19" i="4"/>
  <c r="J43" i="4" s="1"/>
  <c r="J21" i="4"/>
  <c r="J22" i="4" s="1"/>
  <c r="G125" i="41"/>
  <c r="G91" i="41"/>
  <c r="H124" i="41"/>
  <c r="E96" i="41"/>
  <c r="M126" i="41"/>
  <c r="M92" i="41"/>
  <c r="N125" i="41"/>
  <c r="W117" i="41"/>
  <c r="H125" i="60"/>
  <c r="H118" i="60"/>
  <c r="H113" i="60"/>
  <c r="H102" i="60"/>
  <c r="H107" i="60" s="1"/>
  <c r="H109" i="60" s="1"/>
  <c r="I125" i="60"/>
  <c r="H142" i="41"/>
  <c r="Z114" i="41"/>
  <c r="Y16" i="9"/>
  <c r="Y23" i="9" s="1"/>
  <c r="Y61" i="9"/>
  <c r="Y66" i="9" s="1"/>
  <c r="I18" i="81" l="1"/>
  <c r="AM6" i="10"/>
  <c r="AN6" i="9"/>
  <c r="AN6" i="10" s="1"/>
  <c r="ES14" i="11"/>
  <c r="ES16" i="11" s="1"/>
  <c r="EU64" i="11"/>
  <c r="AN35" i="9"/>
  <c r="AN37" i="9" s="1"/>
  <c r="AN39" i="9" s="1"/>
  <c r="AN64" i="9" s="1"/>
  <c r="AM37" i="9"/>
  <c r="AM39" i="9" s="1"/>
  <c r="AM64" i="9" s="1"/>
  <c r="FF65" i="11"/>
  <c r="FR58" i="11"/>
  <c r="FR59" i="11"/>
  <c r="FR69" i="11"/>
  <c r="FR14" i="11"/>
  <c r="EZ52" i="11"/>
  <c r="EZ58" i="11"/>
  <c r="FS59" i="11"/>
  <c r="FS69" i="11"/>
  <c r="FS62" i="11"/>
  <c r="FS58" i="11"/>
  <c r="FH52" i="11"/>
  <c r="FI62" i="11"/>
  <c r="FH58" i="11"/>
  <c r="ES22" i="11"/>
  <c r="ES56" i="11" s="1"/>
  <c r="ES53" i="11"/>
  <c r="ER53" i="11"/>
  <c r="ER22" i="11"/>
  <c r="EW24" i="11"/>
  <c r="FM21" i="11"/>
  <c r="FS18" i="11"/>
  <c r="FT65" i="11" s="1"/>
  <c r="FB52" i="11"/>
  <c r="FB58" i="11"/>
  <c r="FM64" i="11"/>
  <c r="FG65" i="11"/>
  <c r="K81" i="11"/>
  <c r="FA20" i="11"/>
  <c r="FB18" i="11"/>
  <c r="FB12" i="11"/>
  <c r="FB14" i="11" s="1"/>
  <c r="FL18" i="11"/>
  <c r="FS12" i="11"/>
  <c r="FS14" i="11" s="1"/>
  <c r="FF20" i="11"/>
  <c r="FT12" i="11"/>
  <c r="FI20" i="11"/>
  <c r="FQ21" i="11"/>
  <c r="FF21" i="11"/>
  <c r="EZ21" i="11"/>
  <c r="FQ10" i="11"/>
  <c r="FR62" i="11" s="1"/>
  <c r="FG10" i="11"/>
  <c r="FH62" i="11" s="1"/>
  <c r="FP10" i="11"/>
  <c r="FH18" i="11"/>
  <c r="FH12" i="11"/>
  <c r="FH14" i="11" s="1"/>
  <c r="FO12" i="11"/>
  <c r="FB20" i="11"/>
  <c r="FA10" i="11"/>
  <c r="FA62" i="11" s="1"/>
  <c r="FL12" i="11"/>
  <c r="FL14" i="11" s="1"/>
  <c r="EW20" i="11"/>
  <c r="FR24" i="11"/>
  <c r="FT30" i="11"/>
  <c r="FS30" i="11"/>
  <c r="FM20" i="11"/>
  <c r="FN30" i="11"/>
  <c r="FD10" i="11"/>
  <c r="FE62" i="11" s="1"/>
  <c r="FP12" i="11"/>
  <c r="FB30" i="11"/>
  <c r="FP15" i="11"/>
  <c r="EX21" i="11"/>
  <c r="FD21" i="11"/>
  <c r="FC21" i="11"/>
  <c r="EZ12" i="11"/>
  <c r="EZ14" i="11" s="1"/>
  <c r="FG12" i="11"/>
  <c r="FQ24" i="11"/>
  <c r="FR21" i="11"/>
  <c r="FN21" i="11"/>
  <c r="EW18" i="11"/>
  <c r="FI24" i="11"/>
  <c r="FI56" i="11" s="1"/>
  <c r="EX20" i="11"/>
  <c r="FK10" i="11"/>
  <c r="FL62" i="11" s="1"/>
  <c r="FC24" i="11"/>
  <c r="EY10" i="11"/>
  <c r="EZ62" i="11" s="1"/>
  <c r="FC10" i="11"/>
  <c r="FC30" i="11"/>
  <c r="FI30" i="11"/>
  <c r="FO30" i="11"/>
  <c r="EX10" i="11"/>
  <c r="FA12" i="11"/>
  <c r="FN18" i="11"/>
  <c r="FC20" i="11"/>
  <c r="FE24" i="11"/>
  <c r="FO18" i="11"/>
  <c r="EZ20" i="11"/>
  <c r="EZ22" i="11" s="1"/>
  <c r="FG20" i="11"/>
  <c r="FG22" i="11" s="1"/>
  <c r="FH21" i="11"/>
  <c r="FA21" i="11"/>
  <c r="FE12" i="11"/>
  <c r="FE14" i="11" s="1"/>
  <c r="FA30" i="11"/>
  <c r="FP21" i="11"/>
  <c r="EX18" i="11"/>
  <c r="EY65" i="11" s="1"/>
  <c r="FT10" i="11"/>
  <c r="FT54" i="11" s="1"/>
  <c r="FR15" i="11"/>
  <c r="FM10" i="11"/>
  <c r="FM53" i="11" s="1"/>
  <c r="FC18" i="11"/>
  <c r="FJ30" i="11"/>
  <c r="FO10" i="11"/>
  <c r="EW10" i="11"/>
  <c r="FD18" i="11"/>
  <c r="FE65" i="11" s="1"/>
  <c r="FA18" i="11"/>
  <c r="FN12" i="11"/>
  <c r="FK18" i="11"/>
  <c r="FQ30" i="11"/>
  <c r="FN10" i="11"/>
  <c r="FN52" i="11" s="1"/>
  <c r="FG24" i="11"/>
  <c r="FP18" i="11"/>
  <c r="FG30" i="11"/>
  <c r="FH20" i="11"/>
  <c r="FQ18" i="11"/>
  <c r="ES6" i="11"/>
  <c r="ER80" i="11"/>
  <c r="FR18" i="11"/>
  <c r="FL30" i="11"/>
  <c r="FT24" i="11"/>
  <c r="FS15" i="11"/>
  <c r="EN80" i="11"/>
  <c r="EO6" i="11"/>
  <c r="FE52" i="11"/>
  <c r="FE58" i="11"/>
  <c r="FU65" i="11"/>
  <c r="EZ65" i="11"/>
  <c r="EY22" i="11"/>
  <c r="FE53" i="11"/>
  <c r="FE22" i="11"/>
  <c r="FL52" i="11"/>
  <c r="FL58" i="11"/>
  <c r="FL59" i="11"/>
  <c r="ES58" i="11"/>
  <c r="ES47" i="11"/>
  <c r="ES59" i="11" s="1"/>
  <c r="ET64" i="11"/>
  <c r="ES52" i="11"/>
  <c r="EZ30" i="11"/>
  <c r="FF10" i="11"/>
  <c r="FF24" i="11"/>
  <c r="FQ20" i="11"/>
  <c r="FD30" i="11"/>
  <c r="EJ80" i="11"/>
  <c r="EK6" i="11"/>
  <c r="EK80" i="11" s="1"/>
  <c r="EZ53" i="11"/>
  <c r="FN64" i="11"/>
  <c r="FT22" i="11"/>
  <c r="ER47" i="11"/>
  <c r="ER59" i="11" s="1"/>
  <c r="ER58" i="11"/>
  <c r="ER52" i="11"/>
  <c r="ER14" i="11"/>
  <c r="FS21" i="11"/>
  <c r="FO20" i="11"/>
  <c r="FO15" i="11"/>
  <c r="EX30" i="11"/>
  <c r="FJ20" i="11"/>
  <c r="J18" i="81"/>
  <c r="K17" i="81"/>
  <c r="K18" i="81" s="1"/>
  <c r="X56" i="9"/>
  <c r="M127" i="60"/>
  <c r="M119" i="60"/>
  <c r="M174" i="60" s="1"/>
  <c r="M136" i="60"/>
  <c r="G171" i="60"/>
  <c r="H171" i="60"/>
  <c r="G76" i="60"/>
  <c r="N218" i="3"/>
  <c r="P218" i="3" s="1"/>
  <c r="W218" i="3"/>
  <c r="Y218" i="3" s="1"/>
  <c r="E97" i="41"/>
  <c r="M42" i="60"/>
  <c r="M186" i="60" s="1"/>
  <c r="N42" i="60"/>
  <c r="N186" i="60" s="1"/>
  <c r="N217" i="3"/>
  <c r="P217" i="3" s="1"/>
  <c r="W217" i="3"/>
  <c r="Y217" i="3" s="1"/>
  <c r="K17" i="4"/>
  <c r="I127" i="41"/>
  <c r="I93" i="41"/>
  <c r="M183" i="60"/>
  <c r="M145" i="60"/>
  <c r="M147" i="60" s="1"/>
  <c r="M150" i="60" s="1"/>
  <c r="M152" i="60" s="1"/>
  <c r="M184" i="60" s="1"/>
  <c r="M170" i="60"/>
  <c r="M159" i="60"/>
  <c r="M185" i="60" s="1"/>
  <c r="H76" i="60"/>
  <c r="J61" i="9"/>
  <c r="J66" i="9" s="1"/>
  <c r="J16" i="9"/>
  <c r="J23" i="9" s="1"/>
  <c r="H84" i="60"/>
  <c r="I84" i="60"/>
  <c r="X33" i="4"/>
  <c r="X19" i="4"/>
  <c r="X43" i="4" s="1"/>
  <c r="X24" i="4"/>
  <c r="X25" i="4" s="1"/>
  <c r="X21" i="4"/>
  <c r="X22" i="4" s="1"/>
  <c r="AD27" i="4"/>
  <c r="FW73" i="11"/>
  <c r="AD31" i="4"/>
  <c r="M126" i="60"/>
  <c r="R47" i="41"/>
  <c r="R46" i="41"/>
  <c r="N113" i="3"/>
  <c r="P113" i="3" s="1"/>
  <c r="W113" i="3"/>
  <c r="Y113" i="3" s="1"/>
  <c r="K221" i="3"/>
  <c r="L221" i="3"/>
  <c r="V136" i="8"/>
  <c r="X136" i="8" s="1"/>
  <c r="Z136" i="8" s="1"/>
  <c r="G119" i="60"/>
  <c r="H126" i="60"/>
  <c r="I126" i="60"/>
  <c r="G126" i="41"/>
  <c r="G92" i="41"/>
  <c r="H125" i="41"/>
  <c r="U109" i="64"/>
  <c r="V109" i="64" s="1"/>
  <c r="W109" i="64" s="1"/>
  <c r="T110" i="64"/>
  <c r="U110" i="64" s="1"/>
  <c r="V110" i="64" s="1"/>
  <c r="W110" i="64" s="1"/>
  <c r="X110" i="64" s="1"/>
  <c r="AE217" i="3"/>
  <c r="AL217" i="3"/>
  <c r="AN217" i="3" s="1"/>
  <c r="AC218" i="3"/>
  <c r="AE218" i="3" s="1"/>
  <c r="AG218" i="3" s="1"/>
  <c r="J132" i="41"/>
  <c r="J134" i="41" s="1"/>
  <c r="J52" i="41" s="1"/>
  <c r="J98" i="41"/>
  <c r="M64" i="60"/>
  <c r="M66" i="60" s="1"/>
  <c r="N83" i="60" s="1"/>
  <c r="M76" i="60"/>
  <c r="M172" i="60" s="1"/>
  <c r="Q97" i="41"/>
  <c r="R130" i="41"/>
  <c r="D46" i="41"/>
  <c r="D47" i="41"/>
  <c r="N138" i="60"/>
  <c r="O134" i="60"/>
  <c r="N139" i="60"/>
  <c r="P128" i="41"/>
  <c r="P94" i="41"/>
  <c r="Q127" i="41"/>
  <c r="V119" i="41"/>
  <c r="V85" i="41"/>
  <c r="C130" i="41"/>
  <c r="C96" i="41"/>
  <c r="X117" i="41"/>
  <c r="X83" i="41"/>
  <c r="Y117" i="41" s="1"/>
  <c r="H83" i="60"/>
  <c r="I83" i="60"/>
  <c r="E334" i="44"/>
  <c r="AA221" i="3"/>
  <c r="F333" i="44"/>
  <c r="F127" i="41"/>
  <c r="F93" i="41"/>
  <c r="E161" i="44"/>
  <c r="E162" i="44" s="1"/>
  <c r="J222" i="3"/>
  <c r="F160" i="44"/>
  <c r="Y83" i="41"/>
  <c r="Z62" i="10"/>
  <c r="I142" i="41"/>
  <c r="H127" i="60"/>
  <c r="I127" i="60"/>
  <c r="M127" i="41"/>
  <c r="M93" i="41"/>
  <c r="N126" i="41"/>
  <c r="FC75" i="11"/>
  <c r="J34" i="4"/>
  <c r="Z117" i="41"/>
  <c r="Z83" i="41"/>
  <c r="H94" i="41"/>
  <c r="U122" i="41"/>
  <c r="U88" i="41"/>
  <c r="AE71" i="10"/>
  <c r="AF71" i="10"/>
  <c r="H119" i="60"/>
  <c r="H185" i="60"/>
  <c r="I185" i="60"/>
  <c r="AB132" i="8"/>
  <c r="AD132" i="8" s="1"/>
  <c r="AF132" i="8" s="1"/>
  <c r="EF81" i="11"/>
  <c r="FV66" i="11"/>
  <c r="FW66" i="11"/>
  <c r="Y17" i="4"/>
  <c r="Y18" i="4"/>
  <c r="R142" i="41"/>
  <c r="S122" i="41"/>
  <c r="S88" i="41"/>
  <c r="T121" i="41"/>
  <c r="M84" i="60"/>
  <c r="I56" i="9"/>
  <c r="I63" i="9"/>
  <c r="W119" i="41"/>
  <c r="W85" i="41"/>
  <c r="O128" i="41"/>
  <c r="O94" i="41"/>
  <c r="N95" i="41"/>
  <c r="L60" i="10"/>
  <c r="L62" i="10" s="1"/>
  <c r="K9" i="9"/>
  <c r="D128" i="41"/>
  <c r="D94" i="41"/>
  <c r="E127" i="41"/>
  <c r="T90" i="41"/>
  <c r="H184" i="60"/>
  <c r="I184" i="60"/>
  <c r="K127" i="41"/>
  <c r="L126" i="41"/>
  <c r="K93" i="41"/>
  <c r="X116" i="41"/>
  <c r="V28" i="8"/>
  <c r="X27" i="8"/>
  <c r="Z27" i="8" s="1"/>
  <c r="Y63" i="9"/>
  <c r="Y56" i="9"/>
  <c r="ES51" i="11" l="1"/>
  <c r="FQ52" i="11"/>
  <c r="FT53" i="11"/>
  <c r="EY53" i="11"/>
  <c r="FA14" i="11"/>
  <c r="FA16" i="11" s="1"/>
  <c r="EW22" i="11"/>
  <c r="EW55" i="11" s="1"/>
  <c r="FS51" i="11"/>
  <c r="FS16" i="11"/>
  <c r="FG55" i="11"/>
  <c r="FG26" i="11"/>
  <c r="FG56" i="11" s="1"/>
  <c r="FH51" i="11"/>
  <c r="FH16" i="11"/>
  <c r="EZ51" i="11"/>
  <c r="EZ16" i="11"/>
  <c r="EY26" i="11"/>
  <c r="EY55" i="11"/>
  <c r="FT64" i="11"/>
  <c r="FS52" i="11"/>
  <c r="FS64" i="11"/>
  <c r="FD53" i="11"/>
  <c r="FD65" i="11"/>
  <c r="FD22" i="11"/>
  <c r="FC22" i="11"/>
  <c r="FC65" i="11"/>
  <c r="FC53" i="11"/>
  <c r="EX22" i="11"/>
  <c r="EX53" i="11"/>
  <c r="EX65" i="11"/>
  <c r="FO53" i="11"/>
  <c r="FO22" i="11"/>
  <c r="FO65" i="11"/>
  <c r="FO54" i="11"/>
  <c r="FK62" i="11"/>
  <c r="FK58" i="11"/>
  <c r="FK52" i="11"/>
  <c r="FK14" i="11"/>
  <c r="FK59" i="11"/>
  <c r="FQ64" i="11"/>
  <c r="FP64" i="11"/>
  <c r="FP52" i="11"/>
  <c r="FP58" i="11"/>
  <c r="FP62" i="11"/>
  <c r="FP14" i="11"/>
  <c r="FP69" i="11"/>
  <c r="FP59" i="11"/>
  <c r="FB65" i="11"/>
  <c r="FB22" i="11"/>
  <c r="FB53" i="11"/>
  <c r="FG53" i="11"/>
  <c r="ER56" i="11"/>
  <c r="ER55" i="11"/>
  <c r="ER26" i="11"/>
  <c r="ER32" i="11" s="1"/>
  <c r="ER57" i="11" s="1"/>
  <c r="FR51" i="11"/>
  <c r="FR16" i="11"/>
  <c r="FJ22" i="11"/>
  <c r="FJ55" i="11" s="1"/>
  <c r="ER51" i="11"/>
  <c r="ER16" i="11"/>
  <c r="FT56" i="11"/>
  <c r="FT26" i="11"/>
  <c r="FT32" i="11" s="1"/>
  <c r="FT57" i="11" s="1"/>
  <c r="FT55" i="11"/>
  <c r="EZ55" i="11"/>
  <c r="EZ26" i="11"/>
  <c r="EZ56" i="11" s="1"/>
  <c r="ET6" i="11"/>
  <c r="ES80" i="11"/>
  <c r="FP65" i="11"/>
  <c r="FP22" i="11"/>
  <c r="FP53" i="11"/>
  <c r="FP54" i="11"/>
  <c r="FK22" i="11"/>
  <c r="FK54" i="11"/>
  <c r="FK53" i="11"/>
  <c r="FK65" i="11"/>
  <c r="EW53" i="11"/>
  <c r="EW14" i="11"/>
  <c r="EW52" i="11"/>
  <c r="EW58" i="11"/>
  <c r="FM62" i="11"/>
  <c r="FM58" i="11"/>
  <c r="FM59" i="11"/>
  <c r="FM14" i="11"/>
  <c r="EY62" i="11"/>
  <c r="EX14" i="11"/>
  <c r="EX62" i="11"/>
  <c r="EX52" i="11"/>
  <c r="EX58" i="11"/>
  <c r="FC52" i="11"/>
  <c r="FC62" i="11"/>
  <c r="FC58" i="11"/>
  <c r="FG52" i="11"/>
  <c r="FG14" i="11"/>
  <c r="FG62" i="11"/>
  <c r="FG58" i="11"/>
  <c r="FS22" i="11"/>
  <c r="FM22" i="11"/>
  <c r="FF22" i="11"/>
  <c r="FO64" i="11"/>
  <c r="FO52" i="11"/>
  <c r="FF58" i="11"/>
  <c r="FF14" i="11"/>
  <c r="FF52" i="11"/>
  <c r="FF62" i="11"/>
  <c r="EP6" i="11"/>
  <c r="EP80" i="11" s="1"/>
  <c r="EO80" i="11"/>
  <c r="FQ54" i="11"/>
  <c r="FQ53" i="11"/>
  <c r="FQ65" i="11"/>
  <c r="FQ22" i="11"/>
  <c r="FO58" i="11"/>
  <c r="FO59" i="11"/>
  <c r="FO62" i="11"/>
  <c r="FO69" i="11"/>
  <c r="FO14" i="11"/>
  <c r="FR52" i="11"/>
  <c r="FR64" i="11"/>
  <c r="EY14" i="11"/>
  <c r="EY52" i="11"/>
  <c r="EY58" i="11"/>
  <c r="FQ14" i="11"/>
  <c r="FQ58" i="11"/>
  <c r="FQ62" i="11"/>
  <c r="FQ69" i="11"/>
  <c r="FQ59" i="11"/>
  <c r="FI22" i="11"/>
  <c r="FI55" i="11" s="1"/>
  <c r="FL65" i="11"/>
  <c r="FL54" i="11"/>
  <c r="FL53" i="11"/>
  <c r="FL22" i="11"/>
  <c r="FM65" i="11"/>
  <c r="FS65" i="11"/>
  <c r="FS54" i="11"/>
  <c r="FS53" i="11"/>
  <c r="FC14" i="11"/>
  <c r="FL16" i="11"/>
  <c r="FL51" i="11"/>
  <c r="FE55" i="11"/>
  <c r="FE26" i="11"/>
  <c r="FE32" i="11" s="1"/>
  <c r="FE57" i="11" s="1"/>
  <c r="FE51" i="11"/>
  <c r="FE16" i="11"/>
  <c r="FR53" i="11"/>
  <c r="FR54" i="11"/>
  <c r="FR22" i="11"/>
  <c r="FR65" i="11"/>
  <c r="FN58" i="11"/>
  <c r="FN62" i="11"/>
  <c r="FN59" i="11"/>
  <c r="FN14" i="11"/>
  <c r="FA22" i="11"/>
  <c r="FA65" i="11"/>
  <c r="FA53" i="11"/>
  <c r="FJ32" i="11"/>
  <c r="FJ57" i="11" s="1"/>
  <c r="FT52" i="11"/>
  <c r="FT69" i="11"/>
  <c r="FT59" i="11"/>
  <c r="FT14" i="11"/>
  <c r="FU62" i="11"/>
  <c r="FT62" i="11"/>
  <c r="FT58" i="11"/>
  <c r="FN54" i="11"/>
  <c r="FN22" i="11"/>
  <c r="FN65" i="11"/>
  <c r="FN53" i="11"/>
  <c r="FI32" i="11"/>
  <c r="FI57" i="11" s="1"/>
  <c r="FD58" i="11"/>
  <c r="FD62" i="11"/>
  <c r="FD52" i="11"/>
  <c r="FD14" i="11"/>
  <c r="FA58" i="11"/>
  <c r="FA52" i="11"/>
  <c r="FH53" i="11"/>
  <c r="FH65" i="11"/>
  <c r="FH54" i="11"/>
  <c r="FI65" i="11"/>
  <c r="FH22" i="11"/>
  <c r="FB51" i="11"/>
  <c r="FB16" i="11"/>
  <c r="FM54" i="11"/>
  <c r="FM52" i="11"/>
  <c r="FB62" i="11"/>
  <c r="ES55" i="11"/>
  <c r="ES26" i="11"/>
  <c r="ES32" i="11" s="1"/>
  <c r="ES57" i="11" s="1"/>
  <c r="FF53" i="11"/>
  <c r="AL218" i="3"/>
  <c r="AN218" i="3" s="1"/>
  <c r="N141" i="60"/>
  <c r="N145" i="60" s="1"/>
  <c r="N147" i="60" s="1"/>
  <c r="N150" i="60" s="1"/>
  <c r="N152" i="60" s="1"/>
  <c r="W86" i="41"/>
  <c r="Z9" i="9"/>
  <c r="AA60" i="10"/>
  <c r="AA62" i="10" s="1"/>
  <c r="K128" i="41"/>
  <c r="L127" i="41"/>
  <c r="K94" i="41"/>
  <c r="D129" i="41"/>
  <c r="D95" i="41"/>
  <c r="E128" i="41"/>
  <c r="Z14" i="4"/>
  <c r="FR72" i="11"/>
  <c r="FR80" i="11" s="1"/>
  <c r="S42" i="41"/>
  <c r="S44" i="41" s="1"/>
  <c r="Y41" i="4"/>
  <c r="T91" i="41"/>
  <c r="N96" i="41"/>
  <c r="O129" i="41"/>
  <c r="O95" i="41"/>
  <c r="N182" i="60"/>
  <c r="M83" i="60"/>
  <c r="X109" i="64"/>
  <c r="X111" i="64" s="1"/>
  <c r="X113" i="64" s="1"/>
  <c r="X114" i="64" s="1"/>
  <c r="W111" i="64"/>
  <c r="W113" i="64" s="1"/>
  <c r="W114" i="64" s="1"/>
  <c r="FW74" i="11"/>
  <c r="FW81" i="11"/>
  <c r="I128" i="41"/>
  <c r="I94" i="41"/>
  <c r="E98" i="41"/>
  <c r="K61" i="9"/>
  <c r="K66" i="9" s="1"/>
  <c r="K16" i="9"/>
  <c r="K23" i="9" s="1"/>
  <c r="S142" i="41"/>
  <c r="U123" i="41"/>
  <c r="U89" i="41"/>
  <c r="AB136" i="8"/>
  <c r="AD136" i="8" s="1"/>
  <c r="AF136" i="8" s="1"/>
  <c r="AC221" i="3"/>
  <c r="EH81" i="11"/>
  <c r="C131" i="41"/>
  <c r="C97" i="41"/>
  <c r="O138" i="60"/>
  <c r="O139" i="60"/>
  <c r="O182" i="60" s="1"/>
  <c r="J56" i="9"/>
  <c r="J63" i="9"/>
  <c r="S123" i="41"/>
  <c r="S89" i="41"/>
  <c r="T122" i="41"/>
  <c r="Z118" i="41"/>
  <c r="Z84" i="41"/>
  <c r="K222" i="3"/>
  <c r="V137" i="8"/>
  <c r="X137" i="8" s="1"/>
  <c r="Z137" i="8" s="1"/>
  <c r="L222" i="3"/>
  <c r="F128" i="41"/>
  <c r="F94" i="41"/>
  <c r="F334" i="44"/>
  <c r="E335" i="44"/>
  <c r="AA222" i="3"/>
  <c r="AC222" i="3" s="1"/>
  <c r="P129" i="41"/>
  <c r="P95" i="41"/>
  <c r="Q128" i="41"/>
  <c r="J49" i="41"/>
  <c r="G127" i="41"/>
  <c r="G93" i="41"/>
  <c r="H126" i="41"/>
  <c r="N221" i="3"/>
  <c r="P221" i="3" s="1"/>
  <c r="W221" i="3"/>
  <c r="Y221" i="3" s="1"/>
  <c r="AD28" i="4"/>
  <c r="AD36" i="4"/>
  <c r="FW77" i="11"/>
  <c r="X34" i="4"/>
  <c r="FQ75" i="11"/>
  <c r="L14" i="4"/>
  <c r="FD72" i="11"/>
  <c r="FD80" i="11" s="1"/>
  <c r="E42" i="41"/>
  <c r="E44" i="41" s="1"/>
  <c r="E45" i="41" s="1"/>
  <c r="K41" i="4"/>
  <c r="M60" i="10"/>
  <c r="M62" i="10" s="1"/>
  <c r="L9" i="9"/>
  <c r="Y33" i="4"/>
  <c r="Y19" i="4"/>
  <c r="Y43" i="4" s="1"/>
  <c r="Y24" i="4"/>
  <c r="Y25" i="4" s="1"/>
  <c r="Y21" i="4"/>
  <c r="Y22" i="4" s="1"/>
  <c r="H95" i="41"/>
  <c r="M128" i="41"/>
  <c r="M94" i="41"/>
  <c r="N127" i="41"/>
  <c r="Y118" i="41"/>
  <c r="Y84" i="41"/>
  <c r="F161" i="44"/>
  <c r="J223" i="3"/>
  <c r="L223" i="3" s="1"/>
  <c r="X118" i="41"/>
  <c r="X84" i="41"/>
  <c r="V120" i="41"/>
  <c r="V86" i="41"/>
  <c r="N136" i="60"/>
  <c r="Q98" i="41"/>
  <c r="R132" i="41" s="1"/>
  <c r="R131" i="41"/>
  <c r="K18" i="4"/>
  <c r="FG32" i="11" l="1"/>
  <c r="FG57" i="11" s="1"/>
  <c r="FA51" i="11"/>
  <c r="EW26" i="11"/>
  <c r="EW32" i="11" s="1"/>
  <c r="EW57" i="11" s="1"/>
  <c r="FH26" i="11"/>
  <c r="FH55" i="11"/>
  <c r="FL55" i="11"/>
  <c r="FL26" i="11"/>
  <c r="FQ51" i="11"/>
  <c r="FQ16" i="11"/>
  <c r="EY51" i="11"/>
  <c r="EY16" i="11"/>
  <c r="FF51" i="11"/>
  <c r="FF16" i="11"/>
  <c r="FS56" i="11"/>
  <c r="FS26" i="11"/>
  <c r="FS32" i="11" s="1"/>
  <c r="FS57" i="11" s="1"/>
  <c r="FS55" i="11"/>
  <c r="FM51" i="11"/>
  <c r="FM16" i="11"/>
  <c r="FK26" i="11"/>
  <c r="FK55" i="11"/>
  <c r="EU6" i="11"/>
  <c r="ET80" i="11"/>
  <c r="FK51" i="11"/>
  <c r="FK16" i="11"/>
  <c r="FC55" i="11"/>
  <c r="FC26" i="11"/>
  <c r="FA55" i="11"/>
  <c r="FA26" i="11"/>
  <c r="FQ56" i="11"/>
  <c r="FQ55" i="11"/>
  <c r="FQ26" i="11"/>
  <c r="FQ32" i="11" s="1"/>
  <c r="FQ57" i="11" s="1"/>
  <c r="FG16" i="11"/>
  <c r="FG51" i="11"/>
  <c r="EX51" i="11"/>
  <c r="EX16" i="11"/>
  <c r="EX26" i="11"/>
  <c r="EX55" i="11"/>
  <c r="EY56" i="11"/>
  <c r="EY32" i="11"/>
  <c r="EY57" i="11" s="1"/>
  <c r="FN26" i="11"/>
  <c r="FN55" i="11"/>
  <c r="FN16" i="11"/>
  <c r="FN51" i="11"/>
  <c r="FR55" i="11"/>
  <c r="FR26" i="11"/>
  <c r="FR32" i="11" s="1"/>
  <c r="FR57" i="11" s="1"/>
  <c r="FO16" i="11"/>
  <c r="FO51" i="11"/>
  <c r="FF55" i="11"/>
  <c r="FF26" i="11"/>
  <c r="FB26" i="11"/>
  <c r="FB55" i="11"/>
  <c r="FO56" i="11"/>
  <c r="FO55" i="11"/>
  <c r="FO26" i="11"/>
  <c r="FO32" i="11" s="1"/>
  <c r="FO57" i="11" s="1"/>
  <c r="FD26" i="11"/>
  <c r="FD55" i="11"/>
  <c r="FD51" i="11"/>
  <c r="FD16" i="11"/>
  <c r="FT16" i="11"/>
  <c r="FT51" i="11"/>
  <c r="EZ32" i="11"/>
  <c r="EZ57" i="11" s="1"/>
  <c r="FC51" i="11"/>
  <c r="FC16" i="11"/>
  <c r="FM55" i="11"/>
  <c r="FM26" i="11"/>
  <c r="FE56" i="11"/>
  <c r="EW16" i="11"/>
  <c r="EW51" i="11"/>
  <c r="FP26" i="11"/>
  <c r="FP32" i="11" s="1"/>
  <c r="FP57" i="11" s="1"/>
  <c r="FP55" i="11"/>
  <c r="FP56" i="11"/>
  <c r="FP51" i="11"/>
  <c r="FP16" i="11"/>
  <c r="FR56" i="11"/>
  <c r="N183" i="60"/>
  <c r="N170" i="60"/>
  <c r="N159" i="60"/>
  <c r="N185" i="60" s="1"/>
  <c r="N223" i="3"/>
  <c r="P223" i="3" s="1"/>
  <c r="W223" i="3"/>
  <c r="Y223" i="3" s="1"/>
  <c r="V121" i="41"/>
  <c r="V87" i="41"/>
  <c r="X119" i="41"/>
  <c r="X85" i="41"/>
  <c r="Y119" i="41" s="1"/>
  <c r="Y85" i="41"/>
  <c r="Y34" i="4"/>
  <c r="FR75" i="11"/>
  <c r="E46" i="41"/>
  <c r="E47" i="41"/>
  <c r="G128" i="41"/>
  <c r="G94" i="41"/>
  <c r="H127" i="41"/>
  <c r="N184" i="60"/>
  <c r="AB137" i="8"/>
  <c r="AD137" i="8" s="1"/>
  <c r="AF137" i="8" s="1"/>
  <c r="EI81" i="11"/>
  <c r="S124" i="41"/>
  <c r="S90" i="41"/>
  <c r="T123" i="41"/>
  <c r="N97" i="41"/>
  <c r="W121" i="41"/>
  <c r="W87" i="41"/>
  <c r="AE17" i="4"/>
  <c r="J224" i="3"/>
  <c r="L224" i="3" s="1"/>
  <c r="F162" i="44"/>
  <c r="E165" i="44"/>
  <c r="H96" i="41"/>
  <c r="L61" i="9"/>
  <c r="L66" i="9" s="1"/>
  <c r="L16" i="9"/>
  <c r="L23" i="9" s="1"/>
  <c r="AA223" i="3"/>
  <c r="AC223" i="3" s="1"/>
  <c r="F335" i="44"/>
  <c r="Z119" i="41"/>
  <c r="Z85" i="41"/>
  <c r="U124" i="41"/>
  <c r="U90" i="41"/>
  <c r="K63" i="9"/>
  <c r="K56" i="9"/>
  <c r="I129" i="41"/>
  <c r="I95" i="41"/>
  <c r="S45" i="41"/>
  <c r="T44" i="41"/>
  <c r="D130" i="41"/>
  <c r="D96" i="41"/>
  <c r="E129" i="41"/>
  <c r="W120" i="41"/>
  <c r="R134" i="41"/>
  <c r="K223" i="3"/>
  <c r="V138" i="8"/>
  <c r="X138" i="8" s="1"/>
  <c r="Z138" i="8" s="1"/>
  <c r="N60" i="10"/>
  <c r="N62" i="10" s="1"/>
  <c r="M9" i="9"/>
  <c r="L17" i="4"/>
  <c r="L18" i="4"/>
  <c r="FW76" i="11"/>
  <c r="AD37" i="4"/>
  <c r="P130" i="41"/>
  <c r="P96" i="41"/>
  <c r="Q129" i="41"/>
  <c r="N222" i="3"/>
  <c r="P222" i="3" s="1"/>
  <c r="W222" i="3"/>
  <c r="Y222" i="3" s="1"/>
  <c r="O136" i="60"/>
  <c r="O141" i="60"/>
  <c r="AE221" i="3"/>
  <c r="AG221" i="3" s="1"/>
  <c r="AL221" i="3"/>
  <c r="O130" i="41"/>
  <c r="O96" i="41"/>
  <c r="T92" i="41"/>
  <c r="AB60" i="10"/>
  <c r="AB62" i="10" s="1"/>
  <c r="AA9" i="9"/>
  <c r="K33" i="4"/>
  <c r="K19" i="4"/>
  <c r="K43" i="4" s="1"/>
  <c r="K24" i="4"/>
  <c r="K25" i="4" s="1"/>
  <c r="K21" i="4"/>
  <c r="K22" i="4" s="1"/>
  <c r="M129" i="41"/>
  <c r="M95" i="41"/>
  <c r="N128" i="41"/>
  <c r="F129" i="41"/>
  <c r="F95" i="41"/>
  <c r="C132" i="41"/>
  <c r="C134" i="41" s="1"/>
  <c r="C52" i="41" s="1"/>
  <c r="C49" i="41" s="1"/>
  <c r="C98" i="41"/>
  <c r="AL222" i="3"/>
  <c r="AN222" i="3" s="1"/>
  <c r="AE222" i="3"/>
  <c r="AG222" i="3" s="1"/>
  <c r="T142" i="41"/>
  <c r="Z17" i="4"/>
  <c r="K129" i="41"/>
  <c r="K95" i="41"/>
  <c r="L128" i="41"/>
  <c r="Z16" i="9"/>
  <c r="Z23" i="9" s="1"/>
  <c r="Z61" i="9"/>
  <c r="Z66" i="9" s="1"/>
  <c r="EW56" i="11" l="1"/>
  <c r="EU80" i="11"/>
  <c r="FM32" i="11"/>
  <c r="FM57" i="11" s="1"/>
  <c r="FM56" i="11"/>
  <c r="FA56" i="11"/>
  <c r="FA32" i="11"/>
  <c r="FA57" i="11" s="1"/>
  <c r="FL56" i="11"/>
  <c r="FL32" i="11"/>
  <c r="FL57" i="11" s="1"/>
  <c r="FN56" i="11"/>
  <c r="FN32" i="11"/>
  <c r="FN57" i="11" s="1"/>
  <c r="EX56" i="11"/>
  <c r="EX32" i="11"/>
  <c r="EX57" i="11" s="1"/>
  <c r="FD56" i="11"/>
  <c r="FD32" i="11"/>
  <c r="FD57" i="11" s="1"/>
  <c r="FF32" i="11"/>
  <c r="FF57" i="11" s="1"/>
  <c r="FF56" i="11"/>
  <c r="FC32" i="11"/>
  <c r="FC57" i="11" s="1"/>
  <c r="FC56" i="11"/>
  <c r="FK56" i="11"/>
  <c r="FK32" i="11"/>
  <c r="FK57" i="11" s="1"/>
  <c r="FB56" i="11"/>
  <c r="FB32" i="11"/>
  <c r="FB57" i="11" s="1"/>
  <c r="FH56" i="11"/>
  <c r="FH32" i="11"/>
  <c r="FH57" i="11" s="1"/>
  <c r="Z63" i="9"/>
  <c r="Z56" i="9"/>
  <c r="U142" i="41"/>
  <c r="AA61" i="9"/>
  <c r="AA66" i="9" s="1"/>
  <c r="AA16" i="9"/>
  <c r="AA23" i="9" s="1"/>
  <c r="O131" i="41"/>
  <c r="O97" i="41"/>
  <c r="O145" i="60"/>
  <c r="O147" i="60" s="1"/>
  <c r="O150" i="60" s="1"/>
  <c r="O152" i="60" s="1"/>
  <c r="O184" i="60" s="1"/>
  <c r="O170" i="60"/>
  <c r="O159" i="60"/>
  <c r="O185" i="60" s="1"/>
  <c r="O183" i="60"/>
  <c r="P131" i="41"/>
  <c r="P97" i="41"/>
  <c r="Q130" i="41"/>
  <c r="N9" i="9"/>
  <c r="O60" i="10"/>
  <c r="O62" i="10" s="1"/>
  <c r="R52" i="41"/>
  <c r="R17" i="41"/>
  <c r="AB138" i="8"/>
  <c r="AD138" i="8" s="1"/>
  <c r="AF138" i="8" s="1"/>
  <c r="EJ81" i="11"/>
  <c r="H97" i="41"/>
  <c r="K225" i="3"/>
  <c r="V139" i="8"/>
  <c r="X139" i="8" s="1"/>
  <c r="Z139" i="8" s="1"/>
  <c r="K224" i="3"/>
  <c r="N98" i="41"/>
  <c r="L19" i="4"/>
  <c r="L43" i="4" s="1"/>
  <c r="L33" i="4"/>
  <c r="L24" i="4"/>
  <c r="L25" i="4" s="1"/>
  <c r="L21" i="4"/>
  <c r="L22" i="4" s="1"/>
  <c r="N224" i="3"/>
  <c r="P224" i="3" s="1"/>
  <c r="W224" i="3"/>
  <c r="Y224" i="3" s="1"/>
  <c r="T45" i="41"/>
  <c r="U44" i="41"/>
  <c r="Z86" i="41"/>
  <c r="AA224" i="3"/>
  <c r="AE30" i="4"/>
  <c r="F336" i="44"/>
  <c r="AM17" i="4"/>
  <c r="AF14" i="4"/>
  <c r="FX72" i="11"/>
  <c r="FX80" i="11" s="1"/>
  <c r="AE16" i="4"/>
  <c r="Y42" i="41"/>
  <c r="AE41" i="4"/>
  <c r="AE18" i="4"/>
  <c r="Y86" i="41"/>
  <c r="Z120" i="41" s="1"/>
  <c r="L225" i="3"/>
  <c r="T42" i="41"/>
  <c r="AA14" i="4"/>
  <c r="FS72" i="11"/>
  <c r="FS80" i="11" s="1"/>
  <c r="Z41" i="4"/>
  <c r="AC60" i="10"/>
  <c r="AC62" i="10" s="1"/>
  <c r="AB9" i="9"/>
  <c r="Z18" i="4"/>
  <c r="M130" i="41"/>
  <c r="M96" i="41"/>
  <c r="N129" i="41"/>
  <c r="T93" i="41"/>
  <c r="AN221" i="3"/>
  <c r="F42" i="41"/>
  <c r="F44" i="41" s="1"/>
  <c r="F45" i="41" s="1"/>
  <c r="FE72" i="11"/>
  <c r="FE80" i="11" s="1"/>
  <c r="M14" i="4"/>
  <c r="L41" i="4"/>
  <c r="S46" i="41"/>
  <c r="S47" i="41"/>
  <c r="L56" i="9"/>
  <c r="L63" i="9"/>
  <c r="J228" i="3"/>
  <c r="E166" i="44"/>
  <c r="F165" i="44"/>
  <c r="W122" i="41"/>
  <c r="W88" i="41"/>
  <c r="F130" i="41"/>
  <c r="F96" i="41"/>
  <c r="K130" i="41"/>
  <c r="K96" i="41"/>
  <c r="L129" i="41"/>
  <c r="FD75" i="11"/>
  <c r="K34" i="4"/>
  <c r="M16" i="9"/>
  <c r="M23" i="9" s="1"/>
  <c r="M61" i="9"/>
  <c r="M66" i="9" s="1"/>
  <c r="D131" i="41"/>
  <c r="D97" i="41"/>
  <c r="E130" i="41"/>
  <c r="I130" i="41"/>
  <c r="I96" i="41"/>
  <c r="U125" i="41"/>
  <c r="U91" i="41"/>
  <c r="S125" i="41"/>
  <c r="S91" i="41"/>
  <c r="T124" i="41"/>
  <c r="AL223" i="3"/>
  <c r="AN223" i="3" s="1"/>
  <c r="AE223" i="3"/>
  <c r="AG223" i="3" s="1"/>
  <c r="G129" i="41"/>
  <c r="G95" i="41"/>
  <c r="H128" i="41"/>
  <c r="X120" i="41"/>
  <c r="X86" i="41"/>
  <c r="V122" i="41"/>
  <c r="V88" i="41"/>
  <c r="G130" i="41" l="1"/>
  <c r="G96" i="41"/>
  <c r="H129" i="41"/>
  <c r="T94" i="41"/>
  <c r="I131" i="41"/>
  <c r="I97" i="41"/>
  <c r="F131" i="41"/>
  <c r="F97" i="41"/>
  <c r="F46" i="41"/>
  <c r="F47" i="41"/>
  <c r="V123" i="41"/>
  <c r="V89" i="41"/>
  <c r="W123" i="41" s="1"/>
  <c r="U126" i="41"/>
  <c r="U92" i="41"/>
  <c r="M56" i="9"/>
  <c r="M63" i="9"/>
  <c r="K131" i="41"/>
  <c r="K97" i="41"/>
  <c r="L130" i="41"/>
  <c r="M17" i="4"/>
  <c r="M18" i="4" s="1"/>
  <c r="M131" i="41"/>
  <c r="M97" i="41"/>
  <c r="N130" i="41"/>
  <c r="AC9" i="9"/>
  <c r="AD60" i="10"/>
  <c r="AD62" i="10" s="1"/>
  <c r="AE24" i="4"/>
  <c r="AE21" i="4"/>
  <c r="R26" i="41"/>
  <c r="R150" i="41"/>
  <c r="F166" i="44"/>
  <c r="J229" i="3"/>
  <c r="E167" i="44"/>
  <c r="N225" i="3"/>
  <c r="P225" i="3" s="1"/>
  <c r="W225" i="3"/>
  <c r="Y225" i="3" s="1"/>
  <c r="AM30" i="4"/>
  <c r="AE31" i="4"/>
  <c r="AE33" i="4"/>
  <c r="AE27" i="4"/>
  <c r="FX73" i="11"/>
  <c r="V44" i="41"/>
  <c r="U45" i="41"/>
  <c r="R49" i="41"/>
  <c r="P132" i="41"/>
  <c r="P134" i="41" s="1"/>
  <c r="P98" i="41"/>
  <c r="Q132" i="41" s="1"/>
  <c r="Q131" i="41"/>
  <c r="AA56" i="9"/>
  <c r="AA63" i="9"/>
  <c r="V142" i="41"/>
  <c r="X121" i="41"/>
  <c r="X87" i="41"/>
  <c r="W89" i="41"/>
  <c r="L228" i="3"/>
  <c r="V143" i="8"/>
  <c r="X143" i="8" s="1"/>
  <c r="K228" i="3"/>
  <c r="Z19" i="4"/>
  <c r="Z43" i="4" s="1"/>
  <c r="Z33" i="4"/>
  <c r="Z24" i="4"/>
  <c r="Z25" i="4" s="1"/>
  <c r="Z21" i="4"/>
  <c r="Z22" i="4" s="1"/>
  <c r="Y87" i="41"/>
  <c r="Z121" i="41" s="1"/>
  <c r="AB139" i="8"/>
  <c r="AD139" i="8" s="1"/>
  <c r="AF139" i="8" s="1"/>
  <c r="EK81" i="11"/>
  <c r="T46" i="41"/>
  <c r="T47" i="41"/>
  <c r="O9" i="9"/>
  <c r="P60" i="10"/>
  <c r="P62" i="10" s="1"/>
  <c r="D132" i="41"/>
  <c r="D134" i="41" s="1"/>
  <c r="D98" i="41"/>
  <c r="E132" i="41" s="1"/>
  <c r="E134" i="41" s="1"/>
  <c r="E131" i="41"/>
  <c r="S126" i="41"/>
  <c r="S92" i="41"/>
  <c r="T125" i="41"/>
  <c r="AB16" i="9"/>
  <c r="AB23" i="9" s="1"/>
  <c r="AB61" i="9"/>
  <c r="AB66" i="9" s="1"/>
  <c r="AA18" i="4"/>
  <c r="AA17" i="4"/>
  <c r="Y120" i="41"/>
  <c r="AA228" i="3"/>
  <c r="F339" i="44"/>
  <c r="Z87" i="41"/>
  <c r="FE75" i="11"/>
  <c r="L34" i="4"/>
  <c r="H98" i="41"/>
  <c r="AC224" i="3"/>
  <c r="N16" i="9"/>
  <c r="N23" i="9" s="1"/>
  <c r="N61" i="9"/>
  <c r="N66" i="9" s="1"/>
  <c r="O132" i="41"/>
  <c r="O134" i="41" s="1"/>
  <c r="O98" i="41"/>
  <c r="ER63" i="11" l="1"/>
  <c r="Z143" i="8"/>
  <c r="M19" i="4"/>
  <c r="M43" i="4" s="1"/>
  <c r="M24" i="4"/>
  <c r="M25" i="4" s="1"/>
  <c r="M33" i="4"/>
  <c r="M21" i="4"/>
  <c r="M22" i="4" s="1"/>
  <c r="O52" i="41"/>
  <c r="O17" i="41"/>
  <c r="AA19" i="4"/>
  <c r="AA43" i="4" s="1"/>
  <c r="AA33" i="4"/>
  <c r="AA24" i="4"/>
  <c r="AA25" i="4" s="1"/>
  <c r="AA21" i="4"/>
  <c r="AA22" i="4" s="1"/>
  <c r="Z88" i="41"/>
  <c r="D17" i="41"/>
  <c r="D52" i="41"/>
  <c r="N63" i="9"/>
  <c r="N56" i="9"/>
  <c r="F340" i="44"/>
  <c r="AA229" i="3"/>
  <c r="AC229" i="3" s="1"/>
  <c r="AE229" i="3" s="1"/>
  <c r="AB14" i="4"/>
  <c r="U42" i="41"/>
  <c r="FT72" i="11"/>
  <c r="FT80" i="11" s="1"/>
  <c r="AA41" i="4"/>
  <c r="AB63" i="9"/>
  <c r="AB56" i="9"/>
  <c r="P9" i="9"/>
  <c r="Q60" i="10"/>
  <c r="Q62" i="10" s="1"/>
  <c r="Q134" i="41"/>
  <c r="U46" i="41"/>
  <c r="U47" i="41"/>
  <c r="K229" i="3"/>
  <c r="ES63" i="11" s="1"/>
  <c r="V144" i="8"/>
  <c r="X144" i="8" s="1"/>
  <c r="L229" i="3"/>
  <c r="N229" i="3" s="1"/>
  <c r="P229" i="3" s="1"/>
  <c r="AC16" i="9"/>
  <c r="AC23" i="9" s="1"/>
  <c r="AC61" i="9"/>
  <c r="AC66" i="9" s="1"/>
  <c r="E52" i="41"/>
  <c r="E17" i="41"/>
  <c r="O16" i="9"/>
  <c r="O23" i="9" s="1"/>
  <c r="O61" i="9"/>
  <c r="O66" i="9" s="1"/>
  <c r="X122" i="41"/>
  <c r="X88" i="41"/>
  <c r="Y122" i="41" s="1"/>
  <c r="P52" i="41"/>
  <c r="P17" i="41"/>
  <c r="W44" i="41"/>
  <c r="V45" i="41"/>
  <c r="FX75" i="11"/>
  <c r="G42" i="41"/>
  <c r="G44" i="41" s="1"/>
  <c r="G45" i="41" s="1"/>
  <c r="FF72" i="11"/>
  <c r="FF80" i="11" s="1"/>
  <c r="N14" i="4"/>
  <c r="M41" i="4"/>
  <c r="K132" i="41"/>
  <c r="K134" i="41" s="1"/>
  <c r="K98" i="41"/>
  <c r="L132" i="41" s="1"/>
  <c r="L131" i="41"/>
  <c r="U127" i="41"/>
  <c r="U93" i="41"/>
  <c r="I132" i="41"/>
  <c r="I134" i="41" s="1"/>
  <c r="I98" i="41"/>
  <c r="AC225" i="3"/>
  <c r="AE225" i="3" s="1"/>
  <c r="AG225" i="3" s="1"/>
  <c r="AE224" i="3"/>
  <c r="AL224" i="3"/>
  <c r="AC228" i="3"/>
  <c r="AE228" i="3" s="1"/>
  <c r="AB143" i="8"/>
  <c r="AD143" i="8" s="1"/>
  <c r="EM81" i="11"/>
  <c r="S127" i="41"/>
  <c r="S93" i="41"/>
  <c r="T126" i="41"/>
  <c r="Y88" i="41"/>
  <c r="Z122" i="41" s="1"/>
  <c r="Z34" i="4"/>
  <c r="FS75" i="11"/>
  <c r="N228" i="3"/>
  <c r="FX74" i="11"/>
  <c r="FX81" i="11"/>
  <c r="S150" i="41"/>
  <c r="M132" i="41"/>
  <c r="M134" i="41" s="1"/>
  <c r="M98" i="41"/>
  <c r="N132" i="41" s="1"/>
  <c r="N131" i="41"/>
  <c r="G131" i="41"/>
  <c r="G97" i="41"/>
  <c r="H130" i="41"/>
  <c r="Y121" i="41"/>
  <c r="W90" i="41"/>
  <c r="W142" i="41"/>
  <c r="AM27" i="4"/>
  <c r="AE36" i="4"/>
  <c r="AE28" i="4"/>
  <c r="FX77" i="11"/>
  <c r="E171" i="44"/>
  <c r="J230" i="3"/>
  <c r="F167" i="44"/>
  <c r="AD9" i="9"/>
  <c r="AE60" i="10"/>
  <c r="AE62" i="10" s="1"/>
  <c r="AF60" i="10" s="1"/>
  <c r="AF62" i="10" s="1"/>
  <c r="V124" i="41"/>
  <c r="V90" i="41"/>
  <c r="F132" i="41"/>
  <c r="F134" i="41" s="1"/>
  <c r="F98" i="41"/>
  <c r="T95" i="41"/>
  <c r="E172" i="44" l="1"/>
  <c r="J235" i="3"/>
  <c r="F171" i="44"/>
  <c r="E345" i="44"/>
  <c r="EG15" i="1"/>
  <c r="AF143" i="8"/>
  <c r="Z144" i="8"/>
  <c r="DZ10" i="1"/>
  <c r="EF10" i="1" s="1"/>
  <c r="AG229" i="3"/>
  <c r="X142" i="41"/>
  <c r="T150" i="41"/>
  <c r="V125" i="41"/>
  <c r="V91" i="41"/>
  <c r="AD11" i="7"/>
  <c r="AD35" i="7" s="1"/>
  <c r="AD47" i="7" s="1"/>
  <c r="AD53" i="7" s="1"/>
  <c r="DV74" i="11" s="1"/>
  <c r="AD16" i="9"/>
  <c r="AD23" i="9" s="1"/>
  <c r="AD61" i="9"/>
  <c r="AD66" i="9" s="1"/>
  <c r="W124" i="41"/>
  <c r="G132" i="41"/>
  <c r="G134" i="41" s="1"/>
  <c r="G98" i="41"/>
  <c r="H132" i="41" s="1"/>
  <c r="H131" i="41"/>
  <c r="M17" i="41"/>
  <c r="M52" i="41"/>
  <c r="U150" i="41"/>
  <c r="D143" i="8"/>
  <c r="U228" i="3"/>
  <c r="AN224" i="3"/>
  <c r="AL225" i="3"/>
  <c r="AN225" i="3" s="1"/>
  <c r="I52" i="41"/>
  <c r="I17" i="41"/>
  <c r="L134" i="41"/>
  <c r="P53" i="41"/>
  <c r="P49" i="41"/>
  <c r="P50" i="41" s="1"/>
  <c r="D144" i="8"/>
  <c r="U229" i="3"/>
  <c r="P16" i="9"/>
  <c r="P23" i="9" s="1"/>
  <c r="P61" i="9"/>
  <c r="P66" i="9" s="1"/>
  <c r="Z89" i="41"/>
  <c r="FT75" i="11"/>
  <c r="AA34" i="4"/>
  <c r="U128" i="41"/>
  <c r="U94" i="41"/>
  <c r="K17" i="41"/>
  <c r="K52" i="41"/>
  <c r="G47" i="41"/>
  <c r="G46" i="41"/>
  <c r="V46" i="41"/>
  <c r="V47" i="41"/>
  <c r="X123" i="41"/>
  <c r="X89" i="41"/>
  <c r="O56" i="9"/>
  <c r="O63" i="9"/>
  <c r="AA230" i="3"/>
  <c r="AC230" i="3" s="1"/>
  <c r="AE230" i="3" s="1"/>
  <c r="F341" i="44"/>
  <c r="M34" i="4"/>
  <c r="FF75" i="11"/>
  <c r="V145" i="8"/>
  <c r="X145" i="8" s="1"/>
  <c r="K230" i="3"/>
  <c r="ET63" i="11" s="1"/>
  <c r="S128" i="41"/>
  <c r="S94" i="41"/>
  <c r="T127" i="41"/>
  <c r="X44" i="41"/>
  <c r="W45" i="41"/>
  <c r="E26" i="41"/>
  <c r="E144" i="41"/>
  <c r="AC56" i="9"/>
  <c r="AC63" i="9"/>
  <c r="Q52" i="41"/>
  <c r="Q17" i="41"/>
  <c r="AB18" i="4"/>
  <c r="AB17" i="4"/>
  <c r="D53" i="41"/>
  <c r="D49" i="41"/>
  <c r="D50" i="41" s="1"/>
  <c r="O26" i="41"/>
  <c r="O147" i="41"/>
  <c r="F17" i="41"/>
  <c r="F52" i="41"/>
  <c r="AE37" i="4"/>
  <c r="AM36" i="4"/>
  <c r="FX76" i="11"/>
  <c r="T96" i="41"/>
  <c r="AG60" i="10"/>
  <c r="AG62" i="10" s="1"/>
  <c r="AF9" i="9"/>
  <c r="AF17" i="4"/>
  <c r="J231" i="3"/>
  <c r="F168" i="44"/>
  <c r="W125" i="41"/>
  <c r="W91" i="41"/>
  <c r="N134" i="41"/>
  <c r="Y123" i="41"/>
  <c r="Y89" i="41"/>
  <c r="N17" i="4"/>
  <c r="N18" i="4" s="1"/>
  <c r="P26" i="41"/>
  <c r="P148" i="41"/>
  <c r="E53" i="41"/>
  <c r="E49" i="41"/>
  <c r="E50" i="41" s="1"/>
  <c r="L230" i="3"/>
  <c r="Q9" i="9"/>
  <c r="R60" i="10"/>
  <c r="R62" i="10" s="1"/>
  <c r="R9" i="9" s="1"/>
  <c r="AB144" i="8"/>
  <c r="AD144" i="8" s="1"/>
  <c r="EN81" i="11"/>
  <c r="D143" i="41"/>
  <c r="D26" i="41"/>
  <c r="D24" i="41" s="1"/>
  <c r="O49" i="41"/>
  <c r="CD10" i="6" l="1"/>
  <c r="CD28" i="6" s="1"/>
  <c r="AA235" i="3"/>
  <c r="E346" i="44"/>
  <c r="F345" i="44"/>
  <c r="V150" i="8"/>
  <c r="X150" i="8" s="1"/>
  <c r="Z150" i="8" s="1"/>
  <c r="L235" i="3"/>
  <c r="K235" i="3"/>
  <c r="J236" i="3"/>
  <c r="F172" i="44"/>
  <c r="E173" i="44"/>
  <c r="L143" i="8"/>
  <c r="L150" i="8"/>
  <c r="L144" i="8"/>
  <c r="L151" i="8"/>
  <c r="EF15" i="1"/>
  <c r="EA20" i="1"/>
  <c r="DZ100" i="1"/>
  <c r="EG100" i="1" s="1"/>
  <c r="Z145" i="8"/>
  <c r="AF144" i="8"/>
  <c r="AD59" i="7"/>
  <c r="N33" i="4"/>
  <c r="N19" i="4"/>
  <c r="N43" i="4" s="1"/>
  <c r="N24" i="4"/>
  <c r="N25" i="4" s="1"/>
  <c r="N21" i="4"/>
  <c r="N22" i="4" s="1"/>
  <c r="Q16" i="9"/>
  <c r="Q23" i="9" s="1"/>
  <c r="Q61" i="9"/>
  <c r="Q66" i="9" s="1"/>
  <c r="F145" i="41"/>
  <c r="F26" i="41"/>
  <c r="Q49" i="41"/>
  <c r="Q53" i="41"/>
  <c r="R53" i="41"/>
  <c r="S129" i="41"/>
  <c r="S95" i="41"/>
  <c r="T128" i="41"/>
  <c r="E143" i="41"/>
  <c r="E175" i="41" s="1"/>
  <c r="E18" i="41" s="1"/>
  <c r="E7" i="41" s="1"/>
  <c r="D175" i="41"/>
  <c r="D18" i="41" s="1"/>
  <c r="R16" i="9"/>
  <c r="R23" i="9" s="1"/>
  <c r="R61" i="9"/>
  <c r="R66" i="9" s="1"/>
  <c r="AH60" i="10"/>
  <c r="AH62" i="10" s="1"/>
  <c r="AG9" i="9"/>
  <c r="P147" i="41"/>
  <c r="Q147" i="41"/>
  <c r="AC14" i="4"/>
  <c r="FU72" i="11"/>
  <c r="FU80" i="11" s="1"/>
  <c r="V42" i="41"/>
  <c r="AB41" i="4"/>
  <c r="W46" i="41"/>
  <c r="W47" i="41"/>
  <c r="AF30" i="4"/>
  <c r="AA231" i="3"/>
  <c r="AC231" i="3" s="1"/>
  <c r="F342" i="44"/>
  <c r="K143" i="41"/>
  <c r="K26" i="41"/>
  <c r="K24" i="41" s="1"/>
  <c r="L52" i="41"/>
  <c r="M53" i="41" s="1"/>
  <c r="L17" i="41"/>
  <c r="M49" i="41"/>
  <c r="G17" i="41"/>
  <c r="G52" i="41"/>
  <c r="AD56" i="9"/>
  <c r="AD63" i="9"/>
  <c r="O14" i="4"/>
  <c r="FG72" i="11"/>
  <c r="FG80" i="11" s="1"/>
  <c r="H42" i="41"/>
  <c r="H44" i="41" s="1"/>
  <c r="H45" i="41" s="1"/>
  <c r="N41" i="4"/>
  <c r="N52" i="41"/>
  <c r="N17" i="41"/>
  <c r="V146" i="8"/>
  <c r="X146" i="8" s="1"/>
  <c r="K231" i="3"/>
  <c r="EU63" i="11" s="1"/>
  <c r="K232" i="3"/>
  <c r="T97" i="41"/>
  <c r="AB19" i="4"/>
  <c r="AB33" i="4"/>
  <c r="AB24" i="4"/>
  <c r="AB25" i="4" s="1"/>
  <c r="AB21" i="4"/>
  <c r="AB22" i="4" s="1"/>
  <c r="Y44" i="41"/>
  <c r="X45" i="41"/>
  <c r="L231" i="3"/>
  <c r="AB145" i="8"/>
  <c r="AD145" i="8" s="1"/>
  <c r="EO81" i="11"/>
  <c r="X124" i="41"/>
  <c r="X90" i="41"/>
  <c r="U129" i="41"/>
  <c r="U95" i="41"/>
  <c r="Z90" i="41"/>
  <c r="P63" i="9"/>
  <c r="P56" i="9"/>
  <c r="EA131" i="1"/>
  <c r="EA31" i="1"/>
  <c r="EA71" i="1"/>
  <c r="EA51" i="1"/>
  <c r="EA121" i="1"/>
  <c r="EA41" i="1"/>
  <c r="EA61" i="1"/>
  <c r="EA91" i="1"/>
  <c r="EA81" i="1"/>
  <c r="EN10" i="11"/>
  <c r="ES62" i="11" s="1"/>
  <c r="I148" i="41"/>
  <c r="I26" i="41"/>
  <c r="EA70" i="1"/>
  <c r="DZ15" i="1"/>
  <c r="EA130" i="1"/>
  <c r="DZ140" i="1"/>
  <c r="EG140" i="1" s="1"/>
  <c r="EA60" i="1"/>
  <c r="EA30" i="1"/>
  <c r="EA10" i="1"/>
  <c r="D228" i="3" s="1"/>
  <c r="H228" i="3" s="1"/>
  <c r="EA50" i="1"/>
  <c r="EA120" i="1"/>
  <c r="EA90" i="1"/>
  <c r="EA40" i="1"/>
  <c r="EA80" i="1"/>
  <c r="EM10" i="11"/>
  <c r="ER62" i="11" s="1"/>
  <c r="M145" i="41"/>
  <c r="M26" i="41"/>
  <c r="Y142" i="41"/>
  <c r="N230" i="3"/>
  <c r="Q148" i="41"/>
  <c r="R148" i="41"/>
  <c r="S148" i="41"/>
  <c r="T148" i="41" s="1"/>
  <c r="Y124" i="41"/>
  <c r="Y90" i="41"/>
  <c r="W92" i="41"/>
  <c r="AG14" i="4"/>
  <c r="AF16" i="4"/>
  <c r="FY72" i="11"/>
  <c r="FY80" i="11" s="1"/>
  <c r="Z42" i="41"/>
  <c r="AF18" i="4"/>
  <c r="AF19" i="4" s="1"/>
  <c r="F53" i="41"/>
  <c r="F49" i="41"/>
  <c r="F50" i="41" s="1"/>
  <c r="Q26" i="41"/>
  <c r="Q149" i="41"/>
  <c r="G144" i="41"/>
  <c r="H144" i="41"/>
  <c r="I144" i="41" s="1"/>
  <c r="F144" i="41"/>
  <c r="Z123" i="41"/>
  <c r="I49" i="41"/>
  <c r="J53" i="41"/>
  <c r="AJ228" i="3"/>
  <c r="W228" i="3"/>
  <c r="Y228" i="3" s="1"/>
  <c r="V126" i="41"/>
  <c r="V92" i="41"/>
  <c r="D10" i="41"/>
  <c r="D27" i="41"/>
  <c r="F58" i="52"/>
  <c r="F60" i="52" s="1"/>
  <c r="F62" i="52" s="1"/>
  <c r="F64" i="52" s="1"/>
  <c r="F68" i="52" s="1"/>
  <c r="AF16" i="9"/>
  <c r="AF23" i="9" s="1"/>
  <c r="AF61" i="9"/>
  <c r="AF66" i="9" s="1"/>
  <c r="K49" i="41"/>
  <c r="K50" i="41" s="1"/>
  <c r="K53" i="41"/>
  <c r="W229" i="3"/>
  <c r="Y229" i="3" s="1"/>
  <c r="AJ229" i="3"/>
  <c r="AL229" i="3" s="1"/>
  <c r="AN229" i="3" s="1"/>
  <c r="V150" i="41"/>
  <c r="W150" i="41" s="1"/>
  <c r="H134" i="41"/>
  <c r="CD22" i="6" l="1"/>
  <c r="CD16" i="6"/>
  <c r="CD34" i="6" s="1"/>
  <c r="CD40" i="6" s="1"/>
  <c r="CD46" i="6" s="1"/>
  <c r="S237" i="3"/>
  <c r="U237" i="3" s="1"/>
  <c r="AJ237" i="3" s="1"/>
  <c r="P230" i="3"/>
  <c r="K236" i="3"/>
  <c r="V151" i="8"/>
  <c r="X151" i="8" s="1"/>
  <c r="Z151" i="8" s="1"/>
  <c r="L236" i="3"/>
  <c r="F346" i="44"/>
  <c r="E347" i="44"/>
  <c r="AA236" i="3"/>
  <c r="AC236" i="3" s="1"/>
  <c r="D231" i="3"/>
  <c r="S238" i="3" s="1"/>
  <c r="N231" i="3"/>
  <c r="J237" i="3"/>
  <c r="L237" i="3" s="1"/>
  <c r="E174" i="44"/>
  <c r="AG17" i="4" s="1"/>
  <c r="F173" i="44"/>
  <c r="N235" i="3"/>
  <c r="P235" i="3" s="1"/>
  <c r="W235" i="3"/>
  <c r="Y235" i="3" s="1"/>
  <c r="AB150" i="8"/>
  <c r="AD150" i="8" s="1"/>
  <c r="AF150" i="8" s="1"/>
  <c r="AC235" i="3"/>
  <c r="ER81" i="11"/>
  <c r="EB80" i="1"/>
  <c r="EG80" i="1"/>
  <c r="EB20" i="1"/>
  <c r="EJ20" i="1" s="1"/>
  <c r="EG20" i="1"/>
  <c r="EB30" i="1"/>
  <c r="EG30" i="1"/>
  <c r="EB31" i="1"/>
  <c r="EG31" i="1"/>
  <c r="EB81" i="1"/>
  <c r="EG81" i="1"/>
  <c r="EK20" i="1"/>
  <c r="Z146" i="8"/>
  <c r="AF145" i="8"/>
  <c r="P228" i="3"/>
  <c r="AG228" i="3"/>
  <c r="L232" i="3"/>
  <c r="N232" i="3" s="1"/>
  <c r="EB100" i="1"/>
  <c r="EA140" i="1"/>
  <c r="EB140" i="1"/>
  <c r="AF63" i="9"/>
  <c r="AF56" i="9"/>
  <c r="D145" i="8"/>
  <c r="DZ12" i="1"/>
  <c r="U230" i="3"/>
  <c r="F144" i="8"/>
  <c r="EN12" i="11"/>
  <c r="H52" i="41"/>
  <c r="H17" i="41"/>
  <c r="D13" i="41"/>
  <c r="W93" i="41"/>
  <c r="AG230" i="3"/>
  <c r="EA45" i="1"/>
  <c r="EA95" i="1"/>
  <c r="EB15" i="1"/>
  <c r="EA65" i="1"/>
  <c r="EA75" i="1"/>
  <c r="EA125" i="1"/>
  <c r="EA35" i="1"/>
  <c r="EA55" i="1"/>
  <c r="EA135" i="1"/>
  <c r="EA85" i="1"/>
  <c r="DZ141" i="1"/>
  <c r="EG141" i="1" s="1"/>
  <c r="BZ11" i="6"/>
  <c r="Z44" i="41"/>
  <c r="Z45" i="41" s="1"/>
  <c r="Y45" i="41"/>
  <c r="AB146" i="8"/>
  <c r="AD146" i="8" s="1"/>
  <c r="EP81" i="11"/>
  <c r="AI60" i="10"/>
  <c r="AQ11" i="10"/>
  <c r="AH9" i="9"/>
  <c r="F143" i="41"/>
  <c r="F175" i="41" s="1"/>
  <c r="F18" i="41" s="1"/>
  <c r="F7" i="41" s="1"/>
  <c r="EN62" i="11"/>
  <c r="EN52" i="11"/>
  <c r="Z91" i="41"/>
  <c r="X125" i="41"/>
  <c r="X91" i="41"/>
  <c r="AC232" i="3"/>
  <c r="AE232" i="3" s="1"/>
  <c r="AE231" i="3"/>
  <c r="T98" i="41"/>
  <c r="H46" i="41"/>
  <c r="H47" i="41"/>
  <c r="K10" i="41"/>
  <c r="K37" i="41"/>
  <c r="K27" i="41"/>
  <c r="AF31" i="4"/>
  <c r="AF33" i="4"/>
  <c r="AF27" i="4"/>
  <c r="AF28" i="4" s="1"/>
  <c r="FY73" i="11"/>
  <c r="R147" i="41"/>
  <c r="D7" i="41"/>
  <c r="D19" i="41"/>
  <c r="E8" i="41"/>
  <c r="S130" i="41"/>
  <c r="S96" i="41"/>
  <c r="T129" i="41"/>
  <c r="Q50" i="41"/>
  <c r="R50" i="41"/>
  <c r="Q63" i="9"/>
  <c r="Q56" i="9"/>
  <c r="U148" i="41"/>
  <c r="N145" i="41"/>
  <c r="E23" i="41"/>
  <c r="Y125" i="41"/>
  <c r="Y91" i="41"/>
  <c r="Z142" i="41"/>
  <c r="EM62" i="11"/>
  <c r="EM52" i="11"/>
  <c r="EA15" i="1"/>
  <c r="BZ10" i="6"/>
  <c r="F143" i="8"/>
  <c r="DZ25" i="1"/>
  <c r="EA25" i="1" s="1"/>
  <c r="EM12" i="11"/>
  <c r="EM14" i="11" s="1"/>
  <c r="Z124" i="41"/>
  <c r="N146" i="41"/>
  <c r="N26" i="41"/>
  <c r="G53" i="41"/>
  <c r="G49" i="41"/>
  <c r="G50" i="41" s="1"/>
  <c r="L26" i="41"/>
  <c r="L144" i="41"/>
  <c r="L143" i="41"/>
  <c r="N143" i="41"/>
  <c r="M143" i="41"/>
  <c r="K175" i="41"/>
  <c r="K18" i="41" s="1"/>
  <c r="G143" i="41"/>
  <c r="V127" i="41"/>
  <c r="V93" i="41"/>
  <c r="AL228" i="3"/>
  <c r="W126" i="41"/>
  <c r="D37" i="41"/>
  <c r="J50" i="41"/>
  <c r="S149" i="41"/>
  <c r="R149" i="41"/>
  <c r="U130" i="41"/>
  <c r="U96" i="41"/>
  <c r="X47" i="41"/>
  <c r="X46" i="41"/>
  <c r="FU75" i="11"/>
  <c r="AB34" i="4"/>
  <c r="N53" i="41"/>
  <c r="N49" i="41"/>
  <c r="O53" i="41"/>
  <c r="O17" i="4"/>
  <c r="O18" i="4" s="1"/>
  <c r="X150" i="41"/>
  <c r="Y150" i="41" s="1"/>
  <c r="G26" i="41"/>
  <c r="G146" i="41"/>
  <c r="L53" i="41"/>
  <c r="L49" i="41"/>
  <c r="L50" i="41" s="1"/>
  <c r="AC17" i="4"/>
  <c r="AC18" i="4"/>
  <c r="AG61" i="9"/>
  <c r="AG66" i="9" s="1"/>
  <c r="H58" i="52"/>
  <c r="H60" i="52" s="1"/>
  <c r="H62" i="52" s="1"/>
  <c r="H64" i="52" s="1"/>
  <c r="H68" i="52" s="1"/>
  <c r="X71" i="52"/>
  <c r="X72" i="52" s="1"/>
  <c r="X79" i="52" s="1"/>
  <c r="X67" i="52" s="1"/>
  <c r="AJ11" i="7"/>
  <c r="AG16" i="9"/>
  <c r="AG23" i="9" s="1"/>
  <c r="R56" i="9"/>
  <c r="R63" i="9"/>
  <c r="H143" i="41"/>
  <c r="I143" i="41" s="1"/>
  <c r="G145" i="41"/>
  <c r="I145" i="41" s="1"/>
  <c r="H145" i="41"/>
  <c r="FG75" i="11"/>
  <c r="N34" i="4"/>
  <c r="AG16" i="4" l="1"/>
  <c r="AA42" i="41"/>
  <c r="U231" i="3"/>
  <c r="S239" i="3"/>
  <c r="U239" i="3" s="1"/>
  <c r="D152" i="8"/>
  <c r="L152" i="8" s="1"/>
  <c r="EE12" i="1"/>
  <c r="EF62" i="1" s="1"/>
  <c r="AG18" i="4"/>
  <c r="AG19" i="4" s="1"/>
  <c r="D146" i="8"/>
  <c r="L146" i="8" s="1"/>
  <c r="D153" i="8"/>
  <c r="EE13" i="1"/>
  <c r="U238" i="3"/>
  <c r="AJ238" i="3" s="1"/>
  <c r="AJ239" i="3" s="1"/>
  <c r="S232" i="3"/>
  <c r="U232" i="3" s="1"/>
  <c r="W232" i="3" s="1"/>
  <c r="Y232" i="3" s="1"/>
  <c r="N237" i="3"/>
  <c r="P237" i="3" s="1"/>
  <c r="W237" i="3"/>
  <c r="F174" i="44"/>
  <c r="J238" i="3"/>
  <c r="L238" i="3" s="1"/>
  <c r="AB151" i="8"/>
  <c r="AD151" i="8" s="1"/>
  <c r="AF151" i="8" s="1"/>
  <c r="ES81" i="11"/>
  <c r="N236" i="3"/>
  <c r="P236" i="3" s="1"/>
  <c r="W236" i="3"/>
  <c r="Y236" i="3" s="1"/>
  <c r="V152" i="8"/>
  <c r="X152" i="8" s="1"/>
  <c r="Z152" i="8" s="1"/>
  <c r="K237" i="3"/>
  <c r="AA237" i="3"/>
  <c r="AC237" i="3" s="1"/>
  <c r="F347" i="44"/>
  <c r="E348" i="44"/>
  <c r="AG30" i="4" s="1"/>
  <c r="AE236" i="3"/>
  <c r="AG236" i="3" s="1"/>
  <c r="AL236" i="3"/>
  <c r="AN236" i="3" s="1"/>
  <c r="AE235" i="3"/>
  <c r="AG235" i="3" s="1"/>
  <c r="AL235" i="3"/>
  <c r="EB25" i="1"/>
  <c r="EG25" i="1"/>
  <c r="EB35" i="1"/>
  <c r="EG35" i="1"/>
  <c r="EB85" i="1"/>
  <c r="EG85" i="1"/>
  <c r="L145" i="8"/>
  <c r="AF146" i="8"/>
  <c r="EN14" i="11"/>
  <c r="EN51" i="11" s="1"/>
  <c r="AH16" i="9"/>
  <c r="AH23" i="9" s="1"/>
  <c r="EA100" i="1"/>
  <c r="DZ110" i="1"/>
  <c r="EM45" i="11" s="1"/>
  <c r="EM18" i="11"/>
  <c r="AL143" i="8"/>
  <c r="DZ105" i="1"/>
  <c r="O33" i="4"/>
  <c r="P19" i="4"/>
  <c r="P43" i="4" s="1"/>
  <c r="O19" i="4"/>
  <c r="O43" i="4" s="1"/>
  <c r="O24" i="4"/>
  <c r="O21" i="4"/>
  <c r="Z46" i="41"/>
  <c r="Z47" i="41"/>
  <c r="AC19" i="4"/>
  <c r="AC43" i="4" s="1"/>
  <c r="AC24" i="4"/>
  <c r="AC25" i="4" s="1"/>
  <c r="AC33" i="4"/>
  <c r="AC21" i="4"/>
  <c r="AC22" i="4" s="1"/>
  <c r="AG63" i="9"/>
  <c r="AG56" i="9"/>
  <c r="N50" i="41"/>
  <c r="O50" i="41"/>
  <c r="V128" i="41"/>
  <c r="V94" i="41"/>
  <c r="M144" i="41"/>
  <c r="M175" i="41" s="1"/>
  <c r="M18" i="41" s="1"/>
  <c r="M7" i="41" s="1"/>
  <c r="N144" i="41"/>
  <c r="O144" i="41" s="1"/>
  <c r="Z150" i="41"/>
  <c r="AJ35" i="7"/>
  <c r="AJ47" i="7" s="1"/>
  <c r="AJ53" i="7" s="1"/>
  <c r="EI74" i="11" s="1"/>
  <c r="X54" i="52"/>
  <c r="T149" i="41"/>
  <c r="S147" i="41"/>
  <c r="BZ16" i="6"/>
  <c r="BZ34" i="6" s="1"/>
  <c r="BZ40" i="6" s="1"/>
  <c r="BZ46" i="6" s="1"/>
  <c r="BZ22" i="6"/>
  <c r="BZ28" i="6"/>
  <c r="E24" i="41"/>
  <c r="E10" i="41" s="1"/>
  <c r="E11" i="41" s="1"/>
  <c r="S131" i="41"/>
  <c r="S97" i="41"/>
  <c r="T130" i="41"/>
  <c r="L23" i="41"/>
  <c r="Z92" i="41"/>
  <c r="W127" i="41"/>
  <c r="EA122" i="1"/>
  <c r="EA132" i="1"/>
  <c r="EA92" i="1"/>
  <c r="EA52" i="1"/>
  <c r="EA42" i="1"/>
  <c r="EA82" i="1"/>
  <c r="DZ102" i="1"/>
  <c r="DZ112" i="1" s="1"/>
  <c r="EA12" i="1"/>
  <c r="EA72" i="1"/>
  <c r="EA62" i="1"/>
  <c r="EO10" i="11"/>
  <c r="DZ16" i="1"/>
  <c r="DZ14" i="1"/>
  <c r="DZ145" i="1"/>
  <c r="EG145" i="1" s="1"/>
  <c r="FH72" i="11"/>
  <c r="FH80" i="11" s="1"/>
  <c r="I42" i="41"/>
  <c r="I44" i="41" s="1"/>
  <c r="I45" i="41" s="1"/>
  <c r="O41" i="4"/>
  <c r="P41" i="4"/>
  <c r="U131" i="41"/>
  <c r="U97" i="41"/>
  <c r="AN228" i="3"/>
  <c r="N175" i="41"/>
  <c r="N18" i="41" s="1"/>
  <c r="N7" i="41" s="1"/>
  <c r="O146" i="41"/>
  <c r="P146" i="41"/>
  <c r="EM51" i="11"/>
  <c r="Y92" i="41"/>
  <c r="Z125" i="41"/>
  <c r="F8" i="41"/>
  <c r="Y46" i="41"/>
  <c r="Y47" i="41"/>
  <c r="EA141" i="1"/>
  <c r="EB141" i="1"/>
  <c r="V148" i="41"/>
  <c r="W148" i="41" s="1"/>
  <c r="T143" i="8"/>
  <c r="AJ143" i="8"/>
  <c r="AH144" i="8"/>
  <c r="R144" i="8"/>
  <c r="H146" i="41"/>
  <c r="I146" i="41"/>
  <c r="I175" i="41" s="1"/>
  <c r="I18" i="41" s="1"/>
  <c r="I7" i="41" s="1"/>
  <c r="AD14" i="4"/>
  <c r="AD18" i="4" s="1"/>
  <c r="FV72" i="11"/>
  <c r="FV80" i="11" s="1"/>
  <c r="W42" i="41"/>
  <c r="AC41" i="4"/>
  <c r="AD41" i="4"/>
  <c r="G175" i="41"/>
  <c r="G18" i="41" s="1"/>
  <c r="G7" i="41" s="1"/>
  <c r="L175" i="41"/>
  <c r="L18" i="41" s="1"/>
  <c r="L7" i="41" s="1"/>
  <c r="EA53" i="1"/>
  <c r="EA43" i="1"/>
  <c r="EA33" i="1"/>
  <c r="EA63" i="1"/>
  <c r="EA123" i="1"/>
  <c r="DZ143" i="1"/>
  <c r="EA13" i="1"/>
  <c r="EA73" i="1"/>
  <c r="EA93" i="1"/>
  <c r="EA133" i="1"/>
  <c r="EA83" i="1"/>
  <c r="EP10" i="11"/>
  <c r="EA101" i="1"/>
  <c r="EB101" i="1"/>
  <c r="DZ111" i="1"/>
  <c r="EN45" i="11" s="1"/>
  <c r="ES68" i="11" s="1"/>
  <c r="AL144" i="8"/>
  <c r="EN18" i="11"/>
  <c r="ES65" i="11" s="1"/>
  <c r="O145" i="41"/>
  <c r="D31" i="41"/>
  <c r="D32" i="41" s="1"/>
  <c r="D29" i="41"/>
  <c r="E16" i="41"/>
  <c r="E19" i="41" s="1"/>
  <c r="FY74" i="11"/>
  <c r="FY81" i="11"/>
  <c r="FY75" i="11"/>
  <c r="AF34" i="4"/>
  <c r="K13" i="41"/>
  <c r="X126" i="41"/>
  <c r="X92" i="41"/>
  <c r="X148" i="41"/>
  <c r="H26" i="41"/>
  <c r="H147" i="41"/>
  <c r="I147" i="41" s="1"/>
  <c r="AH14" i="4"/>
  <c r="FZ72" i="11"/>
  <c r="FZ80" i="11" s="1"/>
  <c r="Y148" i="41"/>
  <c r="Z148" i="41" s="1"/>
  <c r="K7" i="41"/>
  <c r="K19" i="41"/>
  <c r="O143" i="41"/>
  <c r="AJ231" i="3"/>
  <c r="AL231" i="3" s="1"/>
  <c r="AN231" i="3" s="1"/>
  <c r="W231" i="3"/>
  <c r="Y231" i="3" s="1"/>
  <c r="R143" i="8"/>
  <c r="AH143" i="8"/>
  <c r="D8" i="41"/>
  <c r="D11" i="41" s="1"/>
  <c r="M50" i="41"/>
  <c r="J58" i="52"/>
  <c r="J60" i="52" s="1"/>
  <c r="J62" i="52" s="1"/>
  <c r="J64" i="52" s="1"/>
  <c r="J68" i="52" s="1"/>
  <c r="AH61" i="9"/>
  <c r="AH66" i="9" s="1"/>
  <c r="BZ23" i="6"/>
  <c r="BZ17" i="6"/>
  <c r="BZ35" i="6" s="1"/>
  <c r="BZ41" i="6" s="1"/>
  <c r="BZ47" i="6" s="1"/>
  <c r="BZ29" i="6"/>
  <c r="W128" i="41"/>
  <c r="W94" i="41"/>
  <c r="H53" i="41"/>
  <c r="H49" i="41"/>
  <c r="I53" i="41"/>
  <c r="AJ230" i="3"/>
  <c r="W230" i="3"/>
  <c r="Y230" i="3" s="1"/>
  <c r="T147" i="41"/>
  <c r="U147" i="41" s="1"/>
  <c r="AG27" i="4" l="1"/>
  <c r="AG28" i="4" s="1"/>
  <c r="AA45" i="41"/>
  <c r="L153" i="8"/>
  <c r="D154" i="8"/>
  <c r="F239" i="3"/>
  <c r="EG14" i="1" s="1"/>
  <c r="AG39" i="4" s="1"/>
  <c r="Q39" i="60" s="1"/>
  <c r="Q180" i="60" s="1"/>
  <c r="Q178" i="60" s="1"/>
  <c r="EE14" i="1"/>
  <c r="EF14" i="1" s="1"/>
  <c r="D239" i="3" s="1"/>
  <c r="EF12" i="1"/>
  <c r="CD12" i="6" s="1"/>
  <c r="CD24" i="6" s="1"/>
  <c r="EF42" i="1"/>
  <c r="EF92" i="1"/>
  <c r="EF72" i="1"/>
  <c r="EF82" i="1"/>
  <c r="EG82" i="1" s="1"/>
  <c r="EF52" i="1"/>
  <c r="EF32" i="1"/>
  <c r="EG32" i="1" s="1"/>
  <c r="EE22" i="1"/>
  <c r="EE102" i="1" s="1"/>
  <c r="EE106" i="1" s="1"/>
  <c r="EE16" i="1"/>
  <c r="EF136" i="1" s="1"/>
  <c r="EF122" i="1"/>
  <c r="ET10" i="11"/>
  <c r="ET52" i="11" s="1"/>
  <c r="EF132" i="1"/>
  <c r="EF13" i="1"/>
  <c r="CD13" i="6" s="1"/>
  <c r="CD19" i="6" s="1"/>
  <c r="CD37" i="6" s="1"/>
  <c r="CD43" i="6" s="1"/>
  <c r="CD49" i="6" s="1"/>
  <c r="EB14" i="1"/>
  <c r="EJ14" i="1" s="1"/>
  <c r="D147" i="8"/>
  <c r="L147" i="8" s="1"/>
  <c r="EF123" i="1"/>
  <c r="EF33" i="1"/>
  <c r="EG33" i="1" s="1"/>
  <c r="EF63" i="1"/>
  <c r="EF133" i="1"/>
  <c r="EF73" i="1"/>
  <c r="EE23" i="1"/>
  <c r="EE103" i="1" s="1"/>
  <c r="EF93" i="1"/>
  <c r="EF53" i="1"/>
  <c r="EF83" i="1"/>
  <c r="EG83" i="1" s="1"/>
  <c r="EF43" i="1"/>
  <c r="EU10" i="11"/>
  <c r="AE237" i="3"/>
  <c r="AG237" i="3" s="1"/>
  <c r="AL237" i="3"/>
  <c r="AN235" i="3"/>
  <c r="F348" i="44"/>
  <c r="AA238" i="3"/>
  <c r="AB153" i="8" s="1"/>
  <c r="N238" i="3"/>
  <c r="P238" i="3" s="1"/>
  <c r="W238" i="3"/>
  <c r="Y238" i="3" s="1"/>
  <c r="L239" i="3"/>
  <c r="AB152" i="8"/>
  <c r="AD152" i="8" s="1"/>
  <c r="AF152" i="8" s="1"/>
  <c r="ET81" i="11"/>
  <c r="Y237" i="3"/>
  <c r="V153" i="8"/>
  <c r="X153" i="8" s="1"/>
  <c r="Z153" i="8" s="1"/>
  <c r="K239" i="3"/>
  <c r="K238" i="3"/>
  <c r="EB82" i="1"/>
  <c r="DZ115" i="1"/>
  <c r="EG105" i="1"/>
  <c r="EB83" i="1"/>
  <c r="EB33" i="1"/>
  <c r="EM16" i="11"/>
  <c r="ER65" i="11"/>
  <c r="EM58" i="11"/>
  <c r="ER68" i="11"/>
  <c r="AG31" i="4"/>
  <c r="AG33" i="4"/>
  <c r="FZ75" i="11" s="1"/>
  <c r="FZ73" i="11"/>
  <c r="FZ74" i="11" s="1"/>
  <c r="EM47" i="11"/>
  <c r="EM59" i="11" s="1"/>
  <c r="EM68" i="11"/>
  <c r="EM65" i="11"/>
  <c r="EM53" i="11"/>
  <c r="EM22" i="11"/>
  <c r="EM55" i="11" s="1"/>
  <c r="EB105" i="1"/>
  <c r="EA105" i="1"/>
  <c r="DZ142" i="1"/>
  <c r="AJ59" i="7"/>
  <c r="M8" i="41"/>
  <c r="EB102" i="1"/>
  <c r="EA102" i="1"/>
  <c r="AL145" i="8"/>
  <c r="EO45" i="11"/>
  <c r="EO18" i="11"/>
  <c r="DZ106" i="1"/>
  <c r="V147" i="41"/>
  <c r="I8" i="41"/>
  <c r="P144" i="41"/>
  <c r="Q144" i="41"/>
  <c r="W95" i="41"/>
  <c r="AH56" i="9"/>
  <c r="AH63" i="9"/>
  <c r="L16" i="41"/>
  <c r="L19" i="41" s="1"/>
  <c r="K29" i="41"/>
  <c r="K31" i="41"/>
  <c r="K32" i="41" s="1"/>
  <c r="EN65" i="11"/>
  <c r="EN53" i="11"/>
  <c r="EN22" i="11"/>
  <c r="BZ13" i="6"/>
  <c r="P143" i="41"/>
  <c r="G8" i="41"/>
  <c r="Q146" i="41"/>
  <c r="U132" i="41"/>
  <c r="U134" i="41" s="1"/>
  <c r="U98" i="41"/>
  <c r="J46" i="41"/>
  <c r="I46" i="41"/>
  <c r="I47" i="41"/>
  <c r="EB16" i="1"/>
  <c r="EA126" i="1"/>
  <c r="EA36" i="1"/>
  <c r="EA76" i="1"/>
  <c r="EA46" i="1"/>
  <c r="EA136" i="1"/>
  <c r="EA56" i="1"/>
  <c r="EA66" i="1"/>
  <c r="EA96" i="1"/>
  <c r="EA86" i="1"/>
  <c r="EA16" i="1"/>
  <c r="Z93" i="41"/>
  <c r="AC34" i="4"/>
  <c r="FV75" i="11"/>
  <c r="H50" i="41"/>
  <c r="I50" i="41"/>
  <c r="K8" i="41"/>
  <c r="K11" i="41" s="1"/>
  <c r="AH17" i="4"/>
  <c r="X127" i="41"/>
  <c r="X93" i="41"/>
  <c r="Y127" i="41" s="1"/>
  <c r="EP62" i="11"/>
  <c r="EP52" i="11"/>
  <c r="F146" i="8"/>
  <c r="EP12" i="11"/>
  <c r="EP14" i="11" s="1"/>
  <c r="AD19" i="4"/>
  <c r="AD43" i="4" s="1"/>
  <c r="AD24" i="4"/>
  <c r="AD21" i="4"/>
  <c r="AD33" i="4"/>
  <c r="AE19" i="4"/>
  <c r="AE43" i="4" s="1"/>
  <c r="Y93" i="41"/>
  <c r="N8" i="41"/>
  <c r="EO62" i="11"/>
  <c r="EO52" i="11"/>
  <c r="Z126" i="41"/>
  <c r="S132" i="41"/>
  <c r="S134" i="41" s="1"/>
  <c r="S98" i="41"/>
  <c r="T132" i="41" s="1"/>
  <c r="T134" i="41" s="1"/>
  <c r="T131" i="41"/>
  <c r="V129" i="41"/>
  <c r="V95" i="41"/>
  <c r="O22" i="4"/>
  <c r="P22" i="4"/>
  <c r="P34" i="4"/>
  <c r="FH75" i="11"/>
  <c r="O34" i="4"/>
  <c r="H175" i="41"/>
  <c r="H18" i="41" s="1"/>
  <c r="H7" i="41" s="1"/>
  <c r="P39" i="60"/>
  <c r="F16" i="41"/>
  <c r="F19" i="41" s="1"/>
  <c r="P145" i="41"/>
  <c r="EN68" i="11"/>
  <c r="EN47" i="11"/>
  <c r="EN59" i="11" s="1"/>
  <c r="EN58" i="11"/>
  <c r="DZ103" i="1"/>
  <c r="Y126" i="41"/>
  <c r="R146" i="41"/>
  <c r="EB145" i="1"/>
  <c r="EA145" i="1"/>
  <c r="F145" i="8"/>
  <c r="EO12" i="11"/>
  <c r="DZ24" i="1"/>
  <c r="DZ144" i="1" s="1"/>
  <c r="DZ26" i="1"/>
  <c r="EA26" i="1" s="1"/>
  <c r="EN16" i="11"/>
  <c r="L24" i="41"/>
  <c r="L27" i="41" s="1"/>
  <c r="E27" i="41"/>
  <c r="W147" i="41"/>
  <c r="X147" i="41" s="1"/>
  <c r="Y147" i="41" s="1"/>
  <c r="S144" i="41"/>
  <c r="R144" i="41"/>
  <c r="P25" i="4"/>
  <c r="O25" i="4"/>
  <c r="AL230" i="3"/>
  <c r="AJ232" i="3"/>
  <c r="O175" i="41"/>
  <c r="O18" i="41" s="1"/>
  <c r="O7" i="41" s="1"/>
  <c r="EA143" i="1"/>
  <c r="EB143" i="1"/>
  <c r="L8" i="41"/>
  <c r="EA64" i="1"/>
  <c r="EA44" i="1"/>
  <c r="EA74" i="1"/>
  <c r="EA54" i="1"/>
  <c r="EA94" i="1"/>
  <c r="EA34" i="1"/>
  <c r="EA124" i="1"/>
  <c r="EA134" i="1"/>
  <c r="EA84" i="1"/>
  <c r="EA14" i="1"/>
  <c r="AF7" i="5"/>
  <c r="E13" i="41"/>
  <c r="V149" i="41"/>
  <c r="W149" i="41" s="1"/>
  <c r="U149" i="41"/>
  <c r="Q143" i="41"/>
  <c r="AH18" i="4" l="1"/>
  <c r="AH19" i="4" s="1"/>
  <c r="AB42" i="41"/>
  <c r="AA46" i="41"/>
  <c r="AA47" i="41"/>
  <c r="CD30" i="6"/>
  <c r="CD18" i="6"/>
  <c r="CD36" i="6" s="1"/>
  <c r="CD42" i="6" s="1"/>
  <c r="CD48" i="6" s="1"/>
  <c r="ET62" i="11"/>
  <c r="P80" i="60"/>
  <c r="P179" i="60" s="1"/>
  <c r="P123" i="60"/>
  <c r="P181" i="60" s="1"/>
  <c r="H239" i="3"/>
  <c r="AG9" i="5"/>
  <c r="FZ63" i="11"/>
  <c r="EF84" i="1"/>
  <c r="EG84" i="1" s="1"/>
  <c r="AG7" i="5"/>
  <c r="C4" i="81" s="1"/>
  <c r="C14" i="81" s="1"/>
  <c r="ET12" i="11"/>
  <c r="ET14" i="11" s="1"/>
  <c r="ET51" i="11" s="1"/>
  <c r="EF124" i="1"/>
  <c r="EF94" i="1"/>
  <c r="EF64" i="1"/>
  <c r="EF54" i="1"/>
  <c r="EF74" i="1"/>
  <c r="EF44" i="1"/>
  <c r="EF34" i="1"/>
  <c r="EG34" i="1" s="1"/>
  <c r="EF134" i="1"/>
  <c r="EE142" i="1"/>
  <c r="EF142" i="1" s="1"/>
  <c r="ET18" i="11"/>
  <c r="ET65" i="11" s="1"/>
  <c r="EE24" i="1"/>
  <c r="EE144" i="1" s="1"/>
  <c r="EF144" i="1" s="1"/>
  <c r="AL152" i="8"/>
  <c r="EE26" i="1"/>
  <c r="EF26" i="1" s="1"/>
  <c r="EG26" i="1" s="1"/>
  <c r="EF76" i="1"/>
  <c r="EE104" i="1"/>
  <c r="EF104" i="1" s="1"/>
  <c r="EF56" i="1"/>
  <c r="F152" i="8"/>
  <c r="AH152" i="8" s="1"/>
  <c r="EE112" i="1"/>
  <c r="ET45" i="11" s="1"/>
  <c r="ET58" i="11" s="1"/>
  <c r="EF102" i="1"/>
  <c r="EG102" i="1"/>
  <c r="EF36" i="1"/>
  <c r="EG36" i="1" s="1"/>
  <c r="EF96" i="1"/>
  <c r="EF16" i="1"/>
  <c r="EG16" i="1"/>
  <c r="EF66" i="1"/>
  <c r="EF126" i="1"/>
  <c r="EF46" i="1"/>
  <c r="EF86" i="1"/>
  <c r="EG86" i="1" s="1"/>
  <c r="FZ81" i="11"/>
  <c r="EK14" i="1"/>
  <c r="L154" i="8"/>
  <c r="CD25" i="6"/>
  <c r="CD31" i="6"/>
  <c r="EE113" i="1"/>
  <c r="EU45" i="11" s="1"/>
  <c r="AL153" i="8"/>
  <c r="EF103" i="1"/>
  <c r="EU18" i="11"/>
  <c r="EE143" i="1"/>
  <c r="F153" i="8"/>
  <c r="EU12" i="11"/>
  <c r="EU14" i="11" s="1"/>
  <c r="EU52" i="11"/>
  <c r="EU62" i="11"/>
  <c r="EG106" i="1"/>
  <c r="EE116" i="1"/>
  <c r="EF106" i="1"/>
  <c r="AC238" i="3"/>
  <c r="AD153" i="8"/>
  <c r="AF153" i="8" s="1"/>
  <c r="EU81" i="11"/>
  <c r="N239" i="3"/>
  <c r="W239" i="3"/>
  <c r="Y239" i="3" s="1"/>
  <c r="AN237" i="3"/>
  <c r="DZ146" i="1"/>
  <c r="EA146" i="1" s="1"/>
  <c r="EB36" i="1"/>
  <c r="EB34" i="1"/>
  <c r="EB26" i="1"/>
  <c r="DZ104" i="1"/>
  <c r="AL147" i="8" s="1"/>
  <c r="EG103" i="1"/>
  <c r="EB86" i="1"/>
  <c r="EB84" i="1"/>
  <c r="EO14" i="11"/>
  <c r="EO51" i="11" s="1"/>
  <c r="AG34" i="4"/>
  <c r="AF29" i="5"/>
  <c r="P6" i="60"/>
  <c r="EA142" i="1"/>
  <c r="EB142" i="1"/>
  <c r="EP51" i="11"/>
  <c r="M23" i="41"/>
  <c r="Y149" i="41"/>
  <c r="Z149" i="41" s="1"/>
  <c r="X149" i="41"/>
  <c r="Z147" i="41"/>
  <c r="EB144" i="1"/>
  <c r="EA144" i="1"/>
  <c r="AF40" i="5"/>
  <c r="AF11" i="4"/>
  <c r="AI69" i="9"/>
  <c r="AF8" i="5"/>
  <c r="AF37" i="5"/>
  <c r="AF32" i="5"/>
  <c r="FY10" i="11"/>
  <c r="AF26" i="5"/>
  <c r="AF17" i="5"/>
  <c r="AF23" i="5"/>
  <c r="O8" i="41"/>
  <c r="EA24" i="1"/>
  <c r="F147" i="8"/>
  <c r="AF11" i="5"/>
  <c r="E29" i="41"/>
  <c r="V130" i="41"/>
  <c r="V96" i="41"/>
  <c r="Y94" i="41"/>
  <c r="Z127" i="41"/>
  <c r="U17" i="41"/>
  <c r="U52" i="41"/>
  <c r="BZ31" i="6"/>
  <c r="BZ19" i="6"/>
  <c r="BZ37" i="6" s="1"/>
  <c r="BZ43" i="6" s="1"/>
  <c r="BZ49" i="6" s="1"/>
  <c r="BZ25" i="6"/>
  <c r="L31" i="41"/>
  <c r="L32" i="41" s="1"/>
  <c r="L29" i="41"/>
  <c r="M16" i="41"/>
  <c r="M19" i="41" s="1"/>
  <c r="R143" i="41"/>
  <c r="L10" i="41"/>
  <c r="L37" i="41"/>
  <c r="AF9" i="5"/>
  <c r="FY63" i="11"/>
  <c r="P180" i="60"/>
  <c r="P178" i="60" s="1"/>
  <c r="T17" i="41"/>
  <c r="T52" i="41"/>
  <c r="BZ30" i="6"/>
  <c r="BZ18" i="6"/>
  <c r="BZ36" i="6" s="1"/>
  <c r="BZ42" i="6" s="1"/>
  <c r="BZ48" i="6" s="1"/>
  <c r="BZ24" i="6"/>
  <c r="FW75" i="11"/>
  <c r="AD34" i="4"/>
  <c r="AE34" i="4"/>
  <c r="EN55" i="11"/>
  <c r="EA106" i="1"/>
  <c r="DZ116" i="1"/>
  <c r="EB106" i="1"/>
  <c r="D232" i="3"/>
  <c r="H232" i="3" s="1"/>
  <c r="AN230" i="3"/>
  <c r="AL232" i="3"/>
  <c r="AN232" i="3" s="1"/>
  <c r="T144" i="8"/>
  <c r="AJ144" i="8"/>
  <c r="AH145" i="8"/>
  <c r="R145" i="8"/>
  <c r="AL146" i="8"/>
  <c r="EB103" i="1"/>
  <c r="EA103" i="1"/>
  <c r="DZ113" i="1"/>
  <c r="EP45" i="11" s="1"/>
  <c r="EP18" i="11"/>
  <c r="G16" i="41"/>
  <c r="G19" i="41" s="1"/>
  <c r="S52" i="41"/>
  <c r="S17" i="41"/>
  <c r="AD22" i="4"/>
  <c r="AE22" i="4"/>
  <c r="GA72" i="11"/>
  <c r="GA80" i="11" s="1"/>
  <c r="AI14" i="4"/>
  <c r="AH30" i="4"/>
  <c r="AB45" i="41" s="1"/>
  <c r="T144" i="41"/>
  <c r="U144" i="41" s="1"/>
  <c r="P175" i="41"/>
  <c r="P18" i="41" s="1"/>
  <c r="P7" i="41" s="1"/>
  <c r="Q145" i="41"/>
  <c r="W130" i="41"/>
  <c r="W96" i="41"/>
  <c r="S146" i="41"/>
  <c r="EO65" i="11"/>
  <c r="EO22" i="11"/>
  <c r="EO53" i="11"/>
  <c r="L11" i="41"/>
  <c r="F23" i="41"/>
  <c r="E37" i="41"/>
  <c r="E31" i="41"/>
  <c r="E32" i="41" s="1"/>
  <c r="H8" i="41"/>
  <c r="AD25" i="4"/>
  <c r="AE25" i="4"/>
  <c r="AH146" i="8"/>
  <c r="AJ145" i="8"/>
  <c r="T145" i="8"/>
  <c r="R146" i="8"/>
  <c r="X128" i="41"/>
  <c r="X94" i="41"/>
  <c r="Z128" i="41"/>
  <c r="Z94" i="41"/>
  <c r="W129" i="41"/>
  <c r="EO68" i="11"/>
  <c r="EO47" i="11"/>
  <c r="EO59" i="11" s="1"/>
  <c r="EO58" i="11"/>
  <c r="S143" i="41"/>
  <c r="AB46" i="41" l="1"/>
  <c r="AB47" i="41"/>
  <c r="P239" i="3"/>
  <c r="EG153" i="1"/>
  <c r="EE154" i="1"/>
  <c r="AG56" i="5" s="1"/>
  <c r="EU24" i="11"/>
  <c r="P91" i="60"/>
  <c r="P48" i="60"/>
  <c r="AG11" i="5"/>
  <c r="AG12" i="5" s="1"/>
  <c r="AH13" i="5" s="1"/>
  <c r="EG142" i="1"/>
  <c r="EF24" i="1"/>
  <c r="EG24" i="1" s="1"/>
  <c r="ET22" i="11"/>
  <c r="ET55" i="11" s="1"/>
  <c r="AL154" i="8"/>
  <c r="EE162" i="1"/>
  <c r="EE202" i="1" s="1"/>
  <c r="EG144" i="1"/>
  <c r="EE146" i="1"/>
  <c r="EG146" i="1" s="1"/>
  <c r="EF152" i="1"/>
  <c r="ET68" i="11"/>
  <c r="ET47" i="11"/>
  <c r="ET59" i="11" s="1"/>
  <c r="ET53" i="11"/>
  <c r="ET16" i="11"/>
  <c r="R152" i="8"/>
  <c r="AJ151" i="8"/>
  <c r="T151" i="8"/>
  <c r="EE114" i="1"/>
  <c r="F154" i="8"/>
  <c r="AJ153" i="8" s="1"/>
  <c r="EU68" i="11"/>
  <c r="EA104" i="1"/>
  <c r="EU65" i="11"/>
  <c r="EU53" i="11"/>
  <c r="EU22" i="11"/>
  <c r="AJ152" i="8"/>
  <c r="AH153" i="8"/>
  <c r="T152" i="8"/>
  <c r="R153" i="8"/>
  <c r="EU51" i="11"/>
  <c r="EU16" i="11"/>
  <c r="EF143" i="1"/>
  <c r="EF153" i="1"/>
  <c r="EE163" i="1"/>
  <c r="EG143" i="1"/>
  <c r="EU58" i="11"/>
  <c r="EU47" i="11"/>
  <c r="EU59" i="11" s="1"/>
  <c r="EB146" i="1"/>
  <c r="EB104" i="1"/>
  <c r="AG232" i="3"/>
  <c r="P232" i="3"/>
  <c r="AE238" i="3"/>
  <c r="AL238" i="3"/>
  <c r="AC239" i="3"/>
  <c r="AE239" i="3" s="1"/>
  <c r="AG239" i="3" s="1"/>
  <c r="EB24" i="1"/>
  <c r="EK24" i="1" s="1"/>
  <c r="DZ114" i="1"/>
  <c r="EG104" i="1"/>
  <c r="EO16" i="11"/>
  <c r="AF53" i="5"/>
  <c r="P8" i="60"/>
  <c r="P38" i="60"/>
  <c r="P33" i="60"/>
  <c r="AF7" i="4"/>
  <c r="F24" i="41"/>
  <c r="F10" i="41" s="1"/>
  <c r="F27" i="41"/>
  <c r="X129" i="41"/>
  <c r="X95" i="41"/>
  <c r="GA73" i="11"/>
  <c r="AH31" i="4"/>
  <c r="AH33" i="4"/>
  <c r="AH27" i="4"/>
  <c r="AH28" i="4" s="1"/>
  <c r="S151" i="41"/>
  <c r="S26" i="41"/>
  <c r="H16" i="41"/>
  <c r="H19" i="41" s="1"/>
  <c r="V144" i="41"/>
  <c r="T143" i="41"/>
  <c r="AI70" i="9"/>
  <c r="AF12" i="5"/>
  <c r="FY12" i="11"/>
  <c r="FY14" i="11" s="1"/>
  <c r="FY51" i="11" s="1"/>
  <c r="AF42" i="5"/>
  <c r="M24" i="41"/>
  <c r="M10" i="41" s="1"/>
  <c r="Z95" i="41"/>
  <c r="W97" i="41"/>
  <c r="AI17" i="4"/>
  <c r="AI30" i="4" s="1"/>
  <c r="S53" i="41"/>
  <c r="S49" i="41"/>
  <c r="S50" i="41" s="1"/>
  <c r="EP22" i="11"/>
  <c r="EP53" i="11"/>
  <c r="EP65" i="11"/>
  <c r="W144" i="41"/>
  <c r="N16" i="41"/>
  <c r="N19" i="41" s="1"/>
  <c r="V131" i="41"/>
  <c r="V97" i="41"/>
  <c r="T146" i="8"/>
  <c r="AJ146" i="8"/>
  <c r="R147" i="8"/>
  <c r="EK72" i="11" s="1"/>
  <c r="FY62" i="11"/>
  <c r="FY52" i="11"/>
  <c r="X144" i="41"/>
  <c r="F37" i="41"/>
  <c r="EO55" i="11"/>
  <c r="EP58" i="11"/>
  <c r="EP68" i="11"/>
  <c r="EP47" i="11"/>
  <c r="EP59" i="11" s="1"/>
  <c r="T146" i="41"/>
  <c r="T53" i="41"/>
  <c r="T49" i="41"/>
  <c r="T50" i="41" s="1"/>
  <c r="L13" i="41"/>
  <c r="U53" i="41"/>
  <c r="U49" i="41"/>
  <c r="U50" i="41" s="1"/>
  <c r="Y129" i="41"/>
  <c r="Y95" i="41"/>
  <c r="AF18" i="5"/>
  <c r="Q9" i="52"/>
  <c r="AI70" i="10"/>
  <c r="AI87" i="9"/>
  <c r="U146" i="41"/>
  <c r="R145" i="41"/>
  <c r="S145" i="41" s="1"/>
  <c r="P8" i="41"/>
  <c r="T152" i="41"/>
  <c r="T26" i="41"/>
  <c r="U26" i="41"/>
  <c r="U153" i="41"/>
  <c r="Y128" i="41"/>
  <c r="AF24" i="4"/>
  <c r="AF25" i="4" s="1"/>
  <c r="AF41" i="4"/>
  <c r="AF12" i="4"/>
  <c r="AF43" i="4" s="1"/>
  <c r="AF36" i="4"/>
  <c r="Q175" i="41"/>
  <c r="Q18" i="41" s="1"/>
  <c r="Q7" i="41" s="1"/>
  <c r="EP16" i="11"/>
  <c r="ET56" i="11" l="1"/>
  <c r="EE164" i="1"/>
  <c r="EE184" i="1" s="1"/>
  <c r="EE214" i="1" s="1"/>
  <c r="EF154" i="1"/>
  <c r="P10" i="60"/>
  <c r="P32" i="60" s="1"/>
  <c r="P93" i="60"/>
  <c r="P95" i="60" s="1"/>
  <c r="P50" i="60"/>
  <c r="P52" i="60" s="1"/>
  <c r="P79" i="60"/>
  <c r="P74" i="60"/>
  <c r="P128" i="60"/>
  <c r="P129" i="60" s="1"/>
  <c r="P85" i="60"/>
  <c r="P86" i="60" s="1"/>
  <c r="P122" i="60"/>
  <c r="P117" i="60"/>
  <c r="P169" i="60" s="1"/>
  <c r="AG13" i="5"/>
  <c r="EE192" i="1"/>
  <c r="EE196" i="1" s="1"/>
  <c r="EF196" i="1" s="1"/>
  <c r="EE182" i="1"/>
  <c r="EE212" i="1" s="1"/>
  <c r="ET26" i="11"/>
  <c r="ET32" i="11" s="1"/>
  <c r="ET57" i="11" s="1"/>
  <c r="EE166" i="1"/>
  <c r="EF166" i="1" s="1"/>
  <c r="EF162" i="1"/>
  <c r="T153" i="8"/>
  <c r="EF146" i="1"/>
  <c r="EF156" i="1"/>
  <c r="R154" i="8"/>
  <c r="EU56" i="11"/>
  <c r="EU26" i="11"/>
  <c r="EU32" i="11" s="1"/>
  <c r="EU57" i="11" s="1"/>
  <c r="EU55" i="11"/>
  <c r="EE183" i="1"/>
  <c r="EF163" i="1"/>
  <c r="EE203" i="1"/>
  <c r="EU35" i="11" s="1"/>
  <c r="EE193" i="1"/>
  <c r="EU34" i="11" s="1"/>
  <c r="EJ24" i="1"/>
  <c r="EE206" i="1"/>
  <c r="ET35" i="11"/>
  <c r="AF54" i="5"/>
  <c r="AN238" i="3"/>
  <c r="AL239" i="3"/>
  <c r="AN239" i="3" s="1"/>
  <c r="P168" i="60"/>
  <c r="P166" i="60" s="1"/>
  <c r="S175" i="41"/>
  <c r="S18" i="41" s="1"/>
  <c r="S7" i="41" s="1"/>
  <c r="T145" i="41"/>
  <c r="AI27" i="4"/>
  <c r="AI28" i="4" s="1"/>
  <c r="AI31" i="4"/>
  <c r="GB73" i="11"/>
  <c r="Q8" i="41"/>
  <c r="AF21" i="4"/>
  <c r="AF22" i="4" s="1"/>
  <c r="AF8" i="4"/>
  <c r="FY77" i="11"/>
  <c r="R175" i="41"/>
  <c r="R18" i="41" s="1"/>
  <c r="R7" i="41" s="1"/>
  <c r="AI18" i="4"/>
  <c r="AI19" i="4" s="1"/>
  <c r="AF43" i="5"/>
  <c r="FY18" i="11"/>
  <c r="AF44" i="5"/>
  <c r="AF45" i="5"/>
  <c r="FY45" i="11"/>
  <c r="AF47" i="4"/>
  <c r="AF48" i="4" s="1"/>
  <c r="U143" i="41"/>
  <c r="I16" i="41"/>
  <c r="I19" i="41" s="1"/>
  <c r="GA74" i="11"/>
  <c r="GA81" i="11"/>
  <c r="F13" i="41"/>
  <c r="F11" i="41"/>
  <c r="Y96" i="41"/>
  <c r="U145" i="41"/>
  <c r="V145" i="41" s="1"/>
  <c r="O16" i="41"/>
  <c r="O19" i="41" s="1"/>
  <c r="GB72" i="11"/>
  <c r="GB80" i="11" s="1"/>
  <c r="AJ14" i="4"/>
  <c r="Z130" i="41"/>
  <c r="Z96" i="41"/>
  <c r="AF13" i="5"/>
  <c r="X130" i="41"/>
  <c r="X96" i="41"/>
  <c r="FY76" i="11"/>
  <c r="AF37" i="4"/>
  <c r="W153" i="41"/>
  <c r="X153" i="41" s="1"/>
  <c r="V153" i="41"/>
  <c r="Y144" i="41"/>
  <c r="Z144" i="41" s="1"/>
  <c r="EP55" i="11"/>
  <c r="W98" i="41"/>
  <c r="Z129" i="41"/>
  <c r="M27" i="41"/>
  <c r="M37" i="41" s="1"/>
  <c r="AI76" i="9"/>
  <c r="AI80" i="9" s="1"/>
  <c r="AI75" i="9"/>
  <c r="AI79" i="9" s="1"/>
  <c r="GA75" i="11"/>
  <c r="AH34" i="4"/>
  <c r="U152" i="41"/>
  <c r="W145" i="41"/>
  <c r="X145" i="41" s="1"/>
  <c r="Y145" i="41" s="1"/>
  <c r="Z145" i="41" s="1"/>
  <c r="V132" i="41"/>
  <c r="V134" i="41" s="1"/>
  <c r="V98" i="41"/>
  <c r="W132" i="41" s="1"/>
  <c r="W134" i="41" s="1"/>
  <c r="W131" i="41"/>
  <c r="M13" i="41"/>
  <c r="M11" i="41"/>
  <c r="V146" i="41"/>
  <c r="W146" i="41" s="1"/>
  <c r="X146" i="41" s="1"/>
  <c r="Y146" i="41" s="1"/>
  <c r="Z146" i="41" s="1"/>
  <c r="T151" i="41"/>
  <c r="T175" i="41" s="1"/>
  <c r="T18" i="41" s="1"/>
  <c r="T7" i="41" s="1"/>
  <c r="U151" i="41"/>
  <c r="V151" i="41" s="1"/>
  <c r="G23" i="41"/>
  <c r="F29" i="41"/>
  <c r="F31" i="41"/>
  <c r="F32" i="41" s="1"/>
  <c r="EF164" i="1" l="1"/>
  <c r="EF184" i="1"/>
  <c r="EE204" i="1"/>
  <c r="AG72" i="5" s="1"/>
  <c r="AG69" i="5"/>
  <c r="ET34" i="11"/>
  <c r="P13" i="60"/>
  <c r="P29" i="60" s="1"/>
  <c r="P43" i="60" s="1"/>
  <c r="P55" i="60"/>
  <c r="P73" i="60"/>
  <c r="P98" i="60"/>
  <c r="P116" i="60"/>
  <c r="P165" i="60" s="1"/>
  <c r="EE186" i="1"/>
  <c r="EF186" i="1" s="1"/>
  <c r="EF182" i="1"/>
  <c r="EE213" i="1"/>
  <c r="EU36" i="11" s="1"/>
  <c r="EU37" i="11" s="1"/>
  <c r="EF183" i="1"/>
  <c r="EE216" i="1"/>
  <c r="EF216" i="1" s="1"/>
  <c r="ET36" i="11"/>
  <c r="ET37" i="11" s="1"/>
  <c r="P164" i="60"/>
  <c r="P162" i="60" s="1"/>
  <c r="P188" i="60"/>
  <c r="P189" i="60"/>
  <c r="P187" i="60" s="1"/>
  <c r="P177" i="60" s="1"/>
  <c r="P134" i="60" s="1"/>
  <c r="P139" i="60" s="1"/>
  <c r="P182" i="60" s="1"/>
  <c r="P167" i="60"/>
  <c r="W17" i="41"/>
  <c r="W52" i="41"/>
  <c r="W151" i="41"/>
  <c r="T8" i="41"/>
  <c r="Y153" i="41"/>
  <c r="Z153" i="41" s="1"/>
  <c r="AR13" i="5"/>
  <c r="Y97" i="41"/>
  <c r="FY16" i="11"/>
  <c r="FY54" i="11"/>
  <c r="FY22" i="11"/>
  <c r="FY65" i="11"/>
  <c r="FY53" i="11"/>
  <c r="R8" i="41"/>
  <c r="Q8" i="60"/>
  <c r="V17" i="41"/>
  <c r="V52" i="41"/>
  <c r="X131" i="41"/>
  <c r="X97" i="41"/>
  <c r="Z131" i="41"/>
  <c r="Z97" i="41"/>
  <c r="P16" i="41"/>
  <c r="P19" i="41" s="1"/>
  <c r="Y130" i="41"/>
  <c r="FY47" i="11"/>
  <c r="L84" i="52" s="1"/>
  <c r="FY58" i="11"/>
  <c r="FY68" i="11"/>
  <c r="S8" i="41"/>
  <c r="G24" i="41"/>
  <c r="G10" i="41" s="1"/>
  <c r="G27" i="41"/>
  <c r="X151" i="41"/>
  <c r="N23" i="41"/>
  <c r="M31" i="41"/>
  <c r="M32" i="41" s="1"/>
  <c r="M29" i="41"/>
  <c r="U175" i="41"/>
  <c r="U18" i="41" s="1"/>
  <c r="U7" i="41" s="1"/>
  <c r="V143" i="41"/>
  <c r="AI33" i="4"/>
  <c r="V152" i="41"/>
  <c r="AJ17" i="4"/>
  <c r="GB74" i="11"/>
  <c r="GB81" i="11"/>
  <c r="P17" i="60" l="1"/>
  <c r="P41" i="60"/>
  <c r="P34" i="60"/>
  <c r="P102" i="60"/>
  <c r="P125" i="60"/>
  <c r="P118" i="60"/>
  <c r="P113" i="60"/>
  <c r="P127" i="60" s="1"/>
  <c r="P75" i="60"/>
  <c r="P82" i="60"/>
  <c r="P59" i="60"/>
  <c r="P70" i="60"/>
  <c r="P84" i="60" s="1"/>
  <c r="L86" i="52"/>
  <c r="L89" i="52"/>
  <c r="AJ18" i="4"/>
  <c r="AJ19" i="4" s="1"/>
  <c r="AK14" i="4"/>
  <c r="Q28" i="60"/>
  <c r="Q69" i="60" s="1"/>
  <c r="P138" i="60"/>
  <c r="P136" i="60" s="1"/>
  <c r="R74" i="60"/>
  <c r="Q167" i="60"/>
  <c r="P190" i="60"/>
  <c r="P163" i="60"/>
  <c r="U8" i="41"/>
  <c r="L36" i="52"/>
  <c r="L41" i="52" s="1"/>
  <c r="FY59" i="11"/>
  <c r="FY69" i="11"/>
  <c r="Q16" i="41"/>
  <c r="Q19" i="41" s="1"/>
  <c r="V154" i="41"/>
  <c r="V26" i="41"/>
  <c r="AJ70" i="9"/>
  <c r="FZ12" i="11"/>
  <c r="Y151" i="41"/>
  <c r="Z151" i="41" s="1"/>
  <c r="AO17" i="4"/>
  <c r="GC72" i="11"/>
  <c r="GC80" i="11" s="1"/>
  <c r="AJ30" i="4"/>
  <c r="V175" i="41"/>
  <c r="V18" i="41" s="1"/>
  <c r="V7" i="41" s="1"/>
  <c r="W143" i="41"/>
  <c r="N24" i="41"/>
  <c r="N10" i="41" s="1"/>
  <c r="H23" i="41"/>
  <c r="G29" i="41"/>
  <c r="G31" i="41"/>
  <c r="G32" i="41" s="1"/>
  <c r="Z98" i="41"/>
  <c r="W152" i="41"/>
  <c r="AI34" i="4"/>
  <c r="GB75" i="11"/>
  <c r="X152" i="41"/>
  <c r="Y152" i="41" s="1"/>
  <c r="Z152" i="41" s="1"/>
  <c r="G13" i="41"/>
  <c r="G11" i="41"/>
  <c r="FY55" i="11"/>
  <c r="Y98" i="41"/>
  <c r="Z132" i="41" s="1"/>
  <c r="Z134" i="41" s="1"/>
  <c r="W49" i="41"/>
  <c r="W53" i="41"/>
  <c r="X132" i="41"/>
  <c r="X134" i="41" s="1"/>
  <c r="X98" i="41"/>
  <c r="Y132" i="41" s="1"/>
  <c r="Y134" i="41" s="1"/>
  <c r="V49" i="41"/>
  <c r="V50" i="41" s="1"/>
  <c r="V53" i="41"/>
  <c r="AG36" i="5"/>
  <c r="Q11" i="60" s="1"/>
  <c r="AJ11" i="10"/>
  <c r="Y131" i="41"/>
  <c r="G37" i="41"/>
  <c r="W26" i="41"/>
  <c r="W154" i="41"/>
  <c r="AK17" i="4" l="1"/>
  <c r="Q40" i="60"/>
  <c r="P141" i="60"/>
  <c r="P183" i="60" s="1"/>
  <c r="Q163" i="60"/>
  <c r="P71" i="60"/>
  <c r="S74" i="60"/>
  <c r="R167" i="60"/>
  <c r="Y17" i="41"/>
  <c r="Y52" i="41"/>
  <c r="Z17" i="41"/>
  <c r="Z52" i="41"/>
  <c r="AJ18" i="9"/>
  <c r="R16" i="41"/>
  <c r="R19" i="41" s="1"/>
  <c r="H24" i="41"/>
  <c r="H10" i="41" s="1"/>
  <c r="H27" i="41"/>
  <c r="W175" i="41"/>
  <c r="W18" i="41" s="1"/>
  <c r="W7" i="41" s="1"/>
  <c r="X143" i="41"/>
  <c r="Q112" i="60"/>
  <c r="X52" i="41"/>
  <c r="X17" i="41"/>
  <c r="W50" i="41"/>
  <c r="N13" i="41"/>
  <c r="N11" i="41"/>
  <c r="V8" i="41"/>
  <c r="AJ76" i="9"/>
  <c r="AJ80" i="9" s="1"/>
  <c r="AJ75" i="9"/>
  <c r="AJ79" i="9" s="1"/>
  <c r="N27" i="41"/>
  <c r="GC73" i="11"/>
  <c r="AO30" i="4"/>
  <c r="AJ27" i="4"/>
  <c r="AJ33" i="4"/>
  <c r="AJ31" i="4"/>
  <c r="T41" i="52"/>
  <c r="T47" i="52" s="1"/>
  <c r="T49" i="52" s="1"/>
  <c r="L47" i="52"/>
  <c r="L49" i="52" s="1"/>
  <c r="AK30" i="4" l="1"/>
  <c r="GD72" i="11"/>
  <c r="GD80" i="11" s="1"/>
  <c r="AK18" i="4"/>
  <c r="AK19" i="4" s="1"/>
  <c r="P170" i="60"/>
  <c r="P145" i="60"/>
  <c r="P159" i="60"/>
  <c r="P185" i="60" s="1"/>
  <c r="T74" i="60"/>
  <c r="S167" i="60"/>
  <c r="R163" i="60"/>
  <c r="P90" i="60"/>
  <c r="P114" i="60"/>
  <c r="FZ35" i="11"/>
  <c r="GC74" i="11"/>
  <c r="GC81" i="11"/>
  <c r="X154" i="41"/>
  <c r="X26" i="41"/>
  <c r="W8" i="41"/>
  <c r="Y49" i="41"/>
  <c r="Y53" i="41"/>
  <c r="AO27" i="4"/>
  <c r="AJ28" i="4"/>
  <c r="GC75" i="11"/>
  <c r="AJ34" i="4"/>
  <c r="O23" i="41"/>
  <c r="N29" i="41"/>
  <c r="N31" i="41"/>
  <c r="N32" i="41" s="1"/>
  <c r="N37" i="41"/>
  <c r="X53" i="41"/>
  <c r="X49" i="41"/>
  <c r="X50" i="41" s="1"/>
  <c r="I23" i="41"/>
  <c r="H29" i="41"/>
  <c r="H31" i="41"/>
  <c r="H32" i="41" s="1"/>
  <c r="S16" i="41"/>
  <c r="S19" i="41" s="1"/>
  <c r="Y26" i="41"/>
  <c r="Y154" i="41"/>
  <c r="Q158" i="60"/>
  <c r="H13" i="41"/>
  <c r="H11" i="41"/>
  <c r="Z49" i="41"/>
  <c r="Z50" i="41" s="1"/>
  <c r="Z53" i="41"/>
  <c r="X175" i="41"/>
  <c r="X18" i="41" s="1"/>
  <c r="X7" i="41" s="1"/>
  <c r="X8" i="41" s="1"/>
  <c r="Y143" i="41"/>
  <c r="H37" i="41"/>
  <c r="Z154" i="41"/>
  <c r="Z26" i="41"/>
  <c r="GD73" i="11" l="1"/>
  <c r="AK33" i="4"/>
  <c r="AK31" i="4"/>
  <c r="AK27" i="4"/>
  <c r="AK28" i="4" s="1"/>
  <c r="T167" i="60"/>
  <c r="U74" i="60"/>
  <c r="Q19" i="60"/>
  <c r="T163" i="60"/>
  <c r="S163" i="60"/>
  <c r="FZ24" i="11"/>
  <c r="T16" i="41"/>
  <c r="T19" i="41" s="1"/>
  <c r="I24" i="41"/>
  <c r="I10" i="41" s="1"/>
  <c r="O24" i="41"/>
  <c r="O10" i="41" s="1"/>
  <c r="O27" i="41"/>
  <c r="Y175" i="41"/>
  <c r="Y18" i="41" s="1"/>
  <c r="Y7" i="41" s="1"/>
  <c r="Y8" i="41" s="1"/>
  <c r="Z143" i="41"/>
  <c r="Z175" i="41" s="1"/>
  <c r="Z18" i="41" s="1"/>
  <c r="Z7" i="41" s="1"/>
  <c r="Z8" i="41" s="1"/>
  <c r="Y50" i="41"/>
  <c r="AK34" i="4" l="1"/>
  <c r="GD75" i="11"/>
  <c r="GD81" i="11"/>
  <c r="GD74" i="11"/>
  <c r="O13" i="41"/>
  <c r="O11" i="41"/>
  <c r="I27" i="41"/>
  <c r="U16" i="41"/>
  <c r="U19" i="41" s="1"/>
  <c r="O37" i="41"/>
  <c r="P23" i="41"/>
  <c r="O31" i="41"/>
  <c r="O32" i="41" s="1"/>
  <c r="O29" i="41"/>
  <c r="I13" i="41"/>
  <c r="I11" i="41"/>
  <c r="I37" i="41"/>
  <c r="V16" i="41" l="1"/>
  <c r="V19" i="41" s="1"/>
  <c r="I31" i="41"/>
  <c r="I29" i="41"/>
  <c r="P24" i="41"/>
  <c r="P10" i="41" s="1"/>
  <c r="P13" i="41" l="1"/>
  <c r="P11" i="41"/>
  <c r="W16" i="41"/>
  <c r="W19" i="41" s="1"/>
  <c r="P27" i="41"/>
  <c r="I32" i="41"/>
  <c r="J32" i="41"/>
  <c r="X16" i="41" l="1"/>
  <c r="X19" i="41" s="1"/>
  <c r="Q23" i="41"/>
  <c r="P31" i="41"/>
  <c r="P32" i="41" s="1"/>
  <c r="P29" i="41"/>
  <c r="P37" i="41"/>
  <c r="Q24" i="41" l="1"/>
  <c r="Q10" i="41" s="1"/>
  <c r="Y16" i="41"/>
  <c r="Y19" i="41" s="1"/>
  <c r="Q13" i="41" l="1"/>
  <c r="Q11" i="41"/>
  <c r="Q27" i="41"/>
  <c r="Z16" i="41"/>
  <c r="Z19" i="41" s="1"/>
  <c r="R23" i="41" l="1"/>
  <c r="Q31" i="41"/>
  <c r="Q32" i="41" s="1"/>
  <c r="Q29" i="41"/>
  <c r="Q37" i="41"/>
  <c r="R24" i="41" l="1"/>
  <c r="R10" i="41" s="1"/>
  <c r="R13" i="41" l="1"/>
  <c r="R11" i="41"/>
  <c r="R27" i="41"/>
  <c r="S23" i="41" l="1"/>
  <c r="R29" i="41"/>
  <c r="R31" i="41"/>
  <c r="R32" i="41" s="1"/>
  <c r="R37" i="41"/>
  <c r="S24" i="41" l="1"/>
  <c r="S10" i="41" s="1"/>
  <c r="S13" i="41" l="1"/>
  <c r="S11" i="41"/>
  <c r="S37" i="41"/>
  <c r="S27" i="41"/>
  <c r="T23" i="41" l="1"/>
  <c r="S29" i="41"/>
  <c r="S31" i="41"/>
  <c r="S32" i="41" s="1"/>
  <c r="T24" i="41" l="1"/>
  <c r="T10" i="41" l="1"/>
  <c r="T37" i="41"/>
  <c r="T27" i="41"/>
  <c r="T13" i="41" l="1"/>
  <c r="T11" i="41"/>
  <c r="U23" i="41"/>
  <c r="T31" i="41"/>
  <c r="T32" i="41" s="1"/>
  <c r="T29" i="41"/>
  <c r="U24" i="41" l="1"/>
  <c r="U10" i="41" s="1"/>
  <c r="U27" i="41"/>
  <c r="V23" i="41" l="1"/>
  <c r="U29" i="41"/>
  <c r="U31" i="41"/>
  <c r="U32" i="41" s="1"/>
  <c r="U13" i="41"/>
  <c r="U11" i="41"/>
  <c r="U37" i="41"/>
  <c r="V24" i="41" l="1"/>
  <c r="V10" i="41" s="1"/>
  <c r="V13" i="41" l="1"/>
  <c r="V11" i="41"/>
  <c r="V27" i="41"/>
  <c r="W23" i="41" l="1"/>
  <c r="V29" i="41"/>
  <c r="V31" i="41"/>
  <c r="V32" i="41" s="1"/>
  <c r="V37" i="41"/>
  <c r="W24" i="41" l="1"/>
  <c r="W10" i="41" s="1"/>
  <c r="W27" i="41" l="1"/>
  <c r="W13" i="41"/>
  <c r="W11" i="41"/>
  <c r="X23" i="41" l="1"/>
  <c r="W29" i="41"/>
  <c r="W31" i="41"/>
  <c r="W32" i="41" s="1"/>
  <c r="W37" i="41"/>
  <c r="X24" i="41" l="1"/>
  <c r="X10" i="41" s="1"/>
  <c r="X27" i="41" l="1"/>
  <c r="X13" i="41"/>
  <c r="X11" i="41"/>
  <c r="Y23" i="41" l="1"/>
  <c r="X29" i="41"/>
  <c r="X31" i="41"/>
  <c r="X32" i="41" s="1"/>
  <c r="X37" i="41"/>
  <c r="Y24" i="41" l="1"/>
  <c r="Y10" i="41" s="1"/>
  <c r="Y27" i="41"/>
  <c r="Y37" i="41"/>
  <c r="Z23" i="41" l="1"/>
  <c r="Y31" i="41"/>
  <c r="Y32" i="41" s="1"/>
  <c r="Y29" i="41"/>
  <c r="Y13" i="41"/>
  <c r="Y11" i="41"/>
  <c r="Z24" i="41" l="1"/>
  <c r="Z27" i="41"/>
  <c r="Z31" i="41" l="1"/>
  <c r="Z32" i="41" s="1"/>
  <c r="Z29" i="41"/>
  <c r="Z10" i="41"/>
  <c r="Z37" i="41"/>
  <c r="Z13" i="41" l="1"/>
  <c r="Z11" i="41"/>
  <c r="EB150" i="1" l="1"/>
  <c r="DZ160" i="1"/>
  <c r="EM24" i="11"/>
  <c r="EM26" i="11" s="1"/>
  <c r="EM32" i="11" s="1"/>
  <c r="EM57" i="11" s="1"/>
  <c r="EA150" i="1"/>
  <c r="EB160" i="1" l="1"/>
  <c r="EG160" i="1"/>
  <c r="EA160" i="1"/>
  <c r="DZ180" i="1"/>
  <c r="DZ190" i="1"/>
  <c r="EF190" i="1" s="1"/>
  <c r="EF200" i="1"/>
  <c r="EM56" i="11"/>
  <c r="EA200" i="1" l="1"/>
  <c r="EM35" i="11"/>
  <c r="EB180" i="1"/>
  <c r="EA180" i="1"/>
  <c r="EG180" i="1" s="1"/>
  <c r="DZ210" i="1"/>
  <c r="EF210" i="1" s="1"/>
  <c r="EA190" i="1"/>
  <c r="EM34" i="11"/>
  <c r="EM66" i="11" l="1"/>
  <c r="ER66" i="11"/>
  <c r="EM67" i="11"/>
  <c r="ER67" i="11"/>
  <c r="EA210" i="1"/>
  <c r="EM36" i="11"/>
  <c r="EM37" i="11" s="1"/>
  <c r="EB151" i="1"/>
  <c r="DZ155" i="1"/>
  <c r="EN24" i="11"/>
  <c r="DZ161" i="1"/>
  <c r="EG161" i="1" s="1"/>
  <c r="EA151" i="1"/>
  <c r="EA155" i="1" l="1"/>
  <c r="EG155" i="1"/>
  <c r="EB161" i="1"/>
  <c r="DZ191" i="1"/>
  <c r="EF191" i="1" s="1"/>
  <c r="EN56" i="11"/>
  <c r="EB155" i="1"/>
  <c r="DZ181" i="1"/>
  <c r="DZ185" i="1" s="1"/>
  <c r="DZ165" i="1"/>
  <c r="EG165" i="1" s="1"/>
  <c r="EF201" i="1"/>
  <c r="EN26" i="11"/>
  <c r="EN32" i="11" s="1"/>
  <c r="EN57" i="11" s="1"/>
  <c r="EA161" i="1"/>
  <c r="EA181" i="1" l="1"/>
  <c r="EG181" i="1" s="1"/>
  <c r="EB181" i="1"/>
  <c r="DZ211" i="1"/>
  <c r="EA165" i="1"/>
  <c r="EB165" i="1"/>
  <c r="EA191" i="1"/>
  <c r="EN34" i="11"/>
  <c r="DZ195" i="1"/>
  <c r="EA195" i="1" s="1"/>
  <c r="EN35" i="11"/>
  <c r="EA201" i="1"/>
  <c r="DZ205" i="1"/>
  <c r="EA205" i="1" s="1"/>
  <c r="EF205" i="1" s="1"/>
  <c r="EA185" i="1"/>
  <c r="EG185" i="1" s="1"/>
  <c r="EB185" i="1"/>
  <c r="EB152" i="1"/>
  <c r="EO24" i="11"/>
  <c r="DZ156" i="1"/>
  <c r="DZ162" i="1"/>
  <c r="EA152" i="1"/>
  <c r="EB156" i="1" l="1"/>
  <c r="EG156" i="1"/>
  <c r="EA162" i="1"/>
  <c r="EG162" i="1"/>
  <c r="DZ215" i="1"/>
  <c r="EA215" i="1" s="1"/>
  <c r="EF211" i="1"/>
  <c r="EN67" i="11"/>
  <c r="ES67" i="11"/>
  <c r="EN66" i="11"/>
  <c r="ES66" i="11"/>
  <c r="EO56" i="11"/>
  <c r="EN36" i="11"/>
  <c r="EN37" i="11" s="1"/>
  <c r="EA211" i="1"/>
  <c r="DZ192" i="1"/>
  <c r="DZ182" i="1"/>
  <c r="EA156" i="1"/>
  <c r="DZ166" i="1"/>
  <c r="EG166" i="1" s="1"/>
  <c r="EF202" i="1"/>
  <c r="EB162" i="1"/>
  <c r="EO26" i="11"/>
  <c r="EO32" i="11" s="1"/>
  <c r="EO57" i="11" s="1"/>
  <c r="EA192" i="1" l="1"/>
  <c r="EF192" i="1"/>
  <c r="EO34" i="11"/>
  <c r="DZ196" i="1"/>
  <c r="EA196" i="1" s="1"/>
  <c r="EA166" i="1"/>
  <c r="EB166" i="1"/>
  <c r="EA202" i="1"/>
  <c r="DZ206" i="1"/>
  <c r="EA206" i="1" s="1"/>
  <c r="EF206" i="1" s="1"/>
  <c r="EO35" i="11"/>
  <c r="DZ186" i="1"/>
  <c r="EB182" i="1"/>
  <c r="EA182" i="1"/>
  <c r="EG182" i="1" s="1"/>
  <c r="DZ212" i="1"/>
  <c r="EF212" i="1" s="1"/>
  <c r="EO67" i="11" l="1"/>
  <c r="ET67" i="11"/>
  <c r="EO66" i="11"/>
  <c r="ET66" i="11"/>
  <c r="EA186" i="1"/>
  <c r="EG186" i="1" s="1"/>
  <c r="EB186" i="1"/>
  <c r="EO36" i="11"/>
  <c r="EO37" i="11" s="1"/>
  <c r="EA212" i="1"/>
  <c r="DZ216" i="1"/>
  <c r="EA216" i="1" s="1"/>
  <c r="EB153" i="1"/>
  <c r="EP24" i="11"/>
  <c r="EP56" i="11" s="1"/>
  <c r="DZ163" i="1"/>
  <c r="EA153" i="1"/>
  <c r="DZ154" i="1"/>
  <c r="DZ183" i="1" l="1"/>
  <c r="DZ203" i="1"/>
  <c r="EB154" i="1"/>
  <c r="EG154" i="1"/>
  <c r="EA163" i="1"/>
  <c r="EG163" i="1"/>
  <c r="AF56" i="5"/>
  <c r="AF59" i="5" s="1"/>
  <c r="AF64" i="5" s="1"/>
  <c r="EP26" i="11"/>
  <c r="EP32" i="11" s="1"/>
  <c r="EP57" i="11" s="1"/>
  <c r="DZ164" i="1"/>
  <c r="EA154" i="1"/>
  <c r="DZ193" i="1"/>
  <c r="EF193" i="1" s="1"/>
  <c r="EB163" i="1"/>
  <c r="EF203" i="1"/>
  <c r="EG164" i="1" l="1"/>
  <c r="DZ184" i="1"/>
  <c r="AF57" i="5"/>
  <c r="FY28" i="11"/>
  <c r="FY24" i="11"/>
  <c r="FY56" i="11" s="1"/>
  <c r="P19" i="60"/>
  <c r="AF66" i="5"/>
  <c r="AI72" i="9" s="1"/>
  <c r="AF60" i="5"/>
  <c r="EA193" i="1"/>
  <c r="EP34" i="11"/>
  <c r="EA164" i="1"/>
  <c r="EB164" i="1"/>
  <c r="EF204" i="1"/>
  <c r="DZ194" i="1"/>
  <c r="EP35" i="11"/>
  <c r="EA203" i="1"/>
  <c r="EB183" i="1"/>
  <c r="DZ213" i="1"/>
  <c r="EF213" i="1" s="1"/>
  <c r="EA183" i="1"/>
  <c r="EG183" i="1" s="1"/>
  <c r="P104" i="60" l="1"/>
  <c r="P61" i="60"/>
  <c r="EA194" i="1"/>
  <c r="EF194" i="1"/>
  <c r="EP66" i="11"/>
  <c r="EU66" i="11"/>
  <c r="EP67" i="11"/>
  <c r="EU67" i="11"/>
  <c r="AF67" i="5"/>
  <c r="FY26" i="11"/>
  <c r="FY32" i="11" s="1"/>
  <c r="FY57" i="11" s="1"/>
  <c r="P35" i="60"/>
  <c r="P23" i="60"/>
  <c r="P25" i="60" s="1"/>
  <c r="AF69" i="5"/>
  <c r="AF75" i="5" s="1"/>
  <c r="AI8" i="10"/>
  <c r="EA204" i="1"/>
  <c r="AF72" i="5"/>
  <c r="EA213" i="1"/>
  <c r="EI214" i="1"/>
  <c r="EP36" i="11"/>
  <c r="EP37" i="11" s="1"/>
  <c r="DZ214" i="1"/>
  <c r="EB184" i="1"/>
  <c r="EA184" i="1"/>
  <c r="EG184" i="1" s="1"/>
  <c r="P76" i="60" l="1"/>
  <c r="P64" i="60"/>
  <c r="P66" i="60" s="1"/>
  <c r="P83" i="60" s="1"/>
  <c r="P119" i="60"/>
  <c r="P174" i="60" s="1"/>
  <c r="P107" i="60"/>
  <c r="P109" i="60" s="1"/>
  <c r="P126" i="60" s="1"/>
  <c r="EA214" i="1"/>
  <c r="EF214" i="1"/>
  <c r="P42" i="60"/>
  <c r="P186" i="60" s="1"/>
  <c r="P173" i="60"/>
  <c r="P171" i="60" s="1"/>
  <c r="P147" i="60" s="1"/>
  <c r="P150" i="60" s="1"/>
  <c r="P152" i="60" s="1"/>
  <c r="AI27" i="10"/>
  <c r="AI47" i="10" s="1"/>
  <c r="AI71" i="10" s="1"/>
  <c r="AF70" i="5"/>
  <c r="AQ12" i="10"/>
  <c r="AQ14" i="10" s="1"/>
  <c r="AQ17" i="10" s="1"/>
  <c r="AQ20" i="10" s="1"/>
  <c r="FY36" i="11"/>
  <c r="FY37" i="11" s="1"/>
  <c r="AI47" i="9"/>
  <c r="Q15" i="52"/>
  <c r="FY35" i="11"/>
  <c r="AG73" i="5"/>
  <c r="AF73" i="5"/>
  <c r="AF76" i="5"/>
  <c r="FY34" i="11"/>
  <c r="P172" i="60" l="1"/>
  <c r="P184" i="60"/>
  <c r="AI61" i="10"/>
  <c r="AI62" i="10" s="1"/>
  <c r="FY67" i="11"/>
  <c r="FZ67" i="11"/>
  <c r="AI49" i="9"/>
  <c r="AI62" i="9"/>
  <c r="AI65" i="9" s="1"/>
  <c r="AI65" i="10" l="1"/>
  <c r="AJ60" i="10"/>
  <c r="AI9" i="9"/>
  <c r="AI61" i="9" l="1"/>
  <c r="AI66" i="9" s="1"/>
  <c r="AN11" i="7"/>
  <c r="AI16" i="9"/>
  <c r="AI23" i="9" s="1"/>
  <c r="AN35" i="7" l="1"/>
  <c r="AI63" i="9"/>
  <c r="AI56" i="9"/>
  <c r="H8" i="81" l="1"/>
  <c r="AG23" i="5"/>
  <c r="AG32" i="5"/>
  <c r="AG37" i="5"/>
  <c r="AG40" i="5"/>
  <c r="AG29" i="5"/>
  <c r="AG17" i="5"/>
  <c r="AG18" i="5" s="1"/>
  <c r="AG8" i="5"/>
  <c r="C5" i="81" s="1"/>
  <c r="AJ69" i="9"/>
  <c r="AJ70" i="10" s="1"/>
  <c r="FZ10" i="11"/>
  <c r="FZ62" i="11" s="1"/>
  <c r="AG53" i="5"/>
  <c r="Q6" i="60"/>
  <c r="Q38" i="60" s="1"/>
  <c r="Q128" i="60" s="1"/>
  <c r="AG11" i="4"/>
  <c r="AG42" i="5"/>
  <c r="C6" i="81" s="1"/>
  <c r="AG66" i="5" l="1"/>
  <c r="AJ72" i="9" s="1"/>
  <c r="AG59" i="5"/>
  <c r="AG64" i="5" s="1"/>
  <c r="FZ28" i="11" s="1"/>
  <c r="C7" i="81"/>
  <c r="FZ14" i="11"/>
  <c r="FZ51" i="11" s="1"/>
  <c r="AH11" i="4"/>
  <c r="AH12" i="4" s="1"/>
  <c r="AH43" i="4" s="1"/>
  <c r="AG41" i="4"/>
  <c r="Q85" i="60"/>
  <c r="Q86" i="60" s="1"/>
  <c r="Q188" i="60" s="1"/>
  <c r="AJ87" i="9"/>
  <c r="Q129" i="60"/>
  <c r="Q189" i="60"/>
  <c r="Q187" i="60" s="1"/>
  <c r="Q177" i="60" s="1"/>
  <c r="Q134" i="60" s="1"/>
  <c r="AG67" i="5"/>
  <c r="AG43" i="5"/>
  <c r="AG45" i="5"/>
  <c r="AG44" i="5"/>
  <c r="AG47" i="4"/>
  <c r="AG48" i="4" s="1"/>
  <c r="FZ18" i="11"/>
  <c r="Q33" i="60"/>
  <c r="Q10" i="60"/>
  <c r="AG57" i="5"/>
  <c r="C8" i="81" s="1"/>
  <c r="C9" i="81" s="1"/>
  <c r="C10" i="81" s="1"/>
  <c r="AG54" i="5"/>
  <c r="AG24" i="4"/>
  <c r="AG25" i="4" s="1"/>
  <c r="AG36" i="4"/>
  <c r="AG12" i="4"/>
  <c r="AG43" i="4" s="1"/>
  <c r="AG7" i="4"/>
  <c r="FZ45" i="11"/>
  <c r="FZ52" i="11"/>
  <c r="AJ8" i="10" l="1"/>
  <c r="EK75" i="11" s="1"/>
  <c r="C11" i="81"/>
  <c r="C21" i="81"/>
  <c r="C25" i="81" s="1"/>
  <c r="AH7" i="5"/>
  <c r="D4" i="81" s="1"/>
  <c r="AI11" i="4"/>
  <c r="AI12" i="4" s="1"/>
  <c r="AI43" i="4" s="1"/>
  <c r="AH24" i="4"/>
  <c r="AH25" i="4" s="1"/>
  <c r="AH36" i="4"/>
  <c r="GA76" i="11" s="1"/>
  <c r="AH7" i="4"/>
  <c r="AH21" i="4" s="1"/>
  <c r="FZ16" i="11"/>
  <c r="Q79" i="60"/>
  <c r="Q48" i="60" s="1"/>
  <c r="Q168" i="60"/>
  <c r="Q166" i="60" s="1"/>
  <c r="Q139" i="60" s="1"/>
  <c r="Q182" i="60" s="1"/>
  <c r="Q117" i="60"/>
  <c r="Q169" i="60" s="1"/>
  <c r="AG37" i="4"/>
  <c r="FZ76" i="11"/>
  <c r="FZ68" i="11"/>
  <c r="FZ58" i="11"/>
  <c r="FZ47" i="11"/>
  <c r="FZ54" i="11"/>
  <c r="FZ53" i="11"/>
  <c r="FZ65" i="11"/>
  <c r="FZ22" i="11"/>
  <c r="AG8" i="4"/>
  <c r="FZ77" i="11"/>
  <c r="AG21" i="4"/>
  <c r="AG22" i="4" s="1"/>
  <c r="AG60" i="5"/>
  <c r="Q32" i="60"/>
  <c r="Q13" i="60"/>
  <c r="Q190" i="60"/>
  <c r="Q122" i="60"/>
  <c r="Q91" i="60" s="1"/>
  <c r="AJ45" i="9" l="1"/>
  <c r="AJ47" i="9" s="1"/>
  <c r="AJ27" i="10"/>
  <c r="AJ47" i="10" s="1"/>
  <c r="AJ71" i="10" s="1"/>
  <c r="AH11" i="5"/>
  <c r="GA12" i="11" s="1"/>
  <c r="Q53" i="60"/>
  <c r="Q81" i="60" s="1"/>
  <c r="Q52" i="60"/>
  <c r="AH31" i="5"/>
  <c r="D13" i="81" s="1"/>
  <c r="D14" i="81" s="1"/>
  <c r="AH17" i="5"/>
  <c r="AH18" i="5" s="1"/>
  <c r="R6" i="60"/>
  <c r="R38" i="60" s="1"/>
  <c r="AH8" i="5"/>
  <c r="D5" i="81" s="1"/>
  <c r="GA10" i="11"/>
  <c r="GA62" i="11" s="1"/>
  <c r="AH29" i="5"/>
  <c r="AK69" i="9"/>
  <c r="AK70" i="10" s="1"/>
  <c r="AI7" i="4"/>
  <c r="AI21" i="4" s="1"/>
  <c r="AI22" i="4" s="1"/>
  <c r="AH37" i="4"/>
  <c r="AI7" i="5"/>
  <c r="E4" i="81" s="1"/>
  <c r="AJ11" i="4"/>
  <c r="AJ36" i="4" s="1"/>
  <c r="AH8" i="4"/>
  <c r="AI24" i="4"/>
  <c r="AI25" i="4" s="1"/>
  <c r="AI36" i="4"/>
  <c r="GB76" i="11" s="1"/>
  <c r="GA77" i="11"/>
  <c r="AO7" i="4"/>
  <c r="AH22" i="4"/>
  <c r="Q164" i="60"/>
  <c r="Q162" i="60" s="1"/>
  <c r="Q138" i="60" s="1"/>
  <c r="Q116" i="60"/>
  <c r="Q165" i="60" s="1"/>
  <c r="Q34" i="60"/>
  <c r="Q29" i="60"/>
  <c r="Q43" i="60" s="1"/>
  <c r="Q41" i="60"/>
  <c r="Q17" i="60"/>
  <c r="FZ36" i="11"/>
  <c r="FZ37" i="11" s="1"/>
  <c r="AG70" i="5"/>
  <c r="AG75" i="5"/>
  <c r="FZ69" i="11"/>
  <c r="FZ59" i="11"/>
  <c r="Q96" i="60"/>
  <c r="FZ55" i="11"/>
  <c r="FZ56" i="11"/>
  <c r="FZ26" i="11"/>
  <c r="FZ32" i="11" s="1"/>
  <c r="FZ57" i="11" s="1"/>
  <c r="AJ61" i="10" l="1"/>
  <c r="AJ62" i="10" s="1"/>
  <c r="Q71" i="60"/>
  <c r="GA14" i="11"/>
  <c r="GA51" i="11" s="1"/>
  <c r="R8" i="60"/>
  <c r="R10" i="60" s="1"/>
  <c r="R32" i="60" s="1"/>
  <c r="AK70" i="9"/>
  <c r="AK76" i="9" s="1"/>
  <c r="AK80" i="9" s="1"/>
  <c r="Q50" i="60"/>
  <c r="Q55" i="60"/>
  <c r="GA52" i="11"/>
  <c r="AH36" i="5"/>
  <c r="AH37" i="5" s="1"/>
  <c r="AO11" i="4"/>
  <c r="AI8" i="4"/>
  <c r="R28" i="60"/>
  <c r="R69" i="60" s="1"/>
  <c r="R112" i="60" s="1"/>
  <c r="R158" i="60" s="1"/>
  <c r="AH23" i="5"/>
  <c r="AK11" i="10"/>
  <c r="AK18" i="9" s="1"/>
  <c r="AI29" i="5"/>
  <c r="AI37" i="4"/>
  <c r="AK87" i="9"/>
  <c r="AI31" i="5"/>
  <c r="S6" i="60"/>
  <c r="S38" i="60" s="1"/>
  <c r="AL69" i="9"/>
  <c r="AL87" i="9" s="1"/>
  <c r="GB77" i="11"/>
  <c r="AJ24" i="4"/>
  <c r="AJ25" i="4" s="1"/>
  <c r="AK11" i="4"/>
  <c r="AK24" i="4" s="1"/>
  <c r="AJ7" i="4"/>
  <c r="AJ8" i="4" s="1"/>
  <c r="AJ12" i="4"/>
  <c r="AJ43" i="4" s="1"/>
  <c r="AJ7" i="5"/>
  <c r="AI17" i="5"/>
  <c r="AI18" i="5" s="1"/>
  <c r="AI11" i="5"/>
  <c r="S8" i="60" s="1"/>
  <c r="GB10" i="11"/>
  <c r="GB62" i="11" s="1"/>
  <c r="AI8" i="5"/>
  <c r="E5" i="81" s="1"/>
  <c r="Q95" i="60"/>
  <c r="Q98" i="60" s="1"/>
  <c r="Q118" i="60" s="1"/>
  <c r="AJ49" i="9"/>
  <c r="AN41" i="7"/>
  <c r="AN47" i="7" s="1"/>
  <c r="AJ62" i="9"/>
  <c r="AJ65" i="9" s="1"/>
  <c r="AJ65" i="10"/>
  <c r="Q124" i="60"/>
  <c r="Q114" i="60"/>
  <c r="Q90" i="60"/>
  <c r="AG76" i="5"/>
  <c r="FZ34" i="11"/>
  <c r="FZ66" i="11" s="1"/>
  <c r="AO36" i="4"/>
  <c r="AJ37" i="4"/>
  <c r="GC76" i="11"/>
  <c r="R85" i="60"/>
  <c r="R86" i="60" s="1"/>
  <c r="R128" i="60"/>
  <c r="Q23" i="60"/>
  <c r="Q25" i="60" s="1"/>
  <c r="Q42" i="60" s="1"/>
  <c r="Q186" i="60" s="1"/>
  <c r="Q35" i="60"/>
  <c r="Q141" i="60"/>
  <c r="Q136" i="60"/>
  <c r="AK75" i="9" l="1"/>
  <c r="AK79" i="9" s="1"/>
  <c r="Q59" i="60"/>
  <c r="Q70" i="60"/>
  <c r="Q82" i="60"/>
  <c r="AJ29" i="5"/>
  <c r="F4" i="81"/>
  <c r="AL11" i="10"/>
  <c r="AL18" i="9" s="1"/>
  <c r="E13" i="81"/>
  <c r="E14" i="81" s="1"/>
  <c r="GC77" i="11"/>
  <c r="R11" i="60"/>
  <c r="R13" i="60" s="1"/>
  <c r="R29" i="60" s="1"/>
  <c r="R43" i="60" s="1"/>
  <c r="AH53" i="5"/>
  <c r="AH72" i="5" s="1"/>
  <c r="AH42" i="5"/>
  <c r="AL70" i="10"/>
  <c r="AK36" i="4"/>
  <c r="GD76" i="11" s="1"/>
  <c r="AO36" i="5"/>
  <c r="AJ21" i="4"/>
  <c r="AJ22" i="4" s="1"/>
  <c r="AJ17" i="5"/>
  <c r="AJ18" i="5" s="1"/>
  <c r="AK7" i="5"/>
  <c r="AK7" i="4"/>
  <c r="AK21" i="4" s="1"/>
  <c r="AK12" i="4"/>
  <c r="AK43" i="4" s="1"/>
  <c r="AI36" i="5"/>
  <c r="AI37" i="5" s="1"/>
  <c r="AI23" i="5"/>
  <c r="S28" i="60"/>
  <c r="S69" i="60" s="1"/>
  <c r="S112" i="60" s="1"/>
  <c r="S158" i="60" s="1"/>
  <c r="AJ11" i="5"/>
  <c r="AM70" i="9" s="1"/>
  <c r="AJ8" i="5"/>
  <c r="F5" i="81" s="1"/>
  <c r="GC10" i="11"/>
  <c r="GC62" i="11" s="1"/>
  <c r="AJ31" i="5"/>
  <c r="F13" i="81" s="1"/>
  <c r="AO7" i="5"/>
  <c r="S10" i="60"/>
  <c r="S32" i="60" s="1"/>
  <c r="AK25" i="4"/>
  <c r="GB52" i="11"/>
  <c r="T6" i="60"/>
  <c r="AM69" i="9"/>
  <c r="AM87" i="9" s="1"/>
  <c r="AL70" i="9"/>
  <c r="AL76" i="9" s="1"/>
  <c r="AL80" i="9" s="1"/>
  <c r="GB12" i="11"/>
  <c r="GB14" i="11" s="1"/>
  <c r="GB51" i="11" s="1"/>
  <c r="Q93" i="60"/>
  <c r="Q113" i="60"/>
  <c r="Q127" i="60" s="1"/>
  <c r="Q125" i="60"/>
  <c r="Q102" i="60"/>
  <c r="T38" i="60"/>
  <c r="Q183" i="60"/>
  <c r="Q170" i="60"/>
  <c r="Q159" i="60"/>
  <c r="Q185" i="60" s="1"/>
  <c r="Q145" i="60"/>
  <c r="AJ9" i="9"/>
  <c r="AK60" i="10"/>
  <c r="Q173" i="60"/>
  <c r="Q171" i="60" s="1"/>
  <c r="Q119" i="60"/>
  <c r="Q174" i="60" s="1"/>
  <c r="Q76" i="60"/>
  <c r="R129" i="60"/>
  <c r="R189" i="60"/>
  <c r="R187" i="60" s="1"/>
  <c r="R177" i="60" s="1"/>
  <c r="R134" i="60" s="1"/>
  <c r="AN59" i="7"/>
  <c r="AN53" i="7"/>
  <c r="EK74" i="11" s="1"/>
  <c r="S128" i="60"/>
  <c r="S85" i="60"/>
  <c r="S86" i="60" s="1"/>
  <c r="R188" i="60"/>
  <c r="R79" i="60"/>
  <c r="R48" i="60" s="1"/>
  <c r="R164" i="60"/>
  <c r="R162" i="60" s="1"/>
  <c r="R116" i="60"/>
  <c r="R165" i="60" s="1"/>
  <c r="C31" i="81" l="1"/>
  <c r="C32" i="81" s="1"/>
  <c r="C39" i="81" s="1"/>
  <c r="L58" i="52"/>
  <c r="Q84" i="60"/>
  <c r="AK17" i="5"/>
  <c r="G4" i="81"/>
  <c r="F14" i="81"/>
  <c r="AH43" i="5"/>
  <c r="D6" i="81"/>
  <c r="Q61" i="60"/>
  <c r="Q64" i="60" s="1"/>
  <c r="Q66" i="60" s="1"/>
  <c r="Q83" i="60" s="1"/>
  <c r="AH44" i="5"/>
  <c r="GD10" i="11"/>
  <c r="GD62" i="11" s="1"/>
  <c r="GD77" i="11"/>
  <c r="AK11" i="5"/>
  <c r="GD12" i="11" s="1"/>
  <c r="R34" i="60"/>
  <c r="R40" i="60"/>
  <c r="AH45" i="5"/>
  <c r="AH56" i="5"/>
  <c r="AH66" i="5" s="1"/>
  <c r="AH54" i="5"/>
  <c r="AH64" i="5"/>
  <c r="GA28" i="11" s="1"/>
  <c r="GA45" i="11"/>
  <c r="GA58" i="11" s="1"/>
  <c r="AK22" i="4"/>
  <c r="GC52" i="11"/>
  <c r="AH47" i="4"/>
  <c r="AH48" i="4" s="1"/>
  <c r="GA18" i="11"/>
  <c r="GA54" i="11" s="1"/>
  <c r="AK31" i="5"/>
  <c r="R33" i="60"/>
  <c r="R168" i="60" s="1"/>
  <c r="R166" i="60" s="1"/>
  <c r="R139" i="60" s="1"/>
  <c r="R182" i="60" s="1"/>
  <c r="R41" i="60"/>
  <c r="AK37" i="4"/>
  <c r="R17" i="60"/>
  <c r="AK29" i="5"/>
  <c r="AN69" i="9"/>
  <c r="AN87" i="9" s="1"/>
  <c r="AI42" i="5"/>
  <c r="AK8" i="5"/>
  <c r="AI53" i="5"/>
  <c r="AI54" i="5" s="1"/>
  <c r="U6" i="60"/>
  <c r="U38" i="60" s="1"/>
  <c r="AJ36" i="5"/>
  <c r="AJ42" i="5" s="1"/>
  <c r="GC12" i="11"/>
  <c r="GC14" i="11" s="1"/>
  <c r="GC51" i="11" s="1"/>
  <c r="S11" i="60"/>
  <c r="S40" i="60" s="1"/>
  <c r="AJ23" i="5"/>
  <c r="AO11" i="5"/>
  <c r="AM11" i="10"/>
  <c r="AM18" i="9" s="1"/>
  <c r="T28" i="60"/>
  <c r="T69" i="60" s="1"/>
  <c r="T112" i="60" s="1"/>
  <c r="T158" i="60" s="1"/>
  <c r="T8" i="60"/>
  <c r="T10" i="60" s="1"/>
  <c r="T32" i="60" s="1"/>
  <c r="AK8" i="4"/>
  <c r="AM70" i="10"/>
  <c r="AL75" i="9"/>
  <c r="AL79" i="9" s="1"/>
  <c r="Q104" i="60"/>
  <c r="Q107" i="60" s="1"/>
  <c r="Q109" i="60" s="1"/>
  <c r="Q126" i="60" s="1"/>
  <c r="S164" i="60"/>
  <c r="S162" i="60" s="1"/>
  <c r="S116" i="60"/>
  <c r="S165" i="60" s="1"/>
  <c r="R138" i="60"/>
  <c r="Q147" i="60"/>
  <c r="Q150" i="60" s="1"/>
  <c r="Q152" i="60" s="1"/>
  <c r="Q184" i="60" s="1"/>
  <c r="AM76" i="9"/>
  <c r="AM80" i="9" s="1"/>
  <c r="AM75" i="9"/>
  <c r="AM79" i="9" s="1"/>
  <c r="R190" i="60"/>
  <c r="R122" i="60"/>
  <c r="R91" i="60" s="1"/>
  <c r="T128" i="60"/>
  <c r="T85" i="60"/>
  <c r="T86" i="60" s="1"/>
  <c r="S189" i="60"/>
  <c r="S187" i="60" s="1"/>
  <c r="S177" i="60" s="1"/>
  <c r="S134" i="60" s="1"/>
  <c r="S129" i="60"/>
  <c r="Q172" i="60"/>
  <c r="AP11" i="7"/>
  <c r="AJ61" i="9"/>
  <c r="AJ66" i="9" s="1"/>
  <c r="N58" i="52"/>
  <c r="N60" i="52" s="1"/>
  <c r="AJ16" i="9"/>
  <c r="AJ23" i="9" s="1"/>
  <c r="AH73" i="5"/>
  <c r="GA35" i="11"/>
  <c r="S188" i="60"/>
  <c r="S79" i="60"/>
  <c r="S48" i="60" s="1"/>
  <c r="R53" i="60"/>
  <c r="R52" i="60"/>
  <c r="R50" i="60" s="1"/>
  <c r="C45" i="81" l="1"/>
  <c r="Q58" i="52"/>
  <c r="S58" i="52" s="1"/>
  <c r="L60" i="52"/>
  <c r="Q60" i="52" s="1"/>
  <c r="H5" i="81"/>
  <c r="H4" i="81" s="1"/>
  <c r="I4" i="81" s="1"/>
  <c r="G5" i="81"/>
  <c r="AK23" i="5"/>
  <c r="G13" i="81"/>
  <c r="G14" i="81" s="1"/>
  <c r="H14" i="81" s="1"/>
  <c r="I14" i="81" s="1"/>
  <c r="J14" i="81" s="1"/>
  <c r="K14" i="81" s="1"/>
  <c r="D7" i="81"/>
  <c r="D9" i="81"/>
  <c r="D10" i="81" s="1"/>
  <c r="AJ45" i="5"/>
  <c r="F6" i="81"/>
  <c r="AI45" i="5"/>
  <c r="E6" i="81"/>
  <c r="GD14" i="11"/>
  <c r="GD51" i="11" s="1"/>
  <c r="AH59" i="5"/>
  <c r="AH60" i="5" s="1"/>
  <c r="U8" i="60"/>
  <c r="AN70" i="9"/>
  <c r="AN76" i="9" s="1"/>
  <c r="AN80" i="9" s="1"/>
  <c r="GD52" i="11"/>
  <c r="U28" i="60"/>
  <c r="U69" i="60" s="1"/>
  <c r="U112" i="60" s="1"/>
  <c r="U158" i="60" s="1"/>
  <c r="AK36" i="5"/>
  <c r="AK42" i="5" s="1"/>
  <c r="GA53" i="11"/>
  <c r="R19" i="60"/>
  <c r="R23" i="60" s="1"/>
  <c r="R25" i="60" s="1"/>
  <c r="R42" i="60" s="1"/>
  <c r="R186" i="60" s="1"/>
  <c r="AI47" i="4"/>
  <c r="AI48" i="4" s="1"/>
  <c r="AI43" i="5"/>
  <c r="AN11" i="10"/>
  <c r="AN18" i="9" s="1"/>
  <c r="AJ47" i="4"/>
  <c r="AJ48" i="4" s="1"/>
  <c r="AN70" i="10"/>
  <c r="U10" i="60"/>
  <c r="U32" i="60" s="1"/>
  <c r="GB18" i="11"/>
  <c r="GB22" i="11" s="1"/>
  <c r="GA24" i="11"/>
  <c r="GC45" i="11"/>
  <c r="GC47" i="11" s="1"/>
  <c r="AI44" i="5"/>
  <c r="AJ44" i="5"/>
  <c r="GA16" i="11"/>
  <c r="GA68" i="11"/>
  <c r="R117" i="60"/>
  <c r="R169" i="60" s="1"/>
  <c r="AJ53" i="5"/>
  <c r="AJ72" i="5" s="1"/>
  <c r="GB45" i="11"/>
  <c r="GB47" i="11" s="1"/>
  <c r="AJ43" i="5"/>
  <c r="T11" i="60"/>
  <c r="T13" i="60" s="1"/>
  <c r="T34" i="60" s="1"/>
  <c r="GA22" i="11"/>
  <c r="GA55" i="11" s="1"/>
  <c r="AJ37" i="5"/>
  <c r="GA65" i="11"/>
  <c r="GC18" i="11"/>
  <c r="GC16" i="11" s="1"/>
  <c r="GA47" i="11"/>
  <c r="AI56" i="5"/>
  <c r="AI59" i="5" s="1"/>
  <c r="AI72" i="5"/>
  <c r="GB35" i="11" s="1"/>
  <c r="GB67" i="11" s="1"/>
  <c r="S33" i="60"/>
  <c r="S117" i="60" s="1"/>
  <c r="S169" i="60" s="1"/>
  <c r="AI64" i="5"/>
  <c r="GB28" i="11" s="1"/>
  <c r="S13" i="60"/>
  <c r="S41" i="60" s="1"/>
  <c r="S138" i="60"/>
  <c r="S136" i="60" s="1"/>
  <c r="S53" i="60"/>
  <c r="S52" i="60"/>
  <c r="S50" i="60" s="1"/>
  <c r="AH67" i="5"/>
  <c r="AK72" i="9"/>
  <c r="AO66" i="5"/>
  <c r="AK8" i="10"/>
  <c r="R71" i="60"/>
  <c r="R81" i="60"/>
  <c r="T79" i="60"/>
  <c r="T48" i="60" s="1"/>
  <c r="T188" i="60"/>
  <c r="R141" i="60"/>
  <c r="T116" i="60"/>
  <c r="T165" i="60" s="1"/>
  <c r="T164" i="60"/>
  <c r="T162" i="60" s="1"/>
  <c r="T129" i="60"/>
  <c r="T189" i="60"/>
  <c r="T187" i="60" s="1"/>
  <c r="T177" i="60" s="1"/>
  <c r="T134" i="60" s="1"/>
  <c r="U128" i="60"/>
  <c r="U129" i="60" s="1"/>
  <c r="U122" i="60" s="1"/>
  <c r="U85" i="60"/>
  <c r="U86" i="60" s="1"/>
  <c r="U79" i="60" s="1"/>
  <c r="AJ63" i="9"/>
  <c r="AJ56" i="9"/>
  <c r="R55" i="60"/>
  <c r="S122" i="60"/>
  <c r="S91" i="60" s="1"/>
  <c r="S190" i="60"/>
  <c r="R95" i="60"/>
  <c r="R93" i="60" s="1"/>
  <c r="R136" i="60"/>
  <c r="S60" i="52" l="1"/>
  <c r="GA59" i="11"/>
  <c r="L54" i="52"/>
  <c r="L56" i="52" s="1"/>
  <c r="L62" i="52" s="1"/>
  <c r="L64" i="52" s="1"/>
  <c r="L68" i="52" s="1"/>
  <c r="AB45" i="52" s="1"/>
  <c r="I13" i="81"/>
  <c r="J4" i="81"/>
  <c r="K4" i="81" s="1"/>
  <c r="H13" i="81"/>
  <c r="R35" i="60"/>
  <c r="R76" i="60" s="1"/>
  <c r="R172" i="60" s="1"/>
  <c r="F7" i="81"/>
  <c r="F9" i="81"/>
  <c r="F10" i="81" s="1"/>
  <c r="AK47" i="4"/>
  <c r="AK48" i="4" s="1"/>
  <c r="G6" i="81"/>
  <c r="E7" i="81"/>
  <c r="E9" i="81"/>
  <c r="E10" i="81" s="1"/>
  <c r="D11" i="81"/>
  <c r="D21" i="81"/>
  <c r="D25" i="81" s="1"/>
  <c r="AH69" i="5"/>
  <c r="GA36" i="11" s="1"/>
  <c r="GA37" i="11" s="1"/>
  <c r="AN75" i="9"/>
  <c r="AN79" i="9" s="1"/>
  <c r="AK53" i="5"/>
  <c r="AK54" i="5" s="1"/>
  <c r="GD18" i="11"/>
  <c r="GD53" i="11" s="1"/>
  <c r="GD45" i="11"/>
  <c r="GD58" i="11" s="1"/>
  <c r="AK37" i="5"/>
  <c r="AK43" i="5"/>
  <c r="U11" i="60"/>
  <c r="U13" i="60" s="1"/>
  <c r="GC58" i="11"/>
  <c r="S168" i="60"/>
  <c r="S166" i="60" s="1"/>
  <c r="S139" i="60" s="1"/>
  <c r="S182" i="60" s="1"/>
  <c r="GB54" i="11"/>
  <c r="T33" i="60"/>
  <c r="T168" i="60" s="1"/>
  <c r="T166" i="60" s="1"/>
  <c r="T139" i="60" s="1"/>
  <c r="AO47" i="4"/>
  <c r="GB68" i="11"/>
  <c r="GC65" i="11"/>
  <c r="GB65" i="11"/>
  <c r="N54" i="52"/>
  <c r="N56" i="52" s="1"/>
  <c r="N62" i="52" s="1"/>
  <c r="N64" i="52" s="1"/>
  <c r="N68" i="52" s="1"/>
  <c r="GB53" i="11"/>
  <c r="GB16" i="11"/>
  <c r="GB24" i="11"/>
  <c r="GB56" i="11" s="1"/>
  <c r="GB58" i="11"/>
  <c r="GC68" i="11"/>
  <c r="GC54" i="11"/>
  <c r="GC53" i="11"/>
  <c r="R96" i="60"/>
  <c r="R114" i="60" s="1"/>
  <c r="GA26" i="11"/>
  <c r="GA32" i="11" s="1"/>
  <c r="GA57" i="11" s="1"/>
  <c r="GC22" i="11"/>
  <c r="GC55" i="11" s="1"/>
  <c r="AJ54" i="5"/>
  <c r="AI66" i="5"/>
  <c r="AL72" i="9" s="1"/>
  <c r="S17" i="60"/>
  <c r="AJ56" i="5"/>
  <c r="AJ66" i="5" s="1"/>
  <c r="AM72" i="9" s="1"/>
  <c r="AJ64" i="5"/>
  <c r="GC28" i="11" s="1"/>
  <c r="GA56" i="11"/>
  <c r="S19" i="60"/>
  <c r="T40" i="60"/>
  <c r="GA69" i="11"/>
  <c r="AI73" i="5"/>
  <c r="S29" i="60"/>
  <c r="S43" i="60" s="1"/>
  <c r="S34" i="60"/>
  <c r="T41" i="60"/>
  <c r="T17" i="60"/>
  <c r="T29" i="60"/>
  <c r="U134" i="60"/>
  <c r="T138" i="60"/>
  <c r="T53" i="60"/>
  <c r="U48" i="60"/>
  <c r="T52" i="60"/>
  <c r="S96" i="60"/>
  <c r="S95" i="60"/>
  <c r="AI60" i="5"/>
  <c r="AI69" i="5"/>
  <c r="T190" i="60"/>
  <c r="T122" i="60"/>
  <c r="T91" i="60" s="1"/>
  <c r="GC59" i="11"/>
  <c r="GC69" i="11"/>
  <c r="GB69" i="11"/>
  <c r="GB59" i="11"/>
  <c r="AO72" i="5"/>
  <c r="GC35" i="11"/>
  <c r="GC67" i="11" s="1"/>
  <c r="AJ73" i="5"/>
  <c r="GB55" i="11"/>
  <c r="R82" i="60"/>
  <c r="R75" i="60"/>
  <c r="R70" i="60"/>
  <c r="R59" i="60"/>
  <c r="S71" i="60"/>
  <c r="S81" i="60"/>
  <c r="U164" i="60"/>
  <c r="U162" i="60" s="1"/>
  <c r="U116" i="60"/>
  <c r="U165" i="60" s="1"/>
  <c r="R170" i="60"/>
  <c r="R183" i="60"/>
  <c r="R145" i="60"/>
  <c r="R159" i="60"/>
  <c r="R185" i="60" s="1"/>
  <c r="AK27" i="10"/>
  <c r="AK45" i="9"/>
  <c r="S55" i="60"/>
  <c r="R173" i="60" l="1"/>
  <c r="R171" i="60" s="1"/>
  <c r="R147" i="60" s="1"/>
  <c r="R150" i="60" s="1"/>
  <c r="R152" i="60" s="1"/>
  <c r="R184" i="60" s="1"/>
  <c r="J13" i="81"/>
  <c r="R84" i="60"/>
  <c r="Q54" i="52"/>
  <c r="Q56" i="52" s="1"/>
  <c r="Q62" i="52" s="1"/>
  <c r="Q64" i="52" s="1"/>
  <c r="Q68" i="52" s="1"/>
  <c r="R119" i="60"/>
  <c r="R174" i="60" s="1"/>
  <c r="R124" i="60"/>
  <c r="F21" i="81"/>
  <c r="F25" i="81" s="1"/>
  <c r="F11" i="81"/>
  <c r="G9" i="81"/>
  <c r="G10" i="81" s="1"/>
  <c r="G7" i="81"/>
  <c r="H7" i="81" s="1"/>
  <c r="E11" i="81"/>
  <c r="E21" i="81"/>
  <c r="E25" i="81" s="1"/>
  <c r="AO69" i="5"/>
  <c r="AH70" i="5"/>
  <c r="U40" i="60"/>
  <c r="AK64" i="5"/>
  <c r="AK72" i="5"/>
  <c r="GD35" i="11" s="1"/>
  <c r="GD67" i="11" s="1"/>
  <c r="AK56" i="5"/>
  <c r="AK59" i="5" s="1"/>
  <c r="AK60" i="5" s="1"/>
  <c r="GD54" i="11"/>
  <c r="AH75" i="5"/>
  <c r="AH76" i="5" s="1"/>
  <c r="GD16" i="11"/>
  <c r="U33" i="60"/>
  <c r="U168" i="60" s="1"/>
  <c r="U166" i="60" s="1"/>
  <c r="U139" i="60" s="1"/>
  <c r="U182" i="60" s="1"/>
  <c r="GD22" i="11"/>
  <c r="GD55" i="11" s="1"/>
  <c r="GD65" i="11"/>
  <c r="S141" i="60"/>
  <c r="S170" i="60" s="1"/>
  <c r="T182" i="60"/>
  <c r="GD47" i="11"/>
  <c r="GD59" i="11" s="1"/>
  <c r="GD68" i="11"/>
  <c r="T117" i="60"/>
  <c r="T169" i="60" s="1"/>
  <c r="T43" i="60"/>
  <c r="GB26" i="11"/>
  <c r="GB32" i="11" s="1"/>
  <c r="GB57" i="11" s="1"/>
  <c r="AI67" i="5"/>
  <c r="R98" i="60"/>
  <c r="R102" i="60" s="1"/>
  <c r="AL8" i="10"/>
  <c r="AL27" i="10" s="1"/>
  <c r="AL61" i="10" s="1"/>
  <c r="AL65" i="10" s="1"/>
  <c r="S23" i="60"/>
  <c r="S25" i="60" s="1"/>
  <c r="S42" i="60" s="1"/>
  <c r="S186" i="60" s="1"/>
  <c r="AJ67" i="5"/>
  <c r="GC24" i="11"/>
  <c r="GC56" i="11" s="1"/>
  <c r="AM8" i="10"/>
  <c r="AM27" i="10" s="1"/>
  <c r="AM61" i="10" s="1"/>
  <c r="AM65" i="10" s="1"/>
  <c r="AJ59" i="5"/>
  <c r="AJ69" i="5" s="1"/>
  <c r="GC36" i="11" s="1"/>
  <c r="GC37" i="11" s="1"/>
  <c r="T19" i="60"/>
  <c r="T35" i="60" s="1"/>
  <c r="T76" i="60" s="1"/>
  <c r="T172" i="60" s="1"/>
  <c r="S35" i="60"/>
  <c r="S76" i="60" s="1"/>
  <c r="S172" i="60" s="1"/>
  <c r="S98" i="60"/>
  <c r="T55" i="60"/>
  <c r="T75" i="60" s="1"/>
  <c r="T95" i="60"/>
  <c r="T93" i="60" s="1"/>
  <c r="U91" i="60"/>
  <c r="S82" i="60"/>
  <c r="S75" i="60"/>
  <c r="S70" i="60"/>
  <c r="S84" i="60" s="1"/>
  <c r="S59" i="60"/>
  <c r="T141" i="60"/>
  <c r="U53" i="60"/>
  <c r="U52" i="60"/>
  <c r="U138" i="60"/>
  <c r="U136" i="60" s="1"/>
  <c r="AK47" i="9"/>
  <c r="AK61" i="10"/>
  <c r="AK47" i="10"/>
  <c r="AK71" i="10" s="1"/>
  <c r="K13" i="81"/>
  <c r="K6" i="81"/>
  <c r="U34" i="60"/>
  <c r="U41" i="60"/>
  <c r="U29" i="60"/>
  <c r="U43" i="60" s="1"/>
  <c r="U17" i="60"/>
  <c r="AI70" i="5"/>
  <c r="AI75" i="5"/>
  <c r="GB36" i="11"/>
  <c r="GB37" i="11" s="1"/>
  <c r="S114" i="60"/>
  <c r="S124" i="60"/>
  <c r="T81" i="60"/>
  <c r="T71" i="60"/>
  <c r="T136" i="60"/>
  <c r="R61" i="60"/>
  <c r="R64" i="60" s="1"/>
  <c r="R66" i="60" s="1"/>
  <c r="R83" i="60" s="1"/>
  <c r="S93" i="60"/>
  <c r="T50" i="60"/>
  <c r="I7" i="81" l="1"/>
  <c r="H6" i="81"/>
  <c r="H9" i="81" s="1"/>
  <c r="H10" i="81" s="1"/>
  <c r="G21" i="81"/>
  <c r="G25" i="81" s="1"/>
  <c r="G11" i="81"/>
  <c r="AK69" i="5"/>
  <c r="AK70" i="5" s="1"/>
  <c r="GD24" i="11"/>
  <c r="GD56" i="11" s="1"/>
  <c r="U19" i="60"/>
  <c r="U23" i="60" s="1"/>
  <c r="U25" i="60" s="1"/>
  <c r="AK66" i="5"/>
  <c r="AN72" i="9" s="1"/>
  <c r="U117" i="60"/>
  <c r="U169" i="60" s="1"/>
  <c r="GA34" i="11"/>
  <c r="S159" i="60"/>
  <c r="S185" i="60" s="1"/>
  <c r="S145" i="60"/>
  <c r="S183" i="60"/>
  <c r="GD69" i="11"/>
  <c r="T96" i="60"/>
  <c r="T124" i="60" s="1"/>
  <c r="R113" i="60"/>
  <c r="R118" i="60"/>
  <c r="R125" i="60"/>
  <c r="S125" i="60"/>
  <c r="AL47" i="10"/>
  <c r="AL71" i="10" s="1"/>
  <c r="S119" i="60"/>
  <c r="S174" i="60" s="1"/>
  <c r="AL45" i="9"/>
  <c r="AM45" i="9" s="1"/>
  <c r="GC26" i="11"/>
  <c r="GC32" i="11" s="1"/>
  <c r="GC57" i="11" s="1"/>
  <c r="S173" i="60"/>
  <c r="S171" i="60" s="1"/>
  <c r="AJ70" i="5"/>
  <c r="AJ75" i="5"/>
  <c r="AO75" i="5" s="1"/>
  <c r="AJ60" i="5"/>
  <c r="AM47" i="10"/>
  <c r="AM71" i="10" s="1"/>
  <c r="T23" i="60"/>
  <c r="T25" i="60" s="1"/>
  <c r="T42" i="60" s="1"/>
  <c r="T186" i="60" s="1"/>
  <c r="AO59" i="5"/>
  <c r="T119" i="60"/>
  <c r="T174" i="60" s="1"/>
  <c r="T173" i="60"/>
  <c r="T171" i="60" s="1"/>
  <c r="T59" i="60"/>
  <c r="T61" i="60" s="1"/>
  <c r="T64" i="60" s="1"/>
  <c r="T66" i="60" s="1"/>
  <c r="T82" i="60"/>
  <c r="T70" i="60"/>
  <c r="T84" i="60" s="1"/>
  <c r="S113" i="60"/>
  <c r="S118" i="60"/>
  <c r="S102" i="60"/>
  <c r="R104" i="60"/>
  <c r="R107" i="60" s="1"/>
  <c r="R109" i="60" s="1"/>
  <c r="R126" i="60" s="1"/>
  <c r="AK65" i="10"/>
  <c r="AK62" i="10"/>
  <c r="U81" i="60"/>
  <c r="U71" i="60"/>
  <c r="S61" i="60"/>
  <c r="S64" i="60" s="1"/>
  <c r="S66" i="60" s="1"/>
  <c r="S83" i="60" s="1"/>
  <c r="AI76" i="5"/>
  <c r="GB34" i="11"/>
  <c r="AK49" i="9"/>
  <c r="AK62" i="9"/>
  <c r="AK65" i="9" s="1"/>
  <c r="U55" i="60"/>
  <c r="U95" i="60"/>
  <c r="K9" i="81"/>
  <c r="K10" i="81" s="1"/>
  <c r="U141" i="60"/>
  <c r="U50" i="60"/>
  <c r="T183" i="60"/>
  <c r="T170" i="60"/>
  <c r="T145" i="60"/>
  <c r="T159" i="60"/>
  <c r="R127" i="60" l="1"/>
  <c r="S54" i="52"/>
  <c r="S56" i="52" s="1"/>
  <c r="S62" i="52" s="1"/>
  <c r="S64" i="52" s="1"/>
  <c r="S68" i="52" s="1"/>
  <c r="H11" i="81"/>
  <c r="H21" i="81"/>
  <c r="H25" i="81" s="1"/>
  <c r="J7" i="81"/>
  <c r="J6" i="81" s="1"/>
  <c r="J9" i="81" s="1"/>
  <c r="J10" i="81" s="1"/>
  <c r="I6" i="81"/>
  <c r="I9" i="81" s="1"/>
  <c r="I10" i="81" s="1"/>
  <c r="GD26" i="11"/>
  <c r="GD32" i="11" s="1"/>
  <c r="GD57" i="11" s="1"/>
  <c r="U35" i="60"/>
  <c r="U119" i="60" s="1"/>
  <c r="U174" i="60" s="1"/>
  <c r="AK75" i="5"/>
  <c r="GD34" i="11" s="1"/>
  <c r="S104" i="60"/>
  <c r="S107" i="60" s="1"/>
  <c r="S109" i="60" s="1"/>
  <c r="S126" i="60" s="1"/>
  <c r="U96" i="60"/>
  <c r="U114" i="60" s="1"/>
  <c r="AK67" i="5"/>
  <c r="S127" i="60"/>
  <c r="AN8" i="10"/>
  <c r="AN27" i="10" s="1"/>
  <c r="AN61" i="10" s="1"/>
  <c r="AN65" i="10" s="1"/>
  <c r="GB66" i="11"/>
  <c r="S147" i="60"/>
  <c r="S150" i="60" s="1"/>
  <c r="S152" i="60" s="1"/>
  <c r="S184" i="60" s="1"/>
  <c r="T185" i="60"/>
  <c r="T114" i="60"/>
  <c r="T98" i="60"/>
  <c r="T102" i="60" s="1"/>
  <c r="AL47" i="9"/>
  <c r="AL62" i="9" s="1"/>
  <c r="AL65" i="9" s="1"/>
  <c r="GC34" i="11"/>
  <c r="AJ76" i="5"/>
  <c r="U42" i="60"/>
  <c r="U186" i="60" s="1"/>
  <c r="T83" i="60"/>
  <c r="T147" i="60"/>
  <c r="T150" i="60" s="1"/>
  <c r="T152" i="60" s="1"/>
  <c r="AK9" i="9"/>
  <c r="AL60" i="10"/>
  <c r="AL62" i="10" s="1"/>
  <c r="U183" i="60"/>
  <c r="U170" i="60"/>
  <c r="U145" i="60"/>
  <c r="U159" i="60"/>
  <c r="U185" i="60" s="1"/>
  <c r="AM47" i="9"/>
  <c r="U93" i="60"/>
  <c r="U75" i="60"/>
  <c r="U82" i="60"/>
  <c r="U70" i="60"/>
  <c r="U84" i="60" s="1"/>
  <c r="U59" i="60"/>
  <c r="I11" i="81" l="1"/>
  <c r="I21" i="81"/>
  <c r="I25" i="81" s="1"/>
  <c r="J11" i="81"/>
  <c r="J21" i="81"/>
  <c r="AN47" i="10"/>
  <c r="AN71" i="10" s="1"/>
  <c r="U76" i="60"/>
  <c r="U172" i="60" s="1"/>
  <c r="U173" i="60"/>
  <c r="U171" i="60" s="1"/>
  <c r="U147" i="60" s="1"/>
  <c r="U150" i="60" s="1"/>
  <c r="U152" i="60" s="1"/>
  <c r="U184" i="60" s="1"/>
  <c r="GD66" i="11"/>
  <c r="AN45" i="9"/>
  <c r="AN47" i="9" s="1"/>
  <c r="AN62" i="9" s="1"/>
  <c r="AN65" i="9" s="1"/>
  <c r="U124" i="60"/>
  <c r="U98" i="60"/>
  <c r="U118" i="60" s="1"/>
  <c r="T184" i="60"/>
  <c r="T118" i="60"/>
  <c r="T113" i="60"/>
  <c r="T127" i="60" s="1"/>
  <c r="T125" i="60"/>
  <c r="AL49" i="9"/>
  <c r="GC66" i="11"/>
  <c r="T104" i="60"/>
  <c r="T107" i="60" s="1"/>
  <c r="T109" i="60" s="1"/>
  <c r="T126" i="60" s="1"/>
  <c r="AM60" i="10"/>
  <c r="AM62" i="10" s="1"/>
  <c r="AL9" i="9"/>
  <c r="AK16" i="9"/>
  <c r="AK23" i="9" s="1"/>
  <c r="AK61" i="9"/>
  <c r="AK66" i="9" s="1"/>
  <c r="AM49" i="9"/>
  <c r="AM62" i="9"/>
  <c r="AM65" i="9" s="1"/>
  <c r="J26" i="81" l="1"/>
  <c r="J27" i="81" s="1"/>
  <c r="C42" i="81" s="1"/>
  <c r="J25" i="81"/>
  <c r="C41" i="81" s="1"/>
  <c r="U61" i="60"/>
  <c r="U64" i="60" s="1"/>
  <c r="U66" i="60" s="1"/>
  <c r="U83" i="60" s="1"/>
  <c r="U113" i="60"/>
  <c r="U127" i="60" s="1"/>
  <c r="U102" i="60"/>
  <c r="U104" i="60" s="1"/>
  <c r="U107" i="60" s="1"/>
  <c r="U109" i="60" s="1"/>
  <c r="U126" i="60" s="1"/>
  <c r="U125" i="60"/>
  <c r="AN49" i="9"/>
  <c r="AL16" i="9"/>
  <c r="AL23" i="9" s="1"/>
  <c r="AL61" i="9"/>
  <c r="AL66" i="9" s="1"/>
  <c r="AK63" i="9"/>
  <c r="AK56" i="9"/>
  <c r="AN60" i="10"/>
  <c r="AN62" i="10" s="1"/>
  <c r="AN9" i="9" s="1"/>
  <c r="AM9" i="9"/>
  <c r="C43" i="81" l="1"/>
  <c r="C48" i="81" s="1"/>
  <c r="C49" i="81" s="1"/>
  <c r="C51" i="81" s="1"/>
  <c r="AM16" i="9"/>
  <c r="AM23" i="9" s="1"/>
  <c r="AM61" i="9"/>
  <c r="AM66" i="9" s="1"/>
  <c r="AN16" i="9"/>
  <c r="AN23" i="9" s="1"/>
  <c r="AN61" i="9"/>
  <c r="AN66" i="9" s="1"/>
  <c r="AL63" i="9"/>
  <c r="AL56" i="9"/>
  <c r="AN63" i="9" l="1"/>
  <c r="AN56" i="9"/>
  <c r="AM63" i="9"/>
  <c r="AM56" i="9"/>
</calcChain>
</file>

<file path=xl/comments1.xml><?xml version="1.0" encoding="utf-8"?>
<comments xmlns="http://schemas.openxmlformats.org/spreadsheetml/2006/main">
  <authors>
    <author>balskyh</author>
    <author>Baglione, Gregory (Research)</author>
    <author>casselau</author>
    <author>Baglione, Gregory  (Research)</author>
  </authors>
  <commentList>
    <comment ref="FJ15" authorId="0">
      <text>
        <r>
          <rPr>
            <b/>
            <sz val="8"/>
            <color indexed="81"/>
            <rFont val="Tahoma"/>
            <family val="2"/>
          </rPr>
          <t>Linked</t>
        </r>
      </text>
    </comment>
    <comment ref="FK15" authorId="0">
      <text>
        <r>
          <rPr>
            <b/>
            <sz val="8"/>
            <color indexed="81"/>
            <rFont val="Tahoma"/>
            <family val="2"/>
          </rPr>
          <t>Linked</t>
        </r>
      </text>
    </comment>
    <comment ref="FI21" authorId="0">
      <text>
        <r>
          <rPr>
            <b/>
            <sz val="8"/>
            <color indexed="81"/>
            <rFont val="Tahoma"/>
            <family val="2"/>
          </rPr>
          <t xml:space="preserve">Plug </t>
        </r>
      </text>
    </comment>
    <comment ref="FJ21" authorId="0">
      <text>
        <r>
          <rPr>
            <b/>
            <sz val="8"/>
            <color indexed="81"/>
            <rFont val="Tahoma"/>
            <family val="2"/>
          </rPr>
          <t xml:space="preserve">Plug </t>
        </r>
      </text>
    </comment>
    <comment ref="FH24" authorId="0">
      <text>
        <r>
          <rPr>
            <b/>
            <sz val="8"/>
            <color indexed="81"/>
            <rFont val="Tahoma"/>
            <family val="2"/>
          </rPr>
          <t>Linked</t>
        </r>
      </text>
    </comment>
    <comment ref="FI26" authorId="0">
      <text>
        <r>
          <rPr>
            <b/>
            <sz val="8"/>
            <color indexed="81"/>
            <rFont val="Tahoma"/>
            <family val="2"/>
          </rPr>
          <t>Linked</t>
        </r>
      </text>
    </comment>
    <comment ref="FJ26" authorId="0">
      <text>
        <r>
          <rPr>
            <b/>
            <sz val="8"/>
            <color indexed="81"/>
            <rFont val="Tahoma"/>
            <family val="2"/>
          </rPr>
          <t>Linked</t>
        </r>
      </text>
    </comment>
    <comment ref="EW28" authorId="0">
      <text>
        <r>
          <rPr>
            <b/>
            <sz val="8"/>
            <color indexed="81"/>
            <rFont val="Tahoma"/>
            <family val="2"/>
          </rPr>
          <t>Linked</t>
        </r>
      </text>
    </comment>
    <comment ref="EW30" authorId="0">
      <text>
        <r>
          <rPr>
            <b/>
            <sz val="8"/>
            <color indexed="81"/>
            <rFont val="Tahoma"/>
            <family val="2"/>
          </rPr>
          <t>Linked</t>
        </r>
      </text>
    </comment>
    <comment ref="FX35" authorId="1">
      <text>
        <r>
          <rPr>
            <b/>
            <sz val="9"/>
            <color indexed="81"/>
            <rFont val="Tahoma"/>
            <family val="2"/>
          </rPr>
          <t>Baglione, Gregory (Research):</t>
        </r>
        <r>
          <rPr>
            <sz val="9"/>
            <color indexed="81"/>
            <rFont val="Tahoma"/>
            <family val="2"/>
          </rPr>
          <t xml:space="preserve">
11/11/16
Comparable store sales: expected to now increase 1% to 2%;
Gross margin: expected to now be flat versus 2015;
SG&amp;A dollars: expected to decrease versus 2015;
EBITDA1: expected to be $1 billion;
Adjusted earnings per share1: expected to be positive;
Free cash flow1: expected to improve versus 2015.</t>
        </r>
      </text>
    </comment>
    <comment ref="FW45" authorId="2">
      <text>
        <r>
          <rPr>
            <b/>
            <sz val="9"/>
            <color indexed="81"/>
            <rFont val="Tahoma"/>
            <family val="2"/>
          </rPr>
          <t>casselau:</t>
        </r>
        <r>
          <rPr>
            <sz val="9"/>
            <color indexed="81"/>
            <rFont val="Tahoma"/>
            <family val="2"/>
          </rPr>
          <t xml:space="preserve">
5/13/15: guidance $600M
8/14/15
Reaffirmed at $615M
11/13/15
"Adjusted EBITDA: approximately $645 million;"
1/7/15
Reaffirmed adj. EBITDA guidance $645M
</t>
        </r>
      </text>
    </comment>
    <comment ref="FX45" authorId="2">
      <text>
        <r>
          <rPr>
            <b/>
            <sz val="9"/>
            <color indexed="81"/>
            <rFont val="Tahoma"/>
            <family val="2"/>
          </rPr>
          <t>casselau:</t>
        </r>
        <r>
          <rPr>
            <sz val="9"/>
            <color indexed="81"/>
            <rFont val="Tahoma"/>
            <family val="2"/>
          </rPr>
          <t xml:space="preserve">
5/13/15: $900M
8/14/15
Reaffirmed $900M by 2016</t>
        </r>
      </text>
    </comment>
    <comment ref="FY45" authorId="2">
      <text>
        <r>
          <rPr>
            <b/>
            <sz val="9"/>
            <color indexed="81"/>
            <rFont val="Tahoma"/>
            <family val="2"/>
          </rPr>
          <t>casselau:</t>
        </r>
        <r>
          <rPr>
            <sz val="9"/>
            <color indexed="81"/>
            <rFont val="Tahoma"/>
            <family val="2"/>
          </rPr>
          <t xml:space="preserve">
$1.2B
8/12/15-
Reaffirm $1.2B EBITDA by 2017</t>
        </r>
      </text>
    </comment>
    <comment ref="FX47" authorId="3">
      <text>
        <r>
          <rPr>
            <b/>
            <sz val="9"/>
            <color indexed="81"/>
            <rFont val="Tahoma"/>
            <family val="2"/>
          </rPr>
          <t>Baglione, Gregory  (Research):</t>
        </r>
        <r>
          <rPr>
            <sz val="9"/>
            <color indexed="81"/>
            <rFont val="Tahoma"/>
            <family val="2"/>
          </rPr>
          <t xml:space="preserve">
</t>
        </r>
        <r>
          <rPr>
            <b/>
            <sz val="9"/>
            <color indexed="81"/>
            <rFont val="Tahoma"/>
            <family val="2"/>
          </rPr>
          <t xml:space="preserve">
1/4/17
J. C. Penney Company, Inc. (NYSE: JCP) announced today that its comparable store sales for the combined nine-week November and December period resulted in a (0.8) percent decline over the same period last year, which equates to a 3.1 percent positive two-year stack of comparable store sales for the same time period. The Company also reaffirmed its full-year EBITDA1 target of $1 billion for fiscal 2016.</t>
        </r>
        <r>
          <rPr>
            <sz val="9"/>
            <color indexed="81"/>
            <rFont val="Tahoma"/>
            <family val="2"/>
          </rPr>
          <t xml:space="preserve">
11/11/16
Comparable store sales: expected to now increase 1% to 2%;
Gross margin: expected to now be flat versus 2015;
SG&amp;A dollars: expected to decrease versus 2015;
EBITDA1: expected to be $1 billion;
Adjusted earnings per share1: expected to be positive;
Free cash flow1: expected to improve versus 2015.
5/13/16
Reaffirmed guidance $1B EBITDA
2/25/16 EBITDA: expected to be $1 billion;
</t>
        </r>
      </text>
    </comment>
    <comment ref="FY63" authorId="3">
      <text>
        <r>
          <rPr>
            <b/>
            <sz val="9"/>
            <color indexed="81"/>
            <rFont val="Tahoma"/>
            <family val="2"/>
          </rPr>
          <t>Baglione, Gregory  (Research):</t>
        </r>
        <r>
          <rPr>
            <sz val="9"/>
            <color indexed="81"/>
            <rFont val="Tahoma"/>
            <family val="2"/>
          </rPr>
          <t xml:space="preserve">
8/16/16
Raised from 0.5%</t>
        </r>
      </text>
    </comment>
  </commentList>
</comments>
</file>

<file path=xl/comments2.xml><?xml version="1.0" encoding="utf-8"?>
<comments xmlns="http://schemas.openxmlformats.org/spreadsheetml/2006/main">
  <authors>
    <author>balskyh</author>
    <author>Baglione, Gregory  (Research)</author>
  </authors>
  <commentList>
    <comment ref="D43" authorId="0">
      <text>
        <r>
          <rPr>
            <b/>
            <sz val="8"/>
            <color indexed="81"/>
            <rFont val="Tahoma"/>
            <family val="2"/>
          </rPr>
          <t xml:space="preserve">5/23/2013: </t>
        </r>
        <r>
          <rPr>
            <sz val="8"/>
            <color indexed="81"/>
            <rFont val="Tahoma"/>
            <family val="2"/>
          </rPr>
          <t>adds new debt less tender of 7 1/8% at 145%</t>
        </r>
      </text>
    </comment>
    <comment ref="D44" authorId="0">
      <text>
        <r>
          <rPr>
            <b/>
            <sz val="8"/>
            <color indexed="81"/>
            <rFont val="Tahoma"/>
            <family val="2"/>
          </rPr>
          <t xml:space="preserve">5/23/2013 </t>
        </r>
        <r>
          <rPr>
            <sz val="8"/>
            <color indexed="81"/>
            <rFont val="Tahoma"/>
            <family val="2"/>
          </rPr>
          <t>represents new debt less tendered debt</t>
        </r>
      </text>
    </comment>
    <comment ref="L58" authorId="1">
      <text>
        <r>
          <rPr>
            <b/>
            <sz val="9"/>
            <color indexed="81"/>
            <rFont val="Tahoma"/>
            <family val="2"/>
          </rPr>
          <t>Baglione, Gregory  (Research):</t>
        </r>
        <r>
          <rPr>
            <sz val="9"/>
            <color indexed="81"/>
            <rFont val="Tahoma"/>
            <family val="2"/>
          </rPr>
          <t xml:space="preserve">
Snehaja use 2016 cash/debt if 12 month price target</t>
        </r>
      </text>
    </comment>
    <comment ref="L59" authorId="1">
      <text>
        <r>
          <rPr>
            <b/>
            <sz val="9"/>
            <color indexed="81"/>
            <rFont val="Tahoma"/>
            <family val="2"/>
          </rPr>
          <t>Baglione, Gregory  (Research):</t>
        </r>
        <r>
          <rPr>
            <sz val="9"/>
            <color indexed="81"/>
            <rFont val="Tahoma"/>
            <family val="2"/>
          </rPr>
          <t xml:space="preserve">
Snehaja use 2016 cash/debt if 12 month price target</t>
        </r>
      </text>
    </comment>
    <comment ref="AC72" authorId="1">
      <text>
        <r>
          <rPr>
            <b/>
            <sz val="9"/>
            <color indexed="81"/>
            <rFont val="Tahoma"/>
            <family val="2"/>
          </rPr>
          <t>Baglione, Gregory  (Research):</t>
        </r>
        <r>
          <rPr>
            <sz val="9"/>
            <color indexed="81"/>
            <rFont val="Tahoma"/>
            <family val="2"/>
          </rPr>
          <t xml:space="preserve">
bberg</t>
        </r>
      </text>
    </comment>
    <comment ref="X73" authorId="1">
      <text>
        <r>
          <rPr>
            <b/>
            <sz val="9"/>
            <color indexed="81"/>
            <rFont val="Tahoma"/>
            <family val="2"/>
          </rPr>
          <t>Baglione, Gregory  (Research):</t>
        </r>
        <r>
          <rPr>
            <sz val="9"/>
            <color indexed="81"/>
            <rFont val="Tahoma"/>
            <family val="2"/>
          </rPr>
          <t xml:space="preserve">
</t>
        </r>
      </text>
    </comment>
    <comment ref="T77" authorId="1">
      <text>
        <r>
          <rPr>
            <b/>
            <sz val="9"/>
            <color indexed="81"/>
            <rFont val="Tahoma"/>
            <family val="2"/>
          </rPr>
          <t>Baglione, Gregory  (Research):</t>
        </r>
        <r>
          <rPr>
            <sz val="9"/>
            <color indexed="81"/>
            <rFont val="Tahoma"/>
            <family val="2"/>
          </rPr>
          <t xml:space="preserve">
-Use 10-year t-bond rate
</t>
        </r>
      </text>
    </comment>
  </commentList>
</comments>
</file>

<file path=xl/comments3.xml><?xml version="1.0" encoding="utf-8"?>
<comments xmlns="http://schemas.openxmlformats.org/spreadsheetml/2006/main">
  <authors>
    <author>Cassel, Lauren (Research)</author>
    <author>Baglione, Gregory (Research)</author>
  </authors>
  <commentList>
    <comment ref="P73" authorId="0">
      <text>
        <r>
          <rPr>
            <b/>
            <sz val="9"/>
            <color indexed="81"/>
            <rFont val="Tahoma"/>
            <family val="2"/>
          </rPr>
          <t>Cassel, Lauren (Research):</t>
        </r>
        <r>
          <rPr>
            <sz val="9"/>
            <color indexed="81"/>
            <rFont val="Tahoma"/>
            <family val="2"/>
          </rPr>
          <t xml:space="preserve">
Stable </t>
        </r>
      </text>
    </comment>
    <comment ref="P74" authorId="0">
      <text>
        <r>
          <rPr>
            <b/>
            <sz val="9"/>
            <color indexed="81"/>
            <rFont val="Tahoma"/>
            <family val="2"/>
          </rPr>
          <t>Cassel, Lauren (Research):</t>
        </r>
        <r>
          <rPr>
            <sz val="9"/>
            <color indexed="81"/>
            <rFont val="Tahoma"/>
            <family val="2"/>
          </rPr>
          <t xml:space="preserve">
cut SG&amp;A -2%</t>
        </r>
      </text>
    </comment>
    <comment ref="Q86" authorId="1">
      <text>
        <r>
          <rPr>
            <b/>
            <sz val="9"/>
            <color indexed="81"/>
            <rFont val="Tahoma"/>
            <family val="2"/>
          </rPr>
          <t>Baglione, Gregory (Research):</t>
        </r>
        <r>
          <rPr>
            <sz val="9"/>
            <color indexed="81"/>
            <rFont val="Tahoma"/>
            <family val="2"/>
          </rPr>
          <t xml:space="preserve">
Assumes similar 53rd week spread but less store closures than in our base case</t>
        </r>
      </text>
    </comment>
  </commentList>
</comments>
</file>

<file path=xl/comments4.xml><?xml version="1.0" encoding="utf-8"?>
<comments xmlns="http://schemas.openxmlformats.org/spreadsheetml/2006/main">
  <authors>
    <author>mmcclell</author>
    <author>leechi</author>
    <author>jdieter</author>
    <author>Scott Feiler</author>
    <author>cuomochr</author>
    <author>balskyh</author>
    <author>Baglione, Gregory  (Research)</author>
    <author>Cassel, Lauren (Research)</author>
    <author>De Courreges, Edouard (Research)</author>
    <author>duol</author>
  </authors>
  <commentList>
    <comment ref="E28" authorId="0">
      <text>
        <r>
          <rPr>
            <b/>
            <sz val="8"/>
            <color indexed="81"/>
            <rFont val="Tahoma"/>
            <family val="2"/>
          </rPr>
          <t>mmcclell:</t>
        </r>
        <r>
          <rPr>
            <sz val="8"/>
            <color indexed="81"/>
            <rFont val="Tahoma"/>
            <family val="2"/>
          </rPr>
          <t xml:space="preserve">
60 Renner dept stores</t>
        </r>
      </text>
    </comment>
    <comment ref="E30" authorId="0">
      <text>
        <r>
          <rPr>
            <b/>
            <sz val="8"/>
            <color indexed="81"/>
            <rFont val="Tahoma"/>
            <family val="2"/>
          </rPr>
          <t>mmcclell:</t>
        </r>
        <r>
          <rPr>
            <sz val="8"/>
            <color indexed="81"/>
            <rFont val="Tahoma"/>
            <family val="2"/>
          </rPr>
          <t xml:space="preserve">
60 of these stores are Renner stores in Brazil</t>
        </r>
      </text>
    </comment>
    <comment ref="E40" authorId="0">
      <text>
        <r>
          <rPr>
            <b/>
            <sz val="8"/>
            <color indexed="81"/>
            <rFont val="Tahoma"/>
            <family val="2"/>
          </rPr>
          <t>mmcclell:</t>
        </r>
        <r>
          <rPr>
            <sz val="8"/>
            <color indexed="81"/>
            <rFont val="Tahoma"/>
            <family val="2"/>
          </rPr>
          <t xml:space="preserve">
adjusted to reflect sale of renner</t>
        </r>
      </text>
    </comment>
    <comment ref="E45" authorId="0">
      <text>
        <r>
          <rPr>
            <b/>
            <sz val="8"/>
            <color indexed="81"/>
            <rFont val="Tahoma"/>
            <family val="2"/>
          </rPr>
          <t>mmcclell:</t>
        </r>
        <r>
          <rPr>
            <sz val="8"/>
            <color indexed="81"/>
            <rFont val="Tahoma"/>
            <family val="2"/>
          </rPr>
          <t xml:space="preserve">
total of 22 stores in off-mall format</t>
        </r>
      </text>
    </comment>
    <comment ref="E57" authorId="1">
      <text>
        <r>
          <rPr>
            <b/>
            <sz val="8"/>
            <color indexed="81"/>
            <rFont val="Tahoma"/>
            <family val="2"/>
          </rPr>
          <t>-Press release stated as of July 29th, count was 1,021 but likely an error</t>
        </r>
      </text>
    </comment>
    <comment ref="E58" authorId="1">
      <text>
        <r>
          <rPr>
            <b/>
            <sz val="8"/>
            <color indexed="81"/>
            <rFont val="Tahoma"/>
            <family val="2"/>
          </rPr>
          <t xml:space="preserve">Guidance: 8/10/2006
Gross 5 stores opening in early August.  Addition reflects estimated net new stores.
</t>
        </r>
      </text>
    </comment>
    <comment ref="E59" authorId="1">
      <text>
        <r>
          <rPr>
            <b/>
            <sz val="8"/>
            <color indexed="81"/>
            <rFont val="Tahoma"/>
            <family val="2"/>
          </rPr>
          <t xml:space="preserve">Guidance: 8/10/2006
Gross 20 stores opening October 6th.  Addition reflects estimated net new stores.
</t>
        </r>
      </text>
    </comment>
    <comment ref="E62" authorId="0">
      <text>
        <r>
          <rPr>
            <b/>
            <sz val="8"/>
            <color indexed="81"/>
            <rFont val="Tahoma"/>
            <family val="2"/>
          </rPr>
          <t>20 new off mall store locations during the year</t>
        </r>
        <r>
          <rPr>
            <sz val="8"/>
            <color indexed="81"/>
            <rFont val="Tahoma"/>
            <family val="2"/>
          </rPr>
          <t xml:space="preserve">
</t>
        </r>
      </text>
    </comment>
    <comment ref="E66" authorId="2">
      <text>
        <r>
          <rPr>
            <b/>
            <sz val="8"/>
            <color indexed="81"/>
            <rFont val="Tahoma"/>
            <family val="2"/>
          </rPr>
          <t>3/8/07: Guidance
Open 7 new stores early March</t>
        </r>
      </text>
    </comment>
    <comment ref="E68" authorId="0">
      <text>
        <r>
          <rPr>
            <sz val="8"/>
            <color indexed="81"/>
            <rFont val="Tahoma"/>
            <family val="2"/>
          </rPr>
          <t>JCP opened 1 dept store and 7 in-store Sephora shops (bringing the total to 21)</t>
        </r>
        <r>
          <rPr>
            <sz val="8"/>
            <color indexed="81"/>
            <rFont val="Tahoma"/>
            <family val="2"/>
          </rPr>
          <t xml:space="preserve">
</t>
        </r>
      </text>
    </comment>
    <comment ref="E70" authorId="0">
      <text>
        <r>
          <rPr>
            <b/>
            <sz val="8"/>
            <color indexed="81"/>
            <rFont val="Tahoma"/>
            <family val="2"/>
          </rPr>
          <t>Guidance: 5/17/2007
15 openings in July</t>
        </r>
        <r>
          <rPr>
            <sz val="8"/>
            <color indexed="81"/>
            <rFont val="Tahoma"/>
            <family val="2"/>
          </rPr>
          <t xml:space="preserve">
</t>
        </r>
      </text>
    </comment>
    <comment ref="E72" authorId="0">
      <text>
        <r>
          <rPr>
            <sz val="8"/>
            <color indexed="81"/>
            <rFont val="Tahoma"/>
            <family val="2"/>
          </rPr>
          <t xml:space="preserve">Guidance 8/16/2007: 22 new stores in October  
5/17/2007:  Remainder of store openings in Sept. (Oct. 5)
</t>
        </r>
      </text>
    </comment>
    <comment ref="E73" authorId="0">
      <text>
        <r>
          <rPr>
            <b/>
            <sz val="8"/>
            <color indexed="81"/>
            <rFont val="Tahoma"/>
            <family val="2"/>
          </rPr>
          <t xml:space="preserve">Guidance: 10/11/07
</t>
        </r>
        <r>
          <rPr>
            <sz val="8"/>
            <color indexed="81"/>
            <rFont val="Tahoma"/>
            <family val="2"/>
          </rPr>
          <t xml:space="preserve">6 more stores slated to open over next few weeks
</t>
        </r>
      </text>
    </comment>
    <comment ref="E76" authorId="3">
      <text>
        <r>
          <rPr>
            <b/>
            <sz val="8"/>
            <color indexed="81"/>
            <rFont val="Tahoma"/>
            <family val="2"/>
          </rPr>
          <t>50 openings FY, 16 closings</t>
        </r>
        <r>
          <rPr>
            <sz val="8"/>
            <color indexed="81"/>
            <rFont val="Tahoma"/>
            <family val="2"/>
          </rPr>
          <t xml:space="preserve">
</t>
        </r>
      </text>
    </comment>
    <comment ref="E86" authorId="3">
      <text>
        <r>
          <rPr>
            <b/>
            <sz val="8"/>
            <color indexed="81"/>
            <rFont val="Tahoma"/>
            <family val="2"/>
          </rPr>
          <t xml:space="preserve">Guidance: 8/15/08
</t>
        </r>
        <r>
          <rPr>
            <sz val="8"/>
            <color indexed="81"/>
            <rFont val="Tahoma"/>
            <family val="2"/>
          </rPr>
          <t>plan to open 12 new stores in October (including one relocation)</t>
        </r>
      </text>
    </comment>
    <comment ref="E101" authorId="4">
      <text>
        <r>
          <rPr>
            <b/>
            <sz val="8"/>
            <color indexed="81"/>
            <rFont val="Tahoma"/>
            <family val="2"/>
          </rPr>
          <t xml:space="preserve">Comment: 11/13/09
</t>
        </r>
        <r>
          <rPr>
            <sz val="8"/>
            <color indexed="81"/>
            <rFont val="Tahoma"/>
            <family val="2"/>
          </rPr>
          <t>Company opened 3 new stores in the quarter, all in off-mall format</t>
        </r>
        <r>
          <rPr>
            <sz val="8"/>
            <color indexed="81"/>
            <rFont val="Tahoma"/>
            <family val="2"/>
          </rPr>
          <t xml:space="preserve">
</t>
        </r>
      </text>
    </comment>
    <comment ref="E123" authorId="5">
      <text>
        <r>
          <rPr>
            <sz val="8"/>
            <color indexed="81"/>
            <rFont val="Tahoma"/>
            <family val="2"/>
          </rPr>
          <t>2 opened; 0 closed in 1Q</t>
        </r>
      </text>
    </comment>
    <comment ref="E126" authorId="5">
      <text>
        <r>
          <rPr>
            <b/>
            <sz val="8"/>
            <color indexed="81"/>
            <rFont val="Tahoma"/>
            <family val="2"/>
          </rPr>
          <t>10Q</t>
        </r>
      </text>
    </comment>
    <comment ref="E132" authorId="5">
      <text>
        <r>
          <rPr>
            <b/>
            <sz val="8"/>
            <color indexed="81"/>
            <rFont val="Tahoma"/>
            <family val="2"/>
          </rPr>
          <t xml:space="preserve">Per 10K
</t>
        </r>
        <r>
          <rPr>
            <sz val="8"/>
            <color indexed="81"/>
            <rFont val="Tahoma"/>
            <family val="2"/>
          </rPr>
          <t>1,102 stores as of 1/28/12</t>
        </r>
      </text>
    </comment>
    <comment ref="E159" authorId="6">
      <text>
        <r>
          <rPr>
            <b/>
            <sz val="9"/>
            <color indexed="81"/>
            <rFont val="Tahoma"/>
            <family val="2"/>
          </rPr>
          <t>Baglione, Gregory  (Research):</t>
        </r>
        <r>
          <rPr>
            <sz val="9"/>
            <color indexed="81"/>
            <rFont val="Tahoma"/>
            <family val="2"/>
          </rPr>
          <t xml:space="preserve">
Expect to close 7 doors in April</t>
        </r>
      </text>
    </comment>
    <comment ref="N159" authorId="6">
      <text>
        <r>
          <rPr>
            <b/>
            <sz val="9"/>
            <color indexed="81"/>
            <rFont val="Tahoma"/>
            <family val="2"/>
          </rPr>
          <t>Baglione, Gregory  (Research):</t>
        </r>
        <r>
          <rPr>
            <sz val="9"/>
            <color indexed="81"/>
            <rFont val="Tahoma"/>
            <family val="2"/>
          </rPr>
          <t xml:space="preserve">
11/10/15
Net 10-15 closures per year
2/25/16
Expect to close 7 doors in 2016</t>
        </r>
      </text>
    </comment>
    <comment ref="E160" authorId="6">
      <text>
        <r>
          <rPr>
            <b/>
            <sz val="9"/>
            <color indexed="81"/>
            <rFont val="Tahoma"/>
            <family val="2"/>
          </rPr>
          <t>Baglione, Gregory  (Research):</t>
        </r>
        <r>
          <rPr>
            <sz val="9"/>
            <color indexed="81"/>
            <rFont val="Tahoma"/>
            <family val="2"/>
          </rPr>
          <t xml:space="preserve">
8/16/16
No change to store targets</t>
        </r>
      </text>
    </comment>
    <comment ref="N160" authorId="6">
      <text>
        <r>
          <rPr>
            <b/>
            <sz val="9"/>
            <color indexed="81"/>
            <rFont val="Tahoma"/>
            <family val="2"/>
          </rPr>
          <t>Baglione, Gregory  (Research):</t>
        </r>
        <r>
          <rPr>
            <sz val="9"/>
            <color indexed="81"/>
            <rFont val="Tahoma"/>
            <family val="2"/>
          </rPr>
          <t xml:space="preserve">
11/10/15
Net 10-15 closures per year</t>
        </r>
      </text>
    </comment>
    <comment ref="E161" authorId="6">
      <text>
        <r>
          <rPr>
            <b/>
            <sz val="9"/>
            <color indexed="81"/>
            <rFont val="Tahoma"/>
            <family val="2"/>
          </rPr>
          <t>Baglione, Gregory  (Research):</t>
        </r>
        <r>
          <rPr>
            <sz val="9"/>
            <color indexed="81"/>
            <rFont val="Tahoma"/>
            <family val="2"/>
          </rPr>
          <t xml:space="preserve">
8/16/16
No change to store targets</t>
        </r>
      </text>
    </comment>
    <comment ref="N161" authorId="6">
      <text>
        <r>
          <rPr>
            <b/>
            <sz val="9"/>
            <color indexed="81"/>
            <rFont val="Tahoma"/>
            <family val="2"/>
          </rPr>
          <t>Baglione, Gregory  (Research):</t>
        </r>
        <r>
          <rPr>
            <sz val="9"/>
            <color indexed="81"/>
            <rFont val="Tahoma"/>
            <family val="2"/>
          </rPr>
          <t xml:space="preserve">
11/10/15
Net 10-15 closures per year
Ended with same # of stores as 2Q</t>
        </r>
      </text>
    </comment>
    <comment ref="E162" authorId="6">
      <text>
        <r>
          <rPr>
            <b/>
            <sz val="9"/>
            <color indexed="81"/>
            <rFont val="Tahoma"/>
            <family val="2"/>
          </rPr>
          <t>Baglione, Gregory  (Research):</t>
        </r>
        <r>
          <rPr>
            <sz val="9"/>
            <color indexed="81"/>
            <rFont val="Tahoma"/>
            <family val="2"/>
          </rPr>
          <t xml:space="preserve">
8/16/16
No change to store targets</t>
        </r>
      </text>
    </comment>
    <comment ref="N162" authorId="6">
      <text>
        <r>
          <rPr>
            <b/>
            <sz val="9"/>
            <color indexed="81"/>
            <rFont val="Tahoma"/>
            <family val="2"/>
          </rPr>
          <t>Baglione, Gregory  (Research):</t>
        </r>
        <r>
          <rPr>
            <sz val="9"/>
            <color indexed="81"/>
            <rFont val="Tahoma"/>
            <family val="2"/>
          </rPr>
          <t xml:space="preserve">
11/10/15
Net 10-15 closures per year</t>
        </r>
      </text>
    </comment>
    <comment ref="N165" authorId="6">
      <text>
        <r>
          <rPr>
            <b/>
            <sz val="9"/>
            <color indexed="81"/>
            <rFont val="Tahoma"/>
            <family val="2"/>
          </rPr>
          <t>Baglione, Gregory  (Research):</t>
        </r>
        <r>
          <rPr>
            <sz val="9"/>
            <color indexed="81"/>
            <rFont val="Tahoma"/>
            <family val="2"/>
          </rPr>
          <t xml:space="preserve">
2/3/17
We model JCP to close 40 stores per year moving forward.
11/10/15
Net 10-15 closures per year
2/25/16
Expect to close 7 doors in 2016</t>
        </r>
      </text>
    </comment>
    <comment ref="E166" authorId="7">
      <text>
        <r>
          <rPr>
            <b/>
            <sz val="9"/>
            <color indexed="81"/>
            <rFont val="Tahoma"/>
            <family val="2"/>
          </rPr>
          <t>Cassel, Lauren (Research):</t>
        </r>
        <r>
          <rPr>
            <sz val="9"/>
            <color indexed="81"/>
            <rFont val="Tahoma"/>
            <family val="2"/>
          </rPr>
          <t xml:space="preserve">
2/23/17: Under the plan, the Company expects to close two distribution facilities and approximately 130 - 140 stores over the next few months. Nearly all impacted stores are expected to close in the second quarter of 2017. </t>
        </r>
      </text>
    </comment>
    <comment ref="N166" authorId="6">
      <text>
        <r>
          <rPr>
            <b/>
            <sz val="9"/>
            <color indexed="81"/>
            <rFont val="Tahoma"/>
            <family val="2"/>
          </rPr>
          <t>Baglione, Gregory  (Research):</t>
        </r>
        <r>
          <rPr>
            <sz val="9"/>
            <color indexed="81"/>
            <rFont val="Tahoma"/>
            <family val="2"/>
          </rPr>
          <t xml:space="preserve">
8/11/17: 1247 stores reduced
11/10/15
Net 10-15 closures per year</t>
        </r>
      </text>
    </comment>
    <comment ref="N167" authorId="6">
      <text>
        <r>
          <rPr>
            <b/>
            <sz val="9"/>
            <color indexed="81"/>
            <rFont val="Tahoma"/>
            <family val="2"/>
          </rPr>
          <t>Baglione, Gregory  (Research):</t>
        </r>
        <r>
          <rPr>
            <sz val="9"/>
            <color indexed="81"/>
            <rFont val="Tahoma"/>
            <family val="2"/>
          </rPr>
          <t xml:space="preserve">
11/10/15
Net 10-15 closures per year
Ended with same # of stores as 2Q</t>
        </r>
      </text>
    </comment>
    <comment ref="N168" authorId="6">
      <text>
        <r>
          <rPr>
            <b/>
            <sz val="9"/>
            <color indexed="81"/>
            <rFont val="Tahoma"/>
            <family val="2"/>
          </rPr>
          <t>Baglione, Gregory  (Research):</t>
        </r>
        <r>
          <rPr>
            <sz val="9"/>
            <color indexed="81"/>
            <rFont val="Tahoma"/>
            <family val="2"/>
          </rPr>
          <t xml:space="preserve">
-141 stores in 2017</t>
        </r>
      </text>
    </comment>
    <comment ref="N171" authorId="8">
      <text>
        <r>
          <rPr>
            <b/>
            <sz val="9"/>
            <color indexed="81"/>
            <rFont val="Tahoma"/>
            <family val="2"/>
          </rPr>
          <t>De Courreges, Edouard (Research):</t>
        </r>
        <r>
          <rPr>
            <sz val="9"/>
            <color indexed="81"/>
            <rFont val="Tahoma"/>
            <family val="2"/>
          </rPr>
          <t xml:space="preserve">
3/2/18: 8 stores announced YTD, including GSP</t>
        </r>
      </text>
    </comment>
    <comment ref="N172" authorId="8">
      <text>
        <r>
          <rPr>
            <b/>
            <sz val="9"/>
            <color indexed="81"/>
            <rFont val="Tahoma"/>
            <family val="2"/>
          </rPr>
          <t>De Courreges, Edouard (Research):</t>
        </r>
        <r>
          <rPr>
            <sz val="9"/>
            <color indexed="81"/>
            <rFont val="Tahoma"/>
            <family val="2"/>
          </rPr>
          <t xml:space="preserve">
For fiscal 2018,
we expect to close approximately 7 stores and the majority of these will be closed in the second quarter.</t>
        </r>
      </text>
    </comment>
    <comment ref="E264" authorId="0">
      <text>
        <r>
          <rPr>
            <sz val="8"/>
            <color indexed="81"/>
            <rFont val="Tahoma"/>
            <family val="2"/>
          </rPr>
          <t xml:space="preserve">Update with 10K.
</t>
        </r>
      </text>
    </comment>
    <comment ref="E278" authorId="1">
      <text>
        <r>
          <rPr>
            <sz val="8"/>
            <color indexed="81"/>
            <rFont val="Tahoma"/>
            <family val="2"/>
          </rPr>
          <t>6/25/2008: Includes Manhattan mall opening in late 2009</t>
        </r>
        <r>
          <rPr>
            <sz val="8"/>
            <color indexed="81"/>
            <rFont val="Tahoma"/>
            <family val="2"/>
          </rPr>
          <t xml:space="preserve">
</t>
        </r>
      </text>
    </comment>
    <comment ref="E297" authorId="5">
      <text>
        <r>
          <rPr>
            <b/>
            <sz val="8"/>
            <color indexed="81"/>
            <rFont val="Tahoma"/>
            <family val="2"/>
          </rPr>
          <t>per 10Q:</t>
        </r>
        <r>
          <rPr>
            <sz val="8"/>
            <color indexed="81"/>
            <rFont val="Tahoma"/>
            <family val="2"/>
          </rPr>
          <t xml:space="preserve"> 112M sq ft</t>
        </r>
      </text>
    </comment>
    <comment ref="E309" authorId="5">
      <text>
        <r>
          <rPr>
            <b/>
            <sz val="8"/>
            <color indexed="81"/>
            <rFont val="Tahoma"/>
            <family val="2"/>
          </rPr>
          <t>per 10Q:</t>
        </r>
        <r>
          <rPr>
            <sz val="8"/>
            <color indexed="81"/>
            <rFont val="Tahoma"/>
            <family val="2"/>
          </rPr>
          <t xml:space="preserve"> 111M sq ft</t>
        </r>
      </text>
    </comment>
    <comment ref="E310" authorId="5">
      <text>
        <r>
          <rPr>
            <b/>
            <sz val="8"/>
            <color indexed="81"/>
            <rFont val="Tahoma"/>
            <family val="2"/>
          </rPr>
          <t>per 10Q:</t>
        </r>
        <r>
          <rPr>
            <sz val="8"/>
            <color indexed="81"/>
            <rFont val="Tahoma"/>
            <family val="2"/>
          </rPr>
          <t xml:space="preserve"> 111M sq ft</t>
        </r>
      </text>
    </comment>
    <comment ref="E311" authorId="5">
      <text>
        <r>
          <rPr>
            <b/>
            <sz val="8"/>
            <color indexed="81"/>
            <rFont val="Tahoma"/>
            <family val="2"/>
          </rPr>
          <t xml:space="preserve">12/10/2012 10Q: </t>
        </r>
        <r>
          <rPr>
            <sz val="8"/>
            <color indexed="81"/>
            <rFont val="Tahoma"/>
            <family val="2"/>
          </rPr>
          <t>112M</t>
        </r>
      </text>
    </comment>
    <comment ref="E315" authorId="5">
      <text>
        <r>
          <rPr>
            <b/>
            <sz val="8"/>
            <color indexed="81"/>
            <rFont val="Tahoma"/>
            <family val="2"/>
          </rPr>
          <t>per 10Q:</t>
        </r>
        <r>
          <rPr>
            <sz val="8"/>
            <color indexed="81"/>
            <rFont val="Tahoma"/>
            <family val="2"/>
          </rPr>
          <t xml:space="preserve"> 111M sq ft</t>
        </r>
      </text>
    </comment>
    <comment ref="E316" authorId="5">
      <text>
        <r>
          <rPr>
            <b/>
            <sz val="8"/>
            <color indexed="81"/>
            <rFont val="Tahoma"/>
            <family val="2"/>
          </rPr>
          <t>per 10Q:</t>
        </r>
        <r>
          <rPr>
            <sz val="8"/>
            <color indexed="81"/>
            <rFont val="Tahoma"/>
            <family val="2"/>
          </rPr>
          <t xml:space="preserve"> 111M sq ft</t>
        </r>
      </text>
    </comment>
    <comment ref="E317" authorId="9">
      <text>
        <r>
          <rPr>
            <sz val="8"/>
            <color indexed="81"/>
            <rFont val="Tahoma"/>
            <family val="2"/>
          </rPr>
          <t xml:space="preserve">per 10Q: 111M sq ft
</t>
        </r>
      </text>
    </comment>
    <comment ref="E346" authorId="8">
      <text>
        <r>
          <rPr>
            <b/>
            <sz val="9"/>
            <color indexed="81"/>
            <rFont val="Tahoma"/>
            <family val="2"/>
          </rPr>
          <t>De Courreges, Edouard (Research):</t>
        </r>
        <r>
          <rPr>
            <sz val="9"/>
            <color indexed="81"/>
            <rFont val="Tahoma"/>
            <family val="2"/>
          </rPr>
          <t xml:space="preserve">
plans to open one new store in the spring of 2018 at Kings Plaza in Brooklyn</t>
        </r>
      </text>
    </comment>
  </commentList>
</comments>
</file>

<file path=xl/comments5.xml><?xml version="1.0" encoding="utf-8"?>
<comments xmlns="http://schemas.openxmlformats.org/spreadsheetml/2006/main">
  <authors>
    <author>mmcclell</author>
    <author>jdieter</author>
    <author>cuomochr</author>
    <author>balskyh</author>
    <author>duol</author>
    <author>casselau</author>
    <author>Baglione, Gregory  (Research)</author>
    <author>Cassel, Lauren (Research)</author>
    <author>DL</author>
    <author>Duol</author>
    <author>Baglione, Gregory (Research)</author>
    <author>De Courreges, Edouard (Research)</author>
    <author>Roberts, Cynthia (Research)</author>
    <author>Michelle Clark</author>
    <author>kimberlg</author>
    <author>Scott Feiler</author>
    <author>Note</author>
    <author>leechi</author>
    <author>frazerd</author>
    <author>afloam</author>
    <author>gfowlkes</author>
    <author>Denise Frazer</author>
    <author>levinee</author>
    <author>missett</author>
    <author>A satisfied Microsoft Office user</author>
  </authors>
  <commentList>
    <comment ref="BK6" authorId="0">
      <text>
        <r>
          <rPr>
            <b/>
            <sz val="8"/>
            <color indexed="81"/>
            <rFont val="Tahoma"/>
            <family val="2"/>
          </rPr>
          <t>-Per 8/16/05 restatements following Renner sale.</t>
        </r>
      </text>
    </comment>
    <comment ref="BO6" authorId="0">
      <text>
        <r>
          <rPr>
            <b/>
            <sz val="8"/>
            <color indexed="81"/>
            <rFont val="Tahoma"/>
            <family val="2"/>
          </rPr>
          <t>1) 2/22/07: Reclassified costs associated with the Company’s 13 store merchandise distribution centers from SG&amp;A expenses into cost of goods sold 
Note: Quarters do not sum to annuals
2) Per 8/16/05 restatements following Renner sale.</t>
        </r>
      </text>
    </comment>
    <comment ref="BS6" authorId="0">
      <text>
        <r>
          <rPr>
            <b/>
            <sz val="8"/>
            <color indexed="81"/>
            <rFont val="Tahoma"/>
            <family val="2"/>
          </rPr>
          <t>1) 2/22/07: Reclassified costs associated with the Company’s 13 store merchandise distribution centers from SG&amp;A expenses into cost of goods sold 
Note: Quarters do not sum to annuals
2) Per 8/16/05 restatements following Renner sale.
3) 53RD WEEK</t>
        </r>
      </text>
    </comment>
    <comment ref="BS10" authorId="0">
      <text>
        <r>
          <rPr>
            <b/>
            <sz val="8"/>
            <color indexed="81"/>
            <rFont val="Tahoma"/>
            <family val="2"/>
          </rPr>
          <t>-Per 8/16/05 restatements following Renner sale.</t>
        </r>
      </text>
    </comment>
    <comment ref="BW10" authorId="0">
      <text>
        <r>
          <rPr>
            <b/>
            <sz val="8"/>
            <color indexed="81"/>
            <rFont val="Tahoma"/>
            <family val="2"/>
          </rPr>
          <t xml:space="preserve">1) 2/22/07: Reclassified costs associated with the Company’s 13 store merchandise distribution centers from SG&amp;A expenses into cost of goods sold
2) Per 8/16/05 restatements following Renner sale.
</t>
        </r>
      </text>
    </comment>
    <comment ref="CA10"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E10"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DA10" authorId="2">
      <text>
        <r>
          <rPr>
            <b/>
            <sz val="8"/>
            <color indexed="81"/>
            <rFont val="Tahoma"/>
            <family val="2"/>
          </rPr>
          <t xml:space="preserve">Guidance 2/25/11:
</t>
        </r>
        <r>
          <rPr>
            <sz val="8"/>
            <color indexed="81"/>
            <rFont val="Tahoma"/>
            <family val="2"/>
          </rPr>
          <t>+3-5% comps</t>
        </r>
        <r>
          <rPr>
            <sz val="8"/>
            <color indexed="81"/>
            <rFont val="Tahoma"/>
            <family val="2"/>
          </rPr>
          <t xml:space="preserve">
</t>
        </r>
      </text>
    </comment>
    <comment ref="DE10" authorId="3">
      <text>
        <r>
          <rPr>
            <b/>
            <sz val="8"/>
            <color indexed="81"/>
            <rFont val="Tahoma"/>
            <family val="2"/>
          </rPr>
          <t xml:space="preserve">6/6/2012 10Q
</t>
        </r>
        <r>
          <rPr>
            <sz val="8"/>
            <color indexed="81"/>
            <rFont val="Tahoma"/>
            <family val="2"/>
          </rPr>
          <t xml:space="preserve">* Online sales were down -27.9% to $271M
* Sales comp detail: 
1) # of store transactions and units were down y/y, but units / transaction increased
2) AUR in 1Q12 declined slightly y/y, although sold more items at everyday and month long values at a higher AUR, this was more than offset by a lower AUR on best and lowest priced merch
3) Men's and women's experienced the smallest comp decline; home experienced the largest
4) Experienced declines in all geographic regions
5) Private / exclusive brands were 56% of total merch sales vs. 56% LY
</t>
        </r>
        <r>
          <rPr>
            <b/>
            <sz val="8"/>
            <color indexed="81"/>
            <rFont val="Tahoma"/>
            <family val="2"/>
          </rPr>
          <t xml:space="preserve">
5/16/2012 Comment
</t>
        </r>
        <r>
          <rPr>
            <sz val="8"/>
            <color indexed="81"/>
            <rFont val="Tahoma"/>
            <family val="2"/>
          </rPr>
          <t>1)</t>
        </r>
        <r>
          <rPr>
            <b/>
            <sz val="8"/>
            <color indexed="81"/>
            <rFont val="Tahoma"/>
            <family val="2"/>
          </rPr>
          <t xml:space="preserve"> Traffic -10% </t>
        </r>
        <r>
          <rPr>
            <sz val="8"/>
            <color indexed="81"/>
            <rFont val="Tahoma"/>
            <family val="2"/>
          </rPr>
          <t>with weekends -12% and weekdays -6%
2) -21% in February; 2H of qtr saw 300 bps of improvement
3) Conversion LY 22%; this yr 21% (</t>
        </r>
        <r>
          <rPr>
            <b/>
            <sz val="8"/>
            <color indexed="81"/>
            <rFont val="Tahoma"/>
            <family val="2"/>
          </rPr>
          <t>down ~5% y/y</t>
        </r>
        <r>
          <rPr>
            <sz val="8"/>
            <color indexed="81"/>
            <rFont val="Tahoma"/>
            <family val="2"/>
          </rPr>
          <t xml:space="preserve">)
4) Avg spend / visits was $46 vs. $48 LY </t>
        </r>
        <r>
          <rPr>
            <b/>
            <sz val="8"/>
            <color indexed="81"/>
            <rFont val="Tahoma"/>
            <family val="2"/>
          </rPr>
          <t xml:space="preserve"> (down ~5% y/y)</t>
        </r>
        <r>
          <rPr>
            <sz val="8"/>
            <color indexed="81"/>
            <rFont val="Tahoma"/>
            <family val="2"/>
          </rPr>
          <t xml:space="preserve">
5) 40% of transactions LY were coupon driven
6) Sales consistently $230M/week (Easter week was higher)</t>
        </r>
        <r>
          <rPr>
            <b/>
            <sz val="8"/>
            <color indexed="81"/>
            <rFont val="Tahoma"/>
            <family val="2"/>
          </rPr>
          <t xml:space="preserve">
</t>
        </r>
        <r>
          <rPr>
            <sz val="8"/>
            <color indexed="81"/>
            <rFont val="Tahoma"/>
            <family val="2"/>
          </rPr>
          <t xml:space="preserve">7) 67% of sales everyday price; 18% month long values; 15% best price merch
</t>
        </r>
        <r>
          <rPr>
            <b/>
            <sz val="8"/>
            <color indexed="81"/>
            <rFont val="Tahoma"/>
            <family val="2"/>
          </rPr>
          <t xml:space="preserve">
Per Guidance 1/26/12: 
</t>
        </r>
        <r>
          <rPr>
            <sz val="8"/>
            <color indexed="81"/>
            <rFont val="Tahoma"/>
            <family val="2"/>
          </rPr>
          <t>- Comps improving over the course of the yr w/ 2H stronger than 1H as new pricing strategy is communicated</t>
        </r>
        <r>
          <rPr>
            <b/>
            <sz val="8"/>
            <color indexed="81"/>
            <rFont val="Tahoma"/>
            <family val="2"/>
          </rPr>
          <t xml:space="preserve">
</t>
        </r>
      </text>
    </comment>
    <comment ref="DM10" authorId="4">
      <text>
        <r>
          <rPr>
            <b/>
            <sz val="8"/>
            <color indexed="81"/>
            <rFont val="Tahoma"/>
            <family val="2"/>
          </rPr>
          <t xml:space="preserve">2/26/14 guidance: </t>
        </r>
        <r>
          <rPr>
            <sz val="8"/>
            <color indexed="81"/>
            <rFont val="Tahoma"/>
            <family val="2"/>
          </rPr>
          <t xml:space="preserve">3-5%
</t>
        </r>
      </text>
    </comment>
    <comment ref="DQ10" authorId="5">
      <text>
        <r>
          <rPr>
            <b/>
            <sz val="9"/>
            <color indexed="81"/>
            <rFont val="Tahoma"/>
            <family val="2"/>
          </rPr>
          <t>casselau:</t>
        </r>
        <r>
          <rPr>
            <sz val="9"/>
            <color indexed="81"/>
            <rFont val="Tahoma"/>
            <family val="2"/>
          </rPr>
          <t xml:space="preserve">
4/14/15: expect -140 bps spread due to store closures</t>
        </r>
      </text>
    </comment>
    <comment ref="DR10" authorId="5">
      <text>
        <r>
          <rPr>
            <b/>
            <sz val="9"/>
            <color indexed="81"/>
            <rFont val="Tahoma"/>
            <family val="2"/>
          </rPr>
          <t xml:space="preserve">casselau:
5/13/15: trans count, conv, AUR all up to LY; all regions positive; +LSD store comp, online accelerated
</t>
        </r>
        <r>
          <rPr>
            <sz val="9"/>
            <color indexed="81"/>
            <rFont val="Tahoma"/>
            <family val="2"/>
          </rPr>
          <t>4/14/15: Expect 1Q comp to be 3.5-4.5% including Easter shift; QTD comp +6%
2/26/15: "ahead of plan" we est. Feb running 6-7%</t>
        </r>
      </text>
    </comment>
    <comment ref="DW10" authorId="6">
      <text>
        <r>
          <rPr>
            <b/>
            <sz val="9"/>
            <color indexed="81"/>
            <rFont val="Tahoma"/>
            <family val="2"/>
          </rPr>
          <t>Baglione, Gregory  (Research):</t>
        </r>
        <r>
          <rPr>
            <sz val="9"/>
            <color indexed="81"/>
            <rFont val="Tahoma"/>
            <family val="2"/>
          </rPr>
          <t xml:space="preserve">
And as I look back at the monthly
comps for the quarter, we delivered positive comps in the month of February; we experienced negative comps in March and in early April and
experienced positive comps the last two weeks of April heading into the Mother's Day selling season.
For the quarter conversion and units per transaction were up versus last year while transactions and average unit retail were down. </t>
        </r>
      </text>
    </comment>
    <comment ref="EB10" authorId="7">
      <text>
        <r>
          <rPr>
            <b/>
            <sz val="9"/>
            <color indexed="81"/>
            <rFont val="Tahoma"/>
            <family val="2"/>
          </rPr>
          <t xml:space="preserve">5/12/17: </t>
        </r>
        <r>
          <rPr>
            <sz val="9"/>
            <color indexed="81"/>
            <rFont val="Tahoma"/>
            <family val="2"/>
          </rPr>
          <t>March/April period improved 600 bps vs. February (April positive); February -7.5%/Marpril -1.5%; 1000 bps swing between Feb and April; UPT +LSD, AUR up slightly, while transaction counts were -5% (our estimate); Home, Sephora, Fine Jewelry and Salon all comped positively; Southwest and Southeast were the best performing regions; northeast worst; all apparel categories performed below the company comp; private brands outcomped national brands for the quarter
They estimate 40 bps Mother's Day impact
170 basis point improvement in our private label credit penetration to 40.4%; Slight benefit in 1Q from credit penetration; bad debt expense similar y/y</t>
        </r>
        <r>
          <rPr>
            <b/>
            <sz val="9"/>
            <color indexed="81"/>
            <rFont val="Tahoma"/>
            <family val="2"/>
          </rPr>
          <t xml:space="preserve">
Cassel, Lauren (Research):</t>
        </r>
        <r>
          <rPr>
            <sz val="9"/>
            <color indexed="81"/>
            <rFont val="Tahoma"/>
            <family val="2"/>
          </rPr>
          <t xml:space="preserve">
2/24/17: 1Q comp at lower end of guidance </t>
        </r>
      </text>
    </comment>
    <comment ref="BS11" authorId="0">
      <text>
        <r>
          <rPr>
            <b/>
            <sz val="8"/>
            <color indexed="81"/>
            <rFont val="Tahoma"/>
            <family val="2"/>
          </rPr>
          <t>-Per 8/16/05 restatements following Renner sale.</t>
        </r>
      </text>
    </comment>
    <comment ref="BW11"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A11"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E11"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Z11" authorId="2">
      <text>
        <r>
          <rPr>
            <b/>
            <sz val="8"/>
            <color indexed="81"/>
            <rFont val="Tahoma"/>
            <family val="2"/>
          </rPr>
          <t xml:space="preserve">Guidance 7/7/11:
</t>
        </r>
        <r>
          <rPr>
            <sz val="8"/>
            <color indexed="81"/>
            <rFont val="Tahoma"/>
            <family val="2"/>
          </rPr>
          <t>(200)-(250) bps less than comp due to exit of catalog and related biz</t>
        </r>
        <r>
          <rPr>
            <b/>
            <sz val="8"/>
            <color indexed="81"/>
            <rFont val="Tahoma"/>
            <family val="2"/>
          </rPr>
          <t xml:space="preserve">
Guidance 5/16/11:
</t>
        </r>
        <r>
          <rPr>
            <sz val="8"/>
            <color indexed="81"/>
            <rFont val="Tahoma"/>
            <family val="2"/>
          </rPr>
          <t>(250) bps less than comp due to exit of catalog and related biz</t>
        </r>
        <r>
          <rPr>
            <sz val="8"/>
            <color indexed="81"/>
            <rFont val="Tahoma"/>
            <family val="2"/>
          </rPr>
          <t xml:space="preserve">
</t>
        </r>
      </text>
    </comment>
    <comment ref="DA11" authorId="2">
      <text>
        <r>
          <rPr>
            <b/>
            <sz val="8"/>
            <color indexed="81"/>
            <rFont val="Tahoma"/>
            <family val="2"/>
          </rPr>
          <t xml:space="preserve">Guidance 7/7/11:
</t>
        </r>
        <r>
          <rPr>
            <sz val="8"/>
            <color indexed="81"/>
            <rFont val="Tahoma"/>
            <family val="2"/>
          </rPr>
          <t>+1-2%</t>
        </r>
        <r>
          <rPr>
            <b/>
            <sz val="8"/>
            <color indexed="81"/>
            <rFont val="Tahoma"/>
            <family val="2"/>
          </rPr>
          <t xml:space="preserve">
Guidance 5/16/11:
</t>
        </r>
        <r>
          <rPr>
            <sz val="8"/>
            <color indexed="81"/>
            <rFont val="Tahoma"/>
            <family val="2"/>
          </rPr>
          <t>+3-4%</t>
        </r>
        <r>
          <rPr>
            <sz val="8"/>
            <color indexed="81"/>
            <rFont val="Tahoma"/>
            <family val="2"/>
          </rPr>
          <t xml:space="preserve">
</t>
        </r>
      </text>
    </comment>
    <comment ref="DE11" authorId="3">
      <text>
        <r>
          <rPr>
            <b/>
            <sz val="8"/>
            <color indexed="81"/>
            <rFont val="Tahoma"/>
            <family val="2"/>
          </rPr>
          <t xml:space="preserve">6/20/2012 Commentary 
</t>
        </r>
        <r>
          <rPr>
            <sz val="8"/>
            <color indexed="81"/>
            <rFont val="Tahoma"/>
            <family val="2"/>
          </rPr>
          <t xml:space="preserve">(WSJ article)
2Q sales showing a "modest improvement" vs 1Q 
* Johnson pleased with results in May
* Sales saw a setback over Father's Day, leaving them below co's expectations
</t>
        </r>
        <r>
          <rPr>
            <b/>
            <sz val="8"/>
            <color indexed="81"/>
            <rFont val="Tahoma"/>
            <family val="2"/>
          </rPr>
          <t xml:space="preserve">
5/16/2012 Guidance
</t>
        </r>
        <r>
          <rPr>
            <sz val="8"/>
            <color indexed="81"/>
            <rFont val="Tahoma"/>
            <family val="2"/>
          </rPr>
          <t>Expect comp improvement throughout rest of 2012 sequentially</t>
        </r>
        <r>
          <rPr>
            <b/>
            <sz val="8"/>
            <color indexed="81"/>
            <rFont val="Tahoma"/>
            <family val="2"/>
          </rPr>
          <t xml:space="preserve">
Per Guidance 1/26/12: 
</t>
        </r>
        <r>
          <rPr>
            <sz val="8"/>
            <color indexed="81"/>
            <rFont val="Tahoma"/>
            <family val="2"/>
          </rPr>
          <t>- Comps improving over the course of the yr w/ 2H stronger than 1H as new pricing strategy is communicated</t>
        </r>
        <r>
          <rPr>
            <b/>
            <sz val="8"/>
            <color indexed="81"/>
            <rFont val="Tahoma"/>
            <family val="2"/>
          </rPr>
          <t xml:space="preserve">
</t>
        </r>
      </text>
    </comment>
    <comment ref="DM11" authorId="8">
      <text>
        <r>
          <rPr>
            <b/>
            <sz val="9"/>
            <color indexed="81"/>
            <rFont val="Tahoma"/>
            <family val="2"/>
          </rPr>
          <t xml:space="preserve">5/15/14: </t>
        </r>
        <r>
          <rPr>
            <sz val="9"/>
            <color indexed="81"/>
            <rFont val="Tahoma"/>
            <family val="2"/>
          </rPr>
          <t xml:space="preserve">guidance +MSD
</t>
        </r>
      </text>
    </comment>
    <comment ref="DR11" authorId="5">
      <text>
        <r>
          <rPr>
            <b/>
            <sz val="9"/>
            <color indexed="81"/>
            <rFont val="Tahoma"/>
            <family val="2"/>
          </rPr>
          <t>casselau:</t>
        </r>
        <r>
          <rPr>
            <sz val="9"/>
            <color indexed="81"/>
            <rFont val="Tahoma"/>
            <family val="2"/>
          </rPr>
          <t xml:space="preserve">
8/14/15 Bricks and Mortar comps increased LSD, 50 bps impact from tax free holiday headwinds.
AUR,Conversion, Transactions all positive
5/13/15: QTD +MSD
</t>
        </r>
      </text>
    </comment>
    <comment ref="DW11" authorId="6">
      <text>
        <r>
          <rPr>
            <sz val="9"/>
            <color indexed="81"/>
            <rFont val="Tahoma"/>
            <family val="2"/>
          </rPr>
          <t>Conversion, units per transaction, and transaction counts were all up versus last year while average unit retail was down.
Source: 10Q-2Q16</t>
        </r>
      </text>
    </comment>
    <comment ref="EB11" authorId="7">
      <text>
        <r>
          <rPr>
            <b/>
            <sz val="9"/>
            <color indexed="81"/>
            <rFont val="Tahoma"/>
            <family val="2"/>
          </rPr>
          <t>Cassel, Lauren (Research):</t>
        </r>
        <r>
          <rPr>
            <sz val="9"/>
            <color indexed="81"/>
            <rFont val="Tahoma"/>
            <family val="2"/>
          </rPr>
          <t xml:space="preserve">
5/12/17: On 5/22 they will begin the closing store commencement; will last about 9 weeks; all stores will be closed by July 31.
Expect comp to be within -1% to +1% range</t>
        </r>
      </text>
    </comment>
    <comment ref="BS12" authorId="0">
      <text>
        <r>
          <rPr>
            <b/>
            <sz val="8"/>
            <color indexed="81"/>
            <rFont val="Tahoma"/>
            <family val="2"/>
          </rPr>
          <t>-Per 8/16/05 restatements following Renner sale.</t>
        </r>
      </text>
    </comment>
    <comment ref="BW12"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A12"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E12"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Y12" authorId="3">
      <text>
        <r>
          <rPr>
            <b/>
            <sz val="8"/>
            <color indexed="81"/>
            <rFont val="Tahoma"/>
            <family val="2"/>
          </rPr>
          <t xml:space="preserve">3Q11 10Q
</t>
        </r>
        <r>
          <rPr>
            <sz val="8"/>
            <color indexed="81"/>
            <rFont val="Tahoma"/>
            <family val="2"/>
          </rPr>
          <t>-$203M Delta:
1) Comp decrease: -$65M
2) Non-comp store sales increase: -$2M (reflects 3 new stores, 
six stores closed and 2 stores reopened after being closed for 
an extended period y/y)
3) Sales through catalog print media &amp; outlet stores decrease: -$136M</t>
        </r>
      </text>
    </comment>
    <comment ref="CZ12" authorId="2">
      <text>
        <r>
          <rPr>
            <b/>
            <sz val="8"/>
            <color indexed="81"/>
            <rFont val="Tahoma"/>
            <family val="2"/>
          </rPr>
          <t xml:space="preserve">11/14/11 Comment: 
</t>
        </r>
        <r>
          <rPr>
            <sz val="8"/>
            <color indexed="81"/>
            <rFont val="Tahoma"/>
            <family val="2"/>
          </rPr>
          <t>Sales were below expectations</t>
        </r>
        <r>
          <rPr>
            <b/>
            <sz val="8"/>
            <color indexed="81"/>
            <rFont val="Tahoma"/>
            <family val="2"/>
          </rPr>
          <t xml:space="preserve">
Guidance 8/12/11:
</t>
        </r>
        <r>
          <rPr>
            <sz val="8"/>
            <color indexed="81"/>
            <rFont val="Tahoma"/>
            <family val="2"/>
          </rPr>
          <t>Will increase ~250 bps less than comp sales due to exit of catalog business</t>
        </r>
      </text>
    </comment>
    <comment ref="DA12" authorId="2">
      <text>
        <r>
          <rPr>
            <b/>
            <sz val="8"/>
            <color indexed="81"/>
            <rFont val="Tahoma"/>
            <family val="2"/>
          </rPr>
          <t xml:space="preserve">Comment 11/14/11
</t>
        </r>
        <r>
          <rPr>
            <sz val="8"/>
            <color indexed="81"/>
            <rFont val="Tahoma"/>
            <family val="2"/>
          </rPr>
          <t>1) Strongest merch categories: women's accessories &amp; men's apparel
2) SE strongest mkt / NE weakest mkt
3) Mall traffic -2.4% (off mall up / mall down) (conversion rates for both were up y/y per 10Q)
4) Sephora reported dbl digit comp
5) AUR slightly up, transactions up low single digit, basket down high single digits (traffic miss expectations)
6) Units sold declined and units per transaction declined
7) Private / exclusive merch 56% of total merchandise sales (10Q)
8) Men's best performing division / home weakest</t>
        </r>
        <r>
          <rPr>
            <b/>
            <sz val="8"/>
            <color indexed="81"/>
            <rFont val="Tahoma"/>
            <family val="2"/>
          </rPr>
          <t xml:space="preserve">
Guidance: 10/6/2011
</t>
        </r>
        <r>
          <rPr>
            <sz val="8"/>
            <color indexed="81"/>
            <rFont val="Tahoma"/>
            <family val="2"/>
          </rPr>
          <t>Flat</t>
        </r>
        <r>
          <rPr>
            <b/>
            <sz val="8"/>
            <color indexed="81"/>
            <rFont val="Tahoma"/>
            <family val="2"/>
          </rPr>
          <t xml:space="preserve">
Guidance 8/12/11:
</t>
        </r>
        <r>
          <rPr>
            <sz val="8"/>
            <color indexed="81"/>
            <rFont val="Tahoma"/>
            <family val="2"/>
          </rPr>
          <t>+2-3%</t>
        </r>
      </text>
    </comment>
    <comment ref="DI12" authorId="9">
      <text>
        <r>
          <rPr>
            <b/>
            <sz val="8"/>
            <color indexed="81"/>
            <rFont val="Tahoma"/>
            <family val="2"/>
          </rPr>
          <t xml:space="preserve">8/20/13: </t>
        </r>
        <r>
          <rPr>
            <sz val="8"/>
            <color indexed="81"/>
            <rFont val="Tahoma"/>
            <family val="2"/>
          </rPr>
          <t>expect positive comp coming out of 3Q. Aug comp difficult (extended clearance and haircut traffic LY)</t>
        </r>
        <r>
          <rPr>
            <sz val="8"/>
            <color indexed="81"/>
            <rFont val="Tahoma"/>
            <family val="2"/>
          </rPr>
          <t xml:space="preserve">
</t>
        </r>
        <r>
          <rPr>
            <b/>
            <sz val="8"/>
            <color indexed="81"/>
            <rFont val="Tahoma"/>
            <family val="2"/>
          </rPr>
          <t>10/08/13:</t>
        </r>
        <r>
          <rPr>
            <sz val="8"/>
            <color indexed="81"/>
            <rFont val="Tahoma"/>
            <family val="2"/>
          </rPr>
          <t xml:space="preserve"> Aug comp -9.8%, Sept comp -4%
</t>
        </r>
        <r>
          <rPr>
            <b/>
            <sz val="8"/>
            <color indexed="81"/>
            <rFont val="Tahoma"/>
            <family val="2"/>
          </rPr>
          <t>11/20/13:</t>
        </r>
        <r>
          <rPr>
            <sz val="8"/>
            <color indexed="81"/>
            <rFont val="Tahoma"/>
            <family val="2"/>
          </rPr>
          <t xml:space="preserve"> Oct +0.9%. Traffic improved sequentially but still negative yoy. Conversion was up yoy, compared to down yoy in 2Q</t>
        </r>
      </text>
    </comment>
    <comment ref="DM12" authorId="8">
      <text>
        <r>
          <rPr>
            <b/>
            <sz val="9"/>
            <color indexed="81"/>
            <rFont val="Tahoma"/>
            <family val="2"/>
          </rPr>
          <t xml:space="preserve">11/12/14: </t>
        </r>
        <r>
          <rPr>
            <sz val="9"/>
            <color indexed="81"/>
            <rFont val="Tahoma"/>
            <family val="2"/>
          </rPr>
          <t>Store traffic remained negative this quarter but consistent with our trend, it continues to improve sequentially. Store traffic remained negative this quarter but consistent with our trend, it continues to improve sequentially. Our store conversion, average transaction size and average unit retail for the quarter were all up versus last year. Units per transaction were down to last year. 
non-clearance merchandise +5.4%</t>
        </r>
      </text>
    </comment>
    <comment ref="DR12" authorId="6">
      <text>
        <r>
          <rPr>
            <b/>
            <sz val="9"/>
            <color indexed="81"/>
            <rFont val="Tahoma"/>
            <family val="2"/>
          </rPr>
          <t>Baglione, Gregory  (Research):</t>
        </r>
        <r>
          <rPr>
            <sz val="9"/>
            <color indexed="81"/>
            <rFont val="Tahoma"/>
            <family val="2"/>
          </rPr>
          <t xml:space="preserve">
8/14/15
Comps to increase 4-5% FY. </t>
        </r>
        <r>
          <rPr>
            <b/>
            <sz val="9"/>
            <color indexed="81"/>
            <rFont val="Tahoma"/>
            <family val="2"/>
          </rPr>
          <t xml:space="preserve">
</t>
        </r>
        <r>
          <rPr>
            <sz val="9"/>
            <color indexed="81"/>
            <rFont val="Tahoma"/>
            <family val="2"/>
          </rPr>
          <t>50 bps impact from tax free holiday headwinds benefits 3Q, likely offset by Halloween on Saturday this year. Expect comps to improve sequentially over 2Q</t>
        </r>
      </text>
    </comment>
    <comment ref="DW12" authorId="10">
      <text>
        <r>
          <rPr>
            <b/>
            <sz val="9"/>
            <color indexed="81"/>
            <rFont val="Tahoma"/>
            <family val="2"/>
          </rPr>
          <t>Baglione, Gregory (Research):</t>
        </r>
        <r>
          <rPr>
            <sz val="9"/>
            <color indexed="81"/>
            <rFont val="Tahoma"/>
            <family val="2"/>
          </rPr>
          <t xml:space="preserve">
Trent noted October was the best month 3-4% comp, which benefitted ~1-2% from appliances. They expect full quarter uplift in 4Q. 
11/11/16
In looking at the monthly cadence, October comped positively and was our strongest month of the quarter. All divisions, except women's apparel
and women's accessories, were positive in October, a clear indication of the ongoing strength of our new growth initiatives.
Our strongest performing categories for the quarter were Sephora, Home, Salon and Fine Jewelry. Geographically, the Pacific and Northwest regions
were our best performing regions.
For the quarter, average unit retail was up versus last year while units per transaction and transaction counts were down. However, October's
positive comps for sales results were driven by and increase in transaction counts.
We are extremely pleased with the private label credit card penetration. For the third quarter, the penetration rate on our card continued to improve
and was the highest percent in many years, increasing 200 basis points versus last year.</t>
        </r>
      </text>
    </comment>
    <comment ref="EA12" authorId="11">
      <text>
        <r>
          <rPr>
            <b/>
            <sz val="9"/>
            <color indexed="81"/>
            <rFont val="Tahoma"/>
            <family val="2"/>
          </rPr>
          <t>De Courreges, Edouard (Research):</t>
        </r>
        <r>
          <rPr>
            <sz val="9"/>
            <color indexed="81"/>
            <rFont val="Tahoma"/>
            <family val="2"/>
          </rPr>
          <t xml:space="preserve">
Divisions that outperform the total company comp during the quarter included Home, Sephora, Footwear and Handbags, and Salon. Fine Jewelry
and Women's Specialty also comped positively
Gulf Coast and Midwest were the best performing regions
Women's was positive for the first time in 14 months
Appliance sales more than doubled versus Q3; delivered a plus 30% comp; we had 120% growth plus in appliances in Q3</t>
        </r>
      </text>
    </comment>
    <comment ref="EB12" authorId="11">
      <text>
        <r>
          <rPr>
            <b/>
            <sz val="9"/>
            <color indexed="81"/>
            <rFont val="Tahoma"/>
            <family val="2"/>
          </rPr>
          <t>De Courreges, Edouard (Research):</t>
        </r>
        <r>
          <rPr>
            <sz val="9"/>
            <color indexed="81"/>
            <rFont val="Tahoma"/>
            <family val="2"/>
          </rPr>
          <t xml:space="preserve">
3Q preannouncedment: comp +.6 to +.8</t>
        </r>
      </text>
    </comment>
    <comment ref="BS13" authorId="0">
      <text>
        <r>
          <rPr>
            <b/>
            <sz val="8"/>
            <color indexed="81"/>
            <rFont val="Tahoma"/>
            <family val="2"/>
          </rPr>
          <t>-Per 8/16/05 restatements following Renner sale.</t>
        </r>
      </text>
    </comment>
    <comment ref="BW13"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A13" authorId="1">
      <text>
        <r>
          <rPr>
            <b/>
            <sz val="8"/>
            <color indexed="81"/>
            <rFont val="Tahoma"/>
            <family val="2"/>
          </rPr>
          <t>2/22/07: Reclassified costs associated with the Company’s 13 store merchandise distribution centers from SG&amp;A expenses into cost of goods sold</t>
        </r>
        <r>
          <rPr>
            <sz val="8"/>
            <color indexed="81"/>
            <rFont val="Tahoma"/>
            <family val="2"/>
          </rPr>
          <t xml:space="preserve">
</t>
        </r>
      </text>
    </comment>
    <comment ref="CZ13" authorId="3">
      <text>
        <r>
          <rPr>
            <b/>
            <sz val="8"/>
            <color indexed="81"/>
            <rFont val="Tahoma"/>
            <family val="2"/>
          </rPr>
          <t xml:space="preserve">Guidance: 11/14/2011
</t>
        </r>
        <r>
          <rPr>
            <sz val="8"/>
            <color indexed="81"/>
            <rFont val="Tahoma"/>
            <family val="2"/>
          </rPr>
          <t xml:space="preserve"> ~250-300bps &lt; comps due to impact from exit of catalog and catalog outlet biz
</t>
        </r>
      </text>
    </comment>
    <comment ref="DA13" authorId="3">
      <text>
        <r>
          <rPr>
            <b/>
            <sz val="8"/>
            <color indexed="81"/>
            <rFont val="Tahoma"/>
            <family val="2"/>
          </rPr>
          <t xml:space="preserve">1/5/12 Guidance
</t>
        </r>
        <r>
          <rPr>
            <sz val="8"/>
            <color indexed="81"/>
            <rFont val="Tahoma"/>
            <family val="2"/>
          </rPr>
          <t xml:space="preserve">Down slightly (0-(1)%)
</t>
        </r>
        <r>
          <rPr>
            <b/>
            <sz val="8"/>
            <color indexed="81"/>
            <rFont val="Tahoma"/>
            <family val="2"/>
          </rPr>
          <t xml:space="preserve">
11/14/11 guidance:
</t>
        </r>
        <r>
          <rPr>
            <sz val="8"/>
            <color indexed="81"/>
            <rFont val="Tahoma"/>
            <family val="2"/>
          </rPr>
          <t>1) Flat to up slightly y/y</t>
        </r>
      </text>
    </comment>
    <comment ref="DC13" authorId="3">
      <text>
        <r>
          <rPr>
            <b/>
            <sz val="8"/>
            <color indexed="81"/>
            <rFont val="Tahoma"/>
            <family val="2"/>
          </rPr>
          <t xml:space="preserve">2/27/2013: </t>
        </r>
        <r>
          <rPr>
            <sz val="8"/>
            <color indexed="81"/>
            <rFont val="Tahoma"/>
            <family val="2"/>
          </rPr>
          <t>includes $163M from extra week</t>
        </r>
      </text>
    </comment>
    <comment ref="DI13" authorId="4">
      <text>
        <r>
          <rPr>
            <b/>
            <sz val="8"/>
            <color indexed="81"/>
            <rFont val="Tahoma"/>
            <family val="2"/>
          </rPr>
          <t>2/4/14: +2%</t>
        </r>
        <r>
          <rPr>
            <sz val="8"/>
            <color indexed="81"/>
            <rFont val="Tahoma"/>
            <family val="2"/>
          </rPr>
          <t xml:space="preserve">
</t>
        </r>
      </text>
    </comment>
    <comment ref="DM13" authorId="8">
      <text>
        <r>
          <rPr>
            <sz val="9"/>
            <color indexed="81"/>
            <rFont val="Tahoma"/>
            <family val="2"/>
          </rPr>
          <t>2/26/15: store only +3.7%; transactions +MSD; January was the strongest month; traffic improved sequentially (off-mall store traffic positive); non-clearance merchandise +8.7%; average transaction size, conversion, and AUR all up (transaction value roughly flat; lower UPT, higher AUR)</t>
        </r>
        <r>
          <rPr>
            <b/>
            <sz val="9"/>
            <color indexed="81"/>
            <rFont val="Tahoma"/>
            <family val="2"/>
          </rPr>
          <t xml:space="preserve">
1/6/15: </t>
        </r>
        <r>
          <rPr>
            <sz val="9"/>
            <color indexed="81"/>
            <rFont val="Tahoma"/>
            <family val="2"/>
          </rPr>
          <t>Nov/Dec comp +3.7%; now expect 4Q comp at upper end of 2-4% guidance range</t>
        </r>
        <r>
          <rPr>
            <b/>
            <sz val="9"/>
            <color indexed="81"/>
            <rFont val="Tahoma"/>
            <family val="2"/>
          </rPr>
          <t xml:space="preserve">
11/12/14: </t>
        </r>
        <r>
          <rPr>
            <sz val="9"/>
            <color indexed="81"/>
            <rFont val="Tahoma"/>
            <family val="2"/>
          </rPr>
          <t xml:space="preserve">Guidance 2-4%
</t>
        </r>
      </text>
    </comment>
    <comment ref="DR13" authorId="6">
      <text>
        <r>
          <rPr>
            <b/>
            <sz val="9"/>
            <color indexed="81"/>
            <rFont val="Tahoma"/>
            <family val="2"/>
          </rPr>
          <t>Baglione, Gregory  (Research):</t>
        </r>
        <r>
          <rPr>
            <sz val="9"/>
            <color indexed="81"/>
            <rFont val="Tahoma"/>
            <family val="2"/>
          </rPr>
          <t xml:space="preserve">
8/14/15
Comps to increase 4-5% FY</t>
        </r>
      </text>
    </comment>
    <comment ref="DW13" authorId="12">
      <text>
        <r>
          <rPr>
            <b/>
            <sz val="9"/>
            <color indexed="81"/>
            <rFont val="Tahoma"/>
            <family val="2"/>
          </rPr>
          <t xml:space="preserve">2/23/17: comp was negatively impacted by first three weeks of November (December + January combined were +LSD; Dec best month); </t>
        </r>
        <r>
          <rPr>
            <sz val="9"/>
            <color indexed="81"/>
            <rFont val="Tahoma"/>
            <family val="2"/>
          </rPr>
          <t>home, sephora, salon, and fine jewelry were the best categories; apparel below average (M and kids better); southeast and pacific best performing regions; if women's apparel performed inline with mens and kids, overall comp would have been positive; transaction counts down, AUR and UPT both up</t>
        </r>
        <r>
          <rPr>
            <b/>
            <sz val="9"/>
            <color indexed="81"/>
            <rFont val="Tahoma"/>
            <family val="2"/>
          </rPr>
          <t xml:space="preserve">
Roberts, Cynthia (Research):</t>
        </r>
        <r>
          <rPr>
            <sz val="9"/>
            <color indexed="81"/>
            <rFont val="Tahoma"/>
            <family val="2"/>
          </rPr>
          <t xml:space="preserve">
11/11/16: Maintaining +2.5% comp, reflecting updated guidance -</t>
        </r>
        <r>
          <rPr>
            <b/>
            <sz val="9"/>
            <color indexed="81"/>
            <rFont val="Tahoma"/>
            <family val="2"/>
          </rPr>
          <t xml:space="preserve"> FY 16 Comparable store sales: expected to now increase 1% to 2%;</t>
        </r>
      </text>
    </comment>
    <comment ref="EA13" authorId="7">
      <text>
        <r>
          <rPr>
            <b/>
            <sz val="9"/>
            <color indexed="81"/>
            <rFont val="Tahoma"/>
            <family val="2"/>
          </rPr>
          <t>Cassel, Lauren (Research):</t>
        </r>
        <r>
          <rPr>
            <sz val="9"/>
            <color indexed="81"/>
            <rFont val="Tahoma"/>
            <family val="2"/>
          </rPr>
          <t xml:space="preserve">
3/2/18: AUR biggest driver, UPT, traffic (Store + ecomm) all positive
5/12/17: 53rd week will add ~3.8%</t>
        </r>
      </text>
    </comment>
    <comment ref="EB13" authorId="11">
      <text>
        <r>
          <rPr>
            <b/>
            <sz val="9"/>
            <color indexed="81"/>
            <rFont val="Tahoma"/>
            <family val="2"/>
          </rPr>
          <t>De Courreges, Edouard (Research):</t>
        </r>
        <r>
          <rPr>
            <sz val="9"/>
            <color indexed="81"/>
            <rFont val="Tahoma"/>
            <family val="2"/>
          </rPr>
          <t xml:space="preserve">
3/2/2018: Jewelry, Home, Sephora, Footwear and Handbags and Salon were the Company's top performing divisions during the quarter. Geographically, the Southeast and Gulf Coast were the best performing regions of the country.  
Appliances &gt;30% 
60% mattress
40% furniture 
</t>
        </r>
      </text>
    </comment>
    <comment ref="BS14" authorId="1">
      <text>
        <r>
          <rPr>
            <b/>
            <sz val="8"/>
            <color indexed="81"/>
            <rFont val="Tahoma"/>
            <family val="2"/>
          </rPr>
          <t>2/22/07: Reclassified costs associated with the Company’s 13 store merchandise distribution centers from SG&amp;A expenses into cost of goods sold 
Note: Quarters do not sum to annuals</t>
        </r>
        <r>
          <rPr>
            <sz val="8"/>
            <color indexed="81"/>
            <rFont val="Tahoma"/>
            <family val="2"/>
          </rPr>
          <t xml:space="preserve">
</t>
        </r>
      </text>
    </comment>
    <comment ref="CY14" authorId="2">
      <text>
        <r>
          <rPr>
            <b/>
            <sz val="8"/>
            <color indexed="81"/>
            <rFont val="Tahoma"/>
            <family val="2"/>
          </rPr>
          <t xml:space="preserve">2011 10K
Break down of 2011 vs 2011 Sales Change:
</t>
        </r>
        <r>
          <rPr>
            <sz val="8"/>
            <color indexed="81"/>
            <rFont val="Tahoma"/>
            <family val="2"/>
          </rPr>
          <t>Comp sales (incl. direct) +$33M
New store sales, net +$11M
Sale decline thru catalago print media &amp; outlet stores -$534</t>
        </r>
        <r>
          <rPr>
            <b/>
            <sz val="8"/>
            <color indexed="81"/>
            <rFont val="Tahoma"/>
            <family val="2"/>
          </rPr>
          <t xml:space="preserve">
Sales by Category:
</t>
        </r>
        <r>
          <rPr>
            <sz val="8"/>
            <color indexed="81"/>
            <rFont val="Tahoma"/>
            <family val="2"/>
          </rPr>
          <t xml:space="preserve">Women's apparel 25%
Men's apparel &amp; accessories 20%
Home 15%
Women's accessories, inc Sephora 12%
Children's apparel 12%
Family footwear 7%
Fine jewelry 4%
Services &amp; other 5%
</t>
        </r>
        <r>
          <rPr>
            <b/>
            <sz val="8"/>
            <color indexed="81"/>
            <rFont val="Tahoma"/>
            <family val="2"/>
          </rPr>
          <t xml:space="preserve">Sales / SF
</t>
        </r>
        <r>
          <rPr>
            <sz val="8"/>
            <color indexed="81"/>
            <rFont val="Tahoma"/>
            <family val="2"/>
          </rPr>
          <t xml:space="preserve">Sales per GSF $154 vs $153 LY
Sales per net selling SF: $212 vs. $210 LY
</t>
        </r>
        <r>
          <rPr>
            <b/>
            <sz val="8"/>
            <color indexed="81"/>
            <rFont val="Tahoma"/>
            <family val="2"/>
          </rPr>
          <t xml:space="preserve">
Comment 8/11/11:
</t>
        </r>
        <r>
          <rPr>
            <sz val="8"/>
            <color indexed="81"/>
            <rFont val="Tahoma"/>
            <family val="2"/>
          </rPr>
          <t>-Co. went dark on catalogue biz in 4Q10</t>
        </r>
        <r>
          <rPr>
            <sz val="8"/>
            <color indexed="81"/>
            <rFont val="Tahoma"/>
            <family val="2"/>
          </rPr>
          <t xml:space="preserve">
-About $400M sales loss in 2011 from catalog
-Co will be completely out of it by end of year</t>
        </r>
      </text>
    </comment>
    <comment ref="DA14" authorId="2">
      <text>
        <r>
          <rPr>
            <b/>
            <sz val="8"/>
            <color indexed="81"/>
            <rFont val="Tahoma"/>
            <family val="2"/>
          </rPr>
          <t xml:space="preserve">2011 10K
</t>
        </r>
        <r>
          <rPr>
            <sz val="8"/>
            <color indexed="81"/>
            <rFont val="Tahoma"/>
            <family val="2"/>
          </rPr>
          <t xml:space="preserve">* 2011 off mall traffic up; on mall down
* Conversion rate at all stores up vs 2010
* Avg unit retail up slightly y/y
* Transactions up y/y
* # units and units / transaction down y/y
* Sales in all geographies relatively flat in 2011; best performance in SW and weakest from the NW and Central regions
* Best performing categories: women's apparel and women's accesories, incl Sephora; Worst performing: home and family footwear </t>
        </r>
        <r>
          <rPr>
            <b/>
            <sz val="8"/>
            <color indexed="81"/>
            <rFont val="Tahoma"/>
            <family val="2"/>
          </rPr>
          <t xml:space="preserve">
</t>
        </r>
        <r>
          <rPr>
            <sz val="8"/>
            <color indexed="81"/>
            <rFont val="Tahoma"/>
            <family val="2"/>
          </rPr>
          <t xml:space="preserve">* Private and exclusive brands @ 55% of total merch sales (same as LY)
</t>
        </r>
        <r>
          <rPr>
            <b/>
            <sz val="8"/>
            <color indexed="81"/>
            <rFont val="Tahoma"/>
            <family val="2"/>
          </rPr>
          <t xml:space="preserve">
Guidance 5/16/11:
</t>
        </r>
        <r>
          <rPr>
            <sz val="8"/>
            <color indexed="81"/>
            <rFont val="Tahoma"/>
            <family val="2"/>
          </rPr>
          <t>+LSD to MSD</t>
        </r>
        <r>
          <rPr>
            <b/>
            <sz val="8"/>
            <color indexed="81"/>
            <rFont val="Tahoma"/>
            <family val="2"/>
          </rPr>
          <t xml:space="preserve">
Guidance 2/25/11:
</t>
        </r>
        <r>
          <rPr>
            <sz val="8"/>
            <color indexed="81"/>
            <rFont val="Tahoma"/>
            <family val="2"/>
          </rPr>
          <t>+LSD to MSD</t>
        </r>
        <r>
          <rPr>
            <sz val="8"/>
            <color indexed="81"/>
            <rFont val="Tahoma"/>
            <family val="2"/>
          </rPr>
          <t xml:space="preserve">
</t>
        </r>
      </text>
    </comment>
    <comment ref="DM14" authorId="4">
      <text>
        <r>
          <rPr>
            <b/>
            <sz val="8"/>
            <color indexed="81"/>
            <rFont val="Tahoma"/>
            <family val="2"/>
          </rPr>
          <t xml:space="preserve">2/26/15: transactions +LSD
2/26/14 </t>
        </r>
        <r>
          <rPr>
            <sz val="8"/>
            <color indexed="81"/>
            <rFont val="Tahoma"/>
            <family val="2"/>
          </rPr>
          <t xml:space="preserve">guidance: +MSD comps
</t>
        </r>
        <r>
          <rPr>
            <b/>
            <sz val="8"/>
            <color indexed="81"/>
            <rFont val="Tahoma"/>
            <family val="2"/>
          </rPr>
          <t>5/15/14</t>
        </r>
        <r>
          <rPr>
            <sz val="8"/>
            <color indexed="81"/>
            <rFont val="Tahoma"/>
            <family val="2"/>
          </rPr>
          <t xml:space="preserve"> guidance: +MSD comps
</t>
        </r>
        <r>
          <rPr>
            <b/>
            <sz val="8"/>
            <color indexed="81"/>
            <rFont val="Tahoma"/>
            <family val="2"/>
          </rPr>
          <t>8/14/14</t>
        </r>
        <r>
          <rPr>
            <sz val="8"/>
            <color indexed="81"/>
            <rFont val="Tahoma"/>
            <family val="2"/>
          </rPr>
          <t xml:space="preserve"> guidance: +MSD comps
</t>
        </r>
        <r>
          <rPr>
            <b/>
            <sz val="8"/>
            <color indexed="81"/>
            <rFont val="Tahoma"/>
            <family val="2"/>
          </rPr>
          <t>11/12/14</t>
        </r>
        <r>
          <rPr>
            <sz val="8"/>
            <color indexed="81"/>
            <rFont val="Tahoma"/>
            <family val="2"/>
          </rPr>
          <t xml:space="preserve"> guidance: +3.5% to 4.5% comps</t>
        </r>
      </text>
    </comment>
    <comment ref="DQ14" authorId="5">
      <text>
        <r>
          <rPr>
            <b/>
            <sz val="9"/>
            <color indexed="81"/>
            <rFont val="Tahoma"/>
            <family val="2"/>
          </rPr>
          <t>casselau:</t>
        </r>
        <r>
          <rPr>
            <sz val="9"/>
            <color indexed="81"/>
            <rFont val="Tahoma"/>
            <family val="2"/>
          </rPr>
          <t xml:space="preserve">
2/26/15: expect 150 bps spread due to store closures (1% okay per Trent)</t>
        </r>
      </text>
    </comment>
    <comment ref="DR14" authorId="5">
      <text>
        <r>
          <rPr>
            <b/>
            <sz val="9"/>
            <color indexed="81"/>
            <rFont val="Tahoma"/>
            <family val="2"/>
          </rPr>
          <t>casselau:
5/13/15: guidance +4-5%</t>
        </r>
        <r>
          <rPr>
            <sz val="9"/>
            <color indexed="81"/>
            <rFont val="Tahoma"/>
            <family val="2"/>
          </rPr>
          <t xml:space="preserve">
2/26/15: guidance +3-5%</t>
        </r>
      </text>
    </comment>
    <comment ref="DW14" authorId="6">
      <text>
        <r>
          <rPr>
            <b/>
            <sz val="9"/>
            <color indexed="81"/>
            <rFont val="Tahoma"/>
            <family val="2"/>
          </rPr>
          <t>Baglione, Gregory  (Research):</t>
        </r>
        <r>
          <rPr>
            <sz val="9"/>
            <color indexed="81"/>
            <rFont val="Tahoma"/>
            <family val="2"/>
          </rPr>
          <t xml:space="preserve">
11/11/16
prev: 1.4%
curr: 1.0%
FY16 comp reflects change in comp guidance  from +3-4% to +1-2%
Guidance:
</t>
        </r>
        <r>
          <rPr>
            <b/>
            <sz val="9"/>
            <color indexed="81"/>
            <rFont val="Tahoma"/>
            <family val="2"/>
          </rPr>
          <t>Comparable store sales: expected to now increase 1% to 2%</t>
        </r>
        <r>
          <rPr>
            <sz val="9"/>
            <color indexed="81"/>
            <rFont val="Tahoma"/>
            <family val="2"/>
          </rPr>
          <t xml:space="preserve">
Gross margin: expected to now be flat versus 2015;
SG&amp;A dollars: expected to decrease versus 2015;
EBITDA1: expected to be $1 billion;
Adjusted earnings per share1: expected to be positive;
Free cash flow1: expected to improve versus 2015.
5/13/16
Comparable store sales: expected to increase 3 % to 4 %; (no change)</t>
        </r>
      </text>
    </comment>
    <comment ref="EA14" authorId="7">
      <text>
        <r>
          <rPr>
            <b/>
            <sz val="9"/>
            <color indexed="81"/>
            <rFont val="Tahoma"/>
            <family val="2"/>
          </rPr>
          <t>Cassel, Lauren (Research):</t>
        </r>
        <r>
          <rPr>
            <sz val="9"/>
            <color indexed="81"/>
            <rFont val="Tahoma"/>
            <family val="2"/>
          </rPr>
          <t xml:space="preserve">
2/23/17: guidance: expect the 53rd week to be worth approximately 120 basis points to total sales.</t>
        </r>
      </text>
    </comment>
    <comment ref="EB14" authorId="7">
      <text>
        <r>
          <rPr>
            <b/>
            <sz val="9"/>
            <color indexed="81"/>
            <rFont val="Tahoma"/>
            <family val="2"/>
          </rPr>
          <t>Cassel, Lauren (Research):</t>
        </r>
        <r>
          <rPr>
            <sz val="9"/>
            <color indexed="81"/>
            <rFont val="Tahoma"/>
            <family val="2"/>
          </rPr>
          <t xml:space="preserve">
3/2/18: AUR/UPT/trans all positive
10/27/17: guidance update: -1 to flat
2/24/17: guidance: -1% to +1%
adding 70 new sephora locatoins and expand 32 locations - will have Sephora shops in ~75% of stores at the enf of the year; will also rebrand 50 more salons </t>
        </r>
      </text>
    </comment>
    <comment ref="EG14" authorId="11">
      <text>
        <r>
          <rPr>
            <b/>
            <sz val="9"/>
            <color indexed="81"/>
            <rFont val="Tahoma"/>
            <family val="2"/>
          </rPr>
          <t>De Courreges, Edouard (Research):</t>
        </r>
        <r>
          <rPr>
            <sz val="9"/>
            <color indexed="81"/>
            <rFont val="Tahoma"/>
            <family val="2"/>
          </rPr>
          <t xml:space="preserve">
3/2/18: 0% to +2% guide</t>
        </r>
      </text>
    </comment>
    <comment ref="CZ20" authorId="2">
      <text>
        <r>
          <rPr>
            <b/>
            <sz val="8"/>
            <color indexed="81"/>
            <rFont val="Tahoma"/>
            <family val="2"/>
          </rPr>
          <t xml:space="preserve">Guidance 2/25/11:
</t>
        </r>
        <r>
          <rPr>
            <sz val="8"/>
            <color indexed="81"/>
            <rFont val="Tahoma"/>
            <family val="2"/>
          </rPr>
          <t>Pressure in 1Q gross margins, likely down more than 4Q10
-Working to improve AUR through markdown optimization
-Cycle against profitable tail of last Big Book that was still active in 1Q10
-Pressures should abate through balance of year</t>
        </r>
        <r>
          <rPr>
            <sz val="8"/>
            <color indexed="81"/>
            <rFont val="Tahoma"/>
            <family val="2"/>
          </rPr>
          <t xml:space="preserve">
</t>
        </r>
      </text>
    </comment>
    <comment ref="DC20" authorId="13">
      <text>
        <r>
          <rPr>
            <b/>
            <sz val="8"/>
            <color indexed="81"/>
            <rFont val="Tahoma"/>
            <family val="2"/>
          </rPr>
          <t>Comment 5/15/2012</t>
        </r>
        <r>
          <rPr>
            <sz val="8"/>
            <color indexed="81"/>
            <rFont val="Tahoma"/>
            <family val="2"/>
          </rPr>
          <t xml:space="preserve">
1) </t>
        </r>
        <r>
          <rPr>
            <sz val="8"/>
            <color indexed="81"/>
            <rFont val="Tahoma"/>
            <family val="2"/>
          </rPr>
          <t xml:space="preserve">Adjusted for $53M markdown reserve taken as a result of co's efforts to reduce inventory levels (170 bps impact)
</t>
        </r>
      </text>
    </comment>
    <comment ref="DE20" authorId="3">
      <text>
        <r>
          <rPr>
            <b/>
            <sz val="8"/>
            <color indexed="81"/>
            <rFont val="Tahoma"/>
            <family val="2"/>
          </rPr>
          <t xml:space="preserve">5/15/2012 Comment
</t>
        </r>
        <r>
          <rPr>
            <sz val="8"/>
            <color indexed="81"/>
            <rFont val="Tahoma"/>
            <family val="2"/>
          </rPr>
          <t xml:space="preserve">1) negatively impacted by taking deeper seasonal markdowns to clear inventory coming out of 4Q
2) Adjusted for </t>
        </r>
        <r>
          <rPr>
            <b/>
            <sz val="8"/>
            <color indexed="81"/>
            <rFont val="Tahoma"/>
            <family val="2"/>
          </rPr>
          <t>$53M</t>
        </r>
        <r>
          <rPr>
            <sz val="8"/>
            <color indexed="81"/>
            <rFont val="Tahoma"/>
            <family val="2"/>
          </rPr>
          <t xml:space="preserve"> markdown reserve taken as a result of co's efforts to reduce inventory levels</t>
        </r>
        <r>
          <rPr>
            <b/>
            <sz val="8"/>
            <color indexed="81"/>
            <rFont val="Tahoma"/>
            <family val="2"/>
          </rPr>
          <t xml:space="preserve"> (170 bps impact)
</t>
        </r>
        <r>
          <rPr>
            <sz val="8"/>
            <color indexed="81"/>
            <rFont val="Tahoma"/>
            <family val="2"/>
          </rPr>
          <t xml:space="preserve">3) Selling mgn 39.8% vs. 42.2% LY
            </t>
        </r>
        <r>
          <rPr>
            <b/>
            <u/>
            <sz val="8"/>
            <color indexed="81"/>
            <rFont val="Tahoma"/>
            <family val="2"/>
          </rPr>
          <t>Every day/Month Long</t>
        </r>
        <r>
          <rPr>
            <b/>
            <sz val="8"/>
            <color indexed="81"/>
            <rFont val="Tahoma"/>
            <family val="2"/>
          </rPr>
          <t xml:space="preserve">       </t>
        </r>
        <r>
          <rPr>
            <b/>
            <u/>
            <sz val="8"/>
            <color indexed="81"/>
            <rFont val="Tahoma"/>
            <family val="2"/>
          </rPr>
          <t>Best Prices</t>
        </r>
        <r>
          <rPr>
            <b/>
            <sz val="8"/>
            <color indexed="81"/>
            <rFont val="Tahoma"/>
            <family val="2"/>
          </rPr>
          <t xml:space="preserve">         </t>
        </r>
        <r>
          <rPr>
            <b/>
            <u/>
            <sz val="8"/>
            <color indexed="81"/>
            <rFont val="Tahoma"/>
            <family val="2"/>
          </rPr>
          <t>Total</t>
        </r>
        <r>
          <rPr>
            <sz val="8"/>
            <color indexed="81"/>
            <rFont val="Tahoma"/>
            <family val="2"/>
          </rPr>
          <t xml:space="preserve">
</t>
        </r>
        <r>
          <rPr>
            <b/>
            <sz val="8"/>
            <color indexed="81"/>
            <rFont val="Tahoma"/>
            <family val="2"/>
          </rPr>
          <t>Q1 2011</t>
        </r>
        <r>
          <rPr>
            <sz val="8"/>
            <color indexed="81"/>
            <rFont val="Tahoma"/>
            <family val="2"/>
          </rPr>
          <t xml:space="preserve">
AUR $                   17.50                              8.72                 15.59 
AUC $                    8.95                               9.23                  9.01
Selling Mgn $         8.55                              -0.51                  6.57
Selling Mgn %         48.9%                         -5.9%                  42.2%
</t>
        </r>
        <r>
          <rPr>
            <b/>
            <sz val="8"/>
            <color indexed="81"/>
            <rFont val="Tahoma"/>
            <family val="2"/>
          </rPr>
          <t>Q1 2012</t>
        </r>
        <r>
          <rPr>
            <sz val="8"/>
            <color indexed="81"/>
            <rFont val="Tahoma"/>
            <family val="2"/>
          </rPr>
          <t xml:space="preserve">
AUR $                   18.43                              7.88                 15.33 
AUC $                    8.92                               9.99                  9.23
Selling Mgn $         9.51                              -2.11                  6.10
Selling Mgn %        51.6%                         -26.8%              39.8%</t>
        </r>
        <r>
          <rPr>
            <b/>
            <sz val="8"/>
            <color indexed="81"/>
            <rFont val="Tahoma"/>
            <family val="2"/>
          </rPr>
          <t xml:space="preserve">
Guidance 2/24/2012
</t>
        </r>
        <r>
          <rPr>
            <sz val="8"/>
            <color indexed="81"/>
            <rFont val="Tahoma"/>
            <family val="2"/>
          </rPr>
          <t xml:space="preserve">Gross margin improvement in 2012 more back 1/2 weighted </t>
        </r>
      </text>
    </comment>
    <comment ref="DH20" authorId="3">
      <text>
        <r>
          <rPr>
            <b/>
            <sz val="8"/>
            <color indexed="81"/>
            <rFont val="Tahoma"/>
            <family val="2"/>
          </rPr>
          <t xml:space="preserve">Notes: 
</t>
        </r>
        <r>
          <rPr>
            <sz val="8"/>
            <color indexed="81"/>
            <rFont val="Tahoma"/>
            <family val="2"/>
          </rPr>
          <t>1) LY GM incl. -70 bps selling mgn impact and -50 bps RFID/svcs/other impact; excludes -170 bps markdown reserve impact 
2) LY Selling Mgn down -240 bps (incl. 170 bps reserve) w/ EDV/MLV +270 bps and clearance</t>
        </r>
      </text>
    </comment>
    <comment ref="DL20" authorId="4">
      <text>
        <r>
          <rPr>
            <b/>
            <sz val="8"/>
            <color indexed="81"/>
            <rFont val="Tahoma"/>
            <family val="2"/>
          </rPr>
          <t>2/26/14 guidance: expects to improve vs. LY</t>
        </r>
        <r>
          <rPr>
            <sz val="8"/>
            <color indexed="81"/>
            <rFont val="Tahoma"/>
            <family val="2"/>
          </rPr>
          <t xml:space="preserve">
</t>
        </r>
      </text>
    </comment>
    <comment ref="DQ20" authorId="4">
      <text>
        <r>
          <rPr>
            <b/>
            <sz val="8"/>
            <color indexed="81"/>
            <rFont val="Tahoma"/>
            <family val="2"/>
          </rPr>
          <t>2/26/14 guidance: expects to improve vs. LY</t>
        </r>
        <r>
          <rPr>
            <sz val="8"/>
            <color indexed="81"/>
            <rFont val="Tahoma"/>
            <family val="2"/>
          </rPr>
          <t xml:space="preserve">
</t>
        </r>
      </text>
    </comment>
    <comment ref="DR20" authorId="5">
      <text>
        <r>
          <rPr>
            <b/>
            <sz val="9"/>
            <color indexed="81"/>
            <rFont val="Tahoma"/>
            <family val="2"/>
          </rPr>
          <t xml:space="preserve">casselau:
They should be able to get back in 1Q16 the hit to GM from Port disruption TY (~50 bps)
5/13/15: </t>
        </r>
        <r>
          <rPr>
            <sz val="9"/>
            <color indexed="81"/>
            <rFont val="Tahoma"/>
            <family val="2"/>
          </rPr>
          <t>saw significant improvement in clearance margins; private brand penetration and margins both increased during the quarter</t>
        </r>
        <r>
          <rPr>
            <b/>
            <sz val="9"/>
            <color indexed="81"/>
            <rFont val="Tahoma"/>
            <family val="2"/>
          </rPr>
          <t xml:space="preserve">
</t>
        </r>
        <r>
          <rPr>
            <sz val="9"/>
            <color indexed="81"/>
            <rFont val="Tahoma"/>
            <family val="2"/>
          </rPr>
          <t xml:space="preserve">
2/26/15: most gross margin opportunity in 1Q</t>
        </r>
      </text>
    </comment>
    <comment ref="DW20" authorId="6">
      <text>
        <r>
          <rPr>
            <b/>
            <sz val="9"/>
            <color indexed="81"/>
            <rFont val="Tahoma"/>
            <family val="2"/>
          </rPr>
          <t>Baglione, Gregory  (Research):</t>
        </r>
        <r>
          <rPr>
            <sz val="9"/>
            <color indexed="81"/>
            <rFont val="Tahoma"/>
            <family val="2"/>
          </rPr>
          <t xml:space="preserve">
For the first-quarter gross margin was 36.2% of sales and was impacted by markdowns associated with the
unseasonable weather. Heading into the quarter we expected a cooler February to help clear through our remaining fall merchandise. However, temperatures in February were warmer than expected necessitating additional markdowns in March and early April in order to liquidate these goods.</t>
        </r>
      </text>
    </comment>
    <comment ref="EA20" authorId="7">
      <text>
        <r>
          <rPr>
            <b/>
            <sz val="9"/>
            <color indexed="81"/>
            <rFont val="Tahoma"/>
            <family val="2"/>
          </rPr>
          <t>Cassel, Lauren (Research):</t>
        </r>
        <r>
          <rPr>
            <sz val="9"/>
            <color indexed="81"/>
            <rFont val="Tahoma"/>
            <family val="2"/>
          </rPr>
          <t xml:space="preserve">
2/23/17: starting liquidation of stores in 1Q</t>
        </r>
      </text>
    </comment>
    <comment ref="EB20" authorId="7">
      <text>
        <r>
          <rPr>
            <b/>
            <sz val="9"/>
            <color indexed="81"/>
            <rFont val="Tahoma"/>
            <family val="2"/>
          </rPr>
          <t>Cassel, Lauren (Research):</t>
        </r>
        <r>
          <rPr>
            <sz val="9"/>
            <color indexed="81"/>
            <rFont val="Tahoma"/>
            <family val="2"/>
          </rPr>
          <t xml:space="preserve">
5/12/17: GM was positively impacted by improved selling margins throughout the quarter, which was partially offset by the continued growth in the Company's online and major appliance businesses. </t>
        </r>
      </text>
    </comment>
    <comment ref="EG20" authorId="11">
      <text>
        <r>
          <rPr>
            <b/>
            <sz val="9"/>
            <color indexed="81"/>
            <rFont val="Tahoma"/>
            <family val="2"/>
          </rPr>
          <t>De Courreges, Edouard (Research):</t>
        </r>
        <r>
          <rPr>
            <sz val="9"/>
            <color indexed="81"/>
            <rFont val="Tahoma"/>
            <family val="2"/>
          </rPr>
          <t xml:space="preserve">
3/2/18: -40-60 bps guide</t>
        </r>
      </text>
    </comment>
    <comment ref="DA21" authorId="2">
      <text>
        <r>
          <rPr>
            <b/>
            <sz val="8"/>
            <color indexed="81"/>
            <rFont val="Tahoma"/>
            <family val="2"/>
          </rPr>
          <t xml:space="preserve">Comment 8/12/11:
</t>
        </r>
        <r>
          <rPr>
            <sz val="8"/>
            <color indexed="81"/>
            <rFont val="Tahoma"/>
            <family val="2"/>
          </rPr>
          <t>GMs negatively impacted by softer than expected selling env. in May/June</t>
        </r>
        <r>
          <rPr>
            <b/>
            <sz val="8"/>
            <color indexed="81"/>
            <rFont val="Tahoma"/>
            <family val="2"/>
          </rPr>
          <t xml:space="preserve">
Guidance 5/16/11:
</t>
        </r>
        <r>
          <rPr>
            <sz val="8"/>
            <color indexed="81"/>
            <rFont val="Tahoma"/>
            <family val="2"/>
          </rPr>
          <t>Flat to slightly up</t>
        </r>
        <r>
          <rPr>
            <sz val="8"/>
            <color indexed="81"/>
            <rFont val="Tahoma"/>
            <family val="2"/>
          </rPr>
          <t xml:space="preserve">
**We do not know seasonality of Big Book, so we are relying on co. guidance for GMs in 2Q.  Cannot call a GM miss unless sales really come in below plan.
2Q EPS guidance implies GMs need to be up at least 35 bps to hit mid-point of EPS outlook.</t>
        </r>
      </text>
    </comment>
    <comment ref="DC21" authorId="9">
      <text>
        <r>
          <rPr>
            <sz val="8"/>
            <color indexed="81"/>
            <rFont val="Tahoma"/>
            <family val="2"/>
          </rPr>
          <t>2Q12: $102M inventory markdown</t>
        </r>
        <r>
          <rPr>
            <sz val="8"/>
            <color indexed="81"/>
            <rFont val="Tahoma"/>
            <family val="2"/>
          </rPr>
          <t xml:space="preserve">
</t>
        </r>
      </text>
    </comment>
    <comment ref="DE21" authorId="3">
      <text>
        <r>
          <rPr>
            <b/>
            <sz val="8"/>
            <color indexed="81"/>
            <rFont val="Tahoma"/>
            <family val="2"/>
          </rPr>
          <t xml:space="preserve">Guidance 2/24/2012
</t>
        </r>
        <r>
          <rPr>
            <sz val="8"/>
            <color indexed="81"/>
            <rFont val="Tahoma"/>
            <family val="2"/>
          </rPr>
          <t>Gross margin improvement in 2012 more back 1/2 weighted</t>
        </r>
      </text>
    </comment>
    <comment ref="DH21" authorId="3">
      <text>
        <r>
          <rPr>
            <b/>
            <sz val="8"/>
            <color indexed="81"/>
            <rFont val="Tahoma"/>
            <family val="2"/>
          </rPr>
          <t xml:space="preserve">Notes: 
</t>
        </r>
        <r>
          <rPr>
            <sz val="8"/>
            <color indexed="81"/>
            <rFont val="Tahoma"/>
            <family val="2"/>
          </rPr>
          <t>1) LY GM incl. +90 bps  selling mgn impact; -90 bps markdowns/reserves; -90 bps cost concessions; -80 bps svcs/RFID/other (excludes 340 bps reserve)</t>
        </r>
      </text>
    </comment>
    <comment ref="DM21" authorId="8">
      <text>
        <r>
          <rPr>
            <b/>
            <sz val="9"/>
            <color indexed="81"/>
            <rFont val="Tahoma"/>
            <family val="2"/>
          </rPr>
          <t xml:space="preserve">8/14/14: </t>
        </r>
        <r>
          <rPr>
            <sz val="9"/>
            <color indexed="81"/>
            <rFont val="Tahoma"/>
            <family val="2"/>
          </rPr>
          <t>Gross margin was positively impacted by an improvement in clearance sales performance. Clearance sales were less than 15% of the total sales for the quarter, in line with historical rates. In addition, the margin on clearance goods continues to nor normalize and significantly improved versus last quarter's results</t>
        </r>
        <r>
          <rPr>
            <b/>
            <sz val="9"/>
            <color indexed="81"/>
            <rFont val="Tahoma"/>
            <family val="2"/>
          </rPr>
          <t xml:space="preserve">
5/15/14: </t>
        </r>
        <r>
          <rPr>
            <sz val="9"/>
            <color indexed="81"/>
            <rFont val="Tahoma"/>
            <family val="2"/>
          </rPr>
          <t xml:space="preserve">Expect to improve sequentially vs. 1Q
</t>
        </r>
      </text>
    </comment>
    <comment ref="DQ21" authorId="4">
      <text>
        <r>
          <rPr>
            <b/>
            <sz val="8"/>
            <color indexed="81"/>
            <rFont val="Tahoma"/>
            <family val="2"/>
          </rPr>
          <t>2/26/14 guidance: expects to improve vs. LY</t>
        </r>
        <r>
          <rPr>
            <sz val="8"/>
            <color indexed="81"/>
            <rFont val="Tahoma"/>
            <family val="2"/>
          </rPr>
          <t xml:space="preserve">
</t>
        </r>
      </text>
    </comment>
    <comment ref="DV21" authorId="6">
      <text>
        <r>
          <rPr>
            <b/>
            <sz val="9"/>
            <color indexed="81"/>
            <rFont val="Tahoma"/>
            <family val="2"/>
          </rPr>
          <t>Baglione, Gregory  (Research):</t>
        </r>
        <r>
          <rPr>
            <sz val="9"/>
            <color indexed="81"/>
            <rFont val="Tahoma"/>
            <family val="2"/>
          </rPr>
          <t xml:space="preserve">
8/12/16
Gross margin for the second quarter was 37.1% of sales, up 10 basis points on a year-over-year basis. Gross margin
was positively impacted primarily by an improvement in brick-and-mortar selling margins and was partially offset by lower dot-com selling margins.
5/13/16:
Management expects GM flat in 2Q, slighty better in 3Q, with the most opportunity for improvement in 4Q
</t>
        </r>
      </text>
    </comment>
    <comment ref="DW21" authorId="6">
      <text>
        <r>
          <rPr>
            <b/>
            <sz val="9"/>
            <color indexed="81"/>
            <rFont val="Tahoma"/>
            <family val="2"/>
          </rPr>
          <t>Baglione, Gregory  (Research):</t>
        </r>
        <r>
          <rPr>
            <sz val="9"/>
            <color indexed="81"/>
            <rFont val="Tahoma"/>
            <family val="2"/>
          </rPr>
          <t xml:space="preserve">
8/12/16
Gross margin for the second quarter was 37.1% of sales, up 10 basis points on a year-over-year basis. Gross margin
was positively impacted primarily by an improvement in brick-and-mortar selling margins and was partially offset by lower dot-com selling margins
5/13/16
As we look forward we know we have continued opportunity for gross margin expansion driven by increased private brand penetration and margin, mproved clearance profitability, reduced shortage, the impact of our new pricing analytics team and supply-chain efficiencies.
</t>
        </r>
      </text>
    </comment>
    <comment ref="EA21" authorId="7">
      <text>
        <r>
          <rPr>
            <b/>
            <sz val="9"/>
            <color indexed="81"/>
            <rFont val="Tahoma"/>
            <family val="2"/>
          </rPr>
          <t>Cassel, Lauren (Research):</t>
        </r>
        <r>
          <rPr>
            <sz val="9"/>
            <color indexed="81"/>
            <rFont val="Tahoma"/>
            <family val="2"/>
          </rPr>
          <t xml:space="preserve">
2/23/17: starting liquidation of stores in 1Q, most of the impact in 2Q</t>
        </r>
      </text>
    </comment>
    <comment ref="EB21" authorId="7">
      <text>
        <r>
          <rPr>
            <b/>
            <sz val="9"/>
            <color indexed="81"/>
            <rFont val="Tahoma"/>
            <family val="2"/>
          </rPr>
          <t>Cassel, Lauren (Research):</t>
        </r>
        <r>
          <rPr>
            <sz val="9"/>
            <color indexed="81"/>
            <rFont val="Tahoma"/>
            <family val="2"/>
          </rPr>
          <t xml:space="preserve">
8/11/17: 
127 store Liquidation -120 bps + -60 bps shrinkage + -27 bps eComm/mix shift/other = -207 bps
+140 bps selling margin in go-forward stores
5/12/17: expect -80 bps impact to gross margin from store liquidations plus 20-40 bps of benefit</t>
        </r>
      </text>
    </comment>
    <comment ref="CY22" authorId="3">
      <text>
        <r>
          <rPr>
            <b/>
            <sz val="8"/>
            <color indexed="81"/>
            <rFont val="Tahoma"/>
            <family val="2"/>
          </rPr>
          <t xml:space="preserve">11/14/11 comment:
</t>
        </r>
        <r>
          <rPr>
            <sz val="8"/>
            <color indexed="81"/>
            <rFont val="Tahoma"/>
            <family val="2"/>
          </rPr>
          <t>1) GM came in &lt; expectations due to "softer" selling environment and additional unplanned markdowns
2) 50% of negative trend from catalog/.com; 50% of negative trend from mark downs</t>
        </r>
      </text>
    </comment>
    <comment ref="DA22" authorId="2">
      <text>
        <r>
          <rPr>
            <b/>
            <sz val="8"/>
            <color indexed="81"/>
            <rFont val="Tahoma"/>
            <family val="2"/>
          </rPr>
          <t xml:space="preserve">Guidance 1/5/2012
</t>
        </r>
        <r>
          <rPr>
            <sz val="8"/>
            <color indexed="81"/>
            <rFont val="Tahoma"/>
            <family val="2"/>
          </rPr>
          <t>Gross margins down ~300 bps</t>
        </r>
        <r>
          <rPr>
            <b/>
            <sz val="8"/>
            <color indexed="81"/>
            <rFont val="Tahoma"/>
            <family val="2"/>
          </rPr>
          <t xml:space="preserve">
Guidance 11/14/11:
1) </t>
        </r>
        <r>
          <rPr>
            <sz val="8"/>
            <color indexed="81"/>
            <rFont val="Tahoma"/>
            <family val="2"/>
          </rPr>
          <t>Expected to be down modestly vs. LY
2) Need single modest single digit AUR increase to offset increase in COGS
3) guidance assumes no change in mktg strategy and same promo calendar vs. LY
4) Need single modest single digit AUR increase to offset increase in COGS
5) Lapping higher cotton costs y/y</t>
        </r>
        <r>
          <rPr>
            <b/>
            <sz val="8"/>
            <color indexed="81"/>
            <rFont val="Tahoma"/>
            <family val="2"/>
          </rPr>
          <t xml:space="preserve">
Guidance 8/12/11:
</t>
        </r>
        <r>
          <rPr>
            <sz val="8"/>
            <color indexed="81"/>
            <rFont val="Tahoma"/>
            <family val="2"/>
          </rPr>
          <t>Catalogue will be less and less of an impact in 3Q and 4Q.
Co. not expecting a y/y benefit from lapping Big Book removal</t>
        </r>
      </text>
    </comment>
    <comment ref="DE22" authorId="3">
      <text>
        <r>
          <rPr>
            <b/>
            <sz val="8"/>
            <color indexed="81"/>
            <rFont val="Tahoma"/>
            <family val="2"/>
          </rPr>
          <t xml:space="preserve">Guidance 2/24/2012
</t>
        </r>
        <r>
          <rPr>
            <sz val="8"/>
            <color indexed="81"/>
            <rFont val="Tahoma"/>
            <family val="2"/>
          </rPr>
          <t>Gross margin improvement in 2012 more back 1/2 weighted</t>
        </r>
      </text>
    </comment>
    <comment ref="DH22" authorId="3">
      <text>
        <r>
          <rPr>
            <b/>
            <sz val="8"/>
            <color indexed="81"/>
            <rFont val="Tahoma"/>
            <family val="2"/>
          </rPr>
          <t>Note</t>
        </r>
        <r>
          <rPr>
            <sz val="8"/>
            <color indexed="81"/>
            <rFont val="Tahoma"/>
            <family val="2"/>
          </rPr>
          <t>: incl. LY selling gn +360 bps, clearance selling -50 bps, markdowns/other/reserve -200 bps, -450 bps clearance mix; -30 bps cost concessions; -120 bps svc/other</t>
        </r>
        <r>
          <rPr>
            <sz val="8"/>
            <color indexed="81"/>
            <rFont val="Tahoma"/>
            <family val="2"/>
          </rPr>
          <t xml:space="preserve">
</t>
        </r>
      </text>
    </comment>
    <comment ref="DM22" authorId="8">
      <text>
        <r>
          <rPr>
            <b/>
            <sz val="9"/>
            <color indexed="81"/>
            <rFont val="Tahoma"/>
            <family val="2"/>
          </rPr>
          <t xml:space="preserve">8/14/14: </t>
        </r>
        <r>
          <rPr>
            <sz val="9"/>
            <color indexed="81"/>
            <rFont val="Tahoma"/>
            <family val="2"/>
          </rPr>
          <t xml:space="preserve">For the third quarter we expect gross margin to be in line with our Q2 performance, approximately 650 basis points of improvement over he Q2 Q3 of last year
</t>
        </r>
        <r>
          <rPr>
            <b/>
            <sz val="9"/>
            <color indexed="81"/>
            <rFont val="Tahoma"/>
            <family val="2"/>
          </rPr>
          <t>11/12/14:</t>
        </r>
        <r>
          <rPr>
            <sz val="9"/>
            <color indexed="81"/>
            <rFont val="Tahoma"/>
            <family val="2"/>
          </rPr>
          <t xml:space="preserve"> Gross margin was positively impacted by a significant improvement in the Company's mix and margin on clearance sales over the prior year quarter. 
"Although regular price and promotional goods were up mid single digits for the quarter, our sales of fall apparel merchandise, particularly given the unseasonably warm weather this quarter were not enough to offset clearance being down nearly 30% year-over-year. This dynamic enabled us to deliver significant improvement in our gross margin rate versus last year but constrained our ability to generate a better top line."
"Gross margin was positively impacted by an improvement in the mix and margin of our clearance business. In addition, we saw private brand margin improve relative to recent results during the quarter, and they are now running ahead of national brands. This is very encouraging but we recognize we will still have opportunity to continue to improve margin from here."</t>
        </r>
      </text>
    </comment>
    <comment ref="DW22" authorId="6">
      <text>
        <r>
          <rPr>
            <b/>
            <sz val="9"/>
            <color indexed="81"/>
            <rFont val="Tahoma"/>
            <family val="2"/>
          </rPr>
          <t>Baglione, Gregory  (Research):</t>
        </r>
        <r>
          <rPr>
            <sz val="9"/>
            <color indexed="81"/>
            <rFont val="Tahoma"/>
            <family val="2"/>
          </rPr>
          <t xml:space="preserve">
11/11/16
Gross margin for the third quarter was 37.2% of sales, down 10 basis points on a year-over-year basis. The slight decline in gross margin rate was primarily due to an increase in delivery expenses related to dotcom growth, major appliance selling margins and higher clearance markdowns.
8/16/16
Per trent ~20-30 bps back half GM improvement opportunity
</t>
        </r>
      </text>
    </comment>
    <comment ref="EA22" authorId="11">
      <text>
        <r>
          <rPr>
            <b/>
            <sz val="9"/>
            <color indexed="81"/>
            <rFont val="Tahoma"/>
            <family val="2"/>
          </rPr>
          <t>De Courreges, Edouard (Research):</t>
        </r>
        <r>
          <rPr>
            <sz val="9"/>
            <color indexed="81"/>
            <rFont val="Tahoma"/>
            <family val="2"/>
          </rPr>
          <t xml:space="preserve">
pre announcement 3q: GM down -300 to -320 bps</t>
        </r>
      </text>
    </comment>
    <comment ref="EB22" authorId="11">
      <text>
        <r>
          <rPr>
            <b/>
            <sz val="9"/>
            <color indexed="81"/>
            <rFont val="Tahoma"/>
            <family val="2"/>
          </rPr>
          <t>De Courreges, Edouard (Research):</t>
        </r>
        <r>
          <rPr>
            <sz val="9"/>
            <color indexed="81"/>
            <rFont val="Tahoma"/>
            <family val="2"/>
          </rPr>
          <t xml:space="preserve">
 we took aggressive actions to clear slow-moving inventory,primarily allowing for an improved apparel assortment heading in to theHoliday season
increase was primarily driven by the liquidation of slow-moving inventory, higher shrink rates and the continued growth in the Company's online and major appliance
businesses.
Also: eComm growth and mix shift to appliances led to lower GMs</t>
        </r>
      </text>
    </comment>
    <comment ref="CY23" authorId="3">
      <text>
        <r>
          <rPr>
            <b/>
            <sz val="8"/>
            <color indexed="81"/>
            <rFont val="Tahoma"/>
            <family val="2"/>
          </rPr>
          <t xml:space="preserve">Comment 2/24/2012
</t>
        </r>
        <r>
          <rPr>
            <sz val="8"/>
            <color indexed="81"/>
            <rFont val="Tahoma"/>
            <family val="2"/>
          </rPr>
          <t>- Adjusts for</t>
        </r>
        <r>
          <rPr>
            <b/>
            <sz val="8"/>
            <color indexed="81"/>
            <rFont val="Tahoma"/>
            <family val="2"/>
          </rPr>
          <t xml:space="preserve"> $207M (or $0.59 in 4Q, $0.58 for FY)</t>
        </r>
        <r>
          <rPr>
            <sz val="8"/>
            <color indexed="81"/>
            <rFont val="Tahoma"/>
            <family val="2"/>
          </rPr>
          <t xml:space="preserve"> related to higher markdowns and merchandise reticketing costs associated w/ new pricing strategy (mgmt counts a 1-time)</t>
        </r>
        <r>
          <rPr>
            <b/>
            <sz val="8"/>
            <color indexed="81"/>
            <rFont val="Tahoma"/>
            <family val="2"/>
          </rPr>
          <t xml:space="preserve">
Comment: 11/14/2011
</t>
        </r>
        <r>
          <rPr>
            <sz val="8"/>
            <color indexed="81"/>
            <rFont val="Tahoma"/>
            <family val="2"/>
          </rPr>
          <t>Need single modest single digit AUR increase to offset increase in COGS</t>
        </r>
        <r>
          <rPr>
            <sz val="8"/>
            <color indexed="81"/>
            <rFont val="Tahoma"/>
            <family val="2"/>
          </rPr>
          <t xml:space="preserve">
</t>
        </r>
      </text>
    </comment>
    <comment ref="DA23" authorId="2">
      <text>
        <r>
          <rPr>
            <b/>
            <sz val="8"/>
            <color indexed="81"/>
            <rFont val="Tahoma"/>
            <family val="2"/>
          </rPr>
          <t xml:space="preserve">Comment 2/24/2012
- </t>
        </r>
        <r>
          <rPr>
            <sz val="8"/>
            <color indexed="81"/>
            <rFont val="Tahoma"/>
            <family val="2"/>
          </rPr>
          <t xml:space="preserve">Gross margin </t>
        </r>
        <r>
          <rPr>
            <b/>
            <sz val="8"/>
            <color indexed="81"/>
            <rFont val="Tahoma"/>
            <family val="2"/>
          </rPr>
          <t>excludes $207M</t>
        </r>
        <r>
          <rPr>
            <sz val="8"/>
            <color indexed="81"/>
            <rFont val="Tahoma"/>
            <family val="2"/>
          </rPr>
          <t xml:space="preserve"> of costs  related to higher markdowns </t>
        </r>
        <r>
          <rPr>
            <b/>
            <sz val="8"/>
            <color indexed="81"/>
            <rFont val="Tahoma"/>
            <family val="2"/>
          </rPr>
          <t xml:space="preserve">(worth ~260 bps) </t>
        </r>
        <r>
          <rPr>
            <sz val="8"/>
            <color indexed="81"/>
            <rFont val="Tahoma"/>
            <family val="2"/>
          </rPr>
          <t>and merch reticketing costs (i.e. salaries) associated with implementing new pricing strategy</t>
        </r>
        <r>
          <rPr>
            <b/>
            <sz val="8"/>
            <color indexed="81"/>
            <rFont val="Tahoma"/>
            <family val="2"/>
          </rPr>
          <t xml:space="preserve"> (worth ~120 bps)
- </t>
        </r>
        <r>
          <rPr>
            <sz val="8"/>
            <color indexed="81"/>
            <rFont val="Tahoma"/>
            <family val="2"/>
          </rPr>
          <t>Gross margins were -740 bps including the $207M of costs
- Gross margins were</t>
        </r>
        <r>
          <rPr>
            <b/>
            <sz val="8"/>
            <color indexed="81"/>
            <rFont val="Tahoma"/>
            <family val="2"/>
          </rPr>
          <t xml:space="preserve"> -</t>
        </r>
        <r>
          <rPr>
            <b/>
            <sz val="8"/>
            <color indexed="12"/>
            <rFont val="Tahoma"/>
            <family val="2"/>
          </rPr>
          <t>320</t>
        </r>
        <r>
          <rPr>
            <b/>
            <sz val="8"/>
            <color indexed="81"/>
            <rFont val="Tahoma"/>
            <family val="2"/>
          </rPr>
          <t xml:space="preserve"> bps excluding the $207M </t>
        </r>
        <r>
          <rPr>
            <sz val="8"/>
            <color indexed="81"/>
            <rFont val="Tahoma"/>
            <family val="2"/>
          </rPr>
          <t>due to lower than expected sales which resulted in a higher level of markdowns during 4Q</t>
        </r>
        <r>
          <rPr>
            <b/>
            <sz val="8"/>
            <color indexed="81"/>
            <rFont val="Tahoma"/>
            <family val="2"/>
          </rPr>
          <t xml:space="preserve">
</t>
        </r>
        <r>
          <rPr>
            <b/>
            <sz val="8"/>
            <color indexed="81"/>
            <rFont val="Tahoma"/>
            <family val="2"/>
          </rPr>
          <t xml:space="preserve">
Guidance 1/5/2012
</t>
        </r>
        <r>
          <rPr>
            <sz val="8"/>
            <color indexed="81"/>
            <rFont val="Tahoma"/>
            <family val="2"/>
          </rPr>
          <t>Gross margins down ~300 bps</t>
        </r>
        <r>
          <rPr>
            <b/>
            <sz val="8"/>
            <color indexed="81"/>
            <rFont val="Tahoma"/>
            <family val="2"/>
          </rPr>
          <t xml:space="preserve">
Guidance 11/14/11:
1) </t>
        </r>
        <r>
          <rPr>
            <sz val="8"/>
            <color indexed="81"/>
            <rFont val="Tahoma"/>
            <family val="2"/>
          </rPr>
          <t>Expected to be down modestly vs. LY
2) Need single modest single digit AUR increase to offset increase in COGS
3) guidance assumes no change in mktg strategy and same promo calendar vs. LY
4) Need single modest single digit AUR increase to offset increase in COGS
5) Lapping higher cotton costs y/y</t>
        </r>
        <r>
          <rPr>
            <b/>
            <sz val="8"/>
            <color indexed="81"/>
            <rFont val="Tahoma"/>
            <family val="2"/>
          </rPr>
          <t xml:space="preserve">
Guidance 8/12/11:
</t>
        </r>
        <r>
          <rPr>
            <sz val="8"/>
            <color indexed="81"/>
            <rFont val="Tahoma"/>
            <family val="2"/>
          </rPr>
          <t>Catalogue will be less and less of an impact in 3Q and 4Q.
Co. not expecting a y/y benefit from lapping Big Book removal</t>
        </r>
      </text>
    </comment>
    <comment ref="DE23" authorId="3">
      <text>
        <r>
          <rPr>
            <b/>
            <i/>
            <sz val="8"/>
            <color indexed="12"/>
            <rFont val="Tahoma"/>
            <family val="2"/>
          </rPr>
          <t xml:space="preserve">Note: Assumes based on commentary from mid-tiers, gross margins on extra week merch. generally below qtr avg gross margin given that sales during that week represent a large amount of post-Holiday sale/clearance merch.  We assume a 20 bp discount vs. our 4Q gross margin est
</t>
        </r>
        <r>
          <rPr>
            <b/>
            <sz val="8"/>
            <color indexed="12"/>
            <rFont val="Tahoma"/>
            <family val="2"/>
          </rPr>
          <t xml:space="preserve">
</t>
        </r>
        <r>
          <rPr>
            <b/>
            <sz val="8"/>
            <color indexed="81"/>
            <rFont val="Tahoma"/>
            <family val="2"/>
          </rPr>
          <t>Guidance 2/24/2012
Gross margin improvement in 2012 more back 1/2 weighted</t>
        </r>
        <r>
          <rPr>
            <b/>
            <sz val="8"/>
            <color indexed="12"/>
            <rFont val="Tahoma"/>
            <family val="2"/>
          </rPr>
          <t xml:space="preserve">
</t>
        </r>
        <r>
          <rPr>
            <b/>
            <sz val="8"/>
            <color indexed="81"/>
            <rFont val="Tahoma"/>
            <family val="2"/>
          </rPr>
          <t xml:space="preserve">Note:
- </t>
        </r>
        <r>
          <rPr>
            <sz val="8"/>
            <color indexed="81"/>
            <rFont val="Tahoma"/>
            <family val="2"/>
          </rPr>
          <t>January 2013 has extra week
- Impact in 2006 was ~$65 to SG&amp;A (per 3Q06 guidance)</t>
        </r>
      </text>
    </comment>
    <comment ref="DH23" authorId="3">
      <text>
        <r>
          <rPr>
            <b/>
            <sz val="8"/>
            <color indexed="81"/>
            <rFont val="Tahoma"/>
            <family val="2"/>
          </rPr>
          <t xml:space="preserve">6/13/2013: </t>
        </r>
        <r>
          <rPr>
            <sz val="8"/>
            <color indexed="81"/>
            <rFont val="Tahoma"/>
            <family val="2"/>
          </rPr>
          <t xml:space="preserve">per IR - can be back to mid to upper 30% GM range by 4Q13
</t>
        </r>
        <r>
          <rPr>
            <b/>
            <sz val="8"/>
            <color indexed="81"/>
            <rFont val="Tahoma"/>
            <family val="2"/>
          </rPr>
          <t>11/20/13:</t>
        </r>
        <r>
          <rPr>
            <sz val="8"/>
            <color indexed="81"/>
            <rFont val="Tahoma"/>
            <family val="2"/>
          </rPr>
          <t xml:space="preserve"> Expect to improve sequentially as well as yoy</t>
        </r>
      </text>
    </comment>
    <comment ref="DL23" authorId="5">
      <text>
        <r>
          <rPr>
            <b/>
            <sz val="9"/>
            <color indexed="81"/>
            <rFont val="Tahoma"/>
            <family val="2"/>
          </rPr>
          <t>casselau:</t>
        </r>
        <r>
          <rPr>
            <sz val="9"/>
            <color indexed="81"/>
            <rFont val="Tahoma"/>
            <family val="2"/>
          </rPr>
          <t xml:space="preserve">
2/28/15: positively impacted by significant improvement in the merchandise mix and margin on clerance sales (less clearance selling and clearance selling margin positive for first time in 2 years)</t>
        </r>
      </text>
    </comment>
    <comment ref="DM23" authorId="8">
      <text>
        <r>
          <rPr>
            <b/>
            <sz val="9"/>
            <color indexed="81"/>
            <rFont val="Tahoma"/>
            <family val="2"/>
          </rPr>
          <t xml:space="preserve">11/12/14: </t>
        </r>
        <r>
          <rPr>
            <sz val="9"/>
            <color indexed="81"/>
            <rFont val="Tahoma"/>
            <family val="2"/>
          </rPr>
          <t xml:space="preserve">Expect 500-600 bps higher than LY
</t>
        </r>
      </text>
    </comment>
    <comment ref="DQ23" authorId="6">
      <text>
        <r>
          <rPr>
            <b/>
            <sz val="9"/>
            <color indexed="81"/>
            <rFont val="Tahoma"/>
            <family val="2"/>
          </rPr>
          <t>Baglione, Gregory  (Research):</t>
        </r>
        <r>
          <rPr>
            <sz val="9"/>
            <color indexed="81"/>
            <rFont val="Tahoma"/>
            <family val="2"/>
          </rPr>
          <t xml:space="preserve">
2/26/16
Now turning to gross margin. We saw a 30 basis point improvement in gross margin performance for the quarter on top of 540 basis point improvement in the fourth quarter of last year, despite the unprecedented weather conditions that drove increased markdowns in our seasonal merchandising categories. We continue to be encouraged, but we know we have significant opportunity for continued margin expansion.
1/7/15 
Per conversation with Trent GM a little lighter than our original forecast, likely +120 bps for FY
This implies we should take our forecast to 34.0% from 34.3%
</t>
        </r>
      </text>
    </comment>
    <comment ref="DV23" authorId="12">
      <text>
        <r>
          <rPr>
            <b/>
            <sz val="9"/>
            <color indexed="81"/>
            <rFont val="Tahoma"/>
            <family val="2"/>
          </rPr>
          <t>Roberts, Cynthia (Research):</t>
        </r>
        <r>
          <rPr>
            <sz val="9"/>
            <color indexed="81"/>
            <rFont val="Tahoma"/>
            <family val="2"/>
          </rPr>
          <t xml:space="preserve">
1/4/17
Management roughly flat to up 10 bps
11/11/16
prev: 34.6
curr: 34.4
34.4%  GM reflects a 36.06 % FY GM (vs. 36.05% LY)
Looking to the fourth quarter, we expect gross margin rate will be up compared to the same period last year. Remember that last year's fourth-quarter gross margin was impacted by the unprecedented weather conditions that drove increased markdowns in our seasonal merchandise categories.
As such, we don't expect the same level of seasonal markdowns this year given our reduced inventory, more conservative approach to seasonal goods and normalized weather patterns.
In addition, we know we have further opportunities to expand gross margin in Q4, which include initiatives such as improved clearance profitability,the implementation of new pricing analytics and supply chain efficiencies. These gross margin improvements will be partially offset by the ongoing growth in both our dotcom and major appliance businesses. Given our year-to-date performance through Q3 and our fourth-quarter expectations, we've updated our full-year gross margin guidance to now be roughly flat compared to last year.
</t>
        </r>
      </text>
    </comment>
    <comment ref="DW23" authorId="6">
      <text>
        <r>
          <rPr>
            <b/>
            <sz val="9"/>
            <color indexed="81"/>
            <rFont val="Tahoma"/>
            <family val="2"/>
          </rPr>
          <t>2/23/17: impacted primarily by increased couponing and promotional activity during the quarter, coupled with the continued growth in both online and major appliances
ne, Gregory  (Research):</t>
        </r>
        <r>
          <rPr>
            <sz val="9"/>
            <color indexed="81"/>
            <rFont val="Tahoma"/>
            <family val="2"/>
          </rPr>
          <t xml:space="preserve">
11/11/16 -Looking to the fourth quarter, we expect gross margin rate will be up compared to the same period last year. Remember that last year's fourth-quarter gross margin was impacted by the unprecedented weather conditions that drove increased markdowns in our seasonal merchandise categories.
As such, we don't expect the same level of seasonal markdowns this year given our reduced inventory, more conservative approach to seasonal goods and normalized weather patterns.
In addition, we know we have further opportunities to expand gross margin in Q4, which include initiatives such as improved clearance profitability,the implementation of new pricing analytics and supply chain efficiencies. These gross margin improvements will be partially offset by the ongoing growth in both our dotcom and major appliance businesses. Given our year-to-date performance through Q3 and our fourth-quarter expectations, we've updated our full-year gross margin guidance to now be roughly flat compared to last year.
8/16/16
Per trent ~20-30 bps back half GM improvement opportunity</t>
        </r>
      </text>
    </comment>
    <comment ref="EA23" authorId="11">
      <text>
        <r>
          <rPr>
            <b/>
            <sz val="9"/>
            <color indexed="81"/>
            <rFont val="Tahoma"/>
            <family val="2"/>
          </rPr>
          <t>De Courreges, Edouard (Research):</t>
        </r>
        <r>
          <rPr>
            <sz val="9"/>
            <color indexed="81"/>
            <rFont val="Tahoma"/>
            <family val="2"/>
          </rPr>
          <t xml:space="preserve">
1/4/18  GM  flat to up</t>
        </r>
      </text>
    </comment>
    <comment ref="EB23" authorId="11">
      <text>
        <r>
          <rPr>
            <b/>
            <sz val="9"/>
            <color indexed="81"/>
            <rFont val="Tahoma"/>
            <family val="2"/>
          </rPr>
          <t>De Courreges, Edouard (Research):</t>
        </r>
        <r>
          <rPr>
            <sz val="9"/>
            <color indexed="81"/>
            <rFont val="Tahoma"/>
            <family val="2"/>
          </rPr>
          <t xml:space="preserve">
3/2/18: The improvement was primarily driven by decreased promotional activity during the quarter resulting from an improved inventory
position.  This improvement was partially offset by the continued growth in the Company's online and major appliance businesses and higher shrink rates. 
-70 bps .com -30 bps shrink -30 bps misc items, all offset by merch margin (implied +180 bps)
</t>
        </r>
      </text>
    </comment>
    <comment ref="CZ24" authorId="2">
      <text>
        <r>
          <rPr>
            <b/>
            <sz val="8"/>
            <color indexed="81"/>
            <rFont val="Tahoma"/>
            <family val="2"/>
          </rPr>
          <t xml:space="preserve">Guidance 5/16/11:
</t>
        </r>
        <r>
          <rPr>
            <sz val="8"/>
            <color indexed="81"/>
            <rFont val="Tahoma"/>
            <family val="2"/>
          </rPr>
          <t>Flat</t>
        </r>
        <r>
          <rPr>
            <b/>
            <sz val="8"/>
            <color indexed="81"/>
            <rFont val="Tahoma"/>
            <family val="2"/>
          </rPr>
          <t xml:space="preserve">
Guidance 2/25/11:
</t>
        </r>
        <r>
          <rPr>
            <sz val="8"/>
            <color indexed="81"/>
            <rFont val="Tahoma"/>
            <family val="2"/>
          </rPr>
          <t>~39%, or about flat</t>
        </r>
        <r>
          <rPr>
            <sz val="8"/>
            <color indexed="81"/>
            <rFont val="Tahoma"/>
            <family val="2"/>
          </rPr>
          <t xml:space="preserve">
</t>
        </r>
      </text>
    </comment>
    <comment ref="DA24" authorId="2">
      <text>
        <r>
          <rPr>
            <b/>
            <sz val="8"/>
            <color indexed="81"/>
            <rFont val="Tahoma"/>
            <family val="2"/>
          </rPr>
          <t xml:space="preserve">2011 10K
</t>
        </r>
        <r>
          <rPr>
            <sz val="8"/>
            <color indexed="81"/>
            <rFont val="Tahoma"/>
            <family val="2"/>
          </rPr>
          <t>* -320 bps w/ 100 bps from higher markdowns form higher promo activity, ~80 bps from lower vendor support, higher royalty payments and increased y/y shrinkage, and ~20 bps for non-comp free shipping offers online combined with higher delivery costs
* The down -320 bps includes $207M of costs associated w/ implementing the new pricing strategy (stripped out of 4Q)</t>
        </r>
        <r>
          <rPr>
            <b/>
            <sz val="8"/>
            <color indexed="81"/>
            <rFont val="Tahoma"/>
            <family val="2"/>
          </rPr>
          <t xml:space="preserve">
Guidance 5/16/11:
</t>
        </r>
        <r>
          <rPr>
            <sz val="8"/>
            <color indexed="81"/>
            <rFont val="Tahoma"/>
            <family val="2"/>
          </rPr>
          <t>Flat</t>
        </r>
        <r>
          <rPr>
            <b/>
            <sz val="8"/>
            <color indexed="81"/>
            <rFont val="Tahoma"/>
            <family val="2"/>
          </rPr>
          <t xml:space="preserve">
Guidance 2/25/11:
</t>
        </r>
        <r>
          <rPr>
            <sz val="8"/>
            <color indexed="81"/>
            <rFont val="Tahoma"/>
            <family val="2"/>
          </rPr>
          <t>~39%, or about flat</t>
        </r>
        <r>
          <rPr>
            <sz val="8"/>
            <color indexed="81"/>
            <rFont val="Tahoma"/>
            <family val="2"/>
          </rPr>
          <t xml:space="preserve">
</t>
        </r>
      </text>
    </comment>
    <comment ref="DD24" authorId="2">
      <text>
        <r>
          <rPr>
            <b/>
            <sz val="8"/>
            <color indexed="81"/>
            <rFont val="Tahoma"/>
            <family val="2"/>
          </rPr>
          <t xml:space="preserve">Guidance 1/26/12:
</t>
        </r>
        <r>
          <rPr>
            <sz val="8"/>
            <color indexed="81"/>
            <rFont val="Tahoma"/>
            <family val="2"/>
          </rPr>
          <t>- Mgmt targeting 40%+ GMS by 2015</t>
        </r>
        <r>
          <rPr>
            <b/>
            <sz val="8"/>
            <color indexed="81"/>
            <rFont val="Tahoma"/>
            <family val="2"/>
          </rPr>
          <t xml:space="preserve">
Guidance 5/16/11:
</t>
        </r>
        <r>
          <rPr>
            <sz val="8"/>
            <color indexed="81"/>
            <rFont val="Tahoma"/>
            <family val="2"/>
          </rPr>
          <t>Flat</t>
        </r>
        <r>
          <rPr>
            <b/>
            <sz val="8"/>
            <color indexed="81"/>
            <rFont val="Tahoma"/>
            <family val="2"/>
          </rPr>
          <t xml:space="preserve">
Guidance 2/25/11:
</t>
        </r>
        <r>
          <rPr>
            <sz val="8"/>
            <color indexed="81"/>
            <rFont val="Tahoma"/>
            <family val="2"/>
          </rPr>
          <t>~39%, or about flat</t>
        </r>
        <r>
          <rPr>
            <sz val="8"/>
            <color indexed="81"/>
            <rFont val="Tahoma"/>
            <family val="2"/>
          </rPr>
          <t xml:space="preserve">
</t>
        </r>
      </text>
    </comment>
    <comment ref="DE24" authorId="3">
      <text>
        <r>
          <rPr>
            <b/>
            <sz val="8"/>
            <color indexed="81"/>
            <rFont val="Tahoma"/>
            <family val="2"/>
          </rPr>
          <t xml:space="preserve">Per 2011 10K 
</t>
        </r>
        <r>
          <rPr>
            <sz val="8"/>
            <color indexed="81"/>
            <rFont val="Tahoma"/>
            <family val="2"/>
          </rPr>
          <t xml:space="preserve">- Implementation of new price strategy will likely cause qtrly fluctuations in GM in '12 vs. '11 as a result of the application of the RIM, which </t>
        </r>
        <r>
          <rPr>
            <u/>
            <sz val="8"/>
            <color indexed="81"/>
            <rFont val="Tahoma"/>
            <family val="2"/>
          </rPr>
          <t xml:space="preserve">requires adjustments to mgn to occur over selling cycle of inventory to reflect permanent markdowns </t>
        </r>
        <r>
          <rPr>
            <sz val="8"/>
            <color indexed="81"/>
            <rFont val="Tahoma"/>
            <family val="2"/>
          </rPr>
          <t xml:space="preserve">
- Under new price strategy, retail prices are initially set at every day value, </t>
        </r>
        <r>
          <rPr>
            <u/>
            <sz val="8"/>
            <color indexed="81"/>
            <rFont val="Tahoma"/>
            <family val="2"/>
          </rPr>
          <t>so reductions in cost of merch inventory to reflect permanent markdowns will be smaller throughout year thereby affecting gross margin</t>
        </r>
        <r>
          <rPr>
            <sz val="8"/>
            <color indexed="81"/>
            <rFont val="Tahoma"/>
            <family val="2"/>
          </rPr>
          <t xml:space="preserve">
- Also, timing of merchandise markdowns may be impacted by new marketing promo calendar</t>
        </r>
        <r>
          <rPr>
            <b/>
            <sz val="8"/>
            <color indexed="81"/>
            <rFont val="Tahoma"/>
            <family val="2"/>
          </rPr>
          <t xml:space="preserve">
Guidance 2/24/2012
</t>
        </r>
        <r>
          <rPr>
            <sz val="8"/>
            <color indexed="81"/>
            <rFont val="Tahoma"/>
            <family val="2"/>
          </rPr>
          <t>Gross margin improvement in 2012 more back 1/2 weighted</t>
        </r>
        <r>
          <rPr>
            <b/>
            <sz val="8"/>
            <color indexed="81"/>
            <rFont val="Tahoma"/>
            <family val="2"/>
          </rPr>
          <t xml:space="preserve">
Per 1/26/12 guidance:
</t>
        </r>
        <r>
          <rPr>
            <sz val="8"/>
            <color indexed="81"/>
            <rFont val="Tahoma"/>
            <family val="2"/>
          </rPr>
          <t>- Target 40% GM's by 2015</t>
        </r>
      </text>
    </comment>
    <comment ref="DL24" authorId="4">
      <text>
        <r>
          <rPr>
            <b/>
            <sz val="8"/>
            <color indexed="81"/>
            <rFont val="Tahoma"/>
            <family val="2"/>
          </rPr>
          <t>2/26/14 guidance:</t>
        </r>
        <r>
          <rPr>
            <sz val="8"/>
            <color indexed="81"/>
            <rFont val="Tahoma"/>
            <family val="2"/>
          </rPr>
          <t xml:space="preserve"> improve significantly from LY
</t>
        </r>
        <r>
          <rPr>
            <b/>
            <sz val="8"/>
            <color indexed="81"/>
            <rFont val="Tahoma"/>
            <family val="2"/>
          </rPr>
          <t>5/15/14 guidance</t>
        </r>
        <r>
          <rPr>
            <sz val="8"/>
            <color indexed="81"/>
            <rFont val="Tahoma"/>
            <family val="2"/>
          </rPr>
          <t>: improve significantly from LY</t>
        </r>
      </text>
    </comment>
    <comment ref="DM24" authorId="8">
      <text>
        <r>
          <rPr>
            <b/>
            <sz val="9"/>
            <color indexed="81"/>
            <rFont val="Tahoma"/>
            <family val="2"/>
          </rPr>
          <t xml:space="preserve">8/14/14: </t>
        </r>
        <r>
          <rPr>
            <sz val="9"/>
            <color indexed="81"/>
            <rFont val="Tahoma"/>
            <family val="2"/>
          </rPr>
          <t xml:space="preserve">Guidance: improve significantly over 2013
</t>
        </r>
        <r>
          <rPr>
            <b/>
            <sz val="9"/>
            <color indexed="81"/>
            <rFont val="Tahoma"/>
            <family val="2"/>
          </rPr>
          <t xml:space="preserve">11/12/14: </t>
        </r>
        <r>
          <rPr>
            <sz val="9"/>
            <color indexed="81"/>
            <rFont val="Tahoma"/>
            <family val="2"/>
          </rPr>
          <t>Guidance: +500 to 600 bps above last year</t>
        </r>
      </text>
    </comment>
    <comment ref="DR24" authorId="5">
      <text>
        <r>
          <rPr>
            <b/>
            <sz val="9"/>
            <color indexed="81"/>
            <rFont val="Tahoma"/>
            <family val="2"/>
          </rPr>
          <t xml:space="preserve">casselau:
</t>
        </r>
        <r>
          <rPr>
            <sz val="9"/>
            <color indexed="81"/>
            <rFont val="Tahoma"/>
            <family val="2"/>
          </rPr>
          <t xml:space="preserve">11/13/15
Gross margin: expected to improve 100 to 150 basis points
8/12/15 GM to improve 100-150 bps, implies decel in 2H
</t>
        </r>
        <r>
          <rPr>
            <b/>
            <sz val="9"/>
            <color indexed="81"/>
            <rFont val="Tahoma"/>
            <family val="2"/>
          </rPr>
          <t>5/13/15: now expect +100-150 bps</t>
        </r>
        <r>
          <rPr>
            <sz val="9"/>
            <color indexed="81"/>
            <rFont val="Tahoma"/>
            <family val="2"/>
          </rPr>
          <t xml:space="preserve">
2/26/15: guidance +50-100 bps
</t>
        </r>
      </text>
    </comment>
    <comment ref="DV24" authorId="6">
      <text>
        <r>
          <rPr>
            <b/>
            <sz val="9"/>
            <color indexed="81"/>
            <rFont val="Tahoma"/>
            <family val="2"/>
          </rPr>
          <t>Baglione, Gregory  (Research):</t>
        </r>
        <r>
          <rPr>
            <sz val="9"/>
            <color indexed="81"/>
            <rFont val="Tahoma"/>
            <family val="2"/>
          </rPr>
          <t xml:space="preserve">
11/11/16
Comparable store sales: expected to now increase 1% to 2%;
Gross margin: expected to now be flat versus 2015;
SG&amp;A dollars: expected to decrease versus 2015;
EBITDA1: expected to be $1 billion;
Adjusted earnings per share1: expected to be positive;
Free cash flow1: expected to improve versus 2015.
8/16/16
FY guidance unchanged
5/13/16 
Revising GM guidance to 
Gross margin: now, expected to increase 10 to 30 basis points;
2/25/16
Guidance
Gross margin: expected to increase 40 to 60 basis points versus 2015;
11/13/15
We model  ~50 bps GM improvement next year
</t>
        </r>
      </text>
    </comment>
    <comment ref="EA24" authorId="11">
      <text>
        <r>
          <rPr>
            <b/>
            <sz val="9"/>
            <color indexed="81"/>
            <rFont val="Tahoma"/>
            <family val="2"/>
          </rPr>
          <t>De Courreges, Edouard (Research):</t>
        </r>
        <r>
          <rPr>
            <sz val="9"/>
            <color indexed="81"/>
            <rFont val="Tahoma"/>
            <family val="2"/>
          </rPr>
          <t xml:space="preserve">
8/11/17: we now expect our full-year margin rate
to be in the guided range of down 30 basis points to 50 basis points</t>
        </r>
      </text>
    </comment>
    <comment ref="EB24" authorId="7">
      <text>
        <r>
          <rPr>
            <b/>
            <sz val="9"/>
            <color indexed="81"/>
            <rFont val="Tahoma"/>
            <family val="2"/>
          </rPr>
          <t>Cassel, Lauren (Research):</t>
        </r>
        <r>
          <rPr>
            <sz val="9"/>
            <color indexed="81"/>
            <rFont val="Tahoma"/>
            <family val="2"/>
          </rPr>
          <t xml:space="preserve">
2/24/17: guidance: +20-40 bps y/y net of 15-20 bps negative impact from liquidating closed stores (will be larger impact to 1H); we have significant gross margin opportunities in areas such as pricing analytics which include a more controlled approach to couponing and regional pricing initiatives which we are currently testing in 60 stores. We also have opportunities in reducing shortage, modernizing our replenishment and improving the profitability
of our private grants through design sourcing and speed-to-market initiatives. In addition, we continue to optimize our supply chain, including the pending sale of relocation of our Buena Park supply chain facility and the closure of our Lakeland, Florida distribution center announced earlier this morning. We expect these initiatives will allow us to offset the expected pressure from our appliances and online businesses and drive margin of 20 to 40 basis points for the year.</t>
        </r>
      </text>
    </comment>
    <comment ref="EG24" authorId="11">
      <text>
        <r>
          <rPr>
            <b/>
            <sz val="9"/>
            <color indexed="81"/>
            <rFont val="Tahoma"/>
            <family val="2"/>
          </rPr>
          <t>De Courreges, Edouard (Research):</t>
        </r>
        <r>
          <rPr>
            <sz val="9"/>
            <color indexed="81"/>
            <rFont val="Tahoma"/>
            <family val="2"/>
          </rPr>
          <t xml:space="preserve">
3/2/18: COGs expected to be moderately down</t>
        </r>
      </text>
    </comment>
    <comment ref="EQ28" authorId="3">
      <text>
        <r>
          <rPr>
            <b/>
            <sz val="8"/>
            <color indexed="81"/>
            <rFont val="Tahoma"/>
            <family val="2"/>
          </rPr>
          <t xml:space="preserve">8/17/2012 (IR): </t>
        </r>
        <r>
          <rPr>
            <sz val="8"/>
            <color indexed="81"/>
            <rFont val="Tahoma"/>
            <family val="2"/>
          </rPr>
          <t>~$80M in 1Q</t>
        </r>
        <r>
          <rPr>
            <b/>
            <sz val="8"/>
            <color indexed="81"/>
            <rFont val="Tahoma"/>
            <family val="2"/>
          </rPr>
          <t xml:space="preserve">
5/15/2012 Guidance
</t>
        </r>
        <r>
          <rPr>
            <sz val="8"/>
            <color indexed="81"/>
            <rFont val="Tahoma"/>
            <family val="2"/>
          </rPr>
          <t>Realized ~75% of $121M (or SG&amp;A 1Q $ delta) in 1Q 12</t>
        </r>
        <r>
          <rPr>
            <b/>
            <sz val="8"/>
            <color indexed="81"/>
            <rFont val="Tahoma"/>
            <family val="2"/>
          </rPr>
          <t xml:space="preserve">
2/24/2012 Guidance
</t>
        </r>
        <r>
          <rPr>
            <sz val="8"/>
            <color indexed="81"/>
            <rFont val="Tahoma"/>
            <family val="2"/>
          </rPr>
          <t>1) ~1/2 of savings realized in 2012, more back half weighted
2) Some savings reinvested / some permanent</t>
        </r>
      </text>
    </comment>
    <comment ref="EQ29" authorId="3">
      <text>
        <r>
          <rPr>
            <b/>
            <sz val="8"/>
            <color indexed="81"/>
            <rFont val="Tahoma"/>
            <family val="2"/>
          </rPr>
          <t xml:space="preserve">8/17/2012: </t>
        </r>
        <r>
          <rPr>
            <sz val="8"/>
            <color indexed="81"/>
            <rFont val="Tahoma"/>
            <family val="2"/>
          </rPr>
          <t>$193M - $24M outlet/Clad/GG = $169M</t>
        </r>
        <r>
          <rPr>
            <b/>
            <sz val="8"/>
            <color indexed="81"/>
            <rFont val="Tahoma"/>
            <family val="2"/>
          </rPr>
          <t xml:space="preserve">
5/15/2012 Guidance
</t>
        </r>
        <r>
          <rPr>
            <sz val="8"/>
            <color indexed="81"/>
            <rFont val="Tahoma"/>
            <family val="2"/>
          </rPr>
          <t xml:space="preserve">Expect to realized $900M of savings by y/e 2012 (vs. 2013). Identified saving opportunities for 2012/2013 include
1) $50M for reticketing
2) $250M for fewer store hours
3) $100M for removing cash wraps
4) $300M for advertising
5) $200M home office
6) (new) $500M for reducing inventory to 13 wks from 17 wks
7) Clean up legacy systems (from 492 unique systems to 100)
8) Simplify processes
</t>
        </r>
        <r>
          <rPr>
            <b/>
            <sz val="8"/>
            <color indexed="81"/>
            <rFont val="Tahoma"/>
            <family val="2"/>
          </rPr>
          <t xml:space="preserve">
2/24/2012 Guidance
</t>
        </r>
        <r>
          <rPr>
            <sz val="8"/>
            <color indexed="81"/>
            <rFont val="Tahoma"/>
            <family val="2"/>
          </rPr>
          <t>1) ~1/2 of savings realized in 2012, more back half weighted
2) Some savings reinvested / some permanent</t>
        </r>
        <r>
          <rPr>
            <b/>
            <sz val="8"/>
            <color indexed="81"/>
            <rFont val="Tahoma"/>
            <family val="2"/>
          </rPr>
          <t xml:space="preserve">
Per 1/26/12 Guidance:
</t>
        </r>
        <r>
          <rPr>
            <sz val="8"/>
            <color indexed="81"/>
            <rFont val="Tahoma"/>
            <family val="2"/>
          </rPr>
          <t>- $900M of cost savings in 2013e (some of benefit begins in 2012) w/ savings from:
1) $400M of store-level savings (incl. $50M from no more reticketing, $100M from removing unused cash wraps, $250M from fewer hours spent operating stores)
2) $300M of advertising saves (w/ $200M in 2012)
3) $200M of home office savings
- Targeting &lt;30% SG&amp;A ratio by 2013 and ~27% ratio by 2015</t>
        </r>
      </text>
    </comment>
    <comment ref="CU30" authorId="2">
      <text>
        <r>
          <rPr>
            <b/>
            <sz val="8"/>
            <color indexed="81"/>
            <rFont val="Tahoma"/>
            <family val="2"/>
          </rPr>
          <t>Restated with $3M pulled from Pre-opening</t>
        </r>
        <r>
          <rPr>
            <sz val="8"/>
            <color indexed="81"/>
            <rFont val="Tahoma"/>
            <family val="2"/>
          </rPr>
          <t xml:space="preserve">
</t>
        </r>
      </text>
    </comment>
    <comment ref="CY30" authorId="13">
      <text>
        <r>
          <rPr>
            <b/>
            <sz val="8"/>
            <color indexed="81"/>
            <rFont val="Tahoma"/>
            <family val="2"/>
          </rPr>
          <t xml:space="preserve">Note: 5/16/2011
</t>
        </r>
        <r>
          <rPr>
            <sz val="8"/>
            <color indexed="81"/>
            <rFont val="Tahoma"/>
            <family val="2"/>
          </rPr>
          <t xml:space="preserve">Includes $10M in expense saves related to new initiatives to drive operational effectiveness (e.g. largely marketing spend in 1Q11) </t>
        </r>
        <r>
          <rPr>
            <sz val="8"/>
            <color indexed="81"/>
            <rFont val="Tahoma"/>
            <family val="2"/>
          </rPr>
          <t xml:space="preserve">
</t>
        </r>
      </text>
    </comment>
    <comment ref="CZ30" authorId="2">
      <text>
        <r>
          <rPr>
            <b/>
            <sz val="8"/>
            <color indexed="81"/>
            <rFont val="Tahoma"/>
            <family val="2"/>
          </rPr>
          <t xml:space="preserve">Guidance 2/25/11:
</t>
        </r>
        <r>
          <rPr>
            <sz val="8"/>
            <color indexed="81"/>
            <rFont val="Tahoma"/>
            <family val="2"/>
          </rPr>
          <t>Expect to remain flat as % of sales y/y for 2011</t>
        </r>
        <r>
          <rPr>
            <sz val="8"/>
            <color indexed="81"/>
            <rFont val="Tahoma"/>
            <family val="2"/>
          </rPr>
          <t xml:space="preserve">
</t>
        </r>
      </text>
    </comment>
    <comment ref="DC30" authorId="3">
      <text>
        <r>
          <rPr>
            <b/>
            <sz val="8"/>
            <color indexed="81"/>
            <rFont val="Tahoma"/>
            <family val="2"/>
          </rPr>
          <t xml:space="preserve">Comment 5/16/2012
</t>
        </r>
        <r>
          <rPr>
            <sz val="8"/>
            <color indexed="81"/>
            <rFont val="Tahoma"/>
            <family val="2"/>
          </rPr>
          <t>Includes ~$90M of expense saves</t>
        </r>
      </text>
    </comment>
    <comment ref="DK30" authorId="4">
      <text>
        <r>
          <rPr>
            <b/>
            <sz val="8"/>
            <color indexed="81"/>
            <rFont val="Tahoma"/>
            <family val="2"/>
          </rPr>
          <t>2/26/14 guidance: slightly below LY's levels</t>
        </r>
        <r>
          <rPr>
            <sz val="8"/>
            <color indexed="81"/>
            <rFont val="Tahoma"/>
            <family val="2"/>
          </rPr>
          <t xml:space="preserve">
</t>
        </r>
      </text>
    </comment>
    <comment ref="DN30" authorId="14">
      <text>
        <r>
          <rPr>
            <b/>
            <sz val="8"/>
            <color indexed="81"/>
            <rFont val="Tahoma"/>
            <family val="2"/>
          </rPr>
          <t>kimberlg:</t>
        </r>
        <r>
          <rPr>
            <sz val="8"/>
            <color indexed="81"/>
            <rFont val="Tahoma"/>
            <family val="2"/>
          </rPr>
          <t xml:space="preserve">
12/19/13: I think SG&amp;A $$'s can be down in first half of 2014</t>
        </r>
      </text>
    </comment>
    <comment ref="DP30" authorId="5">
      <text>
        <r>
          <rPr>
            <b/>
            <sz val="9"/>
            <color indexed="81"/>
            <rFont val="Tahoma"/>
            <family val="2"/>
          </rPr>
          <t>casselau:</t>
        </r>
        <r>
          <rPr>
            <sz val="9"/>
            <color indexed="81"/>
            <rFont val="Tahoma"/>
            <family val="2"/>
          </rPr>
          <t xml:space="preserve">
5/13/15: savings were primarily driven by lower store controllable costs, advertising and improved credit income; did see some pressure on expenses this quarter from increased incentive compensation given our strong results and from associate wages and benefits. That said, even with these precious, we have taken our guidance up to the </t>
        </r>
      </text>
    </comment>
    <comment ref="DU30" authorId="6">
      <text>
        <r>
          <rPr>
            <b/>
            <sz val="9"/>
            <color indexed="81"/>
            <rFont val="Tahoma"/>
            <family val="2"/>
          </rPr>
          <t>Baglione, Gregory  (Research):</t>
        </r>
        <r>
          <rPr>
            <sz val="9"/>
            <color indexed="81"/>
            <rFont val="Tahoma"/>
            <family val="2"/>
          </rPr>
          <t xml:space="preserve">
5/13/16
$93M SG&amp;A decline reflects:
$20M-Marketing
$25M, -payroll
$48M -Other
Of which, $8M private label credit, $15M corporate restructuring, rest from a variety of areas.
11/13/15
Overhead reductions to save $35M in 2016
</t>
        </r>
      </text>
    </comment>
    <comment ref="EC30" authorId="7">
      <text>
        <r>
          <rPr>
            <b/>
            <sz val="9"/>
            <color indexed="81"/>
            <rFont val="Tahoma"/>
            <family val="2"/>
          </rPr>
          <t>Cassel, Lauren (Research):</t>
        </r>
        <r>
          <rPr>
            <sz val="9"/>
            <color indexed="81"/>
            <rFont val="Tahoma"/>
            <family val="2"/>
          </rPr>
          <t xml:space="preserve">
5/12/17: savings were primarily driven by lower marketing, store controllable costs and incentive compensation; fulfillment costs were -HSD on a per unit basis</t>
        </r>
      </text>
    </comment>
    <comment ref="CU31" authorId="2">
      <text>
        <r>
          <rPr>
            <b/>
            <sz val="8"/>
            <color indexed="81"/>
            <rFont val="Tahoma"/>
            <family val="2"/>
          </rPr>
          <t xml:space="preserve">5/16/11:
</t>
        </r>
        <r>
          <rPr>
            <sz val="8"/>
            <color indexed="81"/>
            <rFont val="Tahoma"/>
            <family val="2"/>
          </rPr>
          <t>Added $2M of pre-opening expense to $1273 SG&amp;A to account for change in policy</t>
        </r>
        <r>
          <rPr>
            <sz val="8"/>
            <color indexed="81"/>
            <rFont val="Tahoma"/>
            <family val="2"/>
          </rPr>
          <t xml:space="preserve">
</t>
        </r>
      </text>
    </comment>
    <comment ref="CY31" authorId="2">
      <text>
        <r>
          <rPr>
            <b/>
            <sz val="8"/>
            <color indexed="81"/>
            <rFont val="Tahoma"/>
            <family val="2"/>
          </rPr>
          <t>Guidance: 5/16/2011</t>
        </r>
        <r>
          <rPr>
            <sz val="8"/>
            <color indexed="81"/>
            <rFont val="Tahoma"/>
            <family val="2"/>
          </rPr>
          <t xml:space="preserve">
Decline as a rate but up slightly in $</t>
        </r>
        <r>
          <rPr>
            <b/>
            <sz val="8"/>
            <color indexed="81"/>
            <rFont val="Tahoma"/>
            <family val="2"/>
          </rPr>
          <t xml:space="preserve">
Incorporates MS estimates for incremental cost saves.</t>
        </r>
        <r>
          <rPr>
            <sz val="8"/>
            <color indexed="81"/>
            <rFont val="Tahoma"/>
            <family val="2"/>
          </rPr>
          <t xml:space="preserve">
</t>
        </r>
        <r>
          <rPr>
            <b/>
            <sz val="8"/>
            <color indexed="12"/>
            <rFont val="Tahoma"/>
            <family val="2"/>
          </rPr>
          <t>See rows 366-369 below for expense forecast details.</t>
        </r>
      </text>
    </comment>
    <comment ref="DA31" authorId="2">
      <text>
        <r>
          <rPr>
            <b/>
            <sz val="8"/>
            <color indexed="81"/>
            <rFont val="Tahoma"/>
            <family val="2"/>
          </rPr>
          <t>Guidance 8/11/11:
Lower than planned SG&amp;A
-</t>
        </r>
        <r>
          <rPr>
            <sz val="8"/>
            <color indexed="81"/>
            <rFont val="Tahoma"/>
            <family val="2"/>
          </rPr>
          <t>Primarily driven by effective mgmt of our store labor hours and various home office savings initiatives
-Offset by moderate expense increases related to Sephora &amp; start up costs with growth plan</t>
        </r>
        <r>
          <rPr>
            <b/>
            <sz val="8"/>
            <color indexed="81"/>
            <rFont val="Tahoma"/>
            <family val="2"/>
          </rPr>
          <t xml:space="preserve">
Guidance 5/16/11:
</t>
        </r>
        <r>
          <rPr>
            <sz val="8"/>
            <color indexed="81"/>
            <rFont val="Tahoma"/>
            <family val="2"/>
          </rPr>
          <t>Decline as % of sales</t>
        </r>
        <r>
          <rPr>
            <sz val="8"/>
            <color indexed="81"/>
            <rFont val="Tahoma"/>
            <family val="2"/>
          </rPr>
          <t xml:space="preserve">
$$s up slightly y/y</t>
        </r>
      </text>
    </comment>
    <comment ref="DE31" authorId="13">
      <text>
        <r>
          <rPr>
            <b/>
            <sz val="8"/>
            <color indexed="81"/>
            <rFont val="Tahoma"/>
            <family val="2"/>
          </rPr>
          <t>Assumes leverage at 2% comp</t>
        </r>
        <r>
          <rPr>
            <sz val="8"/>
            <color indexed="81"/>
            <rFont val="Tahoma"/>
            <family val="2"/>
          </rPr>
          <t xml:space="preserve">
</t>
        </r>
      </text>
    </comment>
    <comment ref="DK31" authorId="8">
      <text>
        <r>
          <rPr>
            <b/>
            <sz val="9"/>
            <color indexed="81"/>
            <rFont val="Tahoma"/>
            <family val="2"/>
          </rPr>
          <t xml:space="preserve">5/15/14: </t>
        </r>
        <r>
          <rPr>
            <sz val="9"/>
            <color indexed="81"/>
            <rFont val="Tahoma"/>
            <family val="2"/>
          </rPr>
          <t xml:space="preserve">slightly below last year's levels
</t>
        </r>
      </text>
    </comment>
    <comment ref="DN31" authorId="8">
      <text>
        <r>
          <rPr>
            <b/>
            <sz val="9"/>
            <color indexed="81"/>
            <rFont val="Tahoma"/>
            <family val="2"/>
          </rPr>
          <t xml:space="preserve">lower store expenses, </t>
        </r>
        <r>
          <rPr>
            <sz val="9"/>
            <color indexed="81"/>
            <rFont val="Tahoma"/>
            <family val="2"/>
          </rPr>
          <t xml:space="preserve">
</t>
        </r>
      </text>
    </comment>
    <comment ref="DP31" authorId="8">
      <text>
        <r>
          <rPr>
            <sz val="9"/>
            <color indexed="81"/>
            <rFont val="Tahoma"/>
            <family val="2"/>
          </rPr>
          <t xml:space="preserve">8/12/15
SG&amp;A leverage driven by reductions in store controllable expenses, advertising revenue from private label credit card
</t>
        </r>
        <r>
          <rPr>
            <b/>
            <sz val="9"/>
            <color indexed="81"/>
            <rFont val="Tahoma"/>
            <family val="2"/>
          </rPr>
          <t xml:space="preserve">
5/15/14: </t>
        </r>
        <r>
          <rPr>
            <sz val="9"/>
            <color indexed="81"/>
            <rFont val="Tahoma"/>
            <family val="2"/>
          </rPr>
          <t xml:space="preserve">slightly below last year's levels
</t>
        </r>
      </text>
    </comment>
    <comment ref="DU31" authorId="6">
      <text>
        <r>
          <rPr>
            <b/>
            <sz val="9"/>
            <color indexed="81"/>
            <rFont val="Tahoma"/>
            <family val="2"/>
          </rPr>
          <t>Baglione, Gregory  (Research):</t>
        </r>
        <r>
          <rPr>
            <sz val="9"/>
            <color indexed="81"/>
            <rFont val="Tahoma"/>
            <family val="2"/>
          </rPr>
          <t xml:space="preserve">
11/13/15
Overhead reductions to save $35M in 2016</t>
        </r>
      </text>
    </comment>
    <comment ref="DX31" authorId="6">
      <text>
        <r>
          <rPr>
            <b/>
            <sz val="9"/>
            <color indexed="81"/>
            <rFont val="Tahoma"/>
            <family val="2"/>
          </rPr>
          <t>Baglione, Gregory  (Research):</t>
        </r>
        <r>
          <rPr>
            <sz val="9"/>
            <color indexed="81"/>
            <rFont val="Tahoma"/>
            <family val="2"/>
          </rPr>
          <t xml:space="preserve">
8/12/16
Now turning to expenses. Second-quarter SG&amp;A decreased $48 million to $853 million and leveraged 210 basis points as a percentage of sales compared to last year.
*These savings were primarily driven by corporate overhead, reduced incentive compensation, as well as savings in store controllable costs andmore efficient advertising spend. 
*As you've heard both Marvin and I say in the past, our focus on finding efficiencies and reducing expenses across all aspects of the business remains as strong as ever, while ensuring our reductions do not negatively impact our customers' in-store or online experiences.
5/13/16
Lower SG&amp;A to reflect a continuation of better than expected run rate in 1Q16
</t>
        </r>
      </text>
    </comment>
    <comment ref="EA31" authorId="11">
      <text>
        <r>
          <rPr>
            <b/>
            <sz val="9"/>
            <color indexed="81"/>
            <rFont val="Tahoma"/>
            <family val="2"/>
          </rPr>
          <t>De Courreges, Edouard (Research):</t>
        </r>
        <r>
          <rPr>
            <sz val="9"/>
            <color indexed="81"/>
            <rFont val="Tahoma"/>
            <family val="2"/>
          </rPr>
          <t xml:space="preserve">
8/11/17: savings were primarily driven by private-label credit card income, store controllable costs, and corporate overhead</t>
        </r>
      </text>
    </comment>
    <comment ref="EQ31" authorId="3">
      <text>
        <r>
          <rPr>
            <b/>
            <sz val="8"/>
            <color indexed="81"/>
            <rFont val="Tahoma"/>
            <family val="2"/>
          </rPr>
          <t xml:space="preserve">2/27/2013: </t>
        </r>
        <r>
          <rPr>
            <sz val="8"/>
            <color indexed="81"/>
            <rFont val="Tahoma"/>
            <family val="2"/>
          </rPr>
          <t>Gross savings $175M, but reinvested some, so net $134M</t>
        </r>
      </text>
    </comment>
    <comment ref="CU32" authorId="2">
      <text>
        <r>
          <rPr>
            <b/>
            <sz val="8"/>
            <color indexed="81"/>
            <rFont val="Tahoma"/>
            <family val="2"/>
          </rPr>
          <t xml:space="preserve">5/16/11:
</t>
        </r>
        <r>
          <rPr>
            <sz val="8"/>
            <color indexed="81"/>
            <rFont val="Tahoma"/>
            <family val="2"/>
          </rPr>
          <t>Added $2M of pre-opening expense to $1324 SG&amp;A to account for change in policy</t>
        </r>
        <r>
          <rPr>
            <sz val="8"/>
            <color indexed="81"/>
            <rFont val="Tahoma"/>
            <family val="2"/>
          </rPr>
          <t xml:space="preserve">
</t>
        </r>
      </text>
    </comment>
    <comment ref="CY32" authorId="2">
      <text>
        <r>
          <rPr>
            <b/>
            <sz val="8"/>
            <color indexed="81"/>
            <rFont val="Tahoma"/>
            <family val="2"/>
          </rPr>
          <t xml:space="preserve">
11/14/11 Comment:
</t>
        </r>
        <r>
          <rPr>
            <sz val="8"/>
            <color indexed="81"/>
            <rFont val="Tahoma"/>
            <family val="2"/>
          </rPr>
          <t>Came in better than anticipated w/ decrease in y/y marketing expense (due to exit of catalog biz), lower credit (significant), and saving initiatives</t>
        </r>
        <r>
          <rPr>
            <b/>
            <sz val="8"/>
            <color indexed="81"/>
            <rFont val="Tahoma"/>
            <family val="2"/>
          </rPr>
          <t xml:space="preserve">
Incorporates MS estimates for incremental cost saves.</t>
        </r>
        <r>
          <rPr>
            <sz val="8"/>
            <color indexed="81"/>
            <rFont val="Tahoma"/>
            <family val="2"/>
          </rPr>
          <t xml:space="preserve">
</t>
        </r>
        <r>
          <rPr>
            <b/>
            <sz val="8"/>
            <color indexed="12"/>
            <rFont val="Tahoma"/>
            <family val="2"/>
          </rPr>
          <t>See rows 366-369 below for expense forecast details.</t>
        </r>
      </text>
    </comment>
    <comment ref="DA32" authorId="2">
      <text>
        <r>
          <rPr>
            <b/>
            <sz val="8"/>
            <color indexed="81"/>
            <rFont val="Tahoma"/>
            <family val="2"/>
          </rPr>
          <t xml:space="preserve">11/14/11 Comment:
</t>
        </r>
        <r>
          <rPr>
            <sz val="8"/>
            <color indexed="81"/>
            <rFont val="Tahoma"/>
            <family val="2"/>
          </rPr>
          <t>Came in better than anticipated w/ decrease in y/y marketing expense (due to exit of catalog biz), lower credit (significant), and saving initiatives</t>
        </r>
        <r>
          <rPr>
            <b/>
            <sz val="8"/>
            <color indexed="81"/>
            <rFont val="Tahoma"/>
            <family val="2"/>
          </rPr>
          <t xml:space="preserve">
Guidance 8/12/11:
</t>
        </r>
        <r>
          <rPr>
            <sz val="8"/>
            <color indexed="81"/>
            <rFont val="Tahoma"/>
            <family val="2"/>
          </rPr>
          <t>SG&amp;A $$s flat to down slightly y/y</t>
        </r>
        <r>
          <rPr>
            <b/>
            <sz val="8"/>
            <color indexed="81"/>
            <rFont val="Tahoma"/>
            <family val="2"/>
          </rPr>
          <t xml:space="preserve">
</t>
        </r>
      </text>
    </comment>
    <comment ref="DE32" authorId="13">
      <text>
        <r>
          <rPr>
            <b/>
            <sz val="8"/>
            <color indexed="81"/>
            <rFont val="Tahoma"/>
            <family val="2"/>
          </rPr>
          <t>Assumes leverage at 2% comp</t>
        </r>
        <r>
          <rPr>
            <sz val="8"/>
            <color indexed="81"/>
            <rFont val="Tahoma"/>
            <family val="2"/>
          </rPr>
          <t xml:space="preserve">
</t>
        </r>
      </text>
    </comment>
    <comment ref="DN32" authorId="8">
      <text>
        <r>
          <rPr>
            <b/>
            <sz val="9"/>
            <color indexed="81"/>
            <rFont val="Tahoma"/>
            <family val="2"/>
          </rPr>
          <t>11/12/14:</t>
        </r>
        <r>
          <rPr>
            <sz val="9"/>
            <color indexed="81"/>
            <rFont val="Tahoma"/>
            <family val="2"/>
          </rPr>
          <t xml:space="preserve"> These savings were primarily driven by lower store expenses and corporate overhead costs.
</t>
        </r>
      </text>
    </comment>
    <comment ref="DU32" authorId="6">
      <text>
        <r>
          <rPr>
            <b/>
            <sz val="9"/>
            <color indexed="81"/>
            <rFont val="Tahoma"/>
            <family val="2"/>
          </rPr>
          <t>Baglione, Gregory  (Research):</t>
        </r>
        <r>
          <rPr>
            <sz val="9"/>
            <color indexed="81"/>
            <rFont val="Tahoma"/>
            <family val="2"/>
          </rPr>
          <t xml:space="preserve">
11/13/15
Overhead reductions to save $35M in 2016</t>
        </r>
      </text>
    </comment>
    <comment ref="DX32" authorId="6">
      <text>
        <r>
          <rPr>
            <b/>
            <sz val="9"/>
            <color indexed="81"/>
            <rFont val="Tahoma"/>
            <family val="2"/>
          </rPr>
          <t>2/23/17: savings primarily driven by lower incentive compensation and store controllable costs
Baglione, Gregory  (Research):</t>
        </r>
        <r>
          <rPr>
            <sz val="9"/>
            <color indexed="81"/>
            <rFont val="Tahoma"/>
            <family val="2"/>
          </rPr>
          <t xml:space="preserve">
11/11/16
Now turning to expenses, third-quarter SG&amp;A decreased $59 million dollars to $888 million and leveraged 160 basis points as a percentage of sales compared to last year. These savings were primarily driven by corporate overhead, reduced incentive compensation and store controllable expenses.
Our stores team continues to deliver a great customer experience while maintaining fiscal discipline.
8/16/16
Trent's guidance is fro ~$50M savings in the back half. We are modeling below that given1 H performance
5/13/16
Lower SG&amp;A to reflect a continuation of better than expected run rate in 1Q16
</t>
        </r>
      </text>
    </comment>
    <comment ref="DZ32" authorId="11">
      <text>
        <r>
          <rPr>
            <b/>
            <sz val="9"/>
            <color indexed="81"/>
            <rFont val="Tahoma"/>
            <family val="2"/>
          </rPr>
          <t>De Courreges, Edouard (Research):</t>
        </r>
        <r>
          <rPr>
            <sz val="9"/>
            <color indexed="81"/>
            <rFont val="Tahoma"/>
            <family val="2"/>
          </rPr>
          <t xml:space="preserve">
8/11/17: In terms of SG&amp;A for the third quarter, certainly our expectations are down. I think somewhere in the $25-million-plus range is probably a reasonable way to look at it.</t>
        </r>
      </text>
    </comment>
    <comment ref="EA32" authorId="11">
      <text>
        <r>
          <rPr>
            <b/>
            <sz val="9"/>
            <color indexed="81"/>
            <rFont val="Tahoma"/>
            <family val="2"/>
          </rPr>
          <t>De Courreges, Edouard (Research):</t>
        </r>
        <r>
          <rPr>
            <sz val="9"/>
            <color indexed="81"/>
            <rFont val="Tahoma"/>
            <family val="2"/>
          </rPr>
          <t xml:space="preserve">
savings were primarily driven by reductions in store controllable costs, marketing efficiencies and corporate overhead</t>
        </r>
      </text>
    </comment>
    <comment ref="CE33" authorId="0">
      <text>
        <r>
          <rPr>
            <b/>
            <sz val="8"/>
            <color indexed="81"/>
            <rFont val="Tahoma"/>
            <family val="2"/>
          </rPr>
          <t>53rd week added ~$75M in SG&amp;A</t>
        </r>
        <r>
          <rPr>
            <sz val="8"/>
            <color indexed="81"/>
            <rFont val="Tahoma"/>
            <family val="2"/>
          </rPr>
          <t xml:space="preserve">
</t>
        </r>
      </text>
    </comment>
    <comment ref="CI33" authorId="0">
      <text>
        <r>
          <rPr>
            <b/>
            <sz val="8"/>
            <color indexed="81"/>
            <rFont val="Tahoma"/>
            <family val="2"/>
          </rPr>
          <t>Adjusted to reflect 52 wk vs. 53 wk in FY06</t>
        </r>
        <r>
          <rPr>
            <sz val="8"/>
            <color indexed="81"/>
            <rFont val="Tahoma"/>
            <family val="2"/>
          </rPr>
          <t xml:space="preserve">
</t>
        </r>
      </text>
    </comment>
    <comment ref="CU33" authorId="2">
      <text>
        <r>
          <rPr>
            <b/>
            <sz val="8"/>
            <color indexed="81"/>
            <rFont val="Tahoma"/>
            <family val="2"/>
          </rPr>
          <t xml:space="preserve">5/16/11:
</t>
        </r>
        <r>
          <rPr>
            <sz val="8"/>
            <color indexed="81"/>
            <rFont val="Tahoma"/>
            <family val="2"/>
          </rPr>
          <t>Added $1M of pre-opening expense to $1464 SG&amp;A to account for change in policy</t>
        </r>
        <r>
          <rPr>
            <sz val="8"/>
            <color indexed="81"/>
            <rFont val="Tahoma"/>
            <family val="2"/>
          </rPr>
          <t xml:space="preserve">
</t>
        </r>
      </text>
    </comment>
    <comment ref="CY33" authorId="2">
      <text>
        <r>
          <rPr>
            <b/>
            <sz val="8"/>
            <color indexed="81"/>
            <rFont val="Tahoma"/>
            <family val="2"/>
          </rPr>
          <t xml:space="preserve">Guidance 11/14/11:
</t>
        </r>
        <r>
          <rPr>
            <sz val="8"/>
            <color indexed="81"/>
            <rFont val="Tahoma"/>
            <family val="2"/>
          </rPr>
          <t>1)</t>
        </r>
        <r>
          <rPr>
            <b/>
            <sz val="8"/>
            <color indexed="81"/>
            <rFont val="Tahoma"/>
            <family val="2"/>
          </rPr>
          <t xml:space="preserve"> </t>
        </r>
        <r>
          <rPr>
            <sz val="8"/>
            <color indexed="81"/>
            <rFont val="Tahoma"/>
            <family val="2"/>
          </rPr>
          <t xml:space="preserve">Expected to be down modestly vs. LY in $s
2) guidance assumes no change in mktg strategy and same promo calendar vs. LY
</t>
        </r>
        <r>
          <rPr>
            <b/>
            <sz val="8"/>
            <color indexed="81"/>
            <rFont val="Tahoma"/>
            <family val="2"/>
          </rPr>
          <t xml:space="preserve">Guidance 8/12/11:
</t>
        </r>
        <r>
          <rPr>
            <sz val="8"/>
            <color indexed="81"/>
            <rFont val="Tahoma"/>
            <family val="2"/>
          </rPr>
          <t>Catalogue will be less and less of an impact in 3Q and 4Q.
Co. not expecting a y/y benefit from lapping Big Book removal</t>
        </r>
      </text>
    </comment>
    <comment ref="DA33" authorId="3">
      <text>
        <r>
          <rPr>
            <b/>
            <sz val="8"/>
            <color indexed="81"/>
            <rFont val="Tahoma"/>
            <family val="2"/>
          </rPr>
          <t xml:space="preserve">Per 2011 10K
</t>
        </r>
        <r>
          <rPr>
            <sz val="8"/>
            <color indexed="81"/>
            <rFont val="Tahoma"/>
            <family val="2"/>
          </rPr>
          <t xml:space="preserve">Total advertising expense in 2011 $1039M vs. $1172M in 2010
</t>
        </r>
        <r>
          <rPr>
            <b/>
            <sz val="8"/>
            <color indexed="81"/>
            <rFont val="Tahoma"/>
            <family val="2"/>
          </rPr>
          <t xml:space="preserve">
2/24/2012 Comment
</t>
        </r>
        <r>
          <rPr>
            <sz val="8"/>
            <color indexed="81"/>
            <rFont val="Tahoma"/>
            <family val="2"/>
          </rPr>
          <t>Benefit from lower incentive comp, credit costs, advertising expense and benefits realized from expense reduction initiatives</t>
        </r>
        <r>
          <rPr>
            <b/>
            <sz val="8"/>
            <color indexed="81"/>
            <rFont val="Tahoma"/>
            <family val="2"/>
          </rPr>
          <t xml:space="preserve">
Guidance: 11/14/2011
</t>
        </r>
        <r>
          <rPr>
            <sz val="8"/>
            <color indexed="81"/>
            <rFont val="Tahoma"/>
            <family val="2"/>
          </rPr>
          <t>Expected to be well managed and slightly below LY levels on $ basis</t>
        </r>
      </text>
    </comment>
    <comment ref="DE33" authorId="2">
      <text>
        <r>
          <rPr>
            <b/>
            <sz val="8"/>
            <color indexed="81"/>
            <rFont val="Tahoma"/>
            <family val="2"/>
          </rPr>
          <t xml:space="preserve">Guidance 1/26/12:
</t>
        </r>
        <r>
          <rPr>
            <sz val="8"/>
            <color indexed="81"/>
            <rFont val="Tahoma"/>
            <family val="2"/>
          </rPr>
          <t>Target &lt;30% SG&amp;A ratio by 2013</t>
        </r>
        <r>
          <rPr>
            <b/>
            <sz val="8"/>
            <color indexed="81"/>
            <rFont val="Tahoma"/>
            <family val="2"/>
          </rPr>
          <t xml:space="preserve">
Guidance 5/16/11:
</t>
        </r>
        <r>
          <rPr>
            <sz val="8"/>
            <color indexed="81"/>
            <rFont val="Tahoma"/>
            <family val="2"/>
          </rPr>
          <t xml:space="preserve">Decline as rate </t>
        </r>
        <r>
          <rPr>
            <b/>
            <sz val="8"/>
            <color indexed="81"/>
            <rFont val="Tahoma"/>
            <family val="2"/>
          </rPr>
          <t xml:space="preserve"> 
Guidance 2/25/11:
</t>
        </r>
        <r>
          <rPr>
            <sz val="8"/>
            <color indexed="81"/>
            <rFont val="Tahoma"/>
            <family val="2"/>
          </rPr>
          <t>Expect to remain flat as % of sales y/y for 2011</t>
        </r>
        <r>
          <rPr>
            <sz val="8"/>
            <color indexed="81"/>
            <rFont val="Tahoma"/>
            <family val="2"/>
          </rPr>
          <t xml:space="preserve">
</t>
        </r>
      </text>
    </comment>
    <comment ref="DL33" authorId="5">
      <text>
        <r>
          <rPr>
            <b/>
            <sz val="9"/>
            <color indexed="81"/>
            <rFont val="Tahoma"/>
            <family val="2"/>
          </rPr>
          <t>casselau:</t>
        </r>
        <r>
          <rPr>
            <sz val="9"/>
            <color indexed="81"/>
            <rFont val="Tahoma"/>
            <family val="2"/>
          </rPr>
          <t xml:space="preserve">
2/26/15: increase driven by incentive comp, partially offset by higher credit income</t>
        </r>
      </text>
    </comment>
    <comment ref="DN33" authorId="8">
      <text>
        <r>
          <rPr>
            <b/>
            <sz val="9"/>
            <color indexed="81"/>
            <rFont val="Tahoma"/>
            <family val="2"/>
          </rPr>
          <t xml:space="preserve">11/12/14: </t>
        </r>
        <r>
          <rPr>
            <sz val="9"/>
            <color indexed="81"/>
            <rFont val="Tahoma"/>
            <family val="2"/>
          </rPr>
          <t xml:space="preserve">expected to be slightly above last year's levels.
</t>
        </r>
      </text>
    </comment>
    <comment ref="DP33" authorId="6">
      <text>
        <r>
          <rPr>
            <b/>
            <sz val="9"/>
            <color indexed="81"/>
            <rFont val="Tahoma"/>
            <family val="2"/>
          </rPr>
          <t>Baglione, Gregory  (Research):</t>
        </r>
        <r>
          <rPr>
            <sz val="9"/>
            <color indexed="81"/>
            <rFont val="Tahoma"/>
            <family val="2"/>
          </rPr>
          <t xml:space="preserve">
11/13/15
SG&amp;A flat to up slightly</t>
        </r>
      </text>
    </comment>
    <comment ref="DS33" authorId="6">
      <text>
        <r>
          <rPr>
            <b/>
            <sz val="9"/>
            <color indexed="81"/>
            <rFont val="Tahoma"/>
            <family val="2"/>
          </rPr>
          <t>Baglione, Gregory  (Research):</t>
        </r>
        <r>
          <rPr>
            <sz val="9"/>
            <color indexed="81"/>
            <rFont val="Tahoma"/>
            <family val="2"/>
          </rPr>
          <t xml:space="preserve">
1/7/16
Per conversation with Trent, likely offset GM with SG&amp;A to maintain Adj. EBITDA guidance $645M
Updating SG&amp;A to -0.6% from -0.5%
11/13/15
Changing from -2.0% to +0.5%
Per management's guidance expect SG&amp;A +5M
</t>
        </r>
      </text>
    </comment>
    <comment ref="DU33" authorId="6">
      <text>
        <r>
          <rPr>
            <b/>
            <sz val="9"/>
            <color indexed="81"/>
            <rFont val="Tahoma"/>
            <family val="2"/>
          </rPr>
          <t>Baglione, Gregory  (Research):</t>
        </r>
        <r>
          <rPr>
            <sz val="9"/>
            <color indexed="81"/>
            <rFont val="Tahoma"/>
            <family val="2"/>
          </rPr>
          <t xml:space="preserve">
11/13/15
Overhead reductions to save $35M in 2016</t>
        </r>
      </text>
    </comment>
    <comment ref="DV33" authorId="12">
      <text>
        <r>
          <rPr>
            <b/>
            <sz val="9"/>
            <color indexed="81"/>
            <rFont val="Tahoma"/>
            <family val="2"/>
          </rPr>
          <t xml:space="preserve">Roberts, Cynthia (Research):
</t>
        </r>
        <r>
          <rPr>
            <sz val="9"/>
            <color indexed="81"/>
            <rFont val="Tahoma"/>
            <family val="2"/>
          </rPr>
          <t xml:space="preserve">
</t>
        </r>
        <r>
          <rPr>
            <b/>
            <sz val="9"/>
            <color indexed="81"/>
            <rFont val="Tahoma"/>
            <family val="2"/>
          </rPr>
          <t>11/10/16</t>
        </r>
        <r>
          <rPr>
            <sz val="9"/>
            <color indexed="81"/>
            <rFont val="Tahoma"/>
            <family val="2"/>
          </rPr>
          <t xml:space="preserve">
prev: 22.8 ( -3.0% dollars)
curr: 23.2 (-1.5% dolars)
MSe: Despite guidance below, we model SG&amp;A dollars down and below guidance in 4Q given YTD run rate.
Looking ahead to the fourth quarter, we
expect SG&amp;A expense dollars to be up compared to last year driven in part by higher advertising expenses to support our growth initiatives.
In addition, we recognized a one-time favorable adjustment to credit income in the fourth quarter last year that won't be repeated this year. Having said that, fourth-quarter SG&amp;A expenses are expected to leverage as a percentage of sales compared to the same period last year.
As a reminder, we record the annual mark-to-market adjustment to the Company's pension plan during the fourth quarter. The resulting adjustment, if there is one, is unknown at this time, but could have a non-cash impact on our financial results favorable or unfavorable for the fourth quarter.</t>
        </r>
      </text>
    </comment>
    <comment ref="DX33" authorId="6">
      <text>
        <r>
          <rPr>
            <b/>
            <sz val="9"/>
            <color indexed="81"/>
            <rFont val="Tahoma"/>
            <family val="2"/>
          </rPr>
          <t xml:space="preserve">Baglione, Gregory  (Research):
</t>
        </r>
        <r>
          <rPr>
            <sz val="9"/>
            <color indexed="81"/>
            <rFont val="Tahoma"/>
            <family val="2"/>
          </rPr>
          <t xml:space="preserve">
1/4/17
* Per management down 3.7% sounds about right. A big portion is coming from bonus reversal. 
</t>
        </r>
        <r>
          <rPr>
            <b/>
            <sz val="9"/>
            <color indexed="81"/>
            <rFont val="Tahoma"/>
            <family val="2"/>
          </rPr>
          <t>11/10/16</t>
        </r>
        <r>
          <rPr>
            <sz val="9"/>
            <color indexed="81"/>
            <rFont val="Tahoma"/>
            <family val="2"/>
          </rPr>
          <t xml:space="preserve">
prev: 22.8 ( -3.0% dollars)
curr: 23.2 (-1.5% dolars)
MSe: Despite guidance below, we model SG&amp;A dollars down and below guidance in 4Q given YTD run rate.
Looking ahead to the fourth quarter, we
expect SG&amp;A expense dollars to be up compared to last year driven in part by higher advertising expenses to support our growth initiatives.
In addition, we recognized a one-time favorable adjustment to credit income in the fourth quarter last year that won't be repeated this year. Having said that, fourth-quarter SG&amp;A expenses are expected to leverage as a percentage of sales compared to the same period last year.
As a reminder, we record the annual mark-to-market adjustment to the Company's pension plan during the fourth quarter. The resulting adjustment, if there is one, is unknown at this time, but could have a non-cash impact on our financial results favorable or unfavorable for the fourth quarter.
</t>
        </r>
        <r>
          <rPr>
            <b/>
            <sz val="9"/>
            <color indexed="81"/>
            <rFont val="Tahoma"/>
            <family val="2"/>
          </rPr>
          <t xml:space="preserve">
8/16/16</t>
        </r>
        <r>
          <rPr>
            <sz val="9"/>
            <color indexed="81"/>
            <rFont val="Tahoma"/>
            <family val="2"/>
          </rPr>
          <t xml:space="preserve">
Trent's guidance is for ~$50M savings in the back half. We are modeling below that given1 H performance</t>
        </r>
      </text>
    </comment>
    <comment ref="DZ33" authorId="7">
      <text>
        <r>
          <rPr>
            <b/>
            <sz val="9"/>
            <color indexed="81"/>
            <rFont val="Tahoma"/>
            <family val="2"/>
          </rPr>
          <t>Cassel, Lauren (Research):</t>
        </r>
        <r>
          <rPr>
            <sz val="9"/>
            <color indexed="81"/>
            <rFont val="Tahoma"/>
            <family val="2"/>
          </rPr>
          <t xml:space="preserve">
1/4/18:  ~+40M SGA
3/23/17: 53rd week $30M (so LY -2% + 30M = 936.5)</t>
        </r>
      </text>
    </comment>
    <comment ref="EA33" authorId="11">
      <text>
        <r>
          <rPr>
            <b/>
            <sz val="9"/>
            <color indexed="81"/>
            <rFont val="Tahoma"/>
            <family val="2"/>
          </rPr>
          <t>De Courreges, Edouard (Research):</t>
        </r>
        <r>
          <rPr>
            <sz val="9"/>
            <color indexed="81"/>
            <rFont val="Tahoma"/>
            <family val="2"/>
          </rPr>
          <t xml:space="preserve">
3/2/18:
Reductions primarily in store controllable costs and marketing spend were partially offset by lower credit income and higher
incentive compensation. 
</t>
        </r>
      </text>
    </comment>
    <comment ref="CZ34" authorId="2">
      <text>
        <r>
          <rPr>
            <b/>
            <sz val="8"/>
            <color indexed="81"/>
            <rFont val="Tahoma"/>
            <family val="2"/>
          </rPr>
          <t xml:space="preserve">Guidance 5/16/11:
</t>
        </r>
        <r>
          <rPr>
            <sz val="8"/>
            <color indexed="81"/>
            <rFont val="Tahoma"/>
            <family val="2"/>
          </rPr>
          <t xml:space="preserve">Decline as rate </t>
        </r>
        <r>
          <rPr>
            <b/>
            <sz val="8"/>
            <color indexed="81"/>
            <rFont val="Tahoma"/>
            <family val="2"/>
          </rPr>
          <t xml:space="preserve"> 
Guidance 2/25/11:
</t>
        </r>
        <r>
          <rPr>
            <sz val="8"/>
            <color indexed="81"/>
            <rFont val="Tahoma"/>
            <family val="2"/>
          </rPr>
          <t>Expect to remain flat as % of sales y/y for 2011</t>
        </r>
        <r>
          <rPr>
            <sz val="8"/>
            <color indexed="81"/>
            <rFont val="Tahoma"/>
            <family val="2"/>
          </rPr>
          <t xml:space="preserve">
</t>
        </r>
      </text>
    </comment>
    <comment ref="DD34" authorId="2">
      <text>
        <r>
          <rPr>
            <b/>
            <sz val="8"/>
            <color indexed="81"/>
            <rFont val="Tahoma"/>
            <family val="2"/>
          </rPr>
          <t xml:space="preserve">Guidance 1/26/12:
</t>
        </r>
        <r>
          <rPr>
            <sz val="8"/>
            <color indexed="81"/>
            <rFont val="Tahoma"/>
            <family val="2"/>
          </rPr>
          <t>Target &lt;30% SG&amp;A ratio by 2013</t>
        </r>
        <r>
          <rPr>
            <b/>
            <sz val="8"/>
            <color indexed="81"/>
            <rFont val="Tahoma"/>
            <family val="2"/>
          </rPr>
          <t xml:space="preserve">
Guidance 5/16/11:
</t>
        </r>
        <r>
          <rPr>
            <sz val="8"/>
            <color indexed="81"/>
            <rFont val="Tahoma"/>
            <family val="2"/>
          </rPr>
          <t xml:space="preserve">Decline as rate </t>
        </r>
        <r>
          <rPr>
            <b/>
            <sz val="8"/>
            <color indexed="81"/>
            <rFont val="Tahoma"/>
            <family val="2"/>
          </rPr>
          <t xml:space="preserve"> 
Guidance 2/25/11:
</t>
        </r>
        <r>
          <rPr>
            <sz val="8"/>
            <color indexed="81"/>
            <rFont val="Tahoma"/>
            <family val="2"/>
          </rPr>
          <t>Expect to remain flat as % of sales y/y for 2011</t>
        </r>
        <r>
          <rPr>
            <sz val="8"/>
            <color indexed="81"/>
            <rFont val="Tahoma"/>
            <family val="2"/>
          </rPr>
          <t xml:space="preserve">
</t>
        </r>
      </text>
    </comment>
    <comment ref="DE34" authorId="2">
      <text>
        <r>
          <rPr>
            <b/>
            <sz val="8"/>
            <color indexed="81"/>
            <rFont val="Tahoma"/>
            <family val="2"/>
          </rPr>
          <t xml:space="preserve">Guidance 5/15/2012
</t>
        </r>
        <r>
          <rPr>
            <sz val="8"/>
            <color indexed="81"/>
            <rFont val="Tahoma"/>
            <family val="2"/>
          </rPr>
          <t xml:space="preserve">Expect to realized $900M of savings by y/e 2012 (vs. 2013). Identified saving opportunities for 2012/2013 include
1) $50M for reticketing
2) $250M for fewer store hours
3) $100M for removing cash wraps
4) $300M for advertising
5) $200M home office
6) (new) $500M for reducing inventory to 13 wks from 17 wks
7) Clean up legacy systems (from 492 unique systems to 100)
8) Simplify processes
</t>
        </r>
        <r>
          <rPr>
            <b/>
            <sz val="8"/>
            <color indexed="81"/>
            <rFont val="Tahoma"/>
            <family val="2"/>
          </rPr>
          <t xml:space="preserve">Guidance 1/26/12:
</t>
        </r>
        <r>
          <rPr>
            <sz val="8"/>
            <color indexed="81"/>
            <rFont val="Tahoma"/>
            <family val="2"/>
          </rPr>
          <t>Target &lt;30% SG&amp;A ratio by 2013</t>
        </r>
        <r>
          <rPr>
            <b/>
            <sz val="8"/>
            <color indexed="81"/>
            <rFont val="Tahoma"/>
            <family val="2"/>
          </rPr>
          <t xml:space="preserve">
Guidance 5/16/11:
</t>
        </r>
        <r>
          <rPr>
            <sz val="8"/>
            <color indexed="81"/>
            <rFont val="Tahoma"/>
            <family val="2"/>
          </rPr>
          <t xml:space="preserve">Decline as rate </t>
        </r>
        <r>
          <rPr>
            <b/>
            <sz val="8"/>
            <color indexed="81"/>
            <rFont val="Tahoma"/>
            <family val="2"/>
          </rPr>
          <t xml:space="preserve"> 
Guidance 2/25/11:
</t>
        </r>
        <r>
          <rPr>
            <sz val="8"/>
            <color indexed="81"/>
            <rFont val="Tahoma"/>
            <family val="2"/>
          </rPr>
          <t>Expect to remain flat as % of sales y/y for 2011</t>
        </r>
        <r>
          <rPr>
            <sz val="8"/>
            <color indexed="81"/>
            <rFont val="Tahoma"/>
            <family val="2"/>
          </rPr>
          <t xml:space="preserve">
</t>
        </r>
      </text>
    </comment>
    <comment ref="DG34" authorId="3">
      <text>
        <r>
          <rPr>
            <b/>
            <sz val="8"/>
            <color indexed="81"/>
            <rFont val="Tahoma"/>
            <family val="2"/>
          </rPr>
          <t xml:space="preserve">6/3/2013 IR: </t>
        </r>
        <r>
          <rPr>
            <sz val="8"/>
            <color indexed="81"/>
            <rFont val="Tahoma"/>
            <family val="2"/>
          </rPr>
          <t>$4.2Bn target for 2013</t>
        </r>
      </text>
    </comment>
    <comment ref="DK34" authorId="4">
      <text>
        <r>
          <rPr>
            <b/>
            <sz val="8"/>
            <color indexed="81"/>
            <rFont val="Tahoma"/>
            <family val="2"/>
          </rPr>
          <t xml:space="preserve">1/15/14: </t>
        </r>
        <r>
          <rPr>
            <sz val="8"/>
            <color indexed="81"/>
            <rFont val="Tahoma"/>
            <family val="2"/>
          </rPr>
          <t>Annouced 33 store closures and cutting 2000 jobs. $65M savings starting in 2014</t>
        </r>
        <r>
          <rPr>
            <sz val="8"/>
            <color indexed="81"/>
            <rFont val="Tahoma"/>
            <family val="2"/>
          </rPr>
          <t xml:space="preserve">
</t>
        </r>
      </text>
    </comment>
    <comment ref="DP34" authorId="5">
      <text>
        <r>
          <rPr>
            <b/>
            <sz val="9"/>
            <color indexed="81"/>
            <rFont val="Tahoma"/>
            <family val="2"/>
          </rPr>
          <t xml:space="preserve">casselau:
</t>
        </r>
        <r>
          <rPr>
            <sz val="9"/>
            <color indexed="81"/>
            <rFont val="Tahoma"/>
            <family val="2"/>
          </rPr>
          <t xml:space="preserve">8/12/15
FY SG&amp;A to decrease $120 M from $100M prior target 
</t>
        </r>
        <r>
          <rPr>
            <b/>
            <sz val="9"/>
            <color indexed="81"/>
            <rFont val="Tahoma"/>
            <family val="2"/>
          </rPr>
          <t xml:space="preserve">
5/13/15: now expect down $100M
</t>
        </r>
        <r>
          <rPr>
            <sz val="9"/>
            <color indexed="81"/>
            <rFont val="Tahoma"/>
            <family val="2"/>
          </rPr>
          <t xml:space="preserve">
2/26/15: guidance down $50M-$100M (store closures are $25-40M)
</t>
        </r>
      </text>
    </comment>
    <comment ref="DU34" authorId="6">
      <text>
        <r>
          <rPr>
            <b/>
            <sz val="9"/>
            <color indexed="81"/>
            <rFont val="Tahoma"/>
            <family val="2"/>
          </rPr>
          <t>Baglione, Gregory  (Research):</t>
        </r>
        <r>
          <rPr>
            <sz val="9"/>
            <color indexed="81"/>
            <rFont val="Tahoma"/>
            <family val="2"/>
          </rPr>
          <t xml:space="preserve">
5/13/16
SG&amp;A dollars: expected to decrease versus 2015;
2/25/16
Guidance: SG&amp;A dollars: expected to decrease versus 2015;
11/13/15
SG&amp;A expected to be down y/y
Headcount reduction to drive $35M decrease in SG&amp;A
</t>
        </r>
      </text>
    </comment>
    <comment ref="DV34" authorId="10">
      <text>
        <r>
          <rPr>
            <b/>
            <sz val="9"/>
            <color indexed="81"/>
            <rFont val="Tahoma"/>
            <family val="2"/>
          </rPr>
          <t>Baglione, Gregory (Research):</t>
        </r>
        <r>
          <rPr>
            <sz val="9"/>
            <color indexed="81"/>
            <rFont val="Tahoma"/>
            <family val="2"/>
          </rPr>
          <t xml:space="preserve">
11/11/16
prev: 28.0 ( -190 bps y/y)
curr: 28.1 (-180 bps y/y)
Comparable store sales: expected to now increase 1% to 2%;
Gross margin: expected to now be flat versus 2015;
SG&amp;A dollars: expected to decrease versus 2015;
EBITDA: expected to be $1 billion;
Adjusted earnings per share1: expected to be positive;
Free cash flow: expected to improve versus 2015.
</t>
        </r>
      </text>
    </comment>
    <comment ref="DX34" authorId="7">
      <text>
        <r>
          <rPr>
            <b/>
            <sz val="9"/>
            <color indexed="81"/>
            <rFont val="Tahoma"/>
            <family val="2"/>
          </rPr>
          <t>Cassel, Lauren (Research):</t>
        </r>
        <r>
          <rPr>
            <sz val="9"/>
            <color indexed="81"/>
            <rFont val="Tahoma"/>
            <family val="2"/>
          </rPr>
          <t xml:space="preserve">
2/23/17: savings primarily driven by lower incentive come, store controllable costs, lower corporate overhead, and more efficient advertising spend</t>
        </r>
      </text>
    </comment>
    <comment ref="DZ34" authorId="7">
      <text>
        <r>
          <rPr>
            <b/>
            <sz val="9"/>
            <color indexed="81"/>
            <rFont val="Tahoma"/>
            <family val="2"/>
          </rPr>
          <t>Cassel, Lauren (Research):</t>
        </r>
        <r>
          <rPr>
            <sz val="9"/>
            <color indexed="81"/>
            <rFont val="Tahoma"/>
            <family val="2"/>
          </rPr>
          <t xml:space="preserve">
2/23/17: Expect $100M of SG&amp;A reductions in 2017 given timing of closings; also expect increase in incentive comp
The annual cost savings resulting from these strategic decisions, primarily occupancy, payroll, home office support, corporate administration and other store-related expenses, are estimated at approximately $200 million</t>
        </r>
      </text>
    </comment>
    <comment ref="EC34" authorId="7">
      <text>
        <r>
          <rPr>
            <b/>
            <sz val="9"/>
            <color indexed="81"/>
            <rFont val="Tahoma"/>
            <family val="2"/>
          </rPr>
          <t>Cassel, Lauren (Research):</t>
        </r>
        <r>
          <rPr>
            <sz val="9"/>
            <color indexed="81"/>
            <rFont val="Tahoma"/>
            <family val="2"/>
          </rPr>
          <t xml:space="preserve">
2/24/17: guidance expected to be down -1% to -2%</t>
        </r>
      </text>
    </comment>
    <comment ref="EF34" authorId="11">
      <text>
        <r>
          <rPr>
            <b/>
            <sz val="9"/>
            <color indexed="81"/>
            <rFont val="Tahoma"/>
            <family val="2"/>
          </rPr>
          <t>De Courreges, Edouard (Research):</t>
        </r>
        <r>
          <rPr>
            <sz val="9"/>
            <color indexed="81"/>
            <rFont val="Tahoma"/>
            <family val="2"/>
          </rPr>
          <t xml:space="preserve">
2/28/18: Cut ~130 home office positions for ~$20M-$25M annual savings
Credit will be -45M y/y</t>
        </r>
      </text>
    </comment>
    <comment ref="EG34" authorId="11">
      <text>
        <r>
          <rPr>
            <b/>
            <sz val="9"/>
            <color indexed="81"/>
            <rFont val="Tahoma"/>
            <family val="2"/>
          </rPr>
          <t>De Courreges, Edouard (Research):</t>
        </r>
        <r>
          <rPr>
            <sz val="9"/>
            <color indexed="81"/>
            <rFont val="Tahoma"/>
            <family val="2"/>
          </rPr>
          <t xml:space="preserve">
2/28/18: Expect -1.5 to -2</t>
        </r>
      </text>
    </comment>
    <comment ref="EH34" authorId="7">
      <text>
        <r>
          <rPr>
            <b/>
            <sz val="9"/>
            <color indexed="81"/>
            <rFont val="Tahoma"/>
            <family val="2"/>
          </rPr>
          <t>Cassel, Lauren (Research):</t>
        </r>
        <r>
          <rPr>
            <sz val="9"/>
            <color indexed="81"/>
            <rFont val="Tahoma"/>
            <family val="2"/>
          </rPr>
          <t xml:space="preserve">
2/24/17: guidance expected to be down -1% to -2%</t>
        </r>
      </text>
    </comment>
    <comment ref="EQ36" authorId="3">
      <text>
        <r>
          <rPr>
            <b/>
            <sz val="8"/>
            <color indexed="81"/>
            <rFont val="Tahoma"/>
            <family val="2"/>
          </rPr>
          <t xml:space="preserve">Per IR: </t>
        </r>
        <r>
          <rPr>
            <sz val="8"/>
            <color indexed="81"/>
            <rFont val="Tahoma"/>
            <family val="2"/>
          </rPr>
          <t>$82m sg&amp;a expense saves</t>
        </r>
        <r>
          <rPr>
            <b/>
            <sz val="8"/>
            <color indexed="81"/>
            <rFont val="Tahoma"/>
            <family val="2"/>
          </rPr>
          <t xml:space="preserve">
Assumes $250M run-rate achieved by y/e 2012</t>
        </r>
      </text>
    </comment>
    <comment ref="CQ40" authorId="13">
      <text>
        <r>
          <rPr>
            <b/>
            <sz val="8"/>
            <color indexed="81"/>
            <rFont val="Tahoma"/>
            <family val="2"/>
          </rPr>
          <t>Guidance: 2/20/2009
$81M per qtr.</t>
        </r>
        <r>
          <rPr>
            <sz val="8"/>
            <color indexed="81"/>
            <rFont val="Tahoma"/>
            <family val="2"/>
          </rPr>
          <t xml:space="preserve">
</t>
        </r>
      </text>
    </comment>
    <comment ref="DC40" authorId="3">
      <text>
        <r>
          <rPr>
            <b/>
            <sz val="8"/>
            <color indexed="81"/>
            <rFont val="Tahoma"/>
            <family val="2"/>
          </rPr>
          <t xml:space="preserve">Per 2011 10K
</t>
        </r>
        <r>
          <rPr>
            <sz val="8"/>
            <color indexed="81"/>
            <rFont val="Tahoma"/>
            <family val="2"/>
          </rPr>
          <t xml:space="preserve">$194M
</t>
        </r>
        <r>
          <rPr>
            <b/>
            <sz val="8"/>
            <color indexed="81"/>
            <rFont val="Tahoma"/>
            <family val="2"/>
          </rPr>
          <t xml:space="preserve">
2/24/2012 Guidance
</t>
        </r>
        <r>
          <rPr>
            <sz val="8"/>
            <color indexed="81"/>
            <rFont val="Tahoma"/>
            <family val="2"/>
          </rPr>
          <t>$197M in 2012 of non-cash qualified pension expense; higher y/y due to decrease in interest rates</t>
        </r>
        <r>
          <rPr>
            <b/>
            <sz val="8"/>
            <color indexed="81"/>
            <rFont val="Tahoma"/>
            <family val="2"/>
          </rPr>
          <t xml:space="preserve">
Per 1/26/12 Guidance:
</t>
        </r>
        <r>
          <rPr>
            <sz val="8"/>
            <color indexed="81"/>
            <rFont val="Tahoma"/>
            <family val="2"/>
          </rPr>
          <t xml:space="preserve">- 2012e EPS above 2010's $1.59 (or $2.16 ex pension)
</t>
        </r>
        <r>
          <rPr>
            <b/>
            <i/>
            <sz val="8"/>
            <color indexed="12"/>
            <rFont val="Tahoma"/>
            <family val="2"/>
          </rPr>
          <t>Implied pension has $0.57 impact to EPS (or at 38% tax rate and 219M shares, $202M expense in 2012e)</t>
        </r>
      </text>
    </comment>
    <comment ref="DK40" authorId="4">
      <text>
        <r>
          <rPr>
            <b/>
            <sz val="8"/>
            <color indexed="81"/>
            <rFont val="Tahoma"/>
            <family val="2"/>
          </rPr>
          <t>2/26/14 guidance: primary pension income $5M</t>
        </r>
        <r>
          <rPr>
            <sz val="8"/>
            <color indexed="81"/>
            <rFont val="Tahoma"/>
            <family val="2"/>
          </rPr>
          <t xml:space="preserve">
</t>
        </r>
      </text>
    </comment>
    <comment ref="DZ40" authorId="7">
      <text>
        <r>
          <rPr>
            <b/>
            <sz val="9"/>
            <color indexed="81"/>
            <rFont val="Tahoma"/>
            <family val="2"/>
          </rPr>
          <t>Cassel, Lauren (Research):</t>
        </r>
        <r>
          <rPr>
            <sz val="9"/>
            <color indexed="81"/>
            <rFont val="Tahoma"/>
            <family val="2"/>
          </rPr>
          <t xml:space="preserve">
Added $4M of primary pension plan expense/(income)</t>
        </r>
      </text>
    </comment>
    <comment ref="CQ41" authorId="13">
      <text>
        <r>
          <rPr>
            <b/>
            <sz val="8"/>
            <color indexed="81"/>
            <rFont val="Tahoma"/>
            <family val="2"/>
          </rPr>
          <t xml:space="preserve">Guidance: 5/19/2009
Adjusts for contribution to pension expense.
</t>
        </r>
        <r>
          <rPr>
            <b/>
            <sz val="8"/>
            <color indexed="12"/>
            <rFont val="Tahoma"/>
            <family val="2"/>
          </rPr>
          <t>See Pension Contribution Analysis_051909 in JCP analyses folder.</t>
        </r>
        <r>
          <rPr>
            <b/>
            <sz val="8"/>
            <color indexed="81"/>
            <rFont val="Tahoma"/>
            <family val="2"/>
          </rPr>
          <t xml:space="preserve">
Guidance: 2/20/2009
$81M per qtr.</t>
        </r>
        <r>
          <rPr>
            <sz val="8"/>
            <color indexed="81"/>
            <rFont val="Tahoma"/>
            <family val="2"/>
          </rPr>
          <t xml:space="preserve">
</t>
        </r>
      </text>
    </comment>
    <comment ref="DC41" authorId="3">
      <text>
        <r>
          <rPr>
            <b/>
            <sz val="8"/>
            <color indexed="81"/>
            <rFont val="Tahoma"/>
            <family val="2"/>
          </rPr>
          <t xml:space="preserve">Per 2011 10K
</t>
        </r>
        <r>
          <rPr>
            <sz val="8"/>
            <color indexed="81"/>
            <rFont val="Tahoma"/>
            <family val="2"/>
          </rPr>
          <t xml:space="preserve">$194M
</t>
        </r>
        <r>
          <rPr>
            <b/>
            <sz val="8"/>
            <color indexed="81"/>
            <rFont val="Tahoma"/>
            <family val="2"/>
          </rPr>
          <t xml:space="preserve">
2/24/2012 Guidance
</t>
        </r>
        <r>
          <rPr>
            <sz val="8"/>
            <color indexed="81"/>
            <rFont val="Tahoma"/>
            <family val="2"/>
          </rPr>
          <t>$197M in 2012 of non-cash qualified pension expense; higher y/y due to decrease in interest rates</t>
        </r>
        <r>
          <rPr>
            <b/>
            <sz val="8"/>
            <color indexed="81"/>
            <rFont val="Tahoma"/>
            <family val="2"/>
          </rPr>
          <t xml:space="preserve">
Per 1/26/12 Guidance:
</t>
        </r>
        <r>
          <rPr>
            <sz val="8"/>
            <color indexed="81"/>
            <rFont val="Tahoma"/>
            <family val="2"/>
          </rPr>
          <t xml:space="preserve">- 2012e EPS above 2010's $1.59 (or $2.16 ex pension)
</t>
        </r>
        <r>
          <rPr>
            <b/>
            <i/>
            <sz val="8"/>
            <color indexed="12"/>
            <rFont val="Tahoma"/>
            <family val="2"/>
          </rPr>
          <t>Implied pension has $0.57 impact to EPS (or at 38% tax rate and 219M shares, $202M expense in 2012e)</t>
        </r>
      </text>
    </comment>
    <comment ref="CQ42" authorId="13">
      <text>
        <r>
          <rPr>
            <b/>
            <sz val="8"/>
            <color indexed="81"/>
            <rFont val="Tahoma"/>
            <family val="2"/>
          </rPr>
          <t xml:space="preserve">Guidance: 5/19/2009
Adjusts for contribution to pension expense.
</t>
        </r>
        <r>
          <rPr>
            <b/>
            <sz val="8"/>
            <color indexed="12"/>
            <rFont val="Tahoma"/>
            <family val="2"/>
          </rPr>
          <t>See Pension Contribution Analysis_051909 in JCP analyses folder.</t>
        </r>
        <r>
          <rPr>
            <b/>
            <sz val="8"/>
            <color indexed="81"/>
            <rFont val="Tahoma"/>
            <family val="2"/>
          </rPr>
          <t xml:space="preserve">
Guidance: 2/20/2009
$81M per qtr.</t>
        </r>
        <r>
          <rPr>
            <sz val="8"/>
            <color indexed="81"/>
            <rFont val="Tahoma"/>
            <family val="2"/>
          </rPr>
          <t xml:space="preserve">
</t>
        </r>
      </text>
    </comment>
    <comment ref="DC42" authorId="3">
      <text>
        <r>
          <rPr>
            <b/>
            <sz val="8"/>
            <color indexed="81"/>
            <rFont val="Tahoma"/>
            <family val="2"/>
          </rPr>
          <t xml:space="preserve">Per 2011 10K
</t>
        </r>
        <r>
          <rPr>
            <sz val="8"/>
            <color indexed="81"/>
            <rFont val="Tahoma"/>
            <family val="2"/>
          </rPr>
          <t xml:space="preserve">$194M
</t>
        </r>
        <r>
          <rPr>
            <b/>
            <sz val="8"/>
            <color indexed="81"/>
            <rFont val="Tahoma"/>
            <family val="2"/>
          </rPr>
          <t xml:space="preserve">
2/24/2012 Guidance
</t>
        </r>
        <r>
          <rPr>
            <sz val="8"/>
            <color indexed="81"/>
            <rFont val="Tahoma"/>
            <family val="2"/>
          </rPr>
          <t>$197M in 2012 of non-cash qualified pension expense; higher y/y due to decrease in interest rates</t>
        </r>
        <r>
          <rPr>
            <b/>
            <sz val="8"/>
            <color indexed="81"/>
            <rFont val="Tahoma"/>
            <family val="2"/>
          </rPr>
          <t xml:space="preserve">
Per 1/26/12 Guidance:
</t>
        </r>
        <r>
          <rPr>
            <sz val="8"/>
            <color indexed="81"/>
            <rFont val="Tahoma"/>
            <family val="2"/>
          </rPr>
          <t xml:space="preserve">- 2012e EPS above 2010's $1.59 (or $2.16 ex pension)
</t>
        </r>
        <r>
          <rPr>
            <b/>
            <i/>
            <sz val="8"/>
            <color indexed="12"/>
            <rFont val="Tahoma"/>
            <family val="2"/>
          </rPr>
          <t>Implied pension has $0.57 impact to EPS (or at 38% tax rate and 219M shares, $202M expense in 2012e)</t>
        </r>
      </text>
    </comment>
    <comment ref="CE43" authorId="0">
      <text>
        <r>
          <rPr>
            <b/>
            <sz val="8"/>
            <color indexed="81"/>
            <rFont val="Tahoma"/>
            <family val="2"/>
          </rPr>
          <t>53rd week added ~$75M in SG&amp;A</t>
        </r>
        <r>
          <rPr>
            <sz val="8"/>
            <color indexed="81"/>
            <rFont val="Tahoma"/>
            <family val="2"/>
          </rPr>
          <t xml:space="preserve">
</t>
        </r>
      </text>
    </comment>
    <comment ref="CI43" authorId="0">
      <text>
        <r>
          <rPr>
            <b/>
            <sz val="8"/>
            <color indexed="81"/>
            <rFont val="Tahoma"/>
            <family val="2"/>
          </rPr>
          <t>Adjusted to reflect 52 wk vs. 53 wk in FY06</t>
        </r>
        <r>
          <rPr>
            <sz val="8"/>
            <color indexed="81"/>
            <rFont val="Tahoma"/>
            <family val="2"/>
          </rPr>
          <t xml:space="preserve">
</t>
        </r>
      </text>
    </comment>
    <comment ref="CQ43" authorId="13">
      <text>
        <r>
          <rPr>
            <b/>
            <sz val="8"/>
            <color indexed="81"/>
            <rFont val="Tahoma"/>
            <family val="2"/>
          </rPr>
          <t xml:space="preserve">Guidance: 5/19/2009
Adjusts for contribution to pension expense.
</t>
        </r>
        <r>
          <rPr>
            <b/>
            <sz val="8"/>
            <color indexed="12"/>
            <rFont val="Tahoma"/>
            <family val="2"/>
          </rPr>
          <t>See Pension Contribution Analysis_051909 in JCP analyses folder.</t>
        </r>
        <r>
          <rPr>
            <b/>
            <sz val="8"/>
            <color indexed="81"/>
            <rFont val="Tahoma"/>
            <family val="2"/>
          </rPr>
          <t xml:space="preserve">
Guidance: 2/20/2009
$81M per qtr.</t>
        </r>
        <r>
          <rPr>
            <sz val="8"/>
            <color indexed="81"/>
            <rFont val="Tahoma"/>
            <family val="2"/>
          </rPr>
          <t xml:space="preserve">
</t>
        </r>
      </text>
    </comment>
    <comment ref="DC43" authorId="3">
      <text>
        <r>
          <rPr>
            <b/>
            <sz val="8"/>
            <color indexed="81"/>
            <rFont val="Tahoma"/>
            <family val="2"/>
          </rPr>
          <t xml:space="preserve">Per 2011 10K
</t>
        </r>
        <r>
          <rPr>
            <sz val="8"/>
            <color indexed="81"/>
            <rFont val="Tahoma"/>
            <family val="2"/>
          </rPr>
          <t xml:space="preserve">$194M
</t>
        </r>
        <r>
          <rPr>
            <b/>
            <sz val="8"/>
            <color indexed="81"/>
            <rFont val="Tahoma"/>
            <family val="2"/>
          </rPr>
          <t xml:space="preserve">
2/24/2012 Guidance
</t>
        </r>
        <r>
          <rPr>
            <sz val="8"/>
            <color indexed="81"/>
            <rFont val="Tahoma"/>
            <family val="2"/>
          </rPr>
          <t>$197M in 2012 of non-cash qualified pension expense; higher y/y due to decrease in interest rates</t>
        </r>
        <r>
          <rPr>
            <b/>
            <sz val="8"/>
            <color indexed="81"/>
            <rFont val="Tahoma"/>
            <family val="2"/>
          </rPr>
          <t xml:space="preserve">
Per 1/26/12 Guidance:
</t>
        </r>
        <r>
          <rPr>
            <sz val="8"/>
            <color indexed="81"/>
            <rFont val="Tahoma"/>
            <family val="2"/>
          </rPr>
          <t xml:space="preserve">- 2012e EPS above 2010's $1.59 (or $2.16 ex pension)
</t>
        </r>
        <r>
          <rPr>
            <b/>
            <i/>
            <sz val="8"/>
            <color indexed="12"/>
            <rFont val="Tahoma"/>
            <family val="2"/>
          </rPr>
          <t>Implied pension has $0.57 impact to EPS (or at 38% tax rate and 219M shares, $202M expense in 2012e)</t>
        </r>
      </text>
    </comment>
    <comment ref="CY44" authorId="2">
      <text>
        <r>
          <rPr>
            <b/>
            <sz val="8"/>
            <color indexed="81"/>
            <rFont val="Tahoma"/>
            <family val="2"/>
          </rPr>
          <t xml:space="preserve">Guidance 2/24/11:
</t>
        </r>
        <r>
          <rPr>
            <sz val="8"/>
            <color indexed="81"/>
            <rFont val="Tahoma"/>
            <family val="2"/>
          </rPr>
          <t>$87mn qualified pension expense for year</t>
        </r>
        <r>
          <rPr>
            <sz val="8"/>
            <color indexed="81"/>
            <rFont val="Tahoma"/>
            <family val="2"/>
          </rPr>
          <t xml:space="preserve">
</t>
        </r>
      </text>
    </comment>
    <comment ref="DC44" authorId="3">
      <text>
        <r>
          <rPr>
            <b/>
            <sz val="8"/>
            <color indexed="81"/>
            <rFont val="Tahoma"/>
            <family val="2"/>
          </rPr>
          <t>11/9/2012 Guidance</t>
        </r>
        <r>
          <rPr>
            <sz val="8"/>
            <color indexed="81"/>
            <rFont val="Tahoma"/>
            <family val="2"/>
          </rPr>
          <t xml:space="preserve"> $167</t>
        </r>
        <r>
          <rPr>
            <b/>
            <sz val="8"/>
            <color indexed="81"/>
            <rFont val="Tahoma"/>
            <family val="2"/>
          </rPr>
          <t xml:space="preserve">
2/24/2012 Guidance
</t>
        </r>
        <r>
          <rPr>
            <sz val="8"/>
            <color indexed="81"/>
            <rFont val="Tahoma"/>
            <family val="2"/>
          </rPr>
          <t>$197M in 2012 of non-cash qualified pension expense; higher y/y due to decrease in interest rates</t>
        </r>
        <r>
          <rPr>
            <b/>
            <sz val="8"/>
            <color indexed="81"/>
            <rFont val="Tahoma"/>
            <family val="2"/>
          </rPr>
          <t xml:space="preserve">
Per 1/26/12 Guidance:
</t>
        </r>
        <r>
          <rPr>
            <sz val="8"/>
            <color indexed="81"/>
            <rFont val="Tahoma"/>
            <family val="2"/>
          </rPr>
          <t xml:space="preserve">- 2012e EPS above 2010's $1.59 (or $2.16 ex pension)
</t>
        </r>
        <r>
          <rPr>
            <b/>
            <i/>
            <sz val="8"/>
            <color indexed="12"/>
            <rFont val="Tahoma"/>
            <family val="2"/>
          </rPr>
          <t>Implied pension has $0.57 impact to EPS (or at 38% tax rate and 219M shares, $202M expense in 2012e)</t>
        </r>
      </text>
    </comment>
    <comment ref="DK44" authorId="4">
      <text>
        <r>
          <rPr>
            <b/>
            <sz val="8"/>
            <color indexed="81"/>
            <rFont val="Tahoma"/>
            <family val="2"/>
          </rPr>
          <t>2/26/14 guidance: $19M income</t>
        </r>
        <r>
          <rPr>
            <sz val="8"/>
            <color indexed="81"/>
            <rFont val="Tahoma"/>
            <family val="2"/>
          </rPr>
          <t xml:space="preserve">
</t>
        </r>
      </text>
    </comment>
    <comment ref="DP44" authorId="5">
      <text>
        <r>
          <rPr>
            <b/>
            <sz val="9"/>
            <color indexed="81"/>
            <rFont val="Tahoma"/>
            <family val="2"/>
          </rPr>
          <t>casselau:</t>
        </r>
        <r>
          <rPr>
            <sz val="9"/>
            <color indexed="81"/>
            <rFont val="Tahoma"/>
            <family val="2"/>
          </rPr>
          <t xml:space="preserve">
2/26/15: guidance $19M
8/14/15- Guidance Unchanged $19M</t>
        </r>
      </text>
    </comment>
    <comment ref="DU44" authorId="6">
      <text>
        <r>
          <rPr>
            <b/>
            <sz val="9"/>
            <color indexed="81"/>
            <rFont val="Tahoma"/>
            <family val="2"/>
          </rPr>
          <t>Baglione, Gregory  (Research):</t>
        </r>
        <r>
          <rPr>
            <sz val="9"/>
            <color indexed="81"/>
            <rFont val="Tahoma"/>
            <family val="2"/>
          </rPr>
          <t xml:space="preserve">
8/11/16 Conversation with Nisha ~$8-10M full year pension expense, almost all will come from supplemental. The company no longer discloses qualifed pension expense.
See 10/2/15 annoucement</t>
        </r>
      </text>
    </comment>
    <comment ref="DZ44" authorId="7">
      <text>
        <r>
          <rPr>
            <b/>
            <sz val="9"/>
            <color indexed="81"/>
            <rFont val="Tahoma"/>
            <family val="2"/>
          </rPr>
          <t>Cassel, Lauren (Research):</t>
        </r>
        <r>
          <rPr>
            <sz val="9"/>
            <color indexed="81"/>
            <rFont val="Tahoma"/>
            <family val="2"/>
          </rPr>
          <t xml:space="preserve">
2/23/17: Total pension expense will be an approximate $12 million credit before the expected charges from our recently announced VERP and any year-end mark-to-market adjustments.</t>
        </r>
      </text>
    </comment>
    <comment ref="CQ50" authorId="13">
      <text>
        <r>
          <rPr>
            <b/>
            <sz val="8"/>
            <color indexed="81"/>
            <rFont val="Tahoma"/>
            <family val="2"/>
          </rPr>
          <t xml:space="preserve">Guidance: 2/20/2009
</t>
        </r>
        <r>
          <rPr>
            <sz val="8"/>
            <color indexed="81"/>
            <rFont val="Tahoma"/>
            <family val="2"/>
          </rPr>
          <t>Fairly consistent over time, in the $50M range on an annual basis.</t>
        </r>
        <r>
          <rPr>
            <sz val="8"/>
            <color indexed="81"/>
            <rFont val="Tahoma"/>
            <family val="2"/>
          </rPr>
          <t xml:space="preserve">
</t>
        </r>
      </text>
    </comment>
    <comment ref="DK50" authorId="8">
      <text>
        <r>
          <rPr>
            <b/>
            <sz val="9"/>
            <color indexed="81"/>
            <rFont val="Tahoma"/>
            <family val="2"/>
          </rPr>
          <t xml:space="preserve">5/5/14: </t>
        </r>
        <r>
          <rPr>
            <sz val="9"/>
            <color indexed="81"/>
            <rFont val="Tahoma"/>
            <family val="2"/>
          </rPr>
          <t>Pension (net) 1</t>
        </r>
      </text>
    </comment>
    <comment ref="DP50" authorId="8">
      <text>
        <r>
          <rPr>
            <b/>
            <sz val="9"/>
            <color indexed="81"/>
            <rFont val="Tahoma"/>
            <family val="2"/>
          </rPr>
          <t>per Trent $19/4 each quarter</t>
        </r>
      </text>
    </comment>
    <comment ref="CQ51" authorId="13">
      <text>
        <r>
          <rPr>
            <b/>
            <sz val="8"/>
            <color indexed="81"/>
            <rFont val="Tahoma"/>
            <family val="2"/>
          </rPr>
          <t xml:space="preserve">Guidance: 2/20/2009
</t>
        </r>
        <r>
          <rPr>
            <sz val="8"/>
            <color indexed="81"/>
            <rFont val="Tahoma"/>
            <family val="2"/>
          </rPr>
          <t>Fairly consistent over time, in the $50M range on an annual basis.</t>
        </r>
        <r>
          <rPr>
            <sz val="8"/>
            <color indexed="81"/>
            <rFont val="Tahoma"/>
            <family val="2"/>
          </rPr>
          <t xml:space="preserve">
</t>
        </r>
      </text>
    </comment>
    <comment ref="CQ52" authorId="13">
      <text>
        <r>
          <rPr>
            <b/>
            <sz val="8"/>
            <color indexed="81"/>
            <rFont val="Tahoma"/>
            <family val="2"/>
          </rPr>
          <t xml:space="preserve">Guidance: 2/20/2009
</t>
        </r>
        <r>
          <rPr>
            <sz val="8"/>
            <color indexed="81"/>
            <rFont val="Tahoma"/>
            <family val="2"/>
          </rPr>
          <t>Fairly consistent over time, in the $50M range on an annual basis.</t>
        </r>
        <r>
          <rPr>
            <sz val="8"/>
            <color indexed="81"/>
            <rFont val="Tahoma"/>
            <family val="2"/>
          </rPr>
          <t xml:space="preserve">
</t>
        </r>
      </text>
    </comment>
    <comment ref="CQ53" authorId="13">
      <text>
        <r>
          <rPr>
            <b/>
            <sz val="8"/>
            <color indexed="81"/>
            <rFont val="Tahoma"/>
            <family val="2"/>
          </rPr>
          <t xml:space="preserve">Guidance: 2/20/2009
</t>
        </r>
        <r>
          <rPr>
            <sz val="8"/>
            <color indexed="81"/>
            <rFont val="Tahoma"/>
            <family val="2"/>
          </rPr>
          <t>Fairly consistent over time, in the $50M range on an annual basis.</t>
        </r>
        <r>
          <rPr>
            <sz val="8"/>
            <color indexed="81"/>
            <rFont val="Tahoma"/>
            <family val="2"/>
          </rPr>
          <t xml:space="preserve">
</t>
        </r>
      </text>
    </comment>
    <comment ref="DZ53" authorId="11">
      <text>
        <r>
          <rPr>
            <b/>
            <sz val="9"/>
            <color indexed="81"/>
            <rFont val="Tahoma"/>
            <family val="2"/>
          </rPr>
          <t>De Courreges, Edouard (Research):</t>
        </r>
        <r>
          <rPr>
            <sz val="9"/>
            <color indexed="81"/>
            <rFont val="Tahoma"/>
            <family val="2"/>
          </rPr>
          <t xml:space="preserve">
Going forward, unlikely be greater/lesser than +/- 1 to 1.5M  per Trent; rest lies in qualified</t>
        </r>
      </text>
    </comment>
    <comment ref="DU54" authorId="6">
      <text>
        <r>
          <rPr>
            <b/>
            <sz val="9"/>
            <color indexed="81"/>
            <rFont val="Tahoma"/>
            <family val="2"/>
          </rPr>
          <t>Baglione, Gregory  (Research):</t>
        </r>
        <r>
          <rPr>
            <sz val="9"/>
            <color indexed="81"/>
            <rFont val="Tahoma"/>
            <family val="2"/>
          </rPr>
          <t xml:space="preserve">
8/11/16 Conversation with Nisha ~$7-10M full year pension expense, almost all will come from supplemental.</t>
        </r>
      </text>
    </comment>
    <comment ref="EE54" authorId="11">
      <text>
        <r>
          <rPr>
            <b/>
            <sz val="9"/>
            <color indexed="81"/>
            <rFont val="Tahoma"/>
            <family val="2"/>
          </rPr>
          <t>De Courreges, Edouard (Research):</t>
        </r>
        <r>
          <rPr>
            <sz val="9"/>
            <color indexed="81"/>
            <rFont val="Tahoma"/>
            <family val="2"/>
          </rPr>
          <t xml:space="preserve">
3/2/18: guide $45M 2018</t>
        </r>
      </text>
    </comment>
    <comment ref="CU60" authorId="2">
      <text>
        <r>
          <rPr>
            <b/>
            <sz val="8"/>
            <color indexed="81"/>
            <rFont val="Tahoma"/>
            <family val="2"/>
          </rPr>
          <t xml:space="preserve">Guidance 2/19/10:
</t>
        </r>
        <r>
          <rPr>
            <sz val="8"/>
            <color indexed="81"/>
            <rFont val="Tahoma"/>
            <family val="2"/>
          </rPr>
          <t>~$122mn</t>
        </r>
        <r>
          <rPr>
            <sz val="8"/>
            <color indexed="81"/>
            <rFont val="Tahoma"/>
            <family val="2"/>
          </rPr>
          <t xml:space="preserve">
</t>
        </r>
      </text>
    </comment>
    <comment ref="CY60" authorId="2">
      <text>
        <r>
          <rPr>
            <b/>
            <sz val="8"/>
            <color indexed="81"/>
            <rFont val="Tahoma"/>
            <family val="2"/>
          </rPr>
          <t xml:space="preserve">Guidance 2/25/11:
</t>
        </r>
        <r>
          <rPr>
            <sz val="8"/>
            <color indexed="81"/>
            <rFont val="Tahoma"/>
            <family val="2"/>
          </rPr>
          <t>Modestly higher y/y</t>
        </r>
        <r>
          <rPr>
            <sz val="8"/>
            <color indexed="81"/>
            <rFont val="Tahoma"/>
            <family val="2"/>
          </rPr>
          <t xml:space="preserve">
</t>
        </r>
      </text>
    </comment>
    <comment ref="DG60" authorId="3">
      <text>
        <r>
          <rPr>
            <b/>
            <sz val="8"/>
            <color indexed="81"/>
            <rFont val="Tahoma"/>
            <family val="2"/>
          </rPr>
          <t xml:space="preserve">2/13/2013: </t>
        </r>
        <r>
          <rPr>
            <sz val="8"/>
            <color indexed="81"/>
            <rFont val="Tahoma"/>
            <family val="2"/>
          </rPr>
          <t>assumes D&amp;A increases sequentially with rollout of shops / IT invesment</t>
        </r>
      </text>
    </comment>
    <comment ref="DK60" authorId="4">
      <text>
        <r>
          <rPr>
            <b/>
            <sz val="8"/>
            <color indexed="81"/>
            <rFont val="Tahoma"/>
            <family val="2"/>
          </rPr>
          <t>2/26/14 guidance: $155M</t>
        </r>
        <r>
          <rPr>
            <sz val="8"/>
            <color indexed="81"/>
            <rFont val="Tahoma"/>
            <family val="2"/>
          </rPr>
          <t xml:space="preserve">
</t>
        </r>
      </text>
    </comment>
    <comment ref="CI61" authorId="0">
      <text>
        <r>
          <rPr>
            <b/>
            <sz val="8"/>
            <color indexed="81"/>
            <rFont val="Tahoma"/>
            <family val="2"/>
          </rPr>
          <t>Guidance: 5/17/2007
$100M</t>
        </r>
        <r>
          <rPr>
            <sz val="8"/>
            <color indexed="81"/>
            <rFont val="Tahoma"/>
            <family val="2"/>
          </rPr>
          <t xml:space="preserve">
</t>
        </r>
      </text>
    </comment>
    <comment ref="CQ61" authorId="15">
      <text>
        <r>
          <rPr>
            <b/>
            <sz val="8"/>
            <color indexed="81"/>
            <rFont val="Tahoma"/>
            <family val="2"/>
          </rPr>
          <t xml:space="preserve">Guidance: 5/15/09
</t>
        </r>
        <r>
          <rPr>
            <sz val="8"/>
            <color indexed="81"/>
            <rFont val="Tahoma"/>
            <family val="2"/>
          </rPr>
          <t>~$120M</t>
        </r>
      </text>
    </comment>
    <comment ref="CU61" authorId="2">
      <text>
        <r>
          <rPr>
            <b/>
            <sz val="8"/>
            <color indexed="81"/>
            <rFont val="Tahoma"/>
            <family val="2"/>
          </rPr>
          <t xml:space="preserve">Guidance 5/14/2010:
</t>
        </r>
        <r>
          <rPr>
            <sz val="8"/>
            <color indexed="81"/>
            <rFont val="Tahoma"/>
            <family val="2"/>
          </rPr>
          <t>$123M</t>
        </r>
      </text>
    </comment>
    <comment ref="CY61" authorId="2">
      <text>
        <r>
          <rPr>
            <b/>
            <sz val="8"/>
            <color indexed="81"/>
            <rFont val="Tahoma"/>
            <family val="2"/>
          </rPr>
          <t xml:space="preserve">Guidance 5/16/11:
</t>
        </r>
        <r>
          <rPr>
            <sz val="8"/>
            <color indexed="81"/>
            <rFont val="Tahoma"/>
            <family val="2"/>
          </rPr>
          <t>$130M</t>
        </r>
        <r>
          <rPr>
            <sz val="8"/>
            <color indexed="81"/>
            <rFont val="Tahoma"/>
            <family val="2"/>
          </rPr>
          <t xml:space="preserve">
</t>
        </r>
      </text>
    </comment>
    <comment ref="DK61" authorId="8">
      <text>
        <r>
          <rPr>
            <b/>
            <sz val="9"/>
            <color indexed="81"/>
            <rFont val="Tahoma"/>
            <family val="2"/>
          </rPr>
          <t xml:space="preserve">5/15/14 guidance: </t>
        </r>
        <r>
          <rPr>
            <sz val="9"/>
            <color indexed="81"/>
            <rFont val="Tahoma"/>
            <family val="2"/>
          </rPr>
          <t xml:space="preserve">$155M
</t>
        </r>
      </text>
    </comment>
    <comment ref="CI62" authorId="0">
      <text>
        <r>
          <rPr>
            <sz val="8"/>
            <color indexed="81"/>
            <rFont val="Tahoma"/>
            <family val="2"/>
          </rPr>
          <t xml:space="preserve">Guidance: 8/16/2007
$105M
</t>
        </r>
      </text>
    </comment>
    <comment ref="CQ62" authorId="15">
      <text>
        <r>
          <rPr>
            <b/>
            <sz val="8"/>
            <color indexed="81"/>
            <rFont val="Tahoma"/>
            <family val="2"/>
          </rPr>
          <t xml:space="preserve">Guidance: 8/14/09
</t>
        </r>
        <r>
          <rPr>
            <sz val="8"/>
            <color indexed="81"/>
            <rFont val="Tahoma"/>
            <family val="2"/>
          </rPr>
          <t>~$127M</t>
        </r>
      </text>
    </comment>
    <comment ref="CU62" authorId="16">
      <text>
        <r>
          <rPr>
            <b/>
            <sz val="8"/>
            <color indexed="81"/>
            <rFont val="Tahoma"/>
            <family val="2"/>
          </rPr>
          <t>Guidance - 8/13/10:</t>
        </r>
        <r>
          <rPr>
            <sz val="8"/>
            <color indexed="81"/>
            <rFont val="Tahoma"/>
            <family val="2"/>
          </rPr>
          <t xml:space="preserve">
3Q: $129 million</t>
        </r>
      </text>
    </comment>
    <comment ref="CY62" authorId="2">
      <text>
        <r>
          <rPr>
            <b/>
            <sz val="8"/>
            <color indexed="81"/>
            <rFont val="Tahoma"/>
            <family val="2"/>
          </rPr>
          <t xml:space="preserve">Guidance 8/12/11:
</t>
        </r>
        <r>
          <rPr>
            <sz val="8"/>
            <color indexed="81"/>
            <rFont val="Tahoma"/>
            <family val="2"/>
          </rPr>
          <t>$135M</t>
        </r>
        <r>
          <rPr>
            <b/>
            <sz val="8"/>
            <color indexed="81"/>
            <rFont val="Tahoma"/>
            <family val="2"/>
          </rPr>
          <t xml:space="preserve">
Guidance 2/25/11:
</t>
        </r>
        <r>
          <rPr>
            <sz val="8"/>
            <color indexed="81"/>
            <rFont val="Tahoma"/>
            <family val="2"/>
          </rPr>
          <t>Modestly higher y/y</t>
        </r>
        <r>
          <rPr>
            <sz val="8"/>
            <color indexed="81"/>
            <rFont val="Tahoma"/>
            <family val="2"/>
          </rPr>
          <t xml:space="preserve">
</t>
        </r>
      </text>
    </comment>
    <comment ref="CM63" authorId="15">
      <text>
        <r>
          <rPr>
            <b/>
            <sz val="8"/>
            <color indexed="81"/>
            <rFont val="Tahoma"/>
            <family val="2"/>
          </rPr>
          <t xml:space="preserve">Guidance: 11/14/08
</t>
        </r>
        <r>
          <rPr>
            <sz val="8"/>
            <color indexed="81"/>
            <rFont val="Tahoma"/>
            <family val="2"/>
          </rPr>
          <t>anticipate incremental expenses from depreciation, amortization, and pre-opening expenses of about $15mm</t>
        </r>
      </text>
    </comment>
    <comment ref="CQ63" authorId="2">
      <text>
        <r>
          <rPr>
            <b/>
            <sz val="8"/>
            <color indexed="81"/>
            <rFont val="Tahoma"/>
            <family val="2"/>
          </rPr>
          <t xml:space="preserve">Guidance 11/13/09: </t>
        </r>
        <r>
          <rPr>
            <sz val="8"/>
            <color indexed="81"/>
            <rFont val="Tahoma"/>
            <family val="2"/>
          </rPr>
          <t>Approx $132mn</t>
        </r>
        <r>
          <rPr>
            <sz val="8"/>
            <color indexed="81"/>
            <rFont val="Tahoma"/>
            <family val="2"/>
          </rPr>
          <t xml:space="preserve">
</t>
        </r>
      </text>
    </comment>
    <comment ref="CU63" authorId="16">
      <text>
        <r>
          <rPr>
            <b/>
            <sz val="8"/>
            <color indexed="81"/>
            <rFont val="Tahoma"/>
            <family val="2"/>
          </rPr>
          <t>Guidance 11/12/10:</t>
        </r>
        <r>
          <rPr>
            <sz val="8"/>
            <color indexed="81"/>
            <rFont val="Tahoma"/>
            <family val="2"/>
          </rPr>
          <t xml:space="preserve">
$141 million</t>
        </r>
      </text>
    </comment>
    <comment ref="CY63" authorId="2">
      <text>
        <r>
          <rPr>
            <b/>
            <sz val="8"/>
            <color indexed="81"/>
            <rFont val="Tahoma"/>
            <family val="2"/>
          </rPr>
          <t xml:space="preserve">Guidance 2/25/11:
</t>
        </r>
        <r>
          <rPr>
            <sz val="8"/>
            <color indexed="81"/>
            <rFont val="Tahoma"/>
            <family val="2"/>
          </rPr>
          <t>Modestly higher y/y</t>
        </r>
        <r>
          <rPr>
            <sz val="8"/>
            <color indexed="81"/>
            <rFont val="Tahoma"/>
            <family val="2"/>
          </rPr>
          <t xml:space="preserve">
</t>
        </r>
      </text>
    </comment>
    <comment ref="DG63" authorId="4">
      <text>
        <r>
          <rPr>
            <b/>
            <sz val="8"/>
            <color indexed="81"/>
            <rFont val="Tahoma"/>
            <family val="2"/>
          </rPr>
          <t>11/20/13: guidance $165M</t>
        </r>
        <r>
          <rPr>
            <sz val="8"/>
            <color indexed="81"/>
            <rFont val="Tahoma"/>
            <family val="2"/>
          </rPr>
          <t xml:space="preserve">
</t>
        </r>
      </text>
    </comment>
    <comment ref="CI64" authorId="0">
      <text>
        <r>
          <rPr>
            <b/>
            <sz val="8"/>
            <color indexed="81"/>
            <rFont val="Tahoma"/>
            <family val="2"/>
          </rPr>
          <t>2/22/07 Guidance:
$420M</t>
        </r>
        <r>
          <rPr>
            <sz val="8"/>
            <color indexed="81"/>
            <rFont val="Tahoma"/>
            <family val="2"/>
          </rPr>
          <t xml:space="preserve">
</t>
        </r>
      </text>
    </comment>
    <comment ref="CU64" authorId="2">
      <text>
        <r>
          <rPr>
            <b/>
            <sz val="8"/>
            <color indexed="81"/>
            <rFont val="Tahoma"/>
            <family val="2"/>
          </rPr>
          <t xml:space="preserve">Guidance 2/19/10:
</t>
        </r>
        <r>
          <rPr>
            <sz val="8"/>
            <color indexed="81"/>
            <rFont val="Tahoma"/>
            <family val="2"/>
          </rPr>
          <t>~$515mn</t>
        </r>
        <r>
          <rPr>
            <sz val="8"/>
            <color indexed="81"/>
            <rFont val="Tahoma"/>
            <family val="2"/>
          </rPr>
          <t xml:space="preserve">
</t>
        </r>
      </text>
    </comment>
    <comment ref="CY64" authorId="2">
      <text>
        <r>
          <rPr>
            <b/>
            <sz val="8"/>
            <color indexed="81"/>
            <rFont val="Tahoma"/>
            <family val="2"/>
          </rPr>
          <t xml:space="preserve">Guidance 2/25/11:
</t>
        </r>
        <r>
          <rPr>
            <sz val="8"/>
            <color indexed="81"/>
            <rFont val="Tahoma"/>
            <family val="2"/>
          </rPr>
          <t>Modestly higher y/y</t>
        </r>
        <r>
          <rPr>
            <sz val="8"/>
            <color indexed="81"/>
            <rFont val="Tahoma"/>
            <family val="2"/>
          </rPr>
          <t xml:space="preserve">
</t>
        </r>
      </text>
    </comment>
    <comment ref="DK64" authorId="4">
      <text>
        <r>
          <rPr>
            <b/>
            <sz val="8"/>
            <color indexed="81"/>
            <rFont val="Tahoma"/>
            <family val="2"/>
          </rPr>
          <t>2/26/14 guidance:</t>
        </r>
        <r>
          <rPr>
            <sz val="8"/>
            <color indexed="81"/>
            <rFont val="Tahoma"/>
            <family val="2"/>
          </rPr>
          <t xml:space="preserve"> $630M
</t>
        </r>
        <r>
          <rPr>
            <b/>
            <sz val="8"/>
            <color indexed="81"/>
            <rFont val="Tahoma"/>
            <family val="2"/>
          </rPr>
          <t>5/15/14 guidance</t>
        </r>
        <r>
          <rPr>
            <sz val="8"/>
            <color indexed="81"/>
            <rFont val="Tahoma"/>
            <family val="2"/>
          </rPr>
          <t xml:space="preserve">: $630M
</t>
        </r>
        <r>
          <rPr>
            <b/>
            <sz val="8"/>
            <color indexed="81"/>
            <rFont val="Tahoma"/>
            <family val="2"/>
          </rPr>
          <t>8/14/14 guidance:</t>
        </r>
        <r>
          <rPr>
            <sz val="8"/>
            <color indexed="81"/>
            <rFont val="Tahoma"/>
            <family val="2"/>
          </rPr>
          <t xml:space="preserve"> $640M
</t>
        </r>
        <r>
          <rPr>
            <b/>
            <sz val="8"/>
            <color indexed="81"/>
            <rFont val="Tahoma"/>
            <family val="2"/>
          </rPr>
          <t>11/12/14 guidance:</t>
        </r>
        <r>
          <rPr>
            <sz val="8"/>
            <color indexed="81"/>
            <rFont val="Tahoma"/>
            <family val="2"/>
          </rPr>
          <t xml:space="preserve"> $640M</t>
        </r>
      </text>
    </comment>
    <comment ref="DP64" authorId="5">
      <text>
        <r>
          <rPr>
            <b/>
            <sz val="9"/>
            <color indexed="81"/>
            <rFont val="Tahoma"/>
            <family val="2"/>
          </rPr>
          <t>casselau:</t>
        </r>
        <r>
          <rPr>
            <sz val="9"/>
            <color indexed="81"/>
            <rFont val="Tahoma"/>
            <family val="2"/>
          </rPr>
          <t xml:space="preserve">
11/13/15
Depreciation and amortization: approximately $615 million;
8/12/15
Guidance unchanged ~$615M
2/26/15: guidance $615M
</t>
        </r>
      </text>
    </comment>
    <comment ref="DZ64" authorId="7">
      <text>
        <r>
          <rPr>
            <b/>
            <sz val="9"/>
            <color indexed="81"/>
            <rFont val="Tahoma"/>
            <family val="2"/>
          </rPr>
          <t>Cassel, Lauren (Research):</t>
        </r>
        <r>
          <rPr>
            <sz val="9"/>
            <color indexed="81"/>
            <rFont val="Tahoma"/>
            <family val="2"/>
          </rPr>
          <t xml:space="preserve">
2/23/17: $575M before expected write off of store closures</t>
        </r>
      </text>
    </comment>
    <comment ref="EE64" authorId="11">
      <text>
        <r>
          <rPr>
            <b/>
            <sz val="9"/>
            <color indexed="81"/>
            <rFont val="Tahoma"/>
            <family val="2"/>
          </rPr>
          <t>De Courreges, Edouard (Research):</t>
        </r>
        <r>
          <rPr>
            <sz val="9"/>
            <color indexed="81"/>
            <rFont val="Tahoma"/>
            <family val="2"/>
          </rPr>
          <t xml:space="preserve">
3/2/18: expect $550M D and A 2018 guide</t>
        </r>
      </text>
    </comment>
    <comment ref="CI70" authorId="1">
      <text>
        <r>
          <rPr>
            <b/>
            <sz val="8"/>
            <color indexed="81"/>
            <rFont val="Tahoma"/>
            <family val="2"/>
          </rPr>
          <t>2/22/07: Guidance
$5M</t>
        </r>
      </text>
    </comment>
    <comment ref="CM70" authorId="1">
      <text>
        <r>
          <rPr>
            <b/>
            <sz val="8"/>
            <color indexed="81"/>
            <rFont val="Tahoma"/>
            <family val="2"/>
          </rPr>
          <t>2/21/08: Guidance
$7M</t>
        </r>
      </text>
    </comment>
    <comment ref="CY70" authorId="13">
      <text>
        <r>
          <rPr>
            <b/>
            <sz val="8"/>
            <color indexed="81"/>
            <rFont val="Tahoma"/>
            <family val="2"/>
          </rPr>
          <t>Now included in SG&amp;A</t>
        </r>
      </text>
    </comment>
    <comment ref="CI71" authorId="0">
      <text>
        <r>
          <rPr>
            <b/>
            <sz val="8"/>
            <color indexed="81"/>
            <rFont val="Tahoma"/>
            <family val="2"/>
          </rPr>
          <t>Guidance: 5/17/2007
$14M</t>
        </r>
        <r>
          <rPr>
            <sz val="8"/>
            <color indexed="81"/>
            <rFont val="Tahoma"/>
            <family val="2"/>
          </rPr>
          <t xml:space="preserve">
</t>
        </r>
      </text>
    </comment>
    <comment ref="CQ71" authorId="15">
      <text>
        <r>
          <rPr>
            <b/>
            <sz val="8"/>
            <color indexed="81"/>
            <rFont val="Tahoma"/>
            <family val="2"/>
          </rPr>
          <t xml:space="preserve">Guidance: 5/15/09
</t>
        </r>
        <r>
          <rPr>
            <sz val="8"/>
            <color indexed="81"/>
            <rFont val="Tahoma"/>
            <family val="2"/>
          </rPr>
          <t>~$12M; incremental pre-opening expenses this quarter due to the opening of the Manhattan store</t>
        </r>
      </text>
    </comment>
    <comment ref="CY71" authorId="13">
      <text>
        <r>
          <rPr>
            <b/>
            <sz val="8"/>
            <color indexed="81"/>
            <rFont val="Tahoma"/>
            <family val="2"/>
          </rPr>
          <t>Now included in SG&amp;A</t>
        </r>
      </text>
    </comment>
    <comment ref="CE72" authorId="0">
      <text>
        <r>
          <rPr>
            <b/>
            <sz val="8"/>
            <color indexed="81"/>
            <rFont val="Tahoma"/>
            <family val="2"/>
          </rPr>
          <t>Due to 25 store openings, we expect store-opening expense to be higher y/y (roughly $15M)</t>
        </r>
        <r>
          <rPr>
            <sz val="8"/>
            <color indexed="81"/>
            <rFont val="Tahoma"/>
            <family val="2"/>
          </rPr>
          <t xml:space="preserve">
</t>
        </r>
      </text>
    </comment>
    <comment ref="CI72" authorId="0">
      <text>
        <r>
          <rPr>
            <sz val="8"/>
            <color indexed="81"/>
            <rFont val="Tahoma"/>
            <family val="2"/>
          </rPr>
          <t xml:space="preserve">Guidance 8/16/2007:
$22M 
2/22/07:  Bulk should occur in 3Q given store opening schedule
</t>
        </r>
      </text>
    </comment>
    <comment ref="CM72" authorId="15">
      <text>
        <r>
          <rPr>
            <b/>
            <sz val="8"/>
            <color indexed="81"/>
            <rFont val="Tahoma"/>
            <family val="2"/>
          </rPr>
          <t xml:space="preserve">8/15/08
</t>
        </r>
        <r>
          <rPr>
            <sz val="8"/>
            <color indexed="81"/>
            <rFont val="Tahoma"/>
            <family val="2"/>
          </rPr>
          <t>guidance includes incremental growth related expenses for D&amp;A and pre-openings expenses related to new stores opened both this year and last year of ~$3M</t>
        </r>
      </text>
    </comment>
    <comment ref="CQ72" authorId="15">
      <text>
        <r>
          <rPr>
            <b/>
            <sz val="8"/>
            <color indexed="81"/>
            <rFont val="Tahoma"/>
            <family val="2"/>
          </rPr>
          <t xml:space="preserve">Guidance: 8/14/09
</t>
        </r>
        <r>
          <rPr>
            <sz val="8"/>
            <color indexed="81"/>
            <rFont val="Tahoma"/>
            <family val="2"/>
          </rPr>
          <t>~$5M</t>
        </r>
      </text>
    </comment>
    <comment ref="CY72" authorId="13">
      <text>
        <r>
          <rPr>
            <b/>
            <sz val="8"/>
            <color indexed="81"/>
            <rFont val="Tahoma"/>
            <family val="2"/>
          </rPr>
          <t>Now included in SG&amp;A</t>
        </r>
      </text>
    </comment>
    <comment ref="CI73" authorId="17">
      <text>
        <r>
          <rPr>
            <sz val="8"/>
            <color indexed="81"/>
            <rFont val="Tahoma"/>
            <family val="2"/>
          </rPr>
          <t>11/15/2007: $8M</t>
        </r>
      </text>
    </comment>
    <comment ref="CQ73" authorId="2">
      <text>
        <r>
          <rPr>
            <b/>
            <sz val="8"/>
            <color indexed="81"/>
            <rFont val="Tahoma"/>
            <family val="2"/>
          </rPr>
          <t xml:space="preserve">Guidance 11/13/09: </t>
        </r>
        <r>
          <rPr>
            <sz val="8"/>
            <color indexed="81"/>
            <rFont val="Tahoma"/>
            <family val="2"/>
          </rPr>
          <t>Approx $2mn</t>
        </r>
        <r>
          <rPr>
            <b/>
            <sz val="8"/>
            <color indexed="81"/>
            <rFont val="Tahoma"/>
            <family val="2"/>
          </rPr>
          <t xml:space="preserve">
</t>
        </r>
        <r>
          <rPr>
            <sz val="8"/>
            <color indexed="81"/>
            <rFont val="Tahoma"/>
            <family val="2"/>
          </rPr>
          <t xml:space="preserve">
</t>
        </r>
      </text>
    </comment>
    <comment ref="CY73" authorId="13">
      <text>
        <r>
          <rPr>
            <b/>
            <sz val="8"/>
            <color indexed="81"/>
            <rFont val="Tahoma"/>
            <family val="2"/>
          </rPr>
          <t>Now included in SG&amp;A</t>
        </r>
      </text>
    </comment>
    <comment ref="CI74" authorId="1">
      <text>
        <r>
          <rPr>
            <b/>
            <sz val="8"/>
            <color indexed="81"/>
            <rFont val="Tahoma"/>
            <family val="2"/>
          </rPr>
          <t>2/22/07: Guidance
$50M</t>
        </r>
      </text>
    </comment>
    <comment ref="CM74" authorId="1">
      <text>
        <r>
          <rPr>
            <b/>
            <sz val="8"/>
            <color indexed="81"/>
            <rFont val="Tahoma"/>
            <family val="2"/>
          </rPr>
          <t xml:space="preserve">2/21/08: Guidance
</t>
        </r>
        <r>
          <rPr>
            <sz val="8"/>
            <color indexed="81"/>
            <rFont val="Tahoma"/>
            <family val="2"/>
          </rPr>
          <t>$36M; we assume 36 store openings in 08 vs. 50 LY</t>
        </r>
      </text>
    </comment>
    <comment ref="CA82" authorId="0">
      <text>
        <r>
          <rPr>
            <sz val="8"/>
            <color indexed="81"/>
            <rFont val="Tahoma"/>
            <family val="2"/>
          </rPr>
          <t xml:space="preserve">includes $4.5M in expensing for stock options
</t>
        </r>
      </text>
    </comment>
    <comment ref="CE82" authorId="0">
      <text>
        <r>
          <rPr>
            <b/>
            <sz val="8"/>
            <color indexed="81"/>
            <rFont val="Tahoma"/>
            <family val="2"/>
          </rPr>
          <t>Due to 25 store openings, we expect store-opening expense to be higher y/y (roughly $15M)</t>
        </r>
        <r>
          <rPr>
            <sz val="8"/>
            <color indexed="81"/>
            <rFont val="Tahoma"/>
            <family val="2"/>
          </rPr>
          <t xml:space="preserve">
</t>
        </r>
      </text>
    </comment>
    <comment ref="BS83" authorId="18">
      <text>
        <r>
          <rPr>
            <b/>
            <sz val="8"/>
            <color indexed="81"/>
            <rFont val="Tahoma"/>
            <family val="2"/>
          </rPr>
          <t>frazerd:</t>
        </r>
        <r>
          <rPr>
            <sz val="8"/>
            <color indexed="81"/>
            <rFont val="Tahoma"/>
            <family val="2"/>
          </rPr>
          <t xml:space="preserve">
Includes $20M in charges from first phase of cost saving initiative</t>
        </r>
      </text>
    </comment>
    <comment ref="CE83" authorId="17">
      <text>
        <r>
          <rPr>
            <b/>
            <sz val="8"/>
            <color indexed="81"/>
            <rFont val="Tahoma"/>
            <family val="2"/>
          </rPr>
          <t>Guidance: 11/9/2006
$65M of SG&amp;A from 53rd week.  Almost no earnings impact from 53rd week.
Guidance: 8/10/2006
$65M of SG&amp;A from 53rd week.  Almost no earnings impact from 53rd week.</t>
        </r>
      </text>
    </comment>
    <comment ref="BW84" authorId="18">
      <text>
        <r>
          <rPr>
            <sz val="8"/>
            <color indexed="81"/>
            <rFont val="Tahoma"/>
            <family val="2"/>
          </rPr>
          <t>$100M in cost saving from initiative. Pension expense $30M lower yoy</t>
        </r>
      </text>
    </comment>
    <comment ref="CE90" authorId="19">
      <text>
        <r>
          <rPr>
            <b/>
            <sz val="8"/>
            <color indexed="81"/>
            <rFont val="Tahoma"/>
            <family val="2"/>
          </rPr>
          <t>real estate income higher than expected, helped drive EPS guidance higher following April comp results</t>
        </r>
      </text>
    </comment>
    <comment ref="CI90" authorId="1">
      <text>
        <r>
          <rPr>
            <b/>
            <sz val="8"/>
            <color indexed="81"/>
            <rFont val="Tahoma"/>
            <family val="2"/>
          </rPr>
          <t xml:space="preserve">2/22/07: Guidance
$8M per qtr
</t>
        </r>
      </text>
    </comment>
    <comment ref="CM90" authorId="1">
      <text>
        <r>
          <rPr>
            <b/>
            <sz val="8"/>
            <color indexed="81"/>
            <rFont val="Tahoma"/>
            <family val="2"/>
          </rPr>
          <t xml:space="preserve">2/21/08: Guidance
$8M per qtr
</t>
        </r>
      </text>
    </comment>
    <comment ref="CQ90" authorId="0">
      <text>
        <r>
          <rPr>
            <b/>
            <sz val="8"/>
            <color indexed="81"/>
            <rFont val="Tahoma"/>
            <family val="2"/>
          </rPr>
          <t>Guidance: 2/20/2009</t>
        </r>
        <r>
          <rPr>
            <sz val="8"/>
            <color indexed="81"/>
            <rFont val="Tahoma"/>
            <family val="2"/>
          </rPr>
          <t xml:space="preserve">
$6M</t>
        </r>
      </text>
    </comment>
    <comment ref="CU90" authorId="13">
      <text>
        <r>
          <rPr>
            <b/>
            <sz val="8"/>
            <color indexed="81"/>
            <rFont val="Tahoma"/>
            <family val="2"/>
          </rPr>
          <t xml:space="preserve">Guidance: 2/20/2009
</t>
        </r>
        <r>
          <rPr>
            <sz val="8"/>
            <color indexed="81"/>
            <rFont val="Tahoma"/>
            <family val="2"/>
          </rPr>
          <t>$6M is the new "normal" run rate.</t>
        </r>
        <r>
          <rPr>
            <sz val="8"/>
            <color indexed="81"/>
            <rFont val="Tahoma"/>
            <family val="2"/>
          </rPr>
          <t xml:space="preserve">
</t>
        </r>
      </text>
    </comment>
    <comment ref="CY90" authorId="2">
      <text>
        <r>
          <rPr>
            <b/>
            <sz val="8"/>
            <color indexed="81"/>
            <rFont val="Tahoma"/>
            <family val="2"/>
          </rPr>
          <t xml:space="preserve">Comment 5/12/11:
Slide deck p. 9 
</t>
        </r>
        <r>
          <rPr>
            <sz val="8"/>
            <color indexed="81"/>
            <rFont val="Tahoma"/>
            <family val="2"/>
          </rPr>
          <t xml:space="preserve">$3M exit of catalog
$3M Supply chain ops
$3M 2010 YE Strategic Actions
</t>
        </r>
        <r>
          <rPr>
            <b/>
            <sz val="8"/>
            <color indexed="81"/>
            <rFont val="Tahoma"/>
            <family val="2"/>
          </rPr>
          <t>$9M total</t>
        </r>
        <r>
          <rPr>
            <b/>
            <sz val="8"/>
            <color indexed="81"/>
            <rFont val="Tahoma"/>
            <family val="2"/>
          </rPr>
          <t xml:space="preserve">
Guidance 5/5/11:
Within Real estate and other:
</t>
        </r>
        <r>
          <rPr>
            <sz val="8"/>
            <color indexed="81"/>
            <rFont val="Tahoma"/>
            <family val="2"/>
          </rPr>
          <t xml:space="preserve">1 cent = restructuring re supply chain (newly announced)
1 cent = restructuring re store/outlet closing/catalog closings (old)
</t>
        </r>
        <r>
          <rPr>
            <b/>
            <sz val="8"/>
            <color indexed="81"/>
            <rFont val="Tahoma"/>
            <family val="2"/>
          </rPr>
          <t xml:space="preserve">Within Net Interest:
</t>
        </r>
        <r>
          <rPr>
            <sz val="8"/>
            <color indexed="81"/>
            <rFont val="Tahoma"/>
            <family val="2"/>
          </rPr>
          <t>2 cents = credit facility renewal</t>
        </r>
        <r>
          <rPr>
            <b/>
            <sz val="8"/>
            <color indexed="81"/>
            <rFont val="Tahoma"/>
            <family val="2"/>
          </rPr>
          <t xml:space="preserve">
Total of 4 cents ($16M) of 1x items in Qtr; 
$0.24 guidance includes the 4 cent hit
</t>
        </r>
        <r>
          <rPr>
            <sz val="8"/>
            <color indexed="81"/>
            <rFont val="Tahoma"/>
            <family val="2"/>
          </rPr>
          <t>***We ignore 2 cents re non comparable SG&amp;A expense related to new growth initiatives (Foundry, Gifting Grace, CLAD) announced on 1Q call</t>
        </r>
        <r>
          <rPr>
            <b/>
            <sz val="8"/>
            <color indexed="81"/>
            <rFont val="Tahoma"/>
            <family val="2"/>
          </rPr>
          <t xml:space="preserve">
Guidance 2/25/11:
</t>
        </r>
        <r>
          <rPr>
            <sz val="8"/>
            <color indexed="81"/>
            <rFont val="Tahoma"/>
            <family val="2"/>
          </rPr>
          <t xml:space="preserve">1) Will report ~$20M of pre-tax charges (5 cents) in real estate/other related to 1/24/11 store/outlet closings for full year
a) 1 cent in 1Q ($4M)
b) 4 cents ($16M) for remainder of year (timing unclear); we have assumed 2Q and 3Q
***We have pulled out and therefore assumed run rate of $6M of real estate income***
</t>
        </r>
        <r>
          <rPr>
            <sz val="8"/>
            <color indexed="81"/>
            <rFont val="Tahoma"/>
            <family val="2"/>
          </rPr>
          <t xml:space="preserve">
</t>
        </r>
      </text>
    </comment>
    <comment ref="DU90" authorId="6">
      <text>
        <r>
          <rPr>
            <b/>
            <sz val="9"/>
            <color indexed="81"/>
            <rFont val="Tahoma"/>
            <family val="2"/>
          </rPr>
          <t>Baglione, Gregory  (Research):</t>
        </r>
        <r>
          <rPr>
            <sz val="9"/>
            <color indexed="81"/>
            <rFont val="Tahoma"/>
            <family val="2"/>
          </rPr>
          <t xml:space="preserve">
$38M Rela estate, $6M restructuring &amp; management transition</t>
        </r>
      </text>
    </comment>
    <comment ref="DZ90" authorId="7">
      <text>
        <r>
          <rPr>
            <b/>
            <sz val="9"/>
            <color indexed="81"/>
            <rFont val="Tahoma"/>
            <family val="2"/>
          </rPr>
          <t>Cassel, Lauren (Research):</t>
        </r>
        <r>
          <rPr>
            <sz val="9"/>
            <color indexed="81"/>
            <rFont val="Tahoma"/>
            <family val="2"/>
          </rPr>
          <t xml:space="preserve">
5/12/17: Includes the sale of operating assets which totaled $117M ($111M of which was the sale of the Buena Park distribution facility) 
Net sales price of DC = $131M</t>
        </r>
      </text>
    </comment>
    <comment ref="EE90" authorId="11">
      <text>
        <r>
          <rPr>
            <b/>
            <sz val="9"/>
            <color indexed="81"/>
            <rFont val="Tahoma"/>
            <family val="2"/>
          </rPr>
          <t>De Courreges, Edouard (Research):</t>
        </r>
        <r>
          <rPr>
            <sz val="9"/>
            <color indexed="81"/>
            <rFont val="Tahoma"/>
            <family val="2"/>
          </rPr>
          <t xml:space="preserve">
3/14/18: An affiliate of Phoenix Investors ("Phoenix"), a national private commercial real estate firm headquartered in Milwaukee, Wisconsin, announced it acquired from JCPenney its</t>
        </r>
        <r>
          <rPr>
            <b/>
            <sz val="9"/>
            <color indexed="81"/>
            <rFont val="Tahoma"/>
            <family val="2"/>
          </rPr>
          <t xml:space="preserve"> Logistics Warehouse and Furniture Outlet Center totaling 2,022,825 square-feet </t>
        </r>
        <r>
          <rPr>
            <sz val="9"/>
            <color indexed="81"/>
            <rFont val="Tahoma"/>
            <family val="2"/>
          </rPr>
          <t xml:space="preserve">and in excess of 77 acres for </t>
        </r>
        <r>
          <rPr>
            <b/>
            <sz val="9"/>
            <color indexed="81"/>
            <rFont val="Tahoma"/>
            <family val="2"/>
          </rPr>
          <t>$31,250,000</t>
        </r>
        <r>
          <rPr>
            <sz val="9"/>
            <color indexed="81"/>
            <rFont val="Tahoma"/>
            <family val="2"/>
          </rPr>
          <t xml:space="preserve"> located at 18000 West Burleigh Street, Wauwatosa, Wisconsin.</t>
        </r>
      </text>
    </comment>
    <comment ref="CE91" authorId="0">
      <text>
        <r>
          <rPr>
            <b/>
            <sz val="8"/>
            <color indexed="81"/>
            <rFont val="Tahoma"/>
            <family val="2"/>
          </rPr>
          <t>-Real estate and other income.
-mgmt guidance of $7.5M per qtr.</t>
        </r>
      </text>
    </comment>
    <comment ref="CI91" authorId="1">
      <text>
        <r>
          <rPr>
            <b/>
            <sz val="8"/>
            <color indexed="81"/>
            <rFont val="Tahoma"/>
            <family val="2"/>
          </rPr>
          <t xml:space="preserve">2/22/07: Guidance
$8M per qtr
</t>
        </r>
      </text>
    </comment>
    <comment ref="CM91" authorId="1">
      <text>
        <r>
          <rPr>
            <b/>
            <sz val="8"/>
            <color indexed="81"/>
            <rFont val="Tahoma"/>
            <family val="2"/>
          </rPr>
          <t xml:space="preserve">2/21/08: Guidance
$8M per qtr
</t>
        </r>
      </text>
    </comment>
    <comment ref="CQ91" authorId="13">
      <text>
        <r>
          <rPr>
            <b/>
            <sz val="8"/>
            <color indexed="81"/>
            <rFont val="Tahoma"/>
            <family val="2"/>
          </rPr>
          <t>Guidance: 2/20/2009
$6M is the new "normal" run rate.</t>
        </r>
        <r>
          <rPr>
            <sz val="8"/>
            <color indexed="81"/>
            <rFont val="Tahoma"/>
            <family val="2"/>
          </rPr>
          <t xml:space="preserve">
</t>
        </r>
      </text>
    </comment>
    <comment ref="CY91" authorId="2">
      <text>
        <r>
          <rPr>
            <b/>
            <u/>
            <sz val="8"/>
            <color indexed="81"/>
            <rFont val="Tahoma"/>
            <family val="2"/>
          </rPr>
          <t xml:space="preserve">2Q11 10Q:
</t>
        </r>
        <r>
          <rPr>
            <sz val="8"/>
            <color indexed="81"/>
            <rFont val="Tahoma"/>
            <family val="2"/>
          </rPr>
          <t>$23MM of restructuring costs ($0.07 impact)</t>
        </r>
        <r>
          <rPr>
            <b/>
            <u/>
            <sz val="8"/>
            <color indexed="81"/>
            <rFont val="Tahoma"/>
            <family val="2"/>
          </rPr>
          <t xml:space="preserve">
Comment 8/11/11:
</t>
        </r>
        <r>
          <rPr>
            <sz val="8"/>
            <color indexed="81"/>
            <rFont val="Tahoma"/>
            <family val="2"/>
          </rPr>
          <t>Assumes $21M of 1x items as disclosed in 1Q Deck, p.9</t>
        </r>
        <r>
          <rPr>
            <b/>
            <u/>
            <sz val="8"/>
            <color indexed="81"/>
            <rFont val="Tahoma"/>
            <family val="2"/>
          </rPr>
          <t xml:space="preserve">
</t>
        </r>
        <r>
          <rPr>
            <sz val="8"/>
            <color indexed="81"/>
            <rFont val="Tahoma"/>
            <family val="2"/>
          </rPr>
          <t>$1M catalogue and outlet biz
$12M supply chain ops
$5M 2010 YE Strategic actions
$3M Other cost savings</t>
        </r>
        <r>
          <rPr>
            <b/>
            <u/>
            <sz val="8"/>
            <color indexed="81"/>
            <rFont val="Tahoma"/>
            <family val="2"/>
          </rPr>
          <t xml:space="preserve">
Guidance 5/16/11:</t>
        </r>
        <r>
          <rPr>
            <b/>
            <sz val="8"/>
            <color indexed="81"/>
            <rFont val="Tahoma"/>
            <family val="2"/>
          </rPr>
          <t xml:space="preserve">
Restructuring Charges Included in Real Estate &amp; Other:
Guidance: </t>
        </r>
        <r>
          <rPr>
            <sz val="8"/>
            <color indexed="81"/>
            <rFont val="Tahoma"/>
            <family val="2"/>
          </rPr>
          <t xml:space="preserve">Net $16M of expense </t>
        </r>
        <r>
          <rPr>
            <b/>
            <u/>
            <sz val="8"/>
            <color indexed="81"/>
            <rFont val="Tahoma"/>
            <family val="2"/>
          </rPr>
          <t>including</t>
        </r>
        <r>
          <rPr>
            <sz val="8"/>
            <color indexed="81"/>
            <rFont val="Tahoma"/>
            <family val="2"/>
          </rPr>
          <t xml:space="preserve">:
$21M related to restructuring and other cost savings/ ($0.06 EPS):
$1M Exit catalog
$12M Supply Chain
$5M YE Strategic Actions
$3M Other Cost Saves
(see p. 9 supplement)
</t>
        </r>
        <r>
          <rPr>
            <b/>
            <sz val="8"/>
            <color indexed="81"/>
            <rFont val="Tahoma"/>
            <family val="2"/>
          </rPr>
          <t xml:space="preserve">Guidance 2/25/11:
</t>
        </r>
        <r>
          <rPr>
            <sz val="8"/>
            <color indexed="81"/>
            <rFont val="Tahoma"/>
            <family val="2"/>
          </rPr>
          <t xml:space="preserve">1) Will report ~$20M of pre-tax charges (5 cents) in real estate/other related to 1/24/11 store/outlet closings for full year
a) 1 cent in 1Q ($4M)
b) 4 cents ($16M) for remainder of year (timing unclear)
***We have pulled out and therefore assumed run rate of $6M of real estate income***
</t>
        </r>
        <r>
          <rPr>
            <sz val="8"/>
            <color indexed="81"/>
            <rFont val="Tahoma"/>
            <family val="2"/>
          </rPr>
          <t xml:space="preserve">
</t>
        </r>
      </text>
    </comment>
    <comment ref="DC91" authorId="9">
      <text>
        <r>
          <rPr>
            <sz val="8"/>
            <color indexed="81"/>
            <rFont val="Tahoma"/>
            <family val="2"/>
          </rPr>
          <t>Breakdown: 2Q12: 'Real Estate and other, net expense' (-208) - Redemption of REIT units, net of fees (-200)</t>
        </r>
        <r>
          <rPr>
            <sz val="8"/>
            <color indexed="81"/>
            <rFont val="Tahoma"/>
            <family val="2"/>
          </rPr>
          <t xml:space="preserve">
</t>
        </r>
      </text>
    </comment>
    <comment ref="DU91" authorId="6">
      <text>
        <r>
          <rPr>
            <b/>
            <sz val="9"/>
            <color indexed="81"/>
            <rFont val="Tahoma"/>
            <family val="2"/>
          </rPr>
          <t>Baglione, Gregory  (Research)</t>
        </r>
        <r>
          <rPr>
            <sz val="9"/>
            <color indexed="81"/>
            <rFont val="Tahoma"/>
            <family val="2"/>
          </rPr>
          <t xml:space="preserve">
$9M real estate, $9M restructuring &amp; management transition
</t>
        </r>
      </text>
    </comment>
    <comment ref="DZ91" authorId="11">
      <text>
        <r>
          <rPr>
            <b/>
            <sz val="9"/>
            <color indexed="81"/>
            <rFont val="Tahoma"/>
            <family val="2"/>
          </rPr>
          <t>De Courreges, Edouard (Research):</t>
        </r>
        <r>
          <rPr>
            <sz val="9"/>
            <color indexed="81"/>
            <rFont val="Tahoma"/>
            <family val="2"/>
          </rPr>
          <t xml:space="preserve">
8/11/17: recorded approximately $23 million in restructuring charges, largely associated with the closing stores
</t>
        </r>
      </text>
    </comment>
    <comment ref="CE92" authorId="0">
      <text>
        <r>
          <rPr>
            <b/>
            <sz val="8"/>
            <color indexed="81"/>
            <rFont val="Tahoma"/>
            <family val="2"/>
          </rPr>
          <t>mgmt guidance of $7.5M per qtr.</t>
        </r>
      </text>
    </comment>
    <comment ref="CI92" authorId="1">
      <text>
        <r>
          <rPr>
            <sz val="8"/>
            <color indexed="81"/>
            <rFont val="Tahoma"/>
            <family val="2"/>
          </rPr>
          <t xml:space="preserve">Guidance 8/16/2007: 
$7-8M
2/22/07: $8M per qtr
</t>
        </r>
      </text>
    </comment>
    <comment ref="CM92" authorId="1">
      <text>
        <r>
          <rPr>
            <b/>
            <sz val="8"/>
            <color indexed="81"/>
            <rFont val="Tahoma"/>
            <family val="2"/>
          </rPr>
          <t xml:space="preserve">2/21/08: Guidance
$8M per qtr
</t>
        </r>
      </text>
    </comment>
    <comment ref="CQ92" authorId="13">
      <text>
        <r>
          <rPr>
            <b/>
            <sz val="8"/>
            <color indexed="81"/>
            <rFont val="Tahoma"/>
            <family val="2"/>
          </rPr>
          <t xml:space="preserve">Guidance: 11/5/2009 
</t>
        </r>
        <r>
          <rPr>
            <sz val="8"/>
            <color indexed="81"/>
            <rFont val="Tahoma"/>
            <family val="2"/>
          </rPr>
          <t xml:space="preserve">Includes ~$0.03 charge (~ $11mn) re real estate impairment cited in Sales press release (we treat as normal opex)
</t>
        </r>
        <r>
          <rPr>
            <b/>
            <sz val="8"/>
            <color indexed="81"/>
            <rFont val="Tahoma"/>
            <family val="2"/>
          </rPr>
          <t xml:space="preserve">
Guidance: 2/20/2009
$6M is the new "normal" run rate.</t>
        </r>
        <r>
          <rPr>
            <sz val="8"/>
            <color indexed="81"/>
            <rFont val="Tahoma"/>
            <family val="2"/>
          </rPr>
          <t xml:space="preserve">
</t>
        </r>
      </text>
    </comment>
    <comment ref="CY92" authorId="2">
      <text>
        <r>
          <rPr>
            <b/>
            <u/>
            <sz val="8"/>
            <color indexed="81"/>
            <rFont val="Tahoma"/>
            <family val="2"/>
          </rPr>
          <t xml:space="preserve">Guidance 8/12/11:
</t>
        </r>
        <r>
          <rPr>
            <sz val="8"/>
            <color indexed="81"/>
            <rFont val="Tahoma"/>
            <family val="2"/>
          </rPr>
          <t>$11M of expense, with $19M of restructuring flowing through line item</t>
        </r>
        <r>
          <rPr>
            <b/>
            <u/>
            <sz val="8"/>
            <color indexed="81"/>
            <rFont val="Tahoma"/>
            <family val="2"/>
          </rPr>
          <t xml:space="preserve">
We model to a normalized number here of about $6M of real estate income
Guidance 5/16/11:</t>
        </r>
        <r>
          <rPr>
            <b/>
            <sz val="8"/>
            <color indexed="81"/>
            <rFont val="Tahoma"/>
            <family val="2"/>
          </rPr>
          <t xml:space="preserve">
Restructuring Charges Included in Real Estate &amp; Other:
</t>
        </r>
        <r>
          <rPr>
            <sz val="8"/>
            <color indexed="81"/>
            <rFont val="Tahoma"/>
            <family val="2"/>
          </rPr>
          <t xml:space="preserve">Total of $27M pre-tax in 2H/ ($0.08 EPS) related to restructuring
</t>
        </r>
        <r>
          <rPr>
            <b/>
            <sz val="8"/>
            <color indexed="81"/>
            <rFont val="Tahoma"/>
            <family val="2"/>
          </rPr>
          <t>Assume Split Evenly 3Q/4Q; $13.5M per Qtr</t>
        </r>
        <r>
          <rPr>
            <sz val="8"/>
            <color indexed="81"/>
            <rFont val="Tahoma"/>
            <family val="2"/>
          </rPr>
          <t xml:space="preserve">
$4M Exit catalog
$20M Supply Chain
$0M 2010 YE Strategic Actions
$3M Other Cost Saves
(see p. 9 supplement)</t>
        </r>
        <r>
          <rPr>
            <b/>
            <sz val="8"/>
            <color indexed="81"/>
            <rFont val="Tahoma"/>
            <family val="2"/>
          </rPr>
          <t xml:space="preserve">
Guidance 2/25/11:
</t>
        </r>
        <r>
          <rPr>
            <sz val="8"/>
            <color indexed="81"/>
            <rFont val="Tahoma"/>
            <family val="2"/>
          </rPr>
          <t xml:space="preserve">1) Will report ~$20M of pre-tax charges (5 cents) in real estate/other related to 1/24/11 store/outlet closings for full year
a) 1 cent in 1Q ($4M)
b) 4 cents ($16M) for remainder of year (timing unclear)
***We have pulled out and therefore assumed run rate of $6M of real estate income***
</t>
        </r>
        <r>
          <rPr>
            <sz val="8"/>
            <color indexed="81"/>
            <rFont val="Tahoma"/>
            <family val="2"/>
          </rPr>
          <t xml:space="preserve">
</t>
        </r>
      </text>
    </comment>
    <comment ref="DP92" authorId="6">
      <text>
        <r>
          <rPr>
            <b/>
            <sz val="9"/>
            <color indexed="81"/>
            <rFont val="Tahoma"/>
            <family val="2"/>
          </rPr>
          <t>Baglione, Gregory  (Research):</t>
        </r>
        <r>
          <rPr>
            <sz val="9"/>
            <color indexed="81"/>
            <rFont val="Tahoma"/>
            <family val="2"/>
          </rPr>
          <t xml:space="preserve">
Expect $50M in asset sale benefits, already banked $38M
</t>
        </r>
      </text>
    </comment>
    <comment ref="DZ92" authorId="11">
      <text>
        <r>
          <rPr>
            <b/>
            <sz val="9"/>
            <color indexed="81"/>
            <rFont val="Tahoma"/>
            <family val="2"/>
          </rPr>
          <t>De Courreges, Edouard (Research):</t>
        </r>
        <r>
          <rPr>
            <sz val="9"/>
            <color indexed="81"/>
            <rFont val="Tahoma"/>
            <family val="2"/>
          </rPr>
          <t xml:space="preserve">
12/11/17: $52M restructuring and management transition (related to  138 store closures, such as lease obligations), $2M real estate and other
8/11/17: e expect to record an estimated $50 million in restructuring charges, primarily associated with the present value of remaining lease obligations</t>
        </r>
      </text>
    </comment>
    <comment ref="CE93" authorId="0">
      <text>
        <r>
          <rPr>
            <b/>
            <sz val="8"/>
            <color indexed="81"/>
            <rFont val="Tahoma"/>
            <family val="2"/>
          </rPr>
          <t>mgmt guidance of $7.5M per qtr.
Included in here is a $10M charge associated with severance for COO West (who was fired)</t>
        </r>
      </text>
    </comment>
    <comment ref="CI93" authorId="1">
      <text>
        <r>
          <rPr>
            <sz val="8"/>
            <color indexed="81"/>
            <rFont val="Tahoma"/>
            <family val="2"/>
          </rPr>
          <t xml:space="preserve">Guidance 8/16/2007: 
$7-8M
2/22/07: $8M per qtr
</t>
        </r>
      </text>
    </comment>
    <comment ref="CM93" authorId="1">
      <text>
        <r>
          <rPr>
            <b/>
            <sz val="8"/>
            <color indexed="81"/>
            <rFont val="Tahoma"/>
            <family val="2"/>
          </rPr>
          <t xml:space="preserve">2/21/08: Guidance
$8M per qtr
</t>
        </r>
      </text>
    </comment>
    <comment ref="CQ93" authorId="13">
      <text>
        <r>
          <rPr>
            <b/>
            <sz val="8"/>
            <color indexed="81"/>
            <rFont val="Tahoma"/>
            <family val="2"/>
          </rPr>
          <t xml:space="preserve">Guidance: 2/20/2009
</t>
        </r>
        <r>
          <rPr>
            <sz val="8"/>
            <color indexed="81"/>
            <rFont val="Tahoma"/>
            <family val="2"/>
          </rPr>
          <t>$6M is the new "normal" run rate.</t>
        </r>
        <r>
          <rPr>
            <sz val="8"/>
            <color indexed="81"/>
            <rFont val="Tahoma"/>
            <family val="2"/>
          </rPr>
          <t xml:space="preserve">
</t>
        </r>
      </text>
    </comment>
    <comment ref="CU93" authorId="2">
      <text>
        <r>
          <rPr>
            <b/>
            <sz val="8"/>
            <color indexed="81"/>
            <rFont val="Tahoma"/>
            <family val="2"/>
          </rPr>
          <t xml:space="preserve">Note 2/24/11:
Company announces $30M of pre-tax charges on 1/24/11 related to:
</t>
        </r>
        <r>
          <rPr>
            <sz val="8"/>
            <color indexed="81"/>
            <rFont val="Tahoma"/>
            <family val="2"/>
          </rPr>
          <t>1) closing underperforming stores
2) wind down of legacy catalog business
3) consolidation of furniture outlet business
MS backs out the $30M expense.</t>
        </r>
      </text>
    </comment>
    <comment ref="CY93" authorId="2">
      <text>
        <r>
          <rPr>
            <b/>
            <u/>
            <sz val="8"/>
            <color indexed="81"/>
            <rFont val="Tahoma"/>
            <family val="2"/>
          </rPr>
          <t xml:space="preserve">Comment 2/24/2012
</t>
        </r>
        <r>
          <rPr>
            <b/>
            <sz val="8"/>
            <color indexed="81"/>
            <rFont val="Tahoma"/>
            <family val="2"/>
          </rPr>
          <t xml:space="preserve">- </t>
        </r>
        <r>
          <rPr>
            <sz val="8"/>
            <color indexed="81"/>
            <rFont val="Tahoma"/>
            <family val="2"/>
          </rPr>
          <t xml:space="preserve">Includes impairment expense of $58M (or 16c)
- Not mentioned as 1-time item in release, so included in EPS calc
</t>
        </r>
        <r>
          <rPr>
            <b/>
            <u/>
            <sz val="8"/>
            <color indexed="81"/>
            <rFont val="Tahoma"/>
            <family val="2"/>
          </rPr>
          <t xml:space="preserve">
Comment 11/14/11:
</t>
        </r>
        <r>
          <rPr>
            <sz val="8"/>
            <color indexed="81"/>
            <rFont val="Tahoma"/>
            <family val="2"/>
          </rPr>
          <t>Restructuring charges no longer flowing through this line</t>
        </r>
        <r>
          <rPr>
            <b/>
            <u/>
            <sz val="8"/>
            <color indexed="81"/>
            <rFont val="Tahoma"/>
            <family val="2"/>
          </rPr>
          <t xml:space="preserve">
Guidance 5/16/11:</t>
        </r>
        <r>
          <rPr>
            <b/>
            <sz val="8"/>
            <color indexed="81"/>
            <rFont val="Tahoma"/>
            <family val="2"/>
          </rPr>
          <t xml:space="preserve">
Restructuring Charges Included in Real Estate &amp; Other:
</t>
        </r>
        <r>
          <rPr>
            <sz val="8"/>
            <color indexed="81"/>
            <rFont val="Tahoma"/>
            <family val="2"/>
          </rPr>
          <t xml:space="preserve">Total of $27M pre-tax in 2H/ ($0.08 EPS) related to restructuring
</t>
        </r>
        <r>
          <rPr>
            <b/>
            <sz val="8"/>
            <color indexed="81"/>
            <rFont val="Tahoma"/>
            <family val="2"/>
          </rPr>
          <t>Assume Split Evenly 3Q/4Q; $13.5M per Qtr</t>
        </r>
        <r>
          <rPr>
            <sz val="8"/>
            <color indexed="81"/>
            <rFont val="Tahoma"/>
            <family val="2"/>
          </rPr>
          <t xml:space="preserve">
$4M Exit catalog
$20M Supply Chain
$0M 2010 YE Strategic Actions
$3M Other Cost Saves
(see p. 9 supplement)</t>
        </r>
        <r>
          <rPr>
            <b/>
            <sz val="8"/>
            <color indexed="81"/>
            <rFont val="Tahoma"/>
            <family val="2"/>
          </rPr>
          <t xml:space="preserve">
Guidance 2/25/11:
</t>
        </r>
        <r>
          <rPr>
            <sz val="8"/>
            <color indexed="81"/>
            <rFont val="Tahoma"/>
            <family val="2"/>
          </rPr>
          <t xml:space="preserve">1) Will report ~$20M of pre-tax charges (5 cents) in real estate/other related to 1/24/11 store/outlet closings for full year
a) 1 cent in 1Q ($4M)
b) 4 cents ($16M) for remainder of year (timing unclear)
***We have pulled out and therefore assumed run rate of $6M of real estate income***
</t>
        </r>
        <r>
          <rPr>
            <sz val="8"/>
            <color indexed="81"/>
            <rFont val="Tahoma"/>
            <family val="2"/>
          </rPr>
          <t xml:space="preserve">
</t>
        </r>
      </text>
    </comment>
    <comment ref="DZ93" authorId="7">
      <text>
        <r>
          <rPr>
            <b/>
            <sz val="9"/>
            <color indexed="81"/>
            <rFont val="Tahoma"/>
            <family val="2"/>
          </rPr>
          <t>Cassel, Lauren (Research):</t>
        </r>
        <r>
          <rPr>
            <sz val="9"/>
            <color indexed="81"/>
            <rFont val="Tahoma"/>
            <family val="2"/>
          </rPr>
          <t xml:space="preserve">
5/11/17: expect one siginficant asset gain that will close in 4Q (Trent ~$30M ish)</t>
        </r>
      </text>
    </comment>
    <comment ref="CY94" authorId="2">
      <text>
        <r>
          <rPr>
            <b/>
            <u/>
            <sz val="8"/>
            <color indexed="81"/>
            <rFont val="Tahoma"/>
            <family val="2"/>
          </rPr>
          <t>Guidance 5/16/11:</t>
        </r>
        <r>
          <rPr>
            <b/>
            <sz val="8"/>
            <color indexed="81"/>
            <rFont val="Tahoma"/>
            <family val="2"/>
          </rPr>
          <t xml:space="preserve">
</t>
        </r>
        <r>
          <rPr>
            <b/>
            <sz val="8"/>
            <color indexed="81"/>
            <rFont val="Tahoma"/>
            <family val="2"/>
          </rPr>
          <t>Total of $56M pre-tax/ ($0.16 EPS) related to restructuring for FY
(we model to normalized RE income here, see row 73 for charges)</t>
        </r>
        <r>
          <rPr>
            <sz val="8"/>
            <color indexed="81"/>
            <rFont val="Tahoma"/>
            <family val="2"/>
          </rPr>
          <t xml:space="preserve">
$8M Exit catalog
$35M Supply Chain
$7M 2010 YE Strategic Actions
$6M Other Cost Saves
(see p. 9 supplement)</t>
        </r>
        <r>
          <rPr>
            <b/>
            <sz val="8"/>
            <color indexed="81"/>
            <rFont val="Tahoma"/>
            <family val="2"/>
          </rPr>
          <t xml:space="preserve">
Guidance 2/25/11:
</t>
        </r>
        <r>
          <rPr>
            <sz val="8"/>
            <color indexed="81"/>
            <rFont val="Tahoma"/>
            <family val="2"/>
          </rPr>
          <t xml:space="preserve">1) Will report ~$20M of pre-tax charges (5 cents) in real estate/other related to 1/24/11 store/outlet closings for full year
a) 1 cent in 1Q ($4M)
b) 4 cents ($16M) for remainder of year (timing unclear)
***We have pulled out and therefore assumed run rate of $6M of real estate income***
</t>
        </r>
        <r>
          <rPr>
            <sz val="8"/>
            <color indexed="81"/>
            <rFont val="Tahoma"/>
            <family val="2"/>
          </rPr>
          <t xml:space="preserve">
</t>
        </r>
      </text>
    </comment>
    <comment ref="DU94" authorId="7">
      <text>
        <r>
          <rPr>
            <b/>
            <sz val="9"/>
            <color indexed="81"/>
            <rFont val="Tahoma"/>
            <family val="2"/>
          </rPr>
          <t>Cassel, Lauren (Research):</t>
        </r>
        <r>
          <rPr>
            <sz val="9"/>
            <color indexed="81"/>
            <rFont val="Tahoma"/>
            <family val="2"/>
          </rPr>
          <t xml:space="preserve">
includes about $80M of real estate gains</t>
        </r>
      </text>
    </comment>
    <comment ref="DZ94" authorId="7">
      <text>
        <r>
          <rPr>
            <b/>
            <sz val="9"/>
            <color indexed="81"/>
            <rFont val="Tahoma"/>
            <family val="2"/>
          </rPr>
          <t>Cassel, Lauren (Research):</t>
        </r>
        <r>
          <rPr>
            <sz val="9"/>
            <color indexed="81"/>
            <rFont val="Tahoma"/>
            <family val="2"/>
          </rPr>
          <t xml:space="preserve">
2/23/17: expecting slightly over $100M of real estate gains</t>
        </r>
      </text>
    </comment>
    <comment ref="EE94" authorId="11">
      <text>
        <r>
          <rPr>
            <b/>
            <sz val="9"/>
            <color indexed="81"/>
            <rFont val="Tahoma"/>
            <family val="2"/>
          </rPr>
          <t>De Courreges, Edouard (Research):</t>
        </r>
        <r>
          <rPr>
            <sz val="9"/>
            <color indexed="81"/>
            <rFont val="Tahoma"/>
            <family val="2"/>
          </rPr>
          <t xml:space="preserve">
3/2/18: expect $50-60M real estate, driven by Milwaukee DC sale</t>
        </r>
      </text>
    </comment>
    <comment ref="DK110" authorId="6">
      <text>
        <r>
          <rPr>
            <b/>
            <sz val="9"/>
            <color indexed="81"/>
            <rFont val="Tahoma"/>
            <family val="2"/>
          </rPr>
          <t>Baglione, Gregory  (Research):</t>
        </r>
        <r>
          <rPr>
            <sz val="9"/>
            <color indexed="81"/>
            <rFont val="Tahoma"/>
            <family val="2"/>
          </rPr>
          <t xml:space="preserve">
Company does not include resturcturing and management transition in EBITDA, only loss on extinguishment of debt</t>
        </r>
      </text>
    </comment>
    <comment ref="DK111" authorId="6">
      <text>
        <r>
          <rPr>
            <b/>
            <sz val="9"/>
            <color indexed="81"/>
            <rFont val="Tahoma"/>
            <family val="2"/>
          </rPr>
          <t>Baglione, Gregory  (Research):</t>
        </r>
        <r>
          <rPr>
            <sz val="9"/>
            <color indexed="81"/>
            <rFont val="Tahoma"/>
            <family val="2"/>
          </rPr>
          <t xml:space="preserve">
Company does not include resturcturing and management transition in EBITDA, only loss on extinguishment of debt</t>
        </r>
      </text>
    </comment>
    <comment ref="DK112" authorId="6">
      <text>
        <r>
          <rPr>
            <b/>
            <sz val="9"/>
            <color indexed="81"/>
            <rFont val="Tahoma"/>
            <family val="2"/>
          </rPr>
          <t>Baglione, Gregory  (Research):</t>
        </r>
        <r>
          <rPr>
            <sz val="9"/>
            <color indexed="81"/>
            <rFont val="Tahoma"/>
            <family val="2"/>
          </rPr>
          <t xml:space="preserve">
Company does not include resturcturing and management transition in EBITDA, only loss on extinguishment of debt</t>
        </r>
      </text>
    </comment>
    <comment ref="DZ112" authorId="11">
      <text>
        <r>
          <rPr>
            <b/>
            <sz val="9"/>
            <color indexed="81"/>
            <rFont val="Tahoma"/>
            <family val="2"/>
          </rPr>
          <t>De Courreges, Edouard (Research):</t>
        </r>
        <r>
          <rPr>
            <sz val="9"/>
            <color indexed="81"/>
            <rFont val="Tahoma"/>
            <family val="2"/>
          </rPr>
          <t xml:space="preserve">
12/11/17:+52 restructuring and management transition charges +7 pension -3 proportional share of NI from JV</t>
        </r>
      </text>
    </comment>
    <comment ref="DP114" authorId="5">
      <text>
        <r>
          <rPr>
            <b/>
            <sz val="9"/>
            <color indexed="81"/>
            <rFont val="Tahoma"/>
            <family val="2"/>
          </rPr>
          <t>casselau:</t>
        </r>
        <r>
          <rPr>
            <sz val="9"/>
            <color indexed="81"/>
            <rFont val="Tahoma"/>
            <family val="2"/>
          </rPr>
          <t xml:space="preserve">
5/13/15: $600M
1/7/15
Company plans to achieve its $645M adj. EBITDA guidance and generate positive free cash flow</t>
        </r>
      </text>
    </comment>
    <comment ref="DU114" authorId="6">
      <text>
        <r>
          <rPr>
            <b/>
            <sz val="9"/>
            <color indexed="81"/>
            <rFont val="Tahoma"/>
            <family val="2"/>
          </rPr>
          <t>Baglione, Gregory  (Research):</t>
        </r>
        <r>
          <rPr>
            <sz val="9"/>
            <color indexed="81"/>
            <rFont val="Tahoma"/>
            <family val="2"/>
          </rPr>
          <t xml:space="preserve">
5/13/16
EBITDA guidance unchanged $1B. However management noted "And let me add that while we feel very good about the initiatives that we will roll out in the remainder of the year, we believe we can achieve our
EBITDA target of $1 billion with a comparable store sales increase of 1.5% for the full year."
</t>
        </r>
      </text>
    </comment>
    <comment ref="CE120" authorId="0">
      <text>
        <r>
          <rPr>
            <b/>
            <sz val="8"/>
            <color indexed="81"/>
            <rFont val="Tahoma"/>
            <family val="2"/>
          </rPr>
          <t>mgmt guidance of $40-$45M per quarter</t>
        </r>
        <r>
          <rPr>
            <sz val="8"/>
            <color indexed="81"/>
            <rFont val="Tahoma"/>
            <family val="2"/>
          </rPr>
          <t xml:space="preserve">
lower than expected interest expense contributed to raised eps estimates following April sales</t>
        </r>
      </text>
    </comment>
    <comment ref="CI120" authorId="1">
      <text>
        <r>
          <rPr>
            <b/>
            <sz val="8"/>
            <color indexed="81"/>
            <rFont val="Tahoma"/>
            <family val="2"/>
          </rPr>
          <t>2/22/07: Guidance
$36-38M per quarter</t>
        </r>
      </text>
    </comment>
    <comment ref="CM120" authorId="1">
      <text>
        <r>
          <rPr>
            <b/>
            <sz val="8"/>
            <color indexed="81"/>
            <rFont val="Tahoma"/>
            <family val="2"/>
          </rPr>
          <t xml:space="preserve">2/21/08: Guidance
</t>
        </r>
        <r>
          <rPr>
            <sz val="8"/>
            <color indexed="81"/>
            <rFont val="Tahoma"/>
            <family val="2"/>
          </rPr>
          <t>$55-60M per quarter reflecting lower interest income from low short-term investment rates</t>
        </r>
      </text>
    </comment>
    <comment ref="CQ120" authorId="0">
      <text>
        <r>
          <rPr>
            <b/>
            <sz val="8"/>
            <color indexed="81"/>
            <rFont val="Tahoma"/>
            <family val="2"/>
          </rPr>
          <t>Guidance: 2/20/2009</t>
        </r>
        <r>
          <rPr>
            <sz val="8"/>
            <color indexed="81"/>
            <rFont val="Tahoma"/>
            <family val="2"/>
          </rPr>
          <t xml:space="preserve">
$65M</t>
        </r>
      </text>
    </comment>
    <comment ref="CU120" authorId="2">
      <text>
        <r>
          <rPr>
            <b/>
            <sz val="8"/>
            <color indexed="81"/>
            <rFont val="Tahoma"/>
            <family val="2"/>
          </rPr>
          <t xml:space="preserve">Guidance 2/19/10:
</t>
        </r>
        <r>
          <rPr>
            <sz val="8"/>
            <color indexed="81"/>
            <rFont val="Tahoma"/>
            <family val="2"/>
          </rPr>
          <t>~$59mn</t>
        </r>
        <r>
          <rPr>
            <sz val="8"/>
            <color indexed="81"/>
            <rFont val="Tahoma"/>
            <family val="2"/>
          </rPr>
          <t xml:space="preserve">
</t>
        </r>
      </text>
    </comment>
    <comment ref="CY120" authorId="2">
      <text>
        <r>
          <rPr>
            <b/>
            <sz val="8"/>
            <color indexed="81"/>
            <rFont val="Tahoma"/>
            <family val="2"/>
          </rPr>
          <t xml:space="preserve">Guidance 5/5/11:
Within Real estate and other:
</t>
        </r>
        <r>
          <rPr>
            <sz val="8"/>
            <color indexed="81"/>
            <rFont val="Tahoma"/>
            <family val="2"/>
          </rPr>
          <t xml:space="preserve">1 cent = restructuring re supply chain (newly announced)
1 cent = restructuring re store/outlet closing/catalog closings (old)
</t>
        </r>
        <r>
          <rPr>
            <b/>
            <sz val="8"/>
            <color indexed="81"/>
            <rFont val="Tahoma"/>
            <family val="2"/>
          </rPr>
          <t>Within Net Interest:</t>
        </r>
        <r>
          <rPr>
            <sz val="8"/>
            <color indexed="81"/>
            <rFont val="Tahoma"/>
            <family val="2"/>
          </rPr>
          <t xml:space="preserve">
2 cents = credit facility renewal
</t>
        </r>
        <r>
          <rPr>
            <b/>
            <sz val="8"/>
            <color indexed="81"/>
            <rFont val="Tahoma"/>
            <family val="2"/>
          </rPr>
          <t xml:space="preserve">Total of 4 cents ($16M) of 1x items in Qtr
Guidance of $0.24 includes the 4 cent hit
</t>
        </r>
        <r>
          <rPr>
            <b/>
            <sz val="8"/>
            <color indexed="81"/>
            <rFont val="Tahoma"/>
            <family val="2"/>
          </rPr>
          <t xml:space="preserve">
</t>
        </r>
        <r>
          <rPr>
            <sz val="8"/>
            <color indexed="81"/>
            <rFont val="Tahoma"/>
            <family val="2"/>
          </rPr>
          <t xml:space="preserve">***We ignore 2 cents re non comparable SG&amp;A expense related to new growth initiatives (Foundry, Gifting Grace, CLAD) announced on 1Q call
</t>
        </r>
        <r>
          <rPr>
            <b/>
            <sz val="8"/>
            <color indexed="81"/>
            <rFont val="Tahoma"/>
            <family val="2"/>
          </rPr>
          <t xml:space="preserve">
Guidance 2/25/11:
</t>
        </r>
        <r>
          <rPr>
            <sz val="8"/>
            <color indexed="81"/>
            <rFont val="Tahoma"/>
            <family val="2"/>
          </rPr>
          <t>Interest expense build-up:
1) Run Rate of interest = $58m
***JCP will report 2 cents add'l expense re renewal of credit facility ($8m pre-tax impact)
So GAAP interest expense will be in mid $60s in 1Q11</t>
        </r>
      </text>
    </comment>
    <comment ref="DC120" authorId="3">
      <text>
        <r>
          <rPr>
            <b/>
            <sz val="8"/>
            <color indexed="81"/>
            <rFont val="Tahoma"/>
            <family val="2"/>
          </rPr>
          <t xml:space="preserve">Per 2011 10K 
</t>
        </r>
        <r>
          <rPr>
            <sz val="8"/>
            <color indexed="81"/>
            <rFont val="Tahoma"/>
            <family val="2"/>
          </rPr>
          <t>Wgtd avg interest rate at y/e = 7.1%</t>
        </r>
      </text>
    </comment>
    <comment ref="DG120" authorId="3">
      <text>
        <r>
          <rPr>
            <b/>
            <sz val="8"/>
            <color indexed="81"/>
            <rFont val="Tahoma"/>
            <family val="2"/>
          </rPr>
          <t xml:space="preserve">4/15/13: </t>
        </r>
        <r>
          <rPr>
            <sz val="8"/>
            <color indexed="81"/>
            <rFont val="Tahoma"/>
            <family val="2"/>
          </rPr>
          <t>Drew $850M of its $1.85Bn line; proceeds fund working capital and capex. Rate on line =5.25%) (2 wks of 13 week qtr)</t>
        </r>
        <r>
          <rPr>
            <b/>
            <sz val="8"/>
            <color indexed="81"/>
            <rFont val="Tahoma"/>
            <family val="2"/>
          </rPr>
          <t xml:space="preserve">
2/13/2013:</t>
        </r>
        <r>
          <rPr>
            <sz val="8"/>
            <color indexed="81"/>
            <rFont val="Tahoma"/>
            <family val="2"/>
          </rPr>
          <t xml:space="preserve"> Repaid $230M of 9% notes LY in August</t>
        </r>
      </text>
    </comment>
    <comment ref="CE121" authorId="0">
      <text>
        <r>
          <rPr>
            <b/>
            <sz val="8"/>
            <color indexed="81"/>
            <rFont val="Tahoma"/>
            <family val="2"/>
          </rPr>
          <t>mgmt guidance of $40M</t>
        </r>
        <r>
          <rPr>
            <sz val="8"/>
            <color indexed="81"/>
            <rFont val="Tahoma"/>
            <family val="2"/>
          </rPr>
          <t xml:space="preserve">
(should continue to benefit from rise at short end of curve, positive for cash)</t>
        </r>
      </text>
    </comment>
    <comment ref="CI121" authorId="1">
      <text>
        <r>
          <rPr>
            <b/>
            <sz val="8"/>
            <color indexed="81"/>
            <rFont val="Tahoma"/>
            <family val="2"/>
          </rPr>
          <t>Guidance: 5/17/2007
$37M
2/22/07: $36-38M per quarter</t>
        </r>
      </text>
    </comment>
    <comment ref="CM121" authorId="1">
      <text>
        <r>
          <rPr>
            <b/>
            <sz val="8"/>
            <color indexed="81"/>
            <rFont val="Tahoma"/>
            <family val="2"/>
          </rPr>
          <t xml:space="preserve">5/15/08: Guidance
</t>
        </r>
        <r>
          <rPr>
            <sz val="8"/>
            <color indexed="81"/>
            <rFont val="Tahoma"/>
            <family val="2"/>
          </rPr>
          <t xml:space="preserve">~$60mm
</t>
        </r>
        <r>
          <rPr>
            <b/>
            <sz val="8"/>
            <color indexed="81"/>
            <rFont val="Tahoma"/>
            <family val="2"/>
          </rPr>
          <t xml:space="preserve">
2/21/08: Guidance
</t>
        </r>
        <r>
          <rPr>
            <sz val="8"/>
            <color indexed="81"/>
            <rFont val="Tahoma"/>
            <family val="2"/>
          </rPr>
          <t>$55-60M per quarter reflecting lower interest income from low short-term investment rates</t>
        </r>
      </text>
    </comment>
    <comment ref="CQ121" authorId="0">
      <text>
        <r>
          <rPr>
            <b/>
            <sz val="8"/>
            <color indexed="81"/>
            <rFont val="Tahoma"/>
            <family val="2"/>
          </rPr>
          <t>Guidance: 5/15/2009</t>
        </r>
        <r>
          <rPr>
            <sz val="8"/>
            <color indexed="81"/>
            <rFont val="Tahoma"/>
            <family val="2"/>
          </rPr>
          <t xml:space="preserve">
$66M</t>
        </r>
      </text>
    </comment>
    <comment ref="CU121" authorId="2">
      <text>
        <r>
          <rPr>
            <b/>
            <sz val="8"/>
            <color indexed="81"/>
            <rFont val="Tahoma"/>
            <family val="2"/>
          </rPr>
          <t xml:space="preserve">Guidance 5/25/10:
</t>
        </r>
        <r>
          <rPr>
            <sz val="8"/>
            <color indexed="81"/>
            <rFont val="Tahoma"/>
            <family val="2"/>
          </rPr>
          <t xml:space="preserve">1) Company announces 1x hit of $20M (~ 5 cents) owing to premiums and fees related to $300M tender offer
2) 5 cent impact will be included in GAAP EPS
3) We model to GAAP EPS here
</t>
        </r>
        <r>
          <rPr>
            <b/>
            <sz val="8"/>
            <color indexed="81"/>
            <rFont val="Tahoma"/>
            <family val="2"/>
          </rPr>
          <t xml:space="preserve">
Guidance 5/14/10:
</t>
        </r>
        <r>
          <rPr>
            <sz val="8"/>
            <color indexed="81"/>
            <rFont val="Tahoma"/>
            <family val="2"/>
          </rPr>
          <t>~$56mn</t>
        </r>
        <r>
          <rPr>
            <sz val="8"/>
            <color indexed="81"/>
            <rFont val="Tahoma"/>
            <family val="2"/>
          </rPr>
          <t xml:space="preserve">
</t>
        </r>
      </text>
    </comment>
    <comment ref="CY121" authorId="2">
      <text>
        <r>
          <rPr>
            <b/>
            <sz val="8"/>
            <color indexed="81"/>
            <rFont val="Tahoma"/>
            <family val="2"/>
          </rPr>
          <t xml:space="preserve">Guidance 5/16/11:
</t>
        </r>
        <r>
          <rPr>
            <sz val="8"/>
            <color indexed="81"/>
            <rFont val="Tahoma"/>
            <family val="2"/>
          </rPr>
          <t>$57M Net Interest</t>
        </r>
        <r>
          <rPr>
            <sz val="8"/>
            <color indexed="81"/>
            <rFont val="Tahoma"/>
            <family val="2"/>
          </rPr>
          <t xml:space="preserve">
</t>
        </r>
      </text>
    </comment>
    <comment ref="DC121" authorId="3">
      <text>
        <r>
          <rPr>
            <b/>
            <sz val="8"/>
            <color indexed="81"/>
            <rFont val="Tahoma"/>
            <family val="2"/>
          </rPr>
          <t xml:space="preserve">Per 2011 10K 
</t>
        </r>
        <r>
          <rPr>
            <sz val="8"/>
            <color indexed="81"/>
            <rFont val="Tahoma"/>
            <family val="2"/>
          </rPr>
          <t>Wgtd avg interest rate at y/e = 7.1%</t>
        </r>
      </text>
    </comment>
    <comment ref="DG121" authorId="3">
      <text>
        <r>
          <rPr>
            <b/>
            <sz val="8"/>
            <color indexed="81"/>
            <rFont val="Tahoma"/>
            <family val="2"/>
          </rPr>
          <t xml:space="preserve">8/20/13:  2Q: entered into $2.25B senior secure term loan. Ended the quarter with $1.535 in Cash
4/15/13: </t>
        </r>
        <r>
          <rPr>
            <sz val="8"/>
            <color indexed="81"/>
            <rFont val="Tahoma"/>
            <family val="2"/>
          </rPr>
          <t>Drew $850M of its $1.85Bn line; proceeds fund working capital and capex. Rate on line =5.25%) (2 wks of 13 week qtr)</t>
        </r>
        <r>
          <rPr>
            <b/>
            <sz val="8"/>
            <color indexed="81"/>
            <rFont val="Tahoma"/>
            <family val="2"/>
          </rPr>
          <t xml:space="preserve">
2/13/2013:</t>
        </r>
        <r>
          <rPr>
            <sz val="8"/>
            <color indexed="81"/>
            <rFont val="Tahoma"/>
            <family val="2"/>
          </rPr>
          <t xml:space="preserve"> Repaid $230M of 9% notes LY in August</t>
        </r>
      </text>
    </comment>
    <comment ref="DZ121" authorId="11">
      <text>
        <r>
          <rPr>
            <b/>
            <sz val="9"/>
            <color indexed="81"/>
            <rFont val="Tahoma"/>
            <family val="2"/>
          </rPr>
          <t>De Courreges, Edouard (Research):</t>
        </r>
        <r>
          <rPr>
            <sz val="9"/>
            <color indexed="81"/>
            <rFont val="Tahoma"/>
            <family val="2"/>
          </rPr>
          <t xml:space="preserve">
8/11/17: retirement of these bonds is
expected to contribute annualized interest expense saving of approximately $23 million</t>
        </r>
      </text>
    </comment>
    <comment ref="BW122" authorId="20">
      <text>
        <r>
          <rPr>
            <b/>
            <sz val="8"/>
            <color indexed="81"/>
            <rFont val="Tahoma"/>
            <family val="2"/>
          </rPr>
          <t>gfowlkes:</t>
        </r>
        <r>
          <rPr>
            <sz val="8"/>
            <color indexed="81"/>
            <rFont val="Tahoma"/>
            <family val="2"/>
          </rPr>
          <t xml:space="preserve">
$5m lower than original plan due to higher Fed rates</t>
        </r>
      </text>
    </comment>
    <comment ref="CA122" authorId="0">
      <text>
        <r>
          <rPr>
            <b/>
            <sz val="8"/>
            <color indexed="81"/>
            <rFont val="Tahoma"/>
            <family val="2"/>
          </rPr>
          <t>mgmt expects interest expense of $45-50M in 3Q</t>
        </r>
        <r>
          <rPr>
            <sz val="8"/>
            <color indexed="81"/>
            <rFont val="Tahoma"/>
            <family val="2"/>
          </rPr>
          <t xml:space="preserve">
</t>
        </r>
      </text>
    </comment>
    <comment ref="CE122" authorId="17">
      <text>
        <r>
          <rPr>
            <b/>
            <sz val="8"/>
            <color indexed="81"/>
            <rFont val="Tahoma"/>
            <family val="2"/>
          </rPr>
          <t>Guidance: 8/10/2006
$40M</t>
        </r>
      </text>
    </comment>
    <comment ref="CI122" authorId="1">
      <text>
        <r>
          <rPr>
            <sz val="8"/>
            <color indexed="81"/>
            <rFont val="Tahoma"/>
            <family val="2"/>
          </rPr>
          <t>Guidance 8/16/2007: $43M
$36-38M per quarter</t>
        </r>
      </text>
    </comment>
    <comment ref="CM122" authorId="1">
      <text>
        <r>
          <rPr>
            <b/>
            <sz val="8"/>
            <color indexed="81"/>
            <rFont val="Tahoma"/>
            <family val="2"/>
          </rPr>
          <t xml:space="preserve">8/15/08: Guidance
</t>
        </r>
        <r>
          <rPr>
            <sz val="8"/>
            <color indexed="81"/>
            <rFont val="Tahoma"/>
            <family val="2"/>
          </rPr>
          <t>$60mm</t>
        </r>
        <r>
          <rPr>
            <b/>
            <sz val="8"/>
            <color indexed="81"/>
            <rFont val="Tahoma"/>
            <family val="2"/>
          </rPr>
          <t xml:space="preserve">
2/21/08: Guidance
</t>
        </r>
        <r>
          <rPr>
            <sz val="8"/>
            <color indexed="81"/>
            <rFont val="Tahoma"/>
            <family val="2"/>
          </rPr>
          <t>$55-60M per quarter reflecting lower interest income from low short-term investment rates</t>
        </r>
      </text>
    </comment>
    <comment ref="CQ122" authorId="15">
      <text>
        <r>
          <rPr>
            <b/>
            <sz val="8"/>
            <color indexed="81"/>
            <rFont val="Tahoma"/>
            <family val="2"/>
          </rPr>
          <t xml:space="preserve">Guidance: 8/14/09
</t>
        </r>
        <r>
          <rPr>
            <sz val="8"/>
            <color indexed="81"/>
            <rFont val="Tahoma"/>
            <family val="2"/>
          </rPr>
          <t>~$66M</t>
        </r>
      </text>
    </comment>
    <comment ref="CU122" authorId="16">
      <text>
        <r>
          <rPr>
            <b/>
            <sz val="8"/>
            <color indexed="81"/>
            <rFont val="Tahoma"/>
            <family val="2"/>
          </rPr>
          <t>Guidance - 8/13/10:</t>
        </r>
        <r>
          <rPr>
            <sz val="8"/>
            <color indexed="81"/>
            <rFont val="Tahoma"/>
            <family val="2"/>
          </rPr>
          <t xml:space="preserve">
3Q: $57 million</t>
        </r>
      </text>
    </comment>
    <comment ref="CY122" authorId="2">
      <text>
        <r>
          <rPr>
            <b/>
            <sz val="8"/>
            <color indexed="81"/>
            <rFont val="Tahoma"/>
            <family val="2"/>
          </rPr>
          <t xml:space="preserve">Guidance 8/12/11:
</t>
        </r>
        <r>
          <rPr>
            <sz val="8"/>
            <color indexed="81"/>
            <rFont val="Tahoma"/>
            <family val="2"/>
          </rPr>
          <t>$57M Net Interest</t>
        </r>
        <r>
          <rPr>
            <sz val="8"/>
            <color indexed="81"/>
            <rFont val="Tahoma"/>
            <family val="2"/>
          </rPr>
          <t xml:space="preserve">
</t>
        </r>
      </text>
    </comment>
    <comment ref="DG122" authorId="3">
      <text>
        <r>
          <rPr>
            <b/>
            <sz val="8"/>
            <color indexed="81"/>
            <rFont val="Tahoma"/>
            <family val="2"/>
          </rPr>
          <t xml:space="preserve">8/20/13:  2Q: entered into $2.25B senior secure term loan. Ended the quarter with $1.535 in Cash
4/15/13: </t>
        </r>
        <r>
          <rPr>
            <sz val="8"/>
            <color indexed="81"/>
            <rFont val="Tahoma"/>
            <family val="2"/>
          </rPr>
          <t>Drew $850M of its $1.85Bn line; proceeds fund working capital and capex. Rate on line =5.25%) (2 wks of 13 week qtr)</t>
        </r>
        <r>
          <rPr>
            <b/>
            <sz val="8"/>
            <color indexed="81"/>
            <rFont val="Tahoma"/>
            <family val="2"/>
          </rPr>
          <t xml:space="preserve">
2/13/2013:</t>
        </r>
        <r>
          <rPr>
            <sz val="8"/>
            <color indexed="81"/>
            <rFont val="Tahoma"/>
            <family val="2"/>
          </rPr>
          <t xml:space="preserve"> Repaid $230M of 9% notes LY in August</t>
        </r>
      </text>
    </comment>
    <comment ref="DU122" authorId="6">
      <text>
        <r>
          <rPr>
            <b/>
            <sz val="9"/>
            <color indexed="81"/>
            <rFont val="Tahoma"/>
            <family val="2"/>
          </rPr>
          <t>Baglione, Gregory  (Research):</t>
        </r>
        <r>
          <rPr>
            <sz val="9"/>
            <color indexed="81"/>
            <rFont val="Tahoma"/>
            <family val="2"/>
          </rPr>
          <t xml:space="preserve">
6/23/16
Per management ~$12M reduction to 2016 interest from result of term loan refi. ~$370M is fair estimate</t>
        </r>
      </text>
    </comment>
    <comment ref="CE123" authorId="17">
      <text>
        <r>
          <rPr>
            <b/>
            <sz val="8"/>
            <color indexed="81"/>
            <rFont val="Tahoma"/>
            <family val="2"/>
          </rPr>
          <t>Guidance: 11/9/2006
$32M
Guidance: 8/10/2006
$40M</t>
        </r>
      </text>
    </comment>
    <comment ref="CI123" authorId="1">
      <text>
        <r>
          <rPr>
            <sz val="8"/>
            <color indexed="81"/>
            <rFont val="Tahoma"/>
            <family val="2"/>
          </rPr>
          <t>11/15/2007: $43M
2/22/07: $36-38M per quarter</t>
        </r>
      </text>
    </comment>
    <comment ref="CM123" authorId="1">
      <text>
        <r>
          <rPr>
            <b/>
            <sz val="8"/>
            <color indexed="81"/>
            <rFont val="Tahoma"/>
            <family val="2"/>
          </rPr>
          <t xml:space="preserve">11/13/2008
</t>
        </r>
        <r>
          <rPr>
            <sz val="8"/>
            <color indexed="81"/>
            <rFont val="Tahoma"/>
            <family val="2"/>
          </rPr>
          <t xml:space="preserve">~$60m
</t>
        </r>
        <r>
          <rPr>
            <b/>
            <sz val="8"/>
            <color indexed="81"/>
            <rFont val="Tahoma"/>
            <family val="2"/>
          </rPr>
          <t xml:space="preserve">
2/21/08: Guidance
</t>
        </r>
        <r>
          <rPr>
            <sz val="8"/>
            <color indexed="81"/>
            <rFont val="Tahoma"/>
            <family val="2"/>
          </rPr>
          <t>$55-60M per quarter reflecting lower interest income from low short-term investment rates</t>
        </r>
      </text>
    </comment>
    <comment ref="CQ123" authorId="2">
      <text>
        <r>
          <rPr>
            <b/>
            <sz val="8"/>
            <color indexed="81"/>
            <rFont val="Tahoma"/>
            <family val="2"/>
          </rPr>
          <t xml:space="preserve">Guidance 11/13/09: </t>
        </r>
        <r>
          <rPr>
            <sz val="8"/>
            <color indexed="81"/>
            <rFont val="Tahoma"/>
            <family val="2"/>
          </rPr>
          <t>Approx $66mn</t>
        </r>
        <r>
          <rPr>
            <b/>
            <sz val="8"/>
            <color indexed="81"/>
            <rFont val="Tahoma"/>
            <family val="2"/>
          </rPr>
          <t xml:space="preserve">
</t>
        </r>
        <r>
          <rPr>
            <sz val="8"/>
            <color indexed="81"/>
            <rFont val="Tahoma"/>
            <family val="2"/>
          </rPr>
          <t xml:space="preserve">
</t>
        </r>
      </text>
    </comment>
    <comment ref="CU123" authorId="16">
      <text>
        <r>
          <rPr>
            <b/>
            <sz val="8"/>
            <color indexed="81"/>
            <rFont val="Tahoma"/>
            <family val="2"/>
          </rPr>
          <t>Guidance 11/12/10:</t>
        </r>
        <r>
          <rPr>
            <sz val="8"/>
            <color indexed="81"/>
            <rFont val="Tahoma"/>
            <family val="2"/>
          </rPr>
          <t xml:space="preserve">
$58 million</t>
        </r>
      </text>
    </comment>
    <comment ref="DG123" authorId="3">
      <text>
        <r>
          <rPr>
            <b/>
            <sz val="8"/>
            <color indexed="81"/>
            <rFont val="Tahoma"/>
            <family val="2"/>
          </rPr>
          <t>5/22/2013:</t>
        </r>
        <r>
          <rPr>
            <sz val="8"/>
            <color indexed="81"/>
            <rFont val="Tahoma"/>
            <family val="2"/>
          </rPr>
          <t xml:space="preserve"> Issued $2.250 term loan (L+5%) and redeemed $242.782M 71/8% notes</t>
        </r>
        <r>
          <rPr>
            <b/>
            <sz val="8"/>
            <color indexed="81"/>
            <rFont val="Tahoma"/>
            <family val="2"/>
          </rPr>
          <t xml:space="preserve">
4/15/13:</t>
        </r>
        <r>
          <rPr>
            <sz val="8"/>
            <color indexed="81"/>
            <rFont val="Tahoma"/>
            <family val="2"/>
          </rPr>
          <t xml:space="preserve"> Drew $850M of its $1.85Bn line; proceeds fund working capital and capex. Rate on line = 5.25%
</t>
        </r>
        <r>
          <rPr>
            <b/>
            <sz val="8"/>
            <color indexed="81"/>
            <rFont val="Tahoma"/>
            <family val="2"/>
          </rPr>
          <t>2/13/2013:</t>
        </r>
        <r>
          <rPr>
            <sz val="8"/>
            <color indexed="81"/>
            <rFont val="Tahoma"/>
            <family val="2"/>
          </rPr>
          <t xml:space="preserve"> Repaid $230M of 9% notes LY in August
Notes: 3Q WC Changes / CapEx
2012: +$99M 
2011: -$544 / -$174
2010: -$334 / -$151
</t>
        </r>
      </text>
    </comment>
    <comment ref="DU123" authorId="6">
      <text>
        <r>
          <rPr>
            <b/>
            <sz val="9"/>
            <color indexed="81"/>
            <rFont val="Tahoma"/>
            <family val="2"/>
          </rPr>
          <t>Baglione, Gregory  (Research):</t>
        </r>
        <r>
          <rPr>
            <sz val="9"/>
            <color indexed="81"/>
            <rFont val="Tahoma"/>
            <family val="2"/>
          </rPr>
          <t xml:space="preserve">
6/23/16
Per management ~$12M reduction to 2016 interest from result of term loan refi. ~$370M is fair estimate</t>
        </r>
      </text>
    </comment>
    <comment ref="CE124" authorId="0">
      <text>
        <r>
          <rPr>
            <b/>
            <sz val="8"/>
            <color indexed="81"/>
            <rFont val="Tahoma"/>
            <family val="2"/>
          </rPr>
          <t>mgmt guidance of $170M for the year</t>
        </r>
        <r>
          <rPr>
            <sz val="8"/>
            <color indexed="81"/>
            <rFont val="Tahoma"/>
            <family val="2"/>
          </rPr>
          <t xml:space="preserve">
</t>
        </r>
      </text>
    </comment>
    <comment ref="CU124" authorId="2">
      <text>
        <r>
          <rPr>
            <b/>
            <sz val="8"/>
            <color indexed="81"/>
            <rFont val="Tahoma"/>
            <family val="2"/>
          </rPr>
          <t xml:space="preserve">Guidance 5/25/10:
</t>
        </r>
        <r>
          <rPr>
            <sz val="8"/>
            <color indexed="81"/>
            <rFont val="Tahoma"/>
            <family val="2"/>
          </rPr>
          <t>Taking into account completion of $300M tender offer offset by $400M debt issuance, 2010 net interest expense expected to be $231M</t>
        </r>
        <r>
          <rPr>
            <b/>
            <sz val="8"/>
            <color indexed="81"/>
            <rFont val="Tahoma"/>
            <family val="2"/>
          </rPr>
          <t xml:space="preserve">
Guidance 2/19/10:
</t>
        </r>
        <r>
          <rPr>
            <sz val="8"/>
            <color indexed="81"/>
            <rFont val="Tahoma"/>
            <family val="2"/>
          </rPr>
          <t>~$230mn</t>
        </r>
        <r>
          <rPr>
            <sz val="8"/>
            <color indexed="81"/>
            <rFont val="Tahoma"/>
            <family val="2"/>
          </rPr>
          <t xml:space="preserve">
</t>
        </r>
      </text>
    </comment>
    <comment ref="DP124" authorId="5">
      <text>
        <r>
          <rPr>
            <b/>
            <sz val="9"/>
            <color indexed="81"/>
            <rFont val="Tahoma"/>
            <family val="2"/>
          </rPr>
          <t>casselau:</t>
        </r>
        <r>
          <rPr>
            <sz val="9"/>
            <color indexed="81"/>
            <rFont val="Tahoma"/>
            <family val="2"/>
          </rPr>
          <t xml:space="preserve">
2/26/15: guidance $415M
8/14/15 Guidance $415M
11/11/13
Interest expense: approximately $415 million;</t>
        </r>
      </text>
    </comment>
    <comment ref="DU124" authorId="6">
      <text>
        <r>
          <rPr>
            <b/>
            <sz val="9"/>
            <color indexed="81"/>
            <rFont val="Tahoma"/>
            <family val="2"/>
          </rPr>
          <t>Baglione, Gregory  (Research):</t>
        </r>
        <r>
          <rPr>
            <sz val="9"/>
            <color indexed="81"/>
            <rFont val="Tahoma"/>
            <family val="2"/>
          </rPr>
          <t xml:space="preserve">
8/12/16
Moving on to the balance sheet and capital structure, during the second quarter we completed the refinancing of our $2.2 billion real estate backed term loan previously due in 2018. The term loan was replaced in totality with a $1.7 billion term loan and a $500 million fixed-rate secured bond.
The maturity for both facilities was extended five years, and now both facilities have a 2023 maturity date.
Proceeds from both transactions were used to repay the entire outstanding principal balance of the 2013 term loan. We saved 75 basis points on the new term loan. In addition, we also saved 1/8 of 1% on the secured bond, allowing us to efficiently move another $500 million of floating debt
to fixed.
5/13/16
No change to FY interest expense but more to come on potenial refi hopefully by end fo 2Q.
2/26/16
FY guidance ~$385M
11/13/15
Per discussion with management ~$390-$395M
</t>
        </r>
      </text>
    </comment>
    <comment ref="DZ124" authorId="10">
      <text>
        <r>
          <rPr>
            <sz val="9"/>
            <color indexed="81"/>
            <rFont val="Tahoma"/>
            <family val="2"/>
          </rPr>
          <t>2/23/17: guidance: $330M, excluding any debt retirement premiums</t>
        </r>
      </text>
    </comment>
    <comment ref="EE124" authorId="11">
      <text>
        <r>
          <rPr>
            <b/>
            <sz val="9"/>
            <color indexed="81"/>
            <rFont val="Tahoma"/>
            <family val="2"/>
          </rPr>
          <t>De Courreges, Edouard (Research):</t>
        </r>
        <r>
          <rPr>
            <sz val="9"/>
            <color indexed="81"/>
            <rFont val="Tahoma"/>
            <family val="2"/>
          </rPr>
          <t xml:space="preserve">
3/2/18: $300M guide</t>
        </r>
      </text>
    </comment>
    <comment ref="CA130" authorId="0">
      <text>
        <r>
          <rPr>
            <sz val="8"/>
            <color indexed="81"/>
            <rFont val="Tahoma"/>
            <family val="2"/>
          </rPr>
          <t>pre-tax charge of $13M related to repurchase of debt in open market,
$22M in gain from sale of real estate</t>
        </r>
      </text>
    </comment>
    <comment ref="CY130" authorId="2">
      <text>
        <r>
          <rPr>
            <b/>
            <sz val="8"/>
            <color indexed="81"/>
            <rFont val="Tahoma"/>
            <family val="2"/>
          </rPr>
          <t xml:space="preserve">Comment 5/16/11:
</t>
        </r>
        <r>
          <rPr>
            <sz val="8"/>
            <color indexed="81"/>
            <rFont val="Tahoma"/>
            <family val="2"/>
          </rPr>
          <t xml:space="preserve">Slide deck p. 9 
$3M exit of catalog
$3M Supply chain ops
$3M 2010 YE Strategic Actions
</t>
        </r>
        <r>
          <rPr>
            <b/>
            <sz val="8"/>
            <color indexed="81"/>
            <rFont val="Tahoma"/>
            <family val="2"/>
          </rPr>
          <t>$9M total PRE-TAX; $5.4M After Tax</t>
        </r>
        <r>
          <rPr>
            <sz val="8"/>
            <color indexed="81"/>
            <rFont val="Tahoma"/>
            <family val="2"/>
          </rPr>
          <t xml:space="preserve">
</t>
        </r>
        <r>
          <rPr>
            <b/>
            <sz val="8"/>
            <color indexed="81"/>
            <rFont val="Tahoma"/>
            <family val="2"/>
          </rPr>
          <t xml:space="preserve">
Guidance 5/5/11:
</t>
        </r>
        <r>
          <rPr>
            <sz val="8"/>
            <color indexed="81"/>
            <rFont val="Tahoma"/>
            <family val="2"/>
          </rPr>
          <t xml:space="preserve">We add in additional $4M pre-tax/$2.5M after tax restructuring charge re supply chain initiatives, which equates to 1 cent as disclosed
</t>
        </r>
        <r>
          <rPr>
            <b/>
            <sz val="8"/>
            <color indexed="81"/>
            <rFont val="Tahoma"/>
            <family val="2"/>
          </rPr>
          <t xml:space="preserve">
Guidance 1/24/11:
</t>
        </r>
        <r>
          <rPr>
            <sz val="8"/>
            <color indexed="81"/>
            <rFont val="Tahoma"/>
            <family val="2"/>
          </rPr>
          <t xml:space="preserve">1) Treats as extraordinary:
a) 1 cent hit re restructuring charges re: announcements on 1/24 related to store and outlet closings ($2.5M after tax). For the rest of the year, there will be an additional 4 cents hit, although we do not know timing.  We have assumed 2Q and 3Q.
</t>
        </r>
        <r>
          <rPr>
            <b/>
            <sz val="8"/>
            <color indexed="81"/>
            <rFont val="Tahoma"/>
            <family val="2"/>
          </rPr>
          <t>Flows through real estate and other.</t>
        </r>
        <r>
          <rPr>
            <sz val="8"/>
            <color indexed="81"/>
            <rFont val="Tahoma"/>
            <family val="2"/>
          </rPr>
          <t xml:space="preserve">
b) 2 cents hit re credit facility ($4.5M after tax); only hitting in 1Q.
</t>
        </r>
        <r>
          <rPr>
            <b/>
            <sz val="8"/>
            <color indexed="81"/>
            <rFont val="Tahoma"/>
            <family val="2"/>
          </rPr>
          <t>Flows through interest expense.</t>
        </r>
        <r>
          <rPr>
            <sz val="8"/>
            <color indexed="81"/>
            <rFont val="Tahoma"/>
            <family val="2"/>
          </rPr>
          <t xml:space="preserve">
</t>
        </r>
      </text>
    </comment>
    <comment ref="DC130" authorId="3">
      <text>
        <r>
          <rPr>
            <b/>
            <sz val="8"/>
            <color indexed="81"/>
            <rFont val="Tahoma"/>
            <family val="2"/>
          </rPr>
          <t xml:space="preserve">5/15/2012 Comment
</t>
        </r>
        <r>
          <rPr>
            <sz val="8"/>
            <color indexed="81"/>
            <rFont val="Tahoma"/>
            <family val="2"/>
          </rPr>
          <t>Unusuals include:
1) $53M gross margin reserve (excluded from GM)</t>
        </r>
        <r>
          <rPr>
            <b/>
            <sz val="8"/>
            <color indexed="81"/>
            <rFont val="Tahoma"/>
            <family val="2"/>
          </rPr>
          <t xml:space="preserve">
</t>
        </r>
        <r>
          <rPr>
            <sz val="8"/>
            <color indexed="81"/>
            <rFont val="Tahoma"/>
            <family val="2"/>
          </rPr>
          <t>2) Home office &amp; stores expense $45M (13c)
3) Leadership transition $20M (5c)
4) Supply chain $6M (2c)
5) Misc $5M (1c)
($12M of unsuals were non-cash)</t>
        </r>
      </text>
    </comment>
    <comment ref="DG130" authorId="3">
      <text>
        <r>
          <rPr>
            <b/>
            <sz val="8"/>
            <color indexed="81"/>
            <rFont val="Tahoma"/>
            <family val="2"/>
          </rPr>
          <t xml:space="preserve">5/16/2013: </t>
        </r>
        <r>
          <rPr>
            <sz val="8"/>
            <color indexed="81"/>
            <rFont val="Tahoma"/>
            <family val="2"/>
          </rPr>
          <t>Includes</t>
        </r>
        <r>
          <rPr>
            <b/>
            <sz val="8"/>
            <color indexed="81"/>
            <rFont val="Tahoma"/>
            <family val="2"/>
          </rPr>
          <t xml:space="preserve"> </t>
        </r>
        <r>
          <rPr>
            <sz val="8"/>
            <color indexed="81"/>
            <rFont val="Tahoma"/>
            <family val="2"/>
          </rPr>
          <t>$72M of restructuring costs (or $44M net of tax):
1) Home office &amp; stores restructuring costs (8c per share; $28M)
2) Store fixtures $28M  (or 8c)
3) Mgmt transition $16M (or 4c)</t>
        </r>
      </text>
    </comment>
    <comment ref="DU130" authorId="6">
      <text>
        <r>
          <rPr>
            <b/>
            <sz val="9"/>
            <color indexed="81"/>
            <rFont val="Tahoma"/>
            <family val="2"/>
          </rPr>
          <t>Baglione, Gregory  (Research):</t>
        </r>
        <r>
          <rPr>
            <sz val="9"/>
            <color indexed="81"/>
            <rFont val="Tahoma"/>
            <family val="2"/>
          </rPr>
          <t xml:space="preserve">
$4M gain on extinguishment of debt</t>
        </r>
      </text>
    </comment>
    <comment ref="CA131" authorId="0">
      <text>
        <r>
          <rPr>
            <sz val="8"/>
            <color indexed="81"/>
            <rFont val="Tahoma"/>
            <family val="2"/>
          </rPr>
          <t>pre-tax charge of $5M related to repurchase of debt in open market,
$14M in gain from sale of real estate</t>
        </r>
      </text>
    </comment>
    <comment ref="CI131" authorId="17">
      <text>
        <r>
          <rPr>
            <b/>
            <sz val="8"/>
            <color indexed="81"/>
            <rFont val="Tahoma"/>
            <family val="2"/>
          </rPr>
          <t>Guidance: 5/17/2007
$12M pre-tax charge, or $0.03 per share, related to early debt retirement</t>
        </r>
      </text>
    </comment>
    <comment ref="CY131" authorId="2">
      <text>
        <r>
          <rPr>
            <b/>
            <u/>
            <sz val="8"/>
            <color indexed="81"/>
            <rFont val="Tahoma"/>
            <family val="2"/>
          </rPr>
          <t xml:space="preserve">10Q:
</t>
        </r>
        <r>
          <rPr>
            <sz val="8"/>
            <color indexed="81"/>
            <rFont val="Tahoma"/>
            <family val="2"/>
          </rPr>
          <t>$23MM of restructuring costs ($0.07 impact)</t>
        </r>
        <r>
          <rPr>
            <b/>
            <u/>
            <sz val="8"/>
            <color indexed="81"/>
            <rFont val="Tahoma"/>
            <family val="2"/>
          </rPr>
          <t xml:space="preserve">
Guidance 5/16/11:</t>
        </r>
        <r>
          <rPr>
            <b/>
            <sz val="8"/>
            <color indexed="81"/>
            <rFont val="Tahoma"/>
            <family val="2"/>
          </rPr>
          <t xml:space="preserve">
</t>
        </r>
        <r>
          <rPr>
            <b/>
            <sz val="8"/>
            <color indexed="81"/>
            <rFont val="Tahoma"/>
            <family val="2"/>
          </rPr>
          <t>Total of $21M</t>
        </r>
        <r>
          <rPr>
            <sz val="8"/>
            <color indexed="81"/>
            <rFont val="Tahoma"/>
            <family val="2"/>
          </rPr>
          <t xml:space="preserve"> </t>
        </r>
        <r>
          <rPr>
            <b/>
            <sz val="8"/>
            <color indexed="81"/>
            <rFont val="Tahoma"/>
            <family val="2"/>
          </rPr>
          <t xml:space="preserve">pre-tax/ ($0.06 EPS) </t>
        </r>
        <r>
          <rPr>
            <sz val="8"/>
            <color indexed="81"/>
            <rFont val="Tahoma"/>
            <family val="2"/>
          </rPr>
          <t>related to restructuring and other cost saving initiatives:
$1M Exit catalog
$12M Supply Chain
$5M YE Strategic Actions
$3M Other Cost Saves</t>
        </r>
        <r>
          <rPr>
            <b/>
            <sz val="8"/>
            <color indexed="81"/>
            <rFont val="Tahoma"/>
            <family val="2"/>
          </rPr>
          <t xml:space="preserve">
(see p. 9 supplement)
</t>
        </r>
        <r>
          <rPr>
            <b/>
            <u/>
            <sz val="8"/>
            <color indexed="81"/>
            <rFont val="Tahoma"/>
            <family val="2"/>
          </rPr>
          <t>Guidance 1/24/11:</t>
        </r>
        <r>
          <rPr>
            <b/>
            <sz val="8"/>
            <color indexed="81"/>
            <rFont val="Tahoma"/>
            <family val="2"/>
          </rPr>
          <t xml:space="preserve">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DC131" authorId="3">
      <text>
        <r>
          <rPr>
            <b/>
            <sz val="8"/>
            <color indexed="81"/>
            <rFont val="Tahoma"/>
            <family val="2"/>
          </rPr>
          <t xml:space="preserve">8/20/13: </t>
        </r>
        <r>
          <rPr>
            <sz val="8"/>
            <color indexed="81"/>
            <rFont val="Tahoma"/>
            <family val="2"/>
          </rPr>
          <t>taking out $102M Inv markdown (also taken $-102M out of COGS)</t>
        </r>
        <r>
          <rPr>
            <b/>
            <sz val="8"/>
            <color indexed="81"/>
            <rFont val="Tahoma"/>
            <family val="2"/>
          </rPr>
          <t xml:space="preserve">
breakdown: 2Q12: </t>
        </r>
        <r>
          <rPr>
            <sz val="8"/>
            <color indexed="81"/>
            <rFont val="Tahoma"/>
            <family val="2"/>
          </rPr>
          <t xml:space="preserve">Restructing+mgmt transition expense (159)+Inv. Markdown (102) - Redemption of REIT (200)
</t>
        </r>
        <r>
          <rPr>
            <b/>
            <sz val="8"/>
            <color indexed="81"/>
            <rFont val="Tahoma"/>
            <family val="2"/>
          </rPr>
          <t xml:space="preserve">
6/6/2012 10Q Guidance
</t>
        </r>
        <r>
          <rPr>
            <sz val="8"/>
            <color indexed="81"/>
            <rFont val="Tahoma"/>
            <family val="2"/>
          </rPr>
          <t>2Q-4Q items</t>
        </r>
        <r>
          <rPr>
            <b/>
            <sz val="8"/>
            <color indexed="81"/>
            <rFont val="Tahoma"/>
            <family val="2"/>
          </rPr>
          <t xml:space="preserve">
</t>
        </r>
        <r>
          <rPr>
            <sz val="8"/>
            <color indexed="81"/>
            <rFont val="Tahoma"/>
            <family val="2"/>
          </rPr>
          <t>- $10M additional charges related to supply chain
- $60-80M related to home office and stores</t>
        </r>
      </text>
    </comment>
    <comment ref="DG131" authorId="9">
      <text>
        <r>
          <rPr>
            <b/>
            <sz val="8"/>
            <color indexed="81"/>
            <rFont val="Tahoma"/>
            <family val="2"/>
          </rPr>
          <t xml:space="preserve">8/20/13: </t>
        </r>
        <r>
          <rPr>
            <b/>
            <sz val="8"/>
            <color indexed="81"/>
            <rFont val="Tahoma"/>
            <family val="2"/>
          </rPr>
          <t xml:space="preserve">$47M restructing and mgmt transition </t>
        </r>
        <r>
          <rPr>
            <b/>
            <sz val="8"/>
            <color indexed="81"/>
            <rFont val="Tahoma"/>
            <family val="2"/>
          </rPr>
          <t xml:space="preserve">
</t>
        </r>
        <r>
          <rPr>
            <sz val="8"/>
            <color indexed="81"/>
            <rFont val="Tahoma"/>
            <family val="2"/>
          </rPr>
          <t>1) home office and stores $4M</t>
        </r>
        <r>
          <rPr>
            <sz val="8"/>
            <color indexed="81"/>
            <rFont val="Tahoma"/>
            <family val="2"/>
          </rPr>
          <t xml:space="preserve">
2) store fixtures $24M
3) mgmt transition $13M
4) others $6M
+</t>
        </r>
        <r>
          <rPr>
            <b/>
            <sz val="8"/>
            <color indexed="81"/>
            <rFont val="Tahoma"/>
            <family val="2"/>
          </rPr>
          <t>$114M Loss on extinguishment of debt</t>
        </r>
      </text>
    </comment>
    <comment ref="DU131" authorId="6">
      <text>
        <r>
          <rPr>
            <b/>
            <sz val="9"/>
            <color indexed="81"/>
            <rFont val="Tahoma"/>
            <family val="2"/>
          </rPr>
          <t>Baglione, Gregory  (Research):</t>
        </r>
        <r>
          <rPr>
            <sz val="9"/>
            <color indexed="81"/>
            <rFont val="Tahoma"/>
            <family val="2"/>
          </rPr>
          <t xml:space="preserve">
$34M loss on extinguishment of debt</t>
        </r>
      </text>
    </comment>
    <comment ref="CA132" authorId="0">
      <text>
        <r>
          <rPr>
            <b/>
            <sz val="8"/>
            <color indexed="81"/>
            <rFont val="Tahoma"/>
            <family val="2"/>
          </rPr>
          <t>positive 3 cents impact from Visa/MasterCard settlement offset by hurricane related charges</t>
        </r>
        <r>
          <rPr>
            <sz val="8"/>
            <color indexed="81"/>
            <rFont val="Tahoma"/>
            <family val="2"/>
          </rPr>
          <t xml:space="preserve">
</t>
        </r>
      </text>
    </comment>
    <comment ref="CY132" authorId="2">
      <text>
        <r>
          <rPr>
            <b/>
            <sz val="8"/>
            <color indexed="81"/>
            <rFont val="Tahoma"/>
            <family val="2"/>
          </rPr>
          <t>11/14/11 Commentary &amp; 10Q</t>
        </r>
        <r>
          <rPr>
            <b/>
            <u/>
            <sz val="8"/>
            <color indexed="81"/>
            <rFont val="Tahoma"/>
            <family val="2"/>
          </rPr>
          <t xml:space="preserve">
</t>
        </r>
        <r>
          <rPr>
            <sz val="8"/>
            <color indexed="81"/>
            <rFont val="Tahoma"/>
            <family val="2"/>
          </rPr>
          <t>Includes</t>
        </r>
        <r>
          <rPr>
            <b/>
            <u/>
            <sz val="8"/>
            <color indexed="81"/>
            <rFont val="Tahoma"/>
            <family val="2"/>
          </rPr>
          <t xml:space="preserve">
</t>
        </r>
        <r>
          <rPr>
            <sz val="8"/>
            <color indexed="81"/>
            <rFont val="Tahoma"/>
            <family val="2"/>
          </rPr>
          <t xml:space="preserve">1) Disposition of outlet business: $30 million, or $0.09 per share;
2) Voluntary early retirement program:  $179 million, or $0.51 per share;
3) Process Improvements in Supply Chain and Home Office:  $29 million, or $0.08 per share ($16M supply chain - increased depreciation &amp; employee severance, $12M termination benefits, $1M other); and
4) Management transition costs: approximately $27 million, or $0.10 per share ($10M related to Ullman transition comp; $12M signing bonus to Michael Francis; $5M of other (10Q))
Total: $265M, or $0.78/shr (10Q) ($98M of taxes)
</t>
        </r>
        <r>
          <rPr>
            <b/>
            <u/>
            <sz val="8"/>
            <color indexed="81"/>
            <rFont val="Tahoma"/>
            <family val="2"/>
          </rPr>
          <t xml:space="preserve">
Guidance: 10/6/2011
</t>
        </r>
        <r>
          <rPr>
            <sz val="8"/>
            <color indexed="81"/>
            <rFont val="Tahoma"/>
            <family val="2"/>
          </rPr>
          <t>$0.22 of one-time items</t>
        </r>
        <r>
          <rPr>
            <b/>
            <u/>
            <sz val="8"/>
            <color indexed="81"/>
            <rFont val="Tahoma"/>
            <family val="2"/>
          </rPr>
          <t xml:space="preserve">
Guidance 8/12/11:
</t>
        </r>
        <r>
          <rPr>
            <sz val="8"/>
            <color indexed="81"/>
            <rFont val="Tahoma"/>
            <family val="2"/>
          </rPr>
          <t>$19M of 1x items in qtr on pre-tax basis</t>
        </r>
        <r>
          <rPr>
            <b/>
            <u/>
            <sz val="8"/>
            <color indexed="81"/>
            <rFont val="Tahoma"/>
            <family val="2"/>
          </rPr>
          <t xml:space="preserve">
Guidance 5/16/11:</t>
        </r>
        <r>
          <rPr>
            <b/>
            <sz val="8"/>
            <color indexed="81"/>
            <rFont val="Tahoma"/>
            <family val="2"/>
          </rPr>
          <t xml:space="preserve">
</t>
        </r>
        <r>
          <rPr>
            <sz val="8"/>
            <color indexed="81"/>
            <rFont val="Tahoma"/>
            <family val="2"/>
          </rPr>
          <t xml:space="preserve">Total of $27M pre-tax in 2H/ ($0.08 EPS) related to restructuring
</t>
        </r>
        <r>
          <rPr>
            <b/>
            <sz val="8"/>
            <color indexed="81"/>
            <rFont val="Tahoma"/>
            <family val="2"/>
          </rPr>
          <t>Assume Split Evenly 3Q/4Q; $13M per Qtr</t>
        </r>
        <r>
          <rPr>
            <sz val="8"/>
            <color indexed="81"/>
            <rFont val="Tahoma"/>
            <family val="2"/>
          </rPr>
          <t xml:space="preserve">
$4M Exit catalog
$20M Supply Chain
$0M 2010 YE Strategic Actions
$3M Other Cost Saves
(see p. 9 supplement)</t>
        </r>
        <r>
          <rPr>
            <b/>
            <sz val="8"/>
            <color indexed="81"/>
            <rFont val="Tahoma"/>
            <family val="2"/>
          </rPr>
          <t xml:space="preserve">
</t>
        </r>
        <r>
          <rPr>
            <b/>
            <u/>
            <sz val="8"/>
            <color indexed="81"/>
            <rFont val="Tahoma"/>
            <family val="2"/>
          </rPr>
          <t>Guidance 1/24/11:</t>
        </r>
        <r>
          <rPr>
            <b/>
            <sz val="8"/>
            <color indexed="81"/>
            <rFont val="Tahoma"/>
            <family val="2"/>
          </rPr>
          <t xml:space="preserve">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DC132" authorId="3">
      <text>
        <r>
          <rPr>
            <b/>
            <sz val="8"/>
            <color indexed="81"/>
            <rFont val="Tahoma"/>
            <family val="2"/>
          </rPr>
          <t xml:space="preserve">6/6/2012 10Q Guidance
</t>
        </r>
        <r>
          <rPr>
            <sz val="8"/>
            <color indexed="81"/>
            <rFont val="Tahoma"/>
            <family val="2"/>
          </rPr>
          <t>2Q-4Q items</t>
        </r>
        <r>
          <rPr>
            <b/>
            <sz val="8"/>
            <color indexed="81"/>
            <rFont val="Tahoma"/>
            <family val="2"/>
          </rPr>
          <t xml:space="preserve">
</t>
        </r>
        <r>
          <rPr>
            <sz val="8"/>
            <color indexed="81"/>
            <rFont val="Tahoma"/>
            <family val="2"/>
          </rPr>
          <t>- $10M additional charges related to supply chain
- $60-80M related to home office and stores</t>
        </r>
      </text>
    </comment>
    <comment ref="DG132" authorId="4">
      <text>
        <r>
          <rPr>
            <b/>
            <sz val="8"/>
            <color indexed="81"/>
            <rFont val="Tahoma"/>
            <family val="2"/>
          </rPr>
          <t>11/20/13: $46 in restructuring and management transition charges</t>
        </r>
        <r>
          <rPr>
            <sz val="8"/>
            <color indexed="81"/>
            <rFont val="Tahoma"/>
            <family val="2"/>
          </rPr>
          <t xml:space="preserve">
home office -6M
store fixture 10M
Mgmt transition 3M
Other 39M (36M relating to the return of shares of Martha Stewart Living Omnimedia previously acquired by the company)</t>
        </r>
      </text>
    </comment>
    <comment ref="CY133" authorId="2">
      <text>
        <r>
          <rPr>
            <b/>
            <sz val="8"/>
            <color indexed="81"/>
            <rFont val="Tahoma"/>
            <family val="2"/>
          </rPr>
          <t>2/24/2012 Comment
-</t>
        </r>
        <r>
          <rPr>
            <sz val="8"/>
            <color indexed="81"/>
            <rFont val="Tahoma"/>
            <family val="2"/>
          </rPr>
          <t xml:space="preserve"> Adjusts for $207M included in gross margin related to higher markdowns and merch reticketing costs associated w/ implementing new price strategy (or 58c in 4Q)
- Adjusts for $154M ($119M ex taxes) of restructuring and mgmt transition charges including (or 56c in 4Q):
1) $101M in mgmt transition charges (41c)
2) $43M for exp reduction costs (12c)
3) $10M of supply chain consolidation costs (3c)</t>
        </r>
        <r>
          <rPr>
            <b/>
            <sz val="8"/>
            <color indexed="81"/>
            <rFont val="Tahoma"/>
            <family val="2"/>
          </rPr>
          <t xml:space="preserve">
1/5/12 Guidance:
</t>
        </r>
        <r>
          <rPr>
            <sz val="8"/>
            <color indexed="81"/>
            <rFont val="Tahoma"/>
            <family val="2"/>
          </rPr>
          <t>1)</t>
        </r>
        <r>
          <rPr>
            <b/>
            <sz val="8"/>
            <color indexed="81"/>
            <rFont val="Tahoma"/>
            <family val="2"/>
          </rPr>
          <t xml:space="preserve"> </t>
        </r>
        <r>
          <rPr>
            <sz val="8"/>
            <color indexed="81"/>
            <rFont val="Tahoma"/>
            <family val="2"/>
          </rPr>
          <t>$0.50-$0.55 of restr/mgmt transition costs in 4Q
2) $0.50 - $55 of exp related to roll-out of new pricing / mktg strategy
3) for restructuring charges $65M of charges not tax deductible - so effective tax rate will be 48% (implies gross restructuring exp of $150-170M)</t>
        </r>
        <r>
          <rPr>
            <b/>
            <u/>
            <sz val="8"/>
            <color indexed="81"/>
            <rFont val="Tahoma"/>
            <family val="2"/>
          </rPr>
          <t xml:space="preserve">
11/14/11 guidance:
</t>
        </r>
        <r>
          <rPr>
            <sz val="8"/>
            <color indexed="81"/>
            <rFont val="Tahoma"/>
            <family val="2"/>
          </rPr>
          <t>1) ~$104MM of restructuring/mgmt transition costs in 4Q
2) $65MM of charges not tax deductible, remainder is
3) Should get to $0.41 in EPS for extraordinary items</t>
        </r>
        <r>
          <rPr>
            <b/>
            <u/>
            <sz val="8"/>
            <color indexed="81"/>
            <rFont val="Tahoma"/>
            <family val="2"/>
          </rPr>
          <t xml:space="preserve">
Comment 8/12/11:
</t>
        </r>
        <r>
          <rPr>
            <sz val="8"/>
            <color indexed="81"/>
            <rFont val="Tahoma"/>
            <family val="2"/>
          </rPr>
          <t>Guidance implies $7M of 1x restructuring left in 4Q
See "Expense Analysis" tab</t>
        </r>
        <r>
          <rPr>
            <b/>
            <u/>
            <sz val="8"/>
            <color indexed="81"/>
            <rFont val="Tahoma"/>
            <family val="2"/>
          </rPr>
          <t xml:space="preserve">
Guidance 5/16/11:</t>
        </r>
        <r>
          <rPr>
            <b/>
            <sz val="8"/>
            <color indexed="81"/>
            <rFont val="Tahoma"/>
            <family val="2"/>
          </rPr>
          <t xml:space="preserve">
</t>
        </r>
        <r>
          <rPr>
            <sz val="8"/>
            <color indexed="81"/>
            <rFont val="Tahoma"/>
            <family val="2"/>
          </rPr>
          <t xml:space="preserve">Total of $27M pre-tax in 2H/ ($0.08 EPS) related to restructuring
</t>
        </r>
        <r>
          <rPr>
            <b/>
            <sz val="8"/>
            <color indexed="81"/>
            <rFont val="Tahoma"/>
            <family val="2"/>
          </rPr>
          <t>Assume Split Evenly 3Q/4Q; $13M per Qtr</t>
        </r>
        <r>
          <rPr>
            <sz val="8"/>
            <color indexed="81"/>
            <rFont val="Tahoma"/>
            <family val="2"/>
          </rPr>
          <t xml:space="preserve">
$4M Exit catalog
$20M Supply Chain
$0M 2010 YE Strategic Actions
$3M Other Cost Saves
(see p. 9 supplement)</t>
        </r>
        <r>
          <rPr>
            <b/>
            <sz val="8"/>
            <color indexed="81"/>
            <rFont val="Tahoma"/>
            <family val="2"/>
          </rPr>
          <t xml:space="preserve">
</t>
        </r>
        <r>
          <rPr>
            <b/>
            <u/>
            <sz val="8"/>
            <color indexed="81"/>
            <rFont val="Tahoma"/>
            <family val="2"/>
          </rPr>
          <t>Guidance 1/24/11:</t>
        </r>
        <r>
          <rPr>
            <b/>
            <sz val="8"/>
            <color indexed="81"/>
            <rFont val="Tahoma"/>
            <family val="2"/>
          </rPr>
          <t xml:space="preserve">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DC133" authorId="3">
      <text>
        <r>
          <rPr>
            <b/>
            <sz val="8"/>
            <color indexed="81"/>
            <rFont val="Tahoma"/>
            <family val="2"/>
          </rPr>
          <t xml:space="preserve">6/6/2012 10Q Guidance
</t>
        </r>
        <r>
          <rPr>
            <sz val="8"/>
            <color indexed="81"/>
            <rFont val="Tahoma"/>
            <family val="2"/>
          </rPr>
          <t>2Q-4Q items</t>
        </r>
        <r>
          <rPr>
            <b/>
            <sz val="8"/>
            <color indexed="81"/>
            <rFont val="Tahoma"/>
            <family val="2"/>
          </rPr>
          <t xml:space="preserve">
</t>
        </r>
        <r>
          <rPr>
            <sz val="8"/>
            <color indexed="81"/>
            <rFont val="Tahoma"/>
            <family val="2"/>
          </rPr>
          <t>- $10M additional charges related to supply chain
- $60-80M related to home office and stores</t>
        </r>
      </text>
    </comment>
    <comment ref="DG133" authorId="4">
      <text>
        <r>
          <rPr>
            <b/>
            <sz val="8"/>
            <color indexed="81"/>
            <rFont val="Tahoma"/>
            <family val="2"/>
          </rPr>
          <t xml:space="preserve">2/26/14: </t>
        </r>
        <r>
          <rPr>
            <sz val="8"/>
            <color indexed="81"/>
            <rFont val="Tahoma"/>
            <family val="2"/>
          </rPr>
          <t>restructuring and mgmt transition</t>
        </r>
        <r>
          <rPr>
            <sz val="8"/>
            <color indexed="81"/>
            <rFont val="Tahoma"/>
            <family val="2"/>
          </rPr>
          <t xml:space="preserve">
</t>
        </r>
      </text>
    </comment>
    <comment ref="DZ133" authorId="11">
      <text>
        <r>
          <rPr>
            <b/>
            <sz val="9"/>
            <color indexed="81"/>
            <rFont val="Tahoma"/>
            <family val="2"/>
          </rPr>
          <t>De Courreges, Edouard (Research):</t>
        </r>
        <r>
          <rPr>
            <sz val="9"/>
            <color indexed="81"/>
            <rFont val="Tahoma"/>
            <family val="2"/>
          </rPr>
          <t xml:space="preserve">
2/28/18:
+8 restructuring and management transition
-2 gain on extinguishment of debt</t>
        </r>
      </text>
    </comment>
    <comment ref="CU150" authorId="2">
      <text>
        <r>
          <rPr>
            <b/>
            <sz val="8"/>
            <color indexed="81"/>
            <rFont val="Tahoma"/>
            <family val="2"/>
          </rPr>
          <t xml:space="preserve">Guidance 2/19/10:
</t>
        </r>
        <r>
          <rPr>
            <sz val="8"/>
            <color indexed="81"/>
            <rFont val="Tahoma"/>
            <family val="2"/>
          </rPr>
          <t>~38%</t>
        </r>
        <r>
          <rPr>
            <sz val="8"/>
            <color indexed="81"/>
            <rFont val="Tahoma"/>
            <family val="2"/>
          </rPr>
          <t xml:space="preserve">
</t>
        </r>
      </text>
    </comment>
    <comment ref="CY150" authorId="2">
      <text>
        <r>
          <rPr>
            <b/>
            <sz val="8"/>
            <color indexed="81"/>
            <rFont val="Tahoma"/>
            <family val="2"/>
          </rPr>
          <t xml:space="preserve">Guidance 2/25/11:
</t>
        </r>
        <r>
          <rPr>
            <sz val="8"/>
            <color indexed="81"/>
            <rFont val="Tahoma"/>
            <family val="2"/>
          </rPr>
          <t>2008-2009 levels, or about 38%</t>
        </r>
        <r>
          <rPr>
            <sz val="8"/>
            <color indexed="81"/>
            <rFont val="Tahoma"/>
            <family val="2"/>
          </rPr>
          <t xml:space="preserve">
</t>
        </r>
      </text>
    </comment>
    <comment ref="DZ150" authorId="7">
      <text>
        <r>
          <rPr>
            <b/>
            <sz val="9"/>
            <color indexed="81"/>
            <rFont val="Tahoma"/>
            <family val="2"/>
          </rPr>
          <t>Cassel, Lauren (Research):</t>
        </r>
        <r>
          <rPr>
            <sz val="9"/>
            <color indexed="81"/>
            <rFont val="Tahoma"/>
            <family val="2"/>
          </rPr>
          <t xml:space="preserve">
Adjusted for tax impact resulting from other comprehensive income allocation</t>
        </r>
      </text>
    </comment>
    <comment ref="CA151" authorId="0">
      <text>
        <r>
          <rPr>
            <b/>
            <sz val="8"/>
            <color indexed="81"/>
            <rFont val="Tahoma"/>
            <family val="2"/>
          </rPr>
          <t>mmcclell:</t>
        </r>
        <r>
          <rPr>
            <sz val="8"/>
            <color indexed="81"/>
            <rFont val="Tahoma"/>
            <family val="2"/>
          </rPr>
          <t xml:space="preserve">
adjusted to reflect $5M benefit to tax as non-recurring</t>
        </r>
      </text>
    </comment>
    <comment ref="CU151" authorId="2">
      <text>
        <r>
          <rPr>
            <b/>
            <sz val="8"/>
            <color indexed="81"/>
            <rFont val="Tahoma"/>
            <family val="2"/>
          </rPr>
          <t xml:space="preserve">Guidance 5/14/10:
</t>
        </r>
        <r>
          <rPr>
            <sz val="8"/>
            <color indexed="81"/>
            <rFont val="Tahoma"/>
            <family val="2"/>
          </rPr>
          <t>~38%</t>
        </r>
        <r>
          <rPr>
            <sz val="8"/>
            <color indexed="81"/>
            <rFont val="Tahoma"/>
            <family val="2"/>
          </rPr>
          <t xml:space="preserve">
</t>
        </r>
      </text>
    </comment>
    <comment ref="CY151" authorId="2">
      <text>
        <r>
          <rPr>
            <b/>
            <sz val="8"/>
            <color indexed="81"/>
            <rFont val="Tahoma"/>
            <family val="2"/>
          </rPr>
          <t>2Q11 10Q</t>
        </r>
        <r>
          <rPr>
            <sz val="8"/>
            <color indexed="81"/>
            <rFont val="Tahoma"/>
            <family val="2"/>
          </rPr>
          <t xml:space="preserve">
Restructuring items of $23MM
</t>
        </r>
        <r>
          <rPr>
            <b/>
            <sz val="8"/>
            <color indexed="81"/>
            <rFont val="Tahoma"/>
            <family val="2"/>
          </rPr>
          <t xml:space="preserve">
Guidance 8/12/11:
</t>
        </r>
        <r>
          <rPr>
            <sz val="8"/>
            <color indexed="81"/>
            <rFont val="Tahoma"/>
            <family val="2"/>
          </rPr>
          <t>$10M book expense and adds back $21M one-time at 39% tax rate</t>
        </r>
        <r>
          <rPr>
            <b/>
            <sz val="8"/>
            <color indexed="81"/>
            <rFont val="Tahoma"/>
            <family val="2"/>
          </rPr>
          <t xml:space="preserve">
Guidance 5/16/11:
</t>
        </r>
        <r>
          <rPr>
            <sz val="8"/>
            <color indexed="81"/>
            <rFont val="Tahoma"/>
            <family val="2"/>
          </rPr>
          <t>38%</t>
        </r>
        <r>
          <rPr>
            <sz val="8"/>
            <color indexed="81"/>
            <rFont val="Tahoma"/>
            <family val="2"/>
          </rPr>
          <t xml:space="preserve">
</t>
        </r>
      </text>
    </comment>
    <comment ref="CZ151" authorId="2">
      <text>
        <r>
          <rPr>
            <b/>
            <sz val="8"/>
            <color indexed="81"/>
            <rFont val="Tahoma"/>
            <family val="2"/>
          </rPr>
          <t xml:space="preserve">Guidance 2/25/11:
</t>
        </r>
        <r>
          <rPr>
            <sz val="8"/>
            <color indexed="81"/>
            <rFont val="Tahoma"/>
            <family val="2"/>
          </rPr>
          <t>2008-2009 levels, or about 38%</t>
        </r>
        <r>
          <rPr>
            <sz val="8"/>
            <color indexed="81"/>
            <rFont val="Tahoma"/>
            <family val="2"/>
          </rPr>
          <t xml:space="preserve">
</t>
        </r>
      </text>
    </comment>
    <comment ref="DU151" authorId="6">
      <text>
        <r>
          <rPr>
            <b/>
            <sz val="9"/>
            <color indexed="81"/>
            <rFont val="Tahoma"/>
            <family val="2"/>
          </rPr>
          <t>Baglione, Gregory  (Research):</t>
        </r>
        <r>
          <rPr>
            <sz val="9"/>
            <color indexed="81"/>
            <rFont val="Tahoma"/>
            <family val="2"/>
          </rPr>
          <t xml:space="preserve">
</t>
        </r>
      </text>
    </comment>
    <comment ref="CA152" authorId="0">
      <text>
        <r>
          <rPr>
            <b/>
            <sz val="8"/>
            <color indexed="81"/>
            <rFont val="Tahoma"/>
            <family val="2"/>
          </rPr>
          <t>mmcclell:</t>
        </r>
        <r>
          <rPr>
            <sz val="8"/>
            <color indexed="81"/>
            <rFont val="Tahoma"/>
            <family val="2"/>
          </rPr>
          <t xml:space="preserve">
adjusted to reflect $5M benefit to tax as non-recurring</t>
        </r>
      </text>
    </comment>
    <comment ref="CU152" authorId="16">
      <text>
        <r>
          <rPr>
            <b/>
            <sz val="8"/>
            <color indexed="81"/>
            <rFont val="Tahoma"/>
            <family val="2"/>
          </rPr>
          <t>Guidance - 8/13/10:</t>
        </r>
        <r>
          <rPr>
            <sz val="8"/>
            <color indexed="81"/>
            <rFont val="Tahoma"/>
            <family val="2"/>
          </rPr>
          <t xml:space="preserve">
3Q: Tax Rate of 38%</t>
        </r>
      </text>
    </comment>
    <comment ref="CY152" authorId="2">
      <text>
        <r>
          <rPr>
            <b/>
            <sz val="8"/>
            <color indexed="81"/>
            <rFont val="Tahoma"/>
            <family val="2"/>
          </rPr>
          <t xml:space="preserve">Comment 11/14/11:
</t>
        </r>
        <r>
          <rPr>
            <sz val="8"/>
            <color indexed="81"/>
            <rFont val="Tahoma"/>
            <family val="2"/>
          </rPr>
          <t>Taxes on restructuring: $98MM</t>
        </r>
        <r>
          <rPr>
            <b/>
            <sz val="8"/>
            <color indexed="81"/>
            <rFont val="Tahoma"/>
            <family val="2"/>
          </rPr>
          <t xml:space="preserve">
Guidance 8/12/11:
</t>
        </r>
        <r>
          <rPr>
            <sz val="8"/>
            <color indexed="81"/>
            <rFont val="Tahoma"/>
            <family val="2"/>
          </rPr>
          <t>38%</t>
        </r>
        <r>
          <rPr>
            <b/>
            <sz val="8"/>
            <color indexed="81"/>
            <rFont val="Tahoma"/>
            <family val="2"/>
          </rPr>
          <t xml:space="preserve">
Guidance 5/16/11:
</t>
        </r>
        <r>
          <rPr>
            <sz val="8"/>
            <color indexed="81"/>
            <rFont val="Tahoma"/>
            <family val="2"/>
          </rPr>
          <t>38%</t>
        </r>
        <r>
          <rPr>
            <sz val="8"/>
            <color indexed="81"/>
            <rFont val="Tahoma"/>
            <family val="2"/>
          </rPr>
          <t xml:space="preserve">
</t>
        </r>
      </text>
    </comment>
    <comment ref="CZ152" authorId="2">
      <text>
        <r>
          <rPr>
            <b/>
            <sz val="8"/>
            <color indexed="81"/>
            <rFont val="Tahoma"/>
            <family val="2"/>
          </rPr>
          <t xml:space="preserve">Guidance 2/25/11:
</t>
        </r>
        <r>
          <rPr>
            <sz val="8"/>
            <color indexed="81"/>
            <rFont val="Tahoma"/>
            <family val="2"/>
          </rPr>
          <t>2008-2009 levels, or about 38%</t>
        </r>
        <r>
          <rPr>
            <sz val="8"/>
            <color indexed="81"/>
            <rFont val="Tahoma"/>
            <family val="2"/>
          </rPr>
          <t xml:space="preserve">
</t>
        </r>
      </text>
    </comment>
    <comment ref="DH152" authorId="4">
      <text>
        <r>
          <rPr>
            <b/>
            <sz val="8"/>
            <color indexed="81"/>
            <rFont val="Tahoma"/>
            <family val="2"/>
          </rPr>
          <t xml:space="preserve">11/20/13: </t>
        </r>
        <r>
          <rPr>
            <sz val="8"/>
            <color indexed="81"/>
            <rFont val="Tahoma"/>
            <family val="2"/>
          </rPr>
          <t>$184M valuatoin allowance</t>
        </r>
        <r>
          <rPr>
            <sz val="8"/>
            <color indexed="81"/>
            <rFont val="Tahoma"/>
            <family val="2"/>
          </rPr>
          <t xml:space="preserve">
</t>
        </r>
      </text>
    </comment>
    <comment ref="CQ153" authorId="2">
      <text>
        <r>
          <rPr>
            <b/>
            <sz val="8"/>
            <color indexed="81"/>
            <rFont val="Tahoma"/>
            <family val="2"/>
          </rPr>
          <t xml:space="preserve">Guidance 11/13/09: </t>
        </r>
        <r>
          <rPr>
            <sz val="8"/>
            <color indexed="81"/>
            <rFont val="Tahoma"/>
            <family val="2"/>
          </rPr>
          <t>Approx 38%</t>
        </r>
        <r>
          <rPr>
            <b/>
            <sz val="8"/>
            <color indexed="81"/>
            <rFont val="Tahoma"/>
            <family val="2"/>
          </rPr>
          <t xml:space="preserve">
</t>
        </r>
        <r>
          <rPr>
            <sz val="8"/>
            <color indexed="81"/>
            <rFont val="Tahoma"/>
            <family val="2"/>
          </rPr>
          <t xml:space="preserve">
</t>
        </r>
      </text>
    </comment>
    <comment ref="CU153" authorId="2">
      <text>
        <r>
          <rPr>
            <b/>
            <sz val="8"/>
            <color indexed="81"/>
            <rFont val="Tahoma"/>
            <family val="2"/>
          </rPr>
          <t xml:space="preserve">Note 2/25/11:
</t>
        </r>
        <r>
          <rPr>
            <sz val="8"/>
            <color indexed="81"/>
            <rFont val="Tahoma"/>
            <family val="2"/>
          </rPr>
          <t>1) We back out the tax impact of the $30M charge at 40% 
2) This increases tax expense by $12M from reported $140M</t>
        </r>
      </text>
    </comment>
    <comment ref="CY153" authorId="2">
      <text>
        <r>
          <rPr>
            <b/>
            <sz val="8"/>
            <color indexed="81"/>
            <rFont val="Tahoma"/>
            <family val="2"/>
          </rPr>
          <t xml:space="preserve">2/24/2012 Comment
</t>
        </r>
        <r>
          <rPr>
            <i/>
            <sz val="8"/>
            <color indexed="81"/>
            <rFont val="Tahoma"/>
            <family val="2"/>
          </rPr>
          <t>Taxes include adjustments for 1-time items:</t>
        </r>
        <r>
          <rPr>
            <sz val="8"/>
            <color indexed="81"/>
            <rFont val="Tahoma"/>
            <family val="2"/>
          </rPr>
          <t xml:space="preserve">
- Adjusts for $207M included in gross margin related to higher markdowns and merch reticketing costs associated w/ implementing new price strategy (or 58c in 4Q)
- Adjusts for $154M  ($119M ex taxes) of restructuring and mgmt transition charges including (or 56c in 4Q):
1) $101M in mgmt transition charges (41c)
2) $43M for exp reduction costs (12c)
3) $10M of supply chain consolidation costs (3c)</t>
        </r>
        <r>
          <rPr>
            <b/>
            <sz val="8"/>
            <color indexed="81"/>
            <rFont val="Tahoma"/>
            <family val="2"/>
          </rPr>
          <t xml:space="preserve">
- Effective rate in 4Q was 37%
Guidance 11/14/11:
</t>
        </r>
        <r>
          <rPr>
            <i/>
            <sz val="8"/>
            <color indexed="81"/>
            <rFont val="Tahoma"/>
            <family val="2"/>
          </rPr>
          <t>48% tax rate in 4Q; 36% tax rate non-GAAP (ex restructuring items)</t>
        </r>
        <r>
          <rPr>
            <sz val="8"/>
            <color indexed="81"/>
            <rFont val="Tahoma"/>
            <family val="2"/>
          </rPr>
          <t xml:space="preserve">
As we continue with our restructuring efforts and transitions in leadership we expect to incur additional charges in the fourth quarter of approximately $104 million. A portion of these charges will have an impact on our effective tax rate, in other words they are not tax deductible in the fourth quarter which is – and therefore the tax rate now is expected to be approximately 48%.
</t>
        </r>
        <r>
          <rPr>
            <b/>
            <sz val="8"/>
            <color indexed="81"/>
            <rFont val="Tahoma"/>
            <family val="2"/>
          </rPr>
          <t xml:space="preserve">
Guidance 5/16/11:
</t>
        </r>
        <r>
          <rPr>
            <sz val="8"/>
            <color indexed="81"/>
            <rFont val="Tahoma"/>
            <family val="2"/>
          </rPr>
          <t>38%</t>
        </r>
        <r>
          <rPr>
            <sz val="8"/>
            <color indexed="81"/>
            <rFont val="Tahoma"/>
            <family val="2"/>
          </rPr>
          <t xml:space="preserve">
</t>
        </r>
      </text>
    </comment>
    <comment ref="CZ153" authorId="2">
      <text>
        <r>
          <rPr>
            <b/>
            <sz val="8"/>
            <color indexed="81"/>
            <rFont val="Tahoma"/>
            <family val="2"/>
          </rPr>
          <t xml:space="preserve">Comment 2/24/2012
</t>
        </r>
        <r>
          <rPr>
            <sz val="8"/>
            <color indexed="81"/>
            <rFont val="Tahoma"/>
            <family val="2"/>
          </rPr>
          <t>Effective tax rate~33%</t>
        </r>
        <r>
          <rPr>
            <b/>
            <sz val="8"/>
            <color indexed="81"/>
            <rFont val="Tahoma"/>
            <family val="2"/>
          </rPr>
          <t xml:space="preserve">
Guidance 11/14/11:
</t>
        </r>
        <r>
          <rPr>
            <sz val="8"/>
            <color indexed="81"/>
            <rFont val="Tahoma"/>
            <family val="2"/>
          </rPr>
          <t>1) 48% tax rate in 4Q
2) a portion of 1-time items in 4Q not tax deductible</t>
        </r>
        <r>
          <rPr>
            <b/>
            <sz val="8"/>
            <color indexed="81"/>
            <rFont val="Tahoma"/>
            <family val="2"/>
          </rPr>
          <t xml:space="preserve">
Guidance 2/25/11:
</t>
        </r>
        <r>
          <rPr>
            <sz val="8"/>
            <color indexed="81"/>
            <rFont val="Tahoma"/>
            <family val="2"/>
          </rPr>
          <t>2008-2009 levels, or about 38%</t>
        </r>
        <r>
          <rPr>
            <sz val="8"/>
            <color indexed="81"/>
            <rFont val="Tahoma"/>
            <family val="2"/>
          </rPr>
          <t xml:space="preserve">
</t>
        </r>
      </text>
    </comment>
    <comment ref="CU154" authorId="2">
      <text>
        <r>
          <rPr>
            <b/>
            <sz val="8"/>
            <color indexed="81"/>
            <rFont val="Tahoma"/>
            <family val="2"/>
          </rPr>
          <t xml:space="preserve">Guidance 2/19/10:
</t>
        </r>
        <r>
          <rPr>
            <sz val="8"/>
            <color indexed="81"/>
            <rFont val="Tahoma"/>
            <family val="2"/>
          </rPr>
          <t>~38%</t>
        </r>
        <r>
          <rPr>
            <sz val="8"/>
            <color indexed="81"/>
            <rFont val="Tahoma"/>
            <family val="2"/>
          </rPr>
          <t xml:space="preserve">
</t>
        </r>
      </text>
    </comment>
    <comment ref="CY154" authorId="2">
      <text>
        <r>
          <rPr>
            <b/>
            <sz val="8"/>
            <color indexed="81"/>
            <rFont val="Tahoma"/>
            <family val="2"/>
          </rPr>
          <t xml:space="preserve">Guidance 5/16/11:
</t>
        </r>
        <r>
          <rPr>
            <sz val="8"/>
            <color indexed="81"/>
            <rFont val="Tahoma"/>
            <family val="2"/>
          </rPr>
          <t>38%</t>
        </r>
        <r>
          <rPr>
            <sz val="8"/>
            <color indexed="81"/>
            <rFont val="Tahoma"/>
            <family val="2"/>
          </rPr>
          <t xml:space="preserve">
</t>
        </r>
      </text>
    </comment>
    <comment ref="CZ154" authorId="2">
      <text>
        <r>
          <rPr>
            <b/>
            <sz val="8"/>
            <color indexed="81"/>
            <rFont val="Tahoma"/>
            <family val="2"/>
          </rPr>
          <t xml:space="preserve">Guidance 2/25/11:
</t>
        </r>
        <r>
          <rPr>
            <sz val="8"/>
            <color indexed="81"/>
            <rFont val="Tahoma"/>
            <family val="2"/>
          </rPr>
          <t>2008-2009 levels, or about 38%</t>
        </r>
        <r>
          <rPr>
            <sz val="8"/>
            <color indexed="81"/>
            <rFont val="Tahoma"/>
            <family val="2"/>
          </rPr>
          <t xml:space="preserve">
</t>
        </r>
      </text>
    </comment>
    <comment ref="DD154" authorId="2">
      <text>
        <r>
          <rPr>
            <b/>
            <sz val="8"/>
            <color indexed="81"/>
            <rFont val="Tahoma"/>
            <family val="2"/>
          </rPr>
          <t xml:space="preserve">Guidance 2/25/11:
</t>
        </r>
        <r>
          <rPr>
            <sz val="8"/>
            <color indexed="81"/>
            <rFont val="Tahoma"/>
            <family val="2"/>
          </rPr>
          <t>2008-2009 levels, or about 38%</t>
        </r>
        <r>
          <rPr>
            <sz val="8"/>
            <color indexed="81"/>
            <rFont val="Tahoma"/>
            <family val="2"/>
          </rPr>
          <t xml:space="preserve">
</t>
        </r>
      </text>
    </comment>
    <comment ref="DZ154" authorId="7">
      <text>
        <r>
          <rPr>
            <b/>
            <sz val="9"/>
            <color indexed="81"/>
            <rFont val="Tahoma"/>
            <family val="2"/>
          </rPr>
          <t xml:space="preserve">Cassel, Lauren (Research):
5/11/17: expect a little bit of expense </t>
        </r>
        <r>
          <rPr>
            <sz val="9"/>
            <color indexed="81"/>
            <rFont val="Tahoma"/>
            <family val="2"/>
          </rPr>
          <t xml:space="preserve">
2/23/17: guidance $20M expense</t>
        </r>
      </text>
    </comment>
    <comment ref="EF154" authorId="11">
      <text>
        <r>
          <rPr>
            <b/>
            <sz val="9"/>
            <color indexed="81"/>
            <rFont val="Tahoma"/>
            <family val="2"/>
          </rPr>
          <t>De Courreges, Edouard (Research):</t>
        </r>
        <r>
          <rPr>
            <sz val="9"/>
            <color indexed="81"/>
            <rFont val="Tahoma"/>
            <family val="2"/>
          </rPr>
          <t xml:space="preserve">
2/28/18: Model 17M tax exp guide. Do not anticipate paying cash taxes in 2018 due to NOLS, which weren't affected by reform</t>
        </r>
      </text>
    </comment>
    <comment ref="BS161" authorId="21">
      <text>
        <r>
          <rPr>
            <b/>
            <sz val="8"/>
            <color indexed="81"/>
            <rFont val="Tahoma"/>
            <family val="2"/>
          </rPr>
          <t>Denise Frazer:</t>
        </r>
        <r>
          <rPr>
            <sz val="8"/>
            <color indexed="81"/>
            <rFont val="Tahoma"/>
            <family val="2"/>
          </rPr>
          <t xml:space="preserve">
company said will have $10 m in other unalloc. As real estate gains more than offset catalog restructuring charges.</t>
        </r>
      </text>
    </comment>
    <comment ref="BW170" authorId="17">
      <text>
        <r>
          <rPr>
            <b/>
            <sz val="8"/>
            <color indexed="81"/>
            <rFont val="Tahoma"/>
            <family val="2"/>
          </rPr>
          <t>-Interpolated value based on 2005 10-K restatement and 2005 10Q's</t>
        </r>
      </text>
    </comment>
    <comment ref="CE170" authorId="19">
      <text>
        <r>
          <rPr>
            <sz val="8"/>
            <color indexed="81"/>
            <rFont val="Tahoma"/>
            <family val="2"/>
          </rPr>
          <t>discontinued operations (net of tax)</t>
        </r>
      </text>
    </comment>
    <comment ref="BC171" authorId="22">
      <text>
        <r>
          <rPr>
            <b/>
            <sz val="8"/>
            <color indexed="81"/>
            <rFont val="Tahoma"/>
            <family val="2"/>
          </rPr>
          <t>levinee:</t>
        </r>
        <r>
          <rPr>
            <sz val="8"/>
            <color indexed="81"/>
            <rFont val="Tahoma"/>
            <family val="2"/>
          </rPr>
          <t xml:space="preserve">
Pre-tax: $11m charges for cent. Merch. Process, $7 mm restructuring charges, $6 m net credit at Eckerd for change in pension plan to 401K</t>
        </r>
      </text>
    </comment>
    <comment ref="BW171" authorId="0">
      <text>
        <r>
          <rPr>
            <b/>
            <sz val="8"/>
            <color indexed="81"/>
            <rFont val="Tahoma"/>
            <family val="2"/>
          </rPr>
          <t>mmcclell:</t>
        </r>
        <r>
          <rPr>
            <sz val="8"/>
            <color indexed="81"/>
            <rFont val="Tahoma"/>
            <family val="2"/>
          </rPr>
          <t xml:space="preserve">
-loss related sale of Eckerd
</t>
        </r>
      </text>
    </comment>
    <comment ref="CI172" authorId="0">
      <text>
        <r>
          <rPr>
            <b/>
            <sz val="8"/>
            <color indexed="81"/>
            <rFont val="Tahoma"/>
            <family val="2"/>
          </rPr>
          <t>Guidance: 11/8/07
$0.14 benefit due to federal and state tax credits</t>
        </r>
        <r>
          <rPr>
            <sz val="8"/>
            <color indexed="81"/>
            <rFont val="Tahoma"/>
            <family val="2"/>
          </rPr>
          <t xml:space="preserve">
</t>
        </r>
      </text>
    </comment>
    <comment ref="CM172" authorId="15">
      <text>
        <r>
          <rPr>
            <sz val="8"/>
            <color indexed="81"/>
            <rFont val="Tahoma"/>
            <family val="2"/>
          </rPr>
          <t xml:space="preserve">a benefit of ~$0.02 from the sale of a non-operating real estate property </t>
        </r>
      </text>
    </comment>
    <comment ref="DZ172" authorId="11">
      <text>
        <r>
          <rPr>
            <b/>
            <sz val="9"/>
            <color indexed="81"/>
            <rFont val="Tahoma"/>
            <family val="2"/>
          </rPr>
          <t xml:space="preserve">De Courreges, Edouard (Research):
</t>
        </r>
        <r>
          <rPr>
            <sz val="9"/>
            <color indexed="81"/>
            <rFont val="Tahoma"/>
            <family val="2"/>
          </rPr>
          <t xml:space="preserve">52M restructuring
7M pension exp.
-3M Share of NI from JV
-30M tax benefit from OCI allocation btw operating loss and AOCI </t>
        </r>
      </text>
    </comment>
    <comment ref="BS173" authorId="0">
      <text>
        <r>
          <rPr>
            <b/>
            <sz val="8"/>
            <color indexed="81"/>
            <rFont val="Tahoma"/>
            <family val="2"/>
          </rPr>
          <t>loss from discontinued operations</t>
        </r>
        <r>
          <rPr>
            <sz val="8"/>
            <color indexed="81"/>
            <rFont val="Tahoma"/>
            <family val="2"/>
          </rPr>
          <t xml:space="preserve">
</t>
        </r>
      </text>
    </comment>
    <comment ref="CE173" authorId="1">
      <text>
        <r>
          <rPr>
            <b/>
            <sz val="8"/>
            <color indexed="81"/>
            <rFont val="Tahoma"/>
            <family val="2"/>
          </rPr>
          <t xml:space="preserve">Discontinued operations, net of            
income tax (benefit) of $(16), $(95), $(17) and $(67)
</t>
        </r>
      </text>
    </comment>
    <comment ref="DU173" authorId="7">
      <text>
        <r>
          <rPr>
            <b/>
            <sz val="9"/>
            <color indexed="81"/>
            <rFont val="Tahoma"/>
            <family val="2"/>
          </rPr>
          <t>Cassel, Lauren (Research):</t>
        </r>
        <r>
          <rPr>
            <sz val="9"/>
            <color indexed="81"/>
            <rFont val="Tahoma"/>
            <family val="2"/>
          </rPr>
          <t xml:space="preserve">
2/24/17: excludes $9M restructuring and mgmt transition charges, $1M primarily pension plan expense, $11M mark to market adjustment for supplemental retirement plans; $1M proportional share of net income from JV, plus -$12M from tax impact resuling from other comprehensive income allocation</t>
        </r>
      </text>
    </comment>
    <comment ref="DZ173" authorId="11">
      <text>
        <r>
          <rPr>
            <b/>
            <sz val="9"/>
            <color indexed="81"/>
            <rFont val="Tahoma"/>
            <family val="2"/>
          </rPr>
          <t>De Courreges, Edouard (Research):</t>
        </r>
        <r>
          <rPr>
            <sz val="9"/>
            <color indexed="81"/>
            <rFont val="Tahoma"/>
            <family val="2"/>
          </rPr>
          <t xml:space="preserve">
2/28/18: $75 million tax reform benefit recorded in the fourth quarter this year.</t>
        </r>
      </text>
    </comment>
    <comment ref="CY174" authorId="2">
      <text>
        <r>
          <rPr>
            <b/>
            <u/>
            <sz val="8"/>
            <color indexed="81"/>
            <rFont val="Tahoma"/>
            <family val="2"/>
          </rPr>
          <t xml:space="preserve">Per 2011 10K
</t>
        </r>
        <r>
          <rPr>
            <b/>
            <sz val="8"/>
            <color indexed="81"/>
            <rFont val="Tahoma"/>
            <family val="2"/>
          </rPr>
          <t xml:space="preserve">- </t>
        </r>
        <r>
          <rPr>
            <sz val="8"/>
            <color indexed="81"/>
            <rFont val="Tahoma"/>
            <family val="2"/>
          </rPr>
          <t xml:space="preserve">$451M of restructuring items ($306M net of taxes)
Per model: $9M in 1Q, $23M in 2Q, $265M in 3Q, $154M in 4Q
- $207M of costs related to new pricing strategy excluded from gross margin included in non-recurring items
</t>
        </r>
        <r>
          <rPr>
            <b/>
            <u/>
            <sz val="8"/>
            <color indexed="81"/>
            <rFont val="Tahoma"/>
            <family val="2"/>
          </rPr>
          <t xml:space="preserve">
Comment 2/24/2012
</t>
        </r>
        <r>
          <rPr>
            <sz val="8"/>
            <color indexed="81"/>
            <rFont val="Tahoma"/>
            <family val="2"/>
          </rPr>
          <t>Restructuring charges $1.40
Re-ticketing/markdowns expenses 48c</t>
        </r>
        <r>
          <rPr>
            <b/>
            <u/>
            <sz val="8"/>
            <color indexed="81"/>
            <rFont val="Tahoma"/>
            <family val="2"/>
          </rPr>
          <t xml:space="preserve">
Guidance 5/16/11:</t>
        </r>
        <r>
          <rPr>
            <b/>
            <sz val="8"/>
            <color indexed="81"/>
            <rFont val="Tahoma"/>
            <family val="2"/>
          </rPr>
          <t xml:space="preserve">
</t>
        </r>
        <r>
          <rPr>
            <sz val="8"/>
            <color indexed="81"/>
            <rFont val="Tahoma"/>
            <family val="2"/>
          </rPr>
          <t xml:space="preserve">Total of $56M pre-tax/ </t>
        </r>
        <r>
          <rPr>
            <b/>
            <sz val="8"/>
            <color indexed="81"/>
            <rFont val="Tahoma"/>
            <family val="2"/>
          </rPr>
          <t>$35M post tax</t>
        </r>
        <r>
          <rPr>
            <sz val="8"/>
            <color indexed="81"/>
            <rFont val="Tahoma"/>
            <family val="2"/>
          </rPr>
          <t xml:space="preserve">/ ($0.16 EPS) related to restructuring:
$8M Exit catalog
$35M Supply Chain
$7M 2010 YE Strategic Actions
$6M Other Cost Saves
(see p. 9 supplement)
</t>
        </r>
        <r>
          <rPr>
            <sz val="8"/>
            <color indexed="81"/>
            <rFont val="Tahoma"/>
            <family val="2"/>
          </rPr>
          <t xml:space="preserve">
</t>
        </r>
      </text>
    </comment>
    <comment ref="BS181" authorId="21">
      <text>
        <r>
          <rPr>
            <b/>
            <sz val="8"/>
            <color indexed="81"/>
            <rFont val="Tahoma"/>
            <family val="2"/>
          </rPr>
          <t>Denise Frazer:</t>
        </r>
        <r>
          <rPr>
            <sz val="8"/>
            <color indexed="81"/>
            <rFont val="Tahoma"/>
            <family val="2"/>
          </rPr>
          <t xml:space="preserve">
company said will have $10 m in other unalloc. As real estate gains more than offset catalog restructuring charges.</t>
        </r>
      </text>
    </comment>
    <comment ref="CE190" authorId="0">
      <text>
        <r>
          <rPr>
            <b/>
            <sz val="8"/>
            <color indexed="81"/>
            <rFont val="Tahoma"/>
            <family val="2"/>
          </rPr>
          <t xml:space="preserve">mgmt guidance raised from $0.80 to $.88 on april sales call
</t>
        </r>
        <r>
          <rPr>
            <sz val="8"/>
            <color indexed="81"/>
            <rFont val="Tahoma"/>
            <family val="2"/>
          </rPr>
          <t xml:space="preserve">
former mgmt guidance of $0.80 following 4Q05 and reaffirmed on march call</t>
        </r>
        <r>
          <rPr>
            <b/>
            <sz val="8"/>
            <color indexed="81"/>
            <rFont val="Tahoma"/>
            <family val="2"/>
          </rPr>
          <t xml:space="preserve">
</t>
        </r>
      </text>
    </comment>
    <comment ref="CI190" authorId="0">
      <text>
        <r>
          <rPr>
            <b/>
            <sz val="8"/>
            <color indexed="81"/>
            <rFont val="Tahoma"/>
            <family val="2"/>
          </rPr>
          <t xml:space="preserve">4/18/07: Guidance
$1.02
2/22/07: Guidance 
$0.99
</t>
        </r>
        <r>
          <rPr>
            <sz val="8"/>
            <color indexed="81"/>
            <rFont val="Tahoma"/>
            <family val="2"/>
          </rPr>
          <t xml:space="preserve">
</t>
        </r>
      </text>
    </comment>
    <comment ref="CM190" authorId="0">
      <text>
        <r>
          <rPr>
            <b/>
            <sz val="8"/>
            <color indexed="81"/>
            <rFont val="Tahoma"/>
            <family val="2"/>
          </rPr>
          <t xml:space="preserve">Guidance: 3/28/2008
</t>
        </r>
        <r>
          <rPr>
            <sz val="8"/>
            <color indexed="81"/>
            <rFont val="Tahoma"/>
            <family val="2"/>
          </rPr>
          <t>~$0.50</t>
        </r>
        <r>
          <rPr>
            <b/>
            <sz val="8"/>
            <color indexed="81"/>
            <rFont val="Tahoma"/>
            <family val="2"/>
          </rPr>
          <t xml:space="preserve">
</t>
        </r>
        <r>
          <rPr>
            <sz val="8"/>
            <color indexed="81"/>
            <rFont val="Tahoma"/>
            <family val="2"/>
          </rPr>
          <t xml:space="preserve">Guidance: 2/21/08
 $0.75-$0.80 </t>
        </r>
      </text>
    </comment>
    <comment ref="CQ190" authorId="0">
      <text>
        <r>
          <rPr>
            <b/>
            <sz val="8"/>
            <color indexed="81"/>
            <rFont val="Tahoma"/>
            <family val="2"/>
          </rPr>
          <t xml:space="preserve">Guidance: 5/7/2009
</t>
        </r>
        <r>
          <rPr>
            <sz val="8"/>
            <color indexed="81"/>
            <rFont val="Tahoma"/>
            <family val="2"/>
          </rPr>
          <t>$0.09-$0.11; driven by better than expected April results, operational efficiencies achieved through process improvements and a consistent focus on expense control</t>
        </r>
        <r>
          <rPr>
            <b/>
            <sz val="8"/>
            <color indexed="81"/>
            <rFont val="Tahoma"/>
            <family val="2"/>
          </rPr>
          <t xml:space="preserve">
Guidance: 4/22/2009
</t>
        </r>
        <r>
          <rPr>
            <sz val="8"/>
            <color indexed="81"/>
            <rFont val="Tahoma"/>
            <family val="2"/>
          </rPr>
          <t>Flat to up slightly, driven by better than expected sales in April</t>
        </r>
        <r>
          <rPr>
            <b/>
            <sz val="8"/>
            <color indexed="81"/>
            <rFont val="Tahoma"/>
            <family val="2"/>
          </rPr>
          <t xml:space="preserve">
Guidance: 4/09/2009
</t>
        </r>
        <r>
          <rPr>
            <sz val="8"/>
            <color indexed="81"/>
            <rFont val="Tahoma"/>
            <family val="2"/>
          </rPr>
          <t xml:space="preserve">($0.05-$0.10); includes a negative impact of ~$0.23 from non cash </t>
        </r>
        <r>
          <rPr>
            <u/>
            <sz val="8"/>
            <color indexed="81"/>
            <rFont val="Tahoma"/>
            <family val="2"/>
          </rPr>
          <t>primary</t>
        </r>
        <r>
          <rPr>
            <sz val="8"/>
            <color indexed="81"/>
            <rFont val="Tahoma"/>
            <family val="2"/>
          </rPr>
          <t xml:space="preserve"> pension plan expense</t>
        </r>
        <r>
          <rPr>
            <b/>
            <sz val="8"/>
            <color indexed="81"/>
            <rFont val="Tahoma"/>
            <family val="2"/>
          </rPr>
          <t xml:space="preserve">
Guidance: 2/20/2009</t>
        </r>
        <r>
          <rPr>
            <sz val="8"/>
            <color indexed="81"/>
            <rFont val="Tahoma"/>
            <family val="2"/>
          </rPr>
          <t xml:space="preserve">
($0.20-$0.30)</t>
        </r>
      </text>
    </comment>
    <comment ref="CU190" authorId="2">
      <text>
        <r>
          <rPr>
            <b/>
            <sz val="8"/>
            <color indexed="81"/>
            <rFont val="Tahoma"/>
            <family val="2"/>
          </rPr>
          <t xml:space="preserve">Guidance 5/6/10:
</t>
        </r>
        <r>
          <rPr>
            <sz val="8"/>
            <color indexed="81"/>
            <rFont val="Tahoma"/>
            <family val="2"/>
          </rPr>
          <t>Raised to $0.25 on GM performance</t>
        </r>
        <r>
          <rPr>
            <b/>
            <sz val="8"/>
            <color indexed="81"/>
            <rFont val="Tahoma"/>
            <family val="2"/>
          </rPr>
          <t xml:space="preserve">
Guidance 4/8/10:
</t>
        </r>
        <r>
          <rPr>
            <sz val="8"/>
            <color indexed="81"/>
            <rFont val="Tahoma"/>
            <family val="2"/>
          </rPr>
          <t>$0.20-$0.24</t>
        </r>
        <r>
          <rPr>
            <b/>
            <sz val="8"/>
            <color indexed="81"/>
            <rFont val="Tahoma"/>
            <family val="2"/>
          </rPr>
          <t xml:space="preserve">
Guidance 2/19/10:
</t>
        </r>
        <r>
          <rPr>
            <sz val="8"/>
            <color indexed="81"/>
            <rFont val="Tahoma"/>
            <family val="2"/>
          </rPr>
          <t>$0.16-$0.20</t>
        </r>
        <r>
          <rPr>
            <sz val="8"/>
            <color indexed="81"/>
            <rFont val="Tahoma"/>
            <family val="2"/>
          </rPr>
          <t xml:space="preserve">
</t>
        </r>
      </text>
    </comment>
    <comment ref="CY190" authorId="2">
      <text>
        <r>
          <rPr>
            <b/>
            <sz val="8"/>
            <color indexed="81"/>
            <rFont val="Tahoma"/>
            <family val="2"/>
          </rPr>
          <t xml:space="preserve">Comment 5/16/11:
Slide deck p. 9 
</t>
        </r>
        <r>
          <rPr>
            <sz val="8"/>
            <color indexed="81"/>
            <rFont val="Tahoma"/>
            <family val="2"/>
          </rPr>
          <t xml:space="preserve">$3M exit of catalog
$3M Supply chain ops
$3M 2010 YE Strategic Actions
</t>
        </r>
        <r>
          <rPr>
            <b/>
            <sz val="8"/>
            <color indexed="81"/>
            <rFont val="Tahoma"/>
            <family val="2"/>
          </rPr>
          <t xml:space="preserve">$9M total PRE-TAX; $5.4M After Tax
Guidance 5/5/11:
</t>
        </r>
        <r>
          <rPr>
            <sz val="8"/>
            <color indexed="81"/>
            <rFont val="Tahoma"/>
            <family val="2"/>
          </rPr>
          <t xml:space="preserve">We add in additional $4M pre-tax/$2.5M after tax restructuring charge re supply chain initiatives, which equates to 1 cent as disclosed
</t>
        </r>
        <r>
          <rPr>
            <b/>
            <sz val="8"/>
            <color indexed="81"/>
            <rFont val="Tahoma"/>
            <family val="2"/>
          </rPr>
          <t xml:space="preserve">
Guidance 1/24/11:
</t>
        </r>
        <r>
          <rPr>
            <sz val="8"/>
            <color indexed="81"/>
            <rFont val="Tahoma"/>
            <family val="2"/>
          </rPr>
          <t xml:space="preserve">1) Treats as extraordinary:
a) 1 cent hit re restructuring charges re: announcements on 1/24 related to store and outlet closings ($2.5M after tax). For the rest of the year, there will be an additional 4 cents hit, although we do not know timing.  We have assumed 2Q and 3Q.
</t>
        </r>
        <r>
          <rPr>
            <b/>
            <sz val="8"/>
            <color indexed="81"/>
            <rFont val="Tahoma"/>
            <family val="2"/>
          </rPr>
          <t>Flows through real estate and other.</t>
        </r>
        <r>
          <rPr>
            <sz val="8"/>
            <color indexed="81"/>
            <rFont val="Tahoma"/>
            <family val="2"/>
          </rPr>
          <t xml:space="preserve">
b) 2 cents hit re credit facility ($4.5M after tax); only hitting in 1Q.
</t>
        </r>
        <r>
          <rPr>
            <b/>
            <sz val="8"/>
            <color indexed="81"/>
            <rFont val="Tahoma"/>
            <family val="2"/>
          </rPr>
          <t>Flows through interest expense.</t>
        </r>
        <r>
          <rPr>
            <sz val="8"/>
            <color indexed="81"/>
            <rFont val="Tahoma"/>
            <family val="2"/>
          </rPr>
          <t xml:space="preserve">
</t>
        </r>
      </text>
    </comment>
    <comment ref="DC190" authorId="3">
      <text>
        <r>
          <rPr>
            <b/>
            <sz val="8"/>
            <color indexed="81"/>
            <rFont val="Tahoma"/>
            <family val="2"/>
          </rPr>
          <t xml:space="preserve">5/15/2012 Comment
</t>
        </r>
        <r>
          <rPr>
            <u/>
            <sz val="8"/>
            <color indexed="81"/>
            <rFont val="Tahoma"/>
            <family val="2"/>
          </rPr>
          <t>Adjustments:</t>
        </r>
        <r>
          <rPr>
            <sz val="8"/>
            <color indexed="81"/>
            <rFont val="Tahoma"/>
            <family val="2"/>
          </rPr>
          <t xml:space="preserve">
$30M for restructuring charges; $21M for gross margin reserve</t>
        </r>
      </text>
    </comment>
    <comment ref="AM191" authorId="23">
      <text>
        <r>
          <rPr>
            <b/>
            <sz val="8"/>
            <color indexed="81"/>
            <rFont val="Tahoma"/>
            <family val="2"/>
          </rPr>
          <t>missett:</t>
        </r>
        <r>
          <rPr>
            <sz val="8"/>
            <color indexed="81"/>
            <rFont val="Tahoma"/>
            <family val="2"/>
          </rPr>
          <t xml:space="preserve">
Calculates as $0.39.  Must be rounding somewhere</t>
        </r>
      </text>
    </comment>
    <comment ref="CE191" authorId="0">
      <text>
        <r>
          <rPr>
            <b/>
            <sz val="8"/>
            <color indexed="81"/>
            <rFont val="Tahoma"/>
            <family val="2"/>
          </rPr>
          <t>mgmt guidance of $0.71 following july sales</t>
        </r>
        <r>
          <rPr>
            <b/>
            <sz val="8"/>
            <color indexed="81"/>
            <rFont val="Tahoma"/>
            <family val="2"/>
          </rPr>
          <t xml:space="preserve">
previous guidance:
</t>
        </r>
        <r>
          <rPr>
            <sz val="8"/>
            <color indexed="81"/>
            <rFont val="Tahoma"/>
            <family val="2"/>
          </rPr>
          <t>mgmt guidance of $0.65 following June sales (previous mgmt guidance of $0.62, up from $0.60 following May retail sales)
.002 factor included to round out to reported $0.75</t>
        </r>
      </text>
    </comment>
    <comment ref="CI191" authorId="0">
      <text>
        <r>
          <rPr>
            <b/>
            <sz val="8"/>
            <color indexed="81"/>
            <rFont val="Tahoma"/>
            <family val="2"/>
          </rPr>
          <t xml:space="preserve">Guidance: 7/12/2007
Re-affirmed $0.77 guidance
: 5/17/2007
$0.77 (includes $0.03 charge related to the early retirement of debt)
</t>
        </r>
        <r>
          <rPr>
            <sz val="8"/>
            <color indexed="81"/>
            <rFont val="Tahoma"/>
            <family val="2"/>
          </rPr>
          <t xml:space="preserve">
</t>
        </r>
      </text>
    </comment>
    <comment ref="CM191" authorId="0">
      <text>
        <r>
          <rPr>
            <b/>
            <sz val="8"/>
            <color indexed="81"/>
            <rFont val="Tahoma"/>
            <family val="2"/>
          </rPr>
          <t xml:space="preserve">Guidance: 8/7/08
</t>
        </r>
        <r>
          <rPr>
            <sz val="8"/>
            <color indexed="81"/>
            <rFont val="Tahoma"/>
            <family val="2"/>
          </rPr>
          <t>expect $0.50-$0.52 due to better than expected sell-through of promotionally priced merchandise and continued strong expense control</t>
        </r>
        <r>
          <rPr>
            <b/>
            <sz val="8"/>
            <color indexed="81"/>
            <rFont val="Tahoma"/>
            <family val="2"/>
          </rPr>
          <t xml:space="preserve">
Guidance: 5/15/2008
</t>
        </r>
        <r>
          <rPr>
            <sz val="8"/>
            <color indexed="81"/>
            <rFont val="Tahoma"/>
            <family val="2"/>
          </rPr>
          <t>~$0.38</t>
        </r>
        <r>
          <rPr>
            <b/>
            <sz val="8"/>
            <color indexed="81"/>
            <rFont val="Tahoma"/>
            <family val="2"/>
          </rPr>
          <t xml:space="preserve">
</t>
        </r>
      </text>
    </comment>
    <comment ref="CQ191" authorId="15">
      <text>
        <r>
          <rPr>
            <b/>
            <sz val="8"/>
            <color indexed="81"/>
            <rFont val="Tahoma"/>
            <family val="2"/>
          </rPr>
          <t xml:space="preserve">Guidance: 8/6/09
</t>
        </r>
        <r>
          <rPr>
            <sz val="8"/>
            <color indexed="81"/>
            <rFont val="Tahoma"/>
            <family val="2"/>
          </rPr>
          <t>($0.01); based on better than expected sales in July and continued improvement in gross margin and operating expenses</t>
        </r>
        <r>
          <rPr>
            <b/>
            <sz val="8"/>
            <color indexed="81"/>
            <rFont val="Tahoma"/>
            <family val="2"/>
          </rPr>
          <t xml:space="preserve">
Guidance: 7/9/09
</t>
        </r>
        <r>
          <rPr>
            <sz val="8"/>
            <color indexed="81"/>
            <rFont val="Tahoma"/>
            <family val="2"/>
          </rPr>
          <t xml:space="preserve">($0.08-$0.12); this includes the impact of previously announced voluntary contribution of common stock to the Company's qualified pension plan.  Prior guidance did not include it.
</t>
        </r>
        <r>
          <rPr>
            <b/>
            <sz val="8"/>
            <color indexed="81"/>
            <rFont val="Tahoma"/>
            <family val="2"/>
          </rPr>
          <t xml:space="preserve">
Guidance: 5/15/09
</t>
        </r>
        <r>
          <rPr>
            <sz val="8"/>
            <color indexed="81"/>
            <rFont val="Tahoma"/>
            <family val="2"/>
          </rPr>
          <t>($0.15-$0.25)</t>
        </r>
      </text>
    </comment>
    <comment ref="CU191" authorId="2">
      <text>
        <r>
          <rPr>
            <b/>
            <sz val="8"/>
            <color indexed="81"/>
            <rFont val="Tahoma"/>
            <family val="2"/>
          </rPr>
          <t xml:space="preserve">Guidance 8/5/10:
</t>
        </r>
        <r>
          <rPr>
            <sz val="8"/>
            <color indexed="81"/>
            <rFont val="Tahoma"/>
            <family val="2"/>
          </rPr>
          <t>1)</t>
        </r>
        <r>
          <rPr>
            <b/>
            <sz val="8"/>
            <color indexed="81"/>
            <rFont val="Tahoma"/>
            <family val="2"/>
          </rPr>
          <t xml:space="preserve"> </t>
        </r>
        <r>
          <rPr>
            <sz val="8"/>
            <color indexed="81"/>
            <rFont val="Tahoma"/>
            <family val="2"/>
          </rPr>
          <t>Guides to lower end of range of $0.05-$0.08</t>
        </r>
        <r>
          <rPr>
            <b/>
            <sz val="8"/>
            <color indexed="81"/>
            <rFont val="Tahoma"/>
            <family val="2"/>
          </rPr>
          <t xml:space="preserve">
Guidance 5/25/10:
</t>
        </r>
        <r>
          <rPr>
            <sz val="8"/>
            <color indexed="81"/>
            <rFont val="Tahoma"/>
            <family val="2"/>
          </rPr>
          <t xml:space="preserve">1) Company announces 1x hit of $20M (~ 5 cents) owing to premiums and fees related to $300M tender offer
2) 5 cent impact will be included in GAAP EPS, so guidance is effectively $0.05-$0.08
3) We model to GAAP EPS here
</t>
        </r>
        <r>
          <rPr>
            <b/>
            <sz val="8"/>
            <color indexed="81"/>
            <rFont val="Tahoma"/>
            <family val="2"/>
          </rPr>
          <t>Guidance 5/14/10:</t>
        </r>
        <r>
          <rPr>
            <sz val="8"/>
            <color indexed="81"/>
            <rFont val="Tahoma"/>
            <family val="2"/>
          </rPr>
          <t xml:space="preserve">
$0.10-$0.13</t>
        </r>
      </text>
    </comment>
    <comment ref="CY191" authorId="2">
      <text>
        <r>
          <rPr>
            <b/>
            <sz val="8"/>
            <color indexed="81"/>
            <rFont val="Tahoma"/>
            <family val="2"/>
          </rPr>
          <t xml:space="preserve">2Q11 10Q:
</t>
        </r>
        <r>
          <rPr>
            <sz val="8"/>
            <color indexed="81"/>
            <rFont val="Tahoma"/>
            <family val="2"/>
          </rPr>
          <t>$23MM of restructuring costs ($0.07 impact)</t>
        </r>
        <r>
          <rPr>
            <b/>
            <sz val="8"/>
            <color indexed="81"/>
            <rFont val="Tahoma"/>
            <family val="2"/>
          </rPr>
          <t xml:space="preserve">
Guidance 5/16/11:
</t>
        </r>
        <r>
          <rPr>
            <b/>
            <sz val="8"/>
            <color indexed="81"/>
            <rFont val="Tahoma"/>
            <family val="2"/>
          </rPr>
          <t>Total of $21M pre-tax/ ($0.06 EPS)</t>
        </r>
        <r>
          <rPr>
            <sz val="8"/>
            <color indexed="81"/>
            <rFont val="Tahoma"/>
            <family val="2"/>
          </rPr>
          <t xml:space="preserve"> related to restructuring and other cost saving initiatives:
$1M Exit catalog
$12M Supply Chain
$5M YE Strategic Actions
$3M Other Cost Saves
(see p. 9 supplement)</t>
        </r>
        <r>
          <rPr>
            <b/>
            <sz val="8"/>
            <color indexed="81"/>
            <rFont val="Tahoma"/>
            <family val="2"/>
          </rPr>
          <t xml:space="preserve">
Guidance 1/24/11: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CA192" authorId="0">
      <text>
        <r>
          <rPr>
            <b/>
            <sz val="8"/>
            <color indexed="81"/>
            <rFont val="Tahoma"/>
            <family val="2"/>
          </rPr>
          <t>mgmt raised guidance from $0.84 to $0.92 on October sales day; includes 3 cents impact from MasterCard/Visa settlement</t>
        </r>
        <r>
          <rPr>
            <sz val="8"/>
            <color indexed="81"/>
            <rFont val="Tahoma"/>
            <family val="2"/>
          </rPr>
          <t xml:space="preserve">
</t>
        </r>
      </text>
    </comment>
    <comment ref="CE192" authorId="17">
      <text>
        <r>
          <rPr>
            <b/>
            <sz val="8"/>
            <color indexed="81"/>
            <rFont val="Tahoma"/>
            <family val="2"/>
          </rPr>
          <t>Guidance: 11/2/06
Revised guidance: $1.22 
Guidance: 10/5/06
Revised guidance: $1.11
Guidance: 8/31/2006
Reiterated $1.07</t>
        </r>
      </text>
    </comment>
    <comment ref="CI192" authorId="0">
      <text>
        <r>
          <rPr>
            <sz val="8"/>
            <color indexed="81"/>
            <rFont val="Tahoma"/>
            <family val="2"/>
          </rPr>
          <t>Guidance: 11/8/07
Reiterated $1.00-$1.04 (before $0.14 benefit due to federal and tax state credits)
Guidance: 10/11/07
$1.00-$1.04 (following September sales miss)
Guidance: 8/16/2007
$1.28</t>
        </r>
      </text>
    </comment>
    <comment ref="CM192" authorId="0">
      <text>
        <r>
          <rPr>
            <b/>
            <sz val="8"/>
            <color indexed="81"/>
            <rFont val="Tahoma"/>
            <family val="2"/>
          </rPr>
          <t xml:space="preserve">Guidance: 11/6/2008
</t>
        </r>
        <r>
          <rPr>
            <sz val="8"/>
            <color indexed="81"/>
            <rFont val="Tahoma"/>
            <family val="2"/>
          </rPr>
          <t>- $0.51-$0.53 excluding $0.02 benefit</t>
        </r>
        <r>
          <rPr>
            <b/>
            <sz val="8"/>
            <color indexed="81"/>
            <rFont val="Tahoma"/>
            <family val="2"/>
          </rPr>
          <t xml:space="preserve">
- </t>
        </r>
        <r>
          <rPr>
            <sz val="8"/>
            <color indexed="81"/>
            <rFont val="Tahoma"/>
            <family val="2"/>
          </rPr>
          <t xml:space="preserve">$0.53-$0.55, including a benefit of ~$0.02 from the sale of a non-operating real estate property </t>
        </r>
        <r>
          <rPr>
            <b/>
            <sz val="8"/>
            <color indexed="81"/>
            <rFont val="Tahoma"/>
            <family val="2"/>
          </rPr>
          <t xml:space="preserve">
Guidance: 10/8/2008
</t>
        </r>
        <r>
          <rPr>
            <sz val="8"/>
            <color indexed="81"/>
            <rFont val="Tahoma"/>
            <family val="2"/>
          </rPr>
          <t xml:space="preserve">$0.50-$0.60
</t>
        </r>
        <r>
          <rPr>
            <b/>
            <sz val="8"/>
            <color indexed="81"/>
            <rFont val="Tahoma"/>
            <family val="2"/>
          </rPr>
          <t xml:space="preserve">
Guidance: 8/15/2008
</t>
        </r>
        <r>
          <rPr>
            <sz val="8"/>
            <color indexed="81"/>
            <rFont val="Tahoma"/>
            <family val="2"/>
          </rPr>
          <t>$0.70-$0.75 (includes the impact of the Company's largest non-holiday marketing event moving from 3Q into 4Q, ~5 cents)</t>
        </r>
        <r>
          <rPr>
            <b/>
            <sz val="8"/>
            <color indexed="81"/>
            <rFont val="Tahoma"/>
            <family val="2"/>
          </rPr>
          <t xml:space="preserve">
</t>
        </r>
      </text>
    </comment>
    <comment ref="CQ192" authorId="15">
      <text>
        <r>
          <rPr>
            <b/>
            <sz val="8"/>
            <color indexed="81"/>
            <rFont val="Tahoma"/>
            <family val="2"/>
          </rPr>
          <t xml:space="preserve">Guidance: 11/5/09
</t>
        </r>
        <r>
          <rPr>
            <sz val="8"/>
            <color indexed="81"/>
            <rFont val="Tahoma"/>
            <family val="2"/>
          </rPr>
          <t xml:space="preserve">$0.10-$0.11, including $0.03 charge related to real estate impairment; $0.13-$0.14 ex charge
</t>
        </r>
        <r>
          <rPr>
            <b/>
            <sz val="8"/>
            <color indexed="81"/>
            <rFont val="Tahoma"/>
            <family val="2"/>
          </rPr>
          <t xml:space="preserve">
Guidance: 10/8/09
</t>
        </r>
        <r>
          <rPr>
            <sz val="8"/>
            <color indexed="81"/>
            <rFont val="Tahoma"/>
            <family val="2"/>
          </rPr>
          <t>$0.03-$0.10, driven by stronger than expected gross margin in the first two months of the quarter</t>
        </r>
        <r>
          <rPr>
            <b/>
            <sz val="8"/>
            <color indexed="81"/>
            <rFont val="Tahoma"/>
            <family val="2"/>
          </rPr>
          <t xml:space="preserve">
Guidance: 8/14/09
</t>
        </r>
        <r>
          <rPr>
            <sz val="8"/>
            <color indexed="81"/>
            <rFont val="Tahoma"/>
            <family val="2"/>
          </rPr>
          <t>($0.05)-$0.05</t>
        </r>
      </text>
    </comment>
    <comment ref="CU192" authorId="16">
      <text>
        <r>
          <rPr>
            <b/>
            <sz val="8"/>
            <color indexed="81"/>
            <rFont val="Tahoma"/>
            <family val="2"/>
          </rPr>
          <t>Guidance - 10/7/10:
-</t>
        </r>
        <r>
          <rPr>
            <sz val="8"/>
            <color indexed="81"/>
            <rFont val="Tahoma"/>
            <family val="2"/>
          </rPr>
          <t>Reiterates 3Q EPS: $0.16 - 0.20</t>
        </r>
        <r>
          <rPr>
            <b/>
            <sz val="8"/>
            <color indexed="81"/>
            <rFont val="Tahoma"/>
            <family val="2"/>
          </rPr>
          <t xml:space="preserve">
-</t>
        </r>
        <r>
          <rPr>
            <sz val="8"/>
            <color indexed="81"/>
            <rFont val="Tahoma"/>
            <family val="2"/>
          </rPr>
          <t>Note that sales came in at better than expected 5.1%; thus gross margins came in lower than plan for co. to reiterate</t>
        </r>
        <r>
          <rPr>
            <b/>
            <sz val="8"/>
            <color indexed="81"/>
            <rFont val="Tahoma"/>
            <family val="2"/>
          </rPr>
          <t xml:space="preserve">
Guidance - 08/13/10:</t>
        </r>
        <r>
          <rPr>
            <sz val="8"/>
            <color indexed="81"/>
            <rFont val="Tahoma"/>
            <family val="2"/>
          </rPr>
          <t xml:space="preserve">
3Q EPS: $0.16 - 0.20</t>
        </r>
      </text>
    </comment>
    <comment ref="CY192" authorId="2">
      <text>
        <r>
          <rPr>
            <b/>
            <u/>
            <sz val="8"/>
            <color indexed="81"/>
            <rFont val="Tahoma"/>
            <family val="2"/>
          </rPr>
          <t xml:space="preserve">Comment 11/14/1:
</t>
        </r>
        <r>
          <rPr>
            <sz val="8"/>
            <color indexed="81"/>
            <rFont val="Tahoma"/>
            <family val="2"/>
          </rPr>
          <t xml:space="preserve">Press release shows EPS including unusuals as -$0.67 based on share count of 213.3. Plugged share count to match release numbers.
</t>
        </r>
        <r>
          <rPr>
            <b/>
            <u/>
            <sz val="8"/>
            <color indexed="81"/>
            <rFont val="Tahoma"/>
            <family val="2"/>
          </rPr>
          <t xml:space="preserve">
Guidance 10/6/11:
</t>
        </r>
        <r>
          <rPr>
            <sz val="8"/>
            <color indexed="81"/>
            <rFont val="Tahoma"/>
            <family val="2"/>
          </rPr>
          <t>$0.22 of restructuring charges</t>
        </r>
        <r>
          <rPr>
            <b/>
            <u/>
            <sz val="8"/>
            <color indexed="81"/>
            <rFont val="Tahoma"/>
            <family val="2"/>
          </rPr>
          <t xml:space="preserve">
Guidance 8/11/11:
</t>
        </r>
        <r>
          <rPr>
            <sz val="8"/>
            <color indexed="81"/>
            <rFont val="Tahoma"/>
            <family val="2"/>
          </rPr>
          <t>$19M of 1x items in qtr on pre-tax basis</t>
        </r>
        <r>
          <rPr>
            <b/>
            <u/>
            <sz val="8"/>
            <color indexed="81"/>
            <rFont val="Tahoma"/>
            <family val="2"/>
          </rPr>
          <t xml:space="preserve">
Guidance 5/16/11:</t>
        </r>
        <r>
          <rPr>
            <b/>
            <sz val="8"/>
            <color indexed="81"/>
            <rFont val="Tahoma"/>
            <family val="2"/>
          </rPr>
          <t xml:space="preserve">
</t>
        </r>
        <r>
          <rPr>
            <sz val="8"/>
            <color indexed="81"/>
            <rFont val="Tahoma"/>
            <family val="2"/>
          </rPr>
          <t xml:space="preserve">Total of $27M pre-tax in 2H/ ($0.08 EPS) related to restructuring
</t>
        </r>
        <r>
          <rPr>
            <b/>
            <sz val="8"/>
            <color indexed="81"/>
            <rFont val="Tahoma"/>
            <family val="2"/>
          </rPr>
          <t>Assume Split Evenly 3Q/4Q; $13M per Qtr</t>
        </r>
        <r>
          <rPr>
            <sz val="8"/>
            <color indexed="81"/>
            <rFont val="Tahoma"/>
            <family val="2"/>
          </rPr>
          <t xml:space="preserve">
$4M Exit catalog
$20M Supply Chain
$0M 2010 YE Strategic Actions
$3M Other Cost Saves
(see p. 9 supplement)</t>
        </r>
        <r>
          <rPr>
            <b/>
            <sz val="8"/>
            <color indexed="81"/>
            <rFont val="Tahoma"/>
            <family val="2"/>
          </rPr>
          <t xml:space="preserve">
</t>
        </r>
        <r>
          <rPr>
            <b/>
            <u/>
            <sz val="8"/>
            <color indexed="81"/>
            <rFont val="Tahoma"/>
            <family val="2"/>
          </rPr>
          <t>Guidance 1/24/11:</t>
        </r>
        <r>
          <rPr>
            <b/>
            <sz val="8"/>
            <color indexed="81"/>
            <rFont val="Tahoma"/>
            <family val="2"/>
          </rPr>
          <t xml:space="preserve">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CA193" authorId="0">
      <text>
        <r>
          <rPr>
            <b/>
            <sz val="8"/>
            <color indexed="81"/>
            <rFont val="Tahoma"/>
            <family val="2"/>
          </rPr>
          <t>mgmt guidance of $1.61 following December sales</t>
        </r>
      </text>
    </comment>
    <comment ref="CE193" authorId="17">
      <text>
        <r>
          <rPr>
            <b/>
            <sz val="8"/>
            <color indexed="81"/>
            <rFont val="Tahoma"/>
            <family val="2"/>
          </rPr>
          <t>Guidance: 11/9/2006
$1.94 (reiterated on 11/30/06)
Guidance: 8/31/2006
Reiterated $1.84</t>
        </r>
      </text>
    </comment>
    <comment ref="CI193" authorId="0">
      <text>
        <r>
          <rPr>
            <b/>
            <sz val="8"/>
            <color indexed="81"/>
            <rFont val="Tahoma"/>
            <family val="2"/>
          </rPr>
          <t xml:space="preserve">Guidance: 2/7/08
</t>
        </r>
        <r>
          <rPr>
            <sz val="8"/>
            <color indexed="81"/>
            <rFont val="Tahoma"/>
            <family val="2"/>
          </rPr>
          <t>High end of previous $1.65-$1.80 range</t>
        </r>
        <r>
          <rPr>
            <b/>
            <sz val="8"/>
            <color indexed="81"/>
            <rFont val="Tahoma"/>
            <family val="2"/>
          </rPr>
          <t xml:space="preserve">
Guidance: 1/10/08</t>
        </r>
        <r>
          <rPr>
            <sz val="8"/>
            <color indexed="81"/>
            <rFont val="Tahoma"/>
            <family val="2"/>
          </rPr>
          <t xml:space="preserve">
low end of previous $1.65-$1.80 range
Guidance: 11/15/2007
$1.65-$1.80
8/16/2007: $2.41</t>
        </r>
      </text>
    </comment>
    <comment ref="CM193" authorId="15">
      <text>
        <r>
          <rPr>
            <b/>
            <sz val="8"/>
            <color indexed="81"/>
            <rFont val="Tahoma"/>
            <family val="2"/>
          </rPr>
          <t xml:space="preserve">Guidance: 2/5/2009
</t>
        </r>
        <r>
          <rPr>
            <sz val="8"/>
            <color indexed="81"/>
            <rFont val="Tahoma"/>
            <family val="2"/>
          </rPr>
          <t>$0.90-$0.93</t>
        </r>
        <r>
          <rPr>
            <b/>
            <sz val="8"/>
            <color indexed="81"/>
            <rFont val="Tahoma"/>
            <family val="2"/>
          </rPr>
          <t xml:space="preserve">
Guidance: 11/13/2008
</t>
        </r>
        <r>
          <rPr>
            <sz val="8"/>
            <color indexed="81"/>
            <rFont val="Tahoma"/>
            <family val="2"/>
          </rPr>
          <t>$0.90-$1.05</t>
        </r>
      </text>
    </comment>
    <comment ref="CQ193" authorId="2">
      <text>
        <r>
          <rPr>
            <b/>
            <sz val="8"/>
            <color indexed="81"/>
            <rFont val="Tahoma"/>
            <family val="2"/>
          </rPr>
          <t xml:space="preserve">Guidance: 1/7/10
</t>
        </r>
        <r>
          <rPr>
            <sz val="8"/>
            <color indexed="81"/>
            <rFont val="Tahoma"/>
            <family val="2"/>
          </rPr>
          <t>Tightened to</t>
        </r>
        <r>
          <rPr>
            <b/>
            <sz val="8"/>
            <color indexed="81"/>
            <rFont val="Tahoma"/>
            <family val="2"/>
          </rPr>
          <t xml:space="preserve"> </t>
        </r>
        <r>
          <rPr>
            <sz val="8"/>
            <color indexed="81"/>
            <rFont val="Tahoma"/>
            <family val="2"/>
          </rPr>
          <t>$0.77-$0.82</t>
        </r>
        <r>
          <rPr>
            <b/>
            <sz val="8"/>
            <color indexed="81"/>
            <rFont val="Tahoma"/>
            <family val="2"/>
          </rPr>
          <t xml:space="preserve">
Guidance: 11/13/09
</t>
        </r>
        <r>
          <rPr>
            <sz val="8"/>
            <color indexed="81"/>
            <rFont val="Tahoma"/>
            <family val="2"/>
          </rPr>
          <t xml:space="preserve">$0.70-$0.85
</t>
        </r>
      </text>
    </comment>
    <comment ref="CU193" authorId="16">
      <text>
        <r>
          <rPr>
            <b/>
            <sz val="8"/>
            <color indexed="81"/>
            <rFont val="Tahoma"/>
            <family val="2"/>
          </rPr>
          <t xml:space="preserve">Guidance 2/3/11:
</t>
        </r>
        <r>
          <rPr>
            <sz val="8"/>
            <color indexed="81"/>
            <rFont val="Tahoma"/>
            <family val="2"/>
          </rPr>
          <t xml:space="preserve">Raised to $1.14-$1.17 </t>
        </r>
        <r>
          <rPr>
            <b/>
            <sz val="8"/>
            <color indexed="81"/>
            <rFont val="Tahoma"/>
            <family val="2"/>
          </rPr>
          <t>excl $0.08 restructuring charges</t>
        </r>
        <r>
          <rPr>
            <sz val="8"/>
            <color indexed="81"/>
            <rFont val="Tahoma"/>
            <family val="2"/>
          </rPr>
          <t>; 
$1.06-$1.09 including charges
(on better comp and rigorous expense mgmt)</t>
        </r>
        <r>
          <rPr>
            <b/>
            <sz val="8"/>
            <color indexed="81"/>
            <rFont val="Tahoma"/>
            <family val="2"/>
          </rPr>
          <t xml:space="preserve">
Previous guidance of $0.90-$1.00 included the 8 cent charge
</t>
        </r>
        <r>
          <rPr>
            <sz val="8"/>
            <color indexed="81"/>
            <rFont val="Tahoma"/>
            <family val="2"/>
          </rPr>
          <t xml:space="preserve">Comparing midpoints: $0.95 to $1.07, </t>
        </r>
        <r>
          <rPr>
            <b/>
            <sz val="8"/>
            <color indexed="81"/>
            <rFont val="Tahoma"/>
            <family val="2"/>
          </rPr>
          <t>the raise was 12 cents</t>
        </r>
        <r>
          <rPr>
            <b/>
            <sz val="8"/>
            <color indexed="81"/>
            <rFont val="Tahoma"/>
            <family val="2"/>
          </rPr>
          <t xml:space="preserve">
Guidance 11/12/10:</t>
        </r>
        <r>
          <rPr>
            <sz val="8"/>
            <color indexed="81"/>
            <rFont val="Tahoma"/>
            <family val="2"/>
          </rPr>
          <t xml:space="preserve">
$0.90 to $1.00</t>
        </r>
      </text>
    </comment>
    <comment ref="CY193" authorId="2">
      <text>
        <r>
          <rPr>
            <b/>
            <sz val="8"/>
            <color indexed="81"/>
            <rFont val="Tahoma"/>
            <family val="2"/>
          </rPr>
          <t xml:space="preserve">1/5/12 Guidance:
</t>
        </r>
        <r>
          <rPr>
            <sz val="8"/>
            <color indexed="81"/>
            <rFont val="Tahoma"/>
            <family val="2"/>
          </rPr>
          <t>1)</t>
        </r>
        <r>
          <rPr>
            <b/>
            <sz val="8"/>
            <color indexed="81"/>
            <rFont val="Tahoma"/>
            <family val="2"/>
          </rPr>
          <t xml:space="preserve"> </t>
        </r>
        <r>
          <rPr>
            <sz val="8"/>
            <color indexed="81"/>
            <rFont val="Tahoma"/>
            <family val="2"/>
          </rPr>
          <t>$0.50-$0.55 of restr/mgmt transition costs in 4Q
2) $0.50 - $55 of exp related to roll-out of new pricing / mktg strategy
3) for restructuring charges $65M of charges not tax deductible - so effective tax rate will be 48% (implies gross restructuring exp of $150-170M)</t>
        </r>
        <r>
          <rPr>
            <b/>
            <u/>
            <sz val="8"/>
            <color indexed="81"/>
            <rFont val="Tahoma"/>
            <family val="2"/>
          </rPr>
          <t xml:space="preserve">
11/14/11 guidance:
</t>
        </r>
        <r>
          <rPr>
            <sz val="8"/>
            <color indexed="81"/>
            <rFont val="Tahoma"/>
            <family val="2"/>
          </rPr>
          <t>1) ~$104MM of restructuring/mgmt transition costs in 4Q
2) $65MM of charges not tax deductible, remainder is
3) Should get to $0.41 in EPS for extraordinary items</t>
        </r>
        <r>
          <rPr>
            <b/>
            <u/>
            <sz val="8"/>
            <color indexed="81"/>
            <rFont val="Tahoma"/>
            <family val="2"/>
          </rPr>
          <t xml:space="preserve">
Comment 8/12/11:
</t>
        </r>
        <r>
          <rPr>
            <sz val="8"/>
            <color indexed="81"/>
            <rFont val="Tahoma"/>
            <family val="2"/>
          </rPr>
          <t>Guidance implies $7M of 1x restructuring left in 4Q
See "Expense Analysis" tab</t>
        </r>
        <r>
          <rPr>
            <b/>
            <u/>
            <sz val="8"/>
            <color indexed="81"/>
            <rFont val="Tahoma"/>
            <family val="2"/>
          </rPr>
          <t xml:space="preserve">
Guidance 5/16/11:</t>
        </r>
        <r>
          <rPr>
            <b/>
            <sz val="8"/>
            <color indexed="81"/>
            <rFont val="Tahoma"/>
            <family val="2"/>
          </rPr>
          <t xml:space="preserve">
</t>
        </r>
        <r>
          <rPr>
            <sz val="8"/>
            <color indexed="81"/>
            <rFont val="Tahoma"/>
            <family val="2"/>
          </rPr>
          <t xml:space="preserve">Total of $27M pre-tax in 2H/ ($0.08 EPS) related to restructuring
</t>
        </r>
        <r>
          <rPr>
            <b/>
            <sz val="8"/>
            <color indexed="81"/>
            <rFont val="Tahoma"/>
            <family val="2"/>
          </rPr>
          <t>Assume Split Evenly 3Q/4Q; $13M per Qtr</t>
        </r>
        <r>
          <rPr>
            <sz val="8"/>
            <color indexed="81"/>
            <rFont val="Tahoma"/>
            <family val="2"/>
          </rPr>
          <t xml:space="preserve">
$4M Exit catalog
$20M Supply Chain
$0M 2010 YE Strategic Actions
$3M Other Cost Saves
(see p. 9 supplement)</t>
        </r>
        <r>
          <rPr>
            <b/>
            <sz val="8"/>
            <color indexed="81"/>
            <rFont val="Tahoma"/>
            <family val="2"/>
          </rPr>
          <t xml:space="preserve">
</t>
        </r>
        <r>
          <rPr>
            <b/>
            <u/>
            <sz val="8"/>
            <color indexed="81"/>
            <rFont val="Tahoma"/>
            <family val="2"/>
          </rPr>
          <t>Guidance 1/24/11:</t>
        </r>
        <r>
          <rPr>
            <b/>
            <sz val="8"/>
            <color indexed="81"/>
            <rFont val="Tahoma"/>
            <family val="2"/>
          </rPr>
          <t xml:space="preserve">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BW194" authorId="20">
      <text>
        <r>
          <rPr>
            <b/>
            <sz val="8"/>
            <color indexed="81"/>
            <rFont val="Tahoma"/>
            <family val="2"/>
          </rPr>
          <t>gfowlkes:</t>
        </r>
        <r>
          <rPr>
            <sz val="8"/>
            <color indexed="81"/>
            <rFont val="Tahoma"/>
            <family val="2"/>
          </rPr>
          <t xml:space="preserve">
lowered adjustment amount for convert.</t>
        </r>
      </text>
    </comment>
    <comment ref="CE194" authorId="0">
      <text>
        <r>
          <rPr>
            <b/>
            <sz val="8"/>
            <color indexed="81"/>
            <rFont val="Tahoma"/>
            <family val="2"/>
          </rPr>
          <t>Guidance: 11/9/2006
$4.82
Guidance: 8/10/2006
$4.55
mgmt guidance of $4.29-$4.39 following June sales</t>
        </r>
        <r>
          <rPr>
            <sz val="8"/>
            <color indexed="81"/>
            <rFont val="Tahoma"/>
            <family val="2"/>
          </rPr>
          <t xml:space="preserve">
mgmt guidance of $4.24 to $4.34 following 1Q earnings</t>
        </r>
        <r>
          <rPr>
            <b/>
            <sz val="8"/>
            <color indexed="81"/>
            <rFont val="Tahoma"/>
            <family val="2"/>
          </rPr>
          <t xml:space="preserve">
</t>
        </r>
        <r>
          <rPr>
            <sz val="8"/>
            <color indexed="81"/>
            <rFont val="Tahoma"/>
            <family val="2"/>
          </rPr>
          <t xml:space="preserve">mgmt guidance of $4.22 to $4.32 following April Sales 
mgmt guidance of $4.14 to $4.24 following 4Q05 earnings
</t>
        </r>
      </text>
    </comment>
    <comment ref="CI194" authorId="0">
      <text>
        <r>
          <rPr>
            <sz val="8"/>
            <color indexed="81"/>
            <rFont val="Tahoma"/>
            <family val="2"/>
          </rPr>
          <t>11/15/2007: Guidance
$4.63-$4.78 GAAP basis.  ~$4.49-$4.64 excluding $0.14 tax benefit from 3Q
5/17/2007: $5.49 including $0.03 early debt retirement charge.
4/18/07: Raised by 3 cents to $5.47 via 1Q guidance increase$1.02
2/22/07: $5.44</t>
        </r>
      </text>
    </comment>
    <comment ref="CM194" authorId="0">
      <text>
        <r>
          <rPr>
            <b/>
            <sz val="8"/>
            <color indexed="81"/>
            <rFont val="Tahoma"/>
            <family val="2"/>
          </rPr>
          <t xml:space="preserve">Guidance: 2/21/08
</t>
        </r>
        <r>
          <rPr>
            <sz val="8"/>
            <color indexed="81"/>
            <rFont val="Tahoma"/>
            <family val="2"/>
          </rPr>
          <t xml:space="preserve"> $3.75-$4.00 </t>
        </r>
      </text>
    </comment>
    <comment ref="CQ194" authorId="15">
      <text>
        <r>
          <rPr>
            <b/>
            <sz val="8"/>
            <color indexed="81"/>
            <rFont val="Tahoma"/>
            <family val="2"/>
          </rPr>
          <t xml:space="preserve">Guidance: 1/7/10
</t>
        </r>
        <r>
          <rPr>
            <sz val="8"/>
            <color indexed="81"/>
            <rFont val="Tahoma"/>
            <family val="2"/>
          </rPr>
          <t>$1.00-$1.05</t>
        </r>
        <r>
          <rPr>
            <b/>
            <sz val="8"/>
            <color indexed="81"/>
            <rFont val="Tahoma"/>
            <family val="2"/>
          </rPr>
          <t xml:space="preserve">
Guidance: 11/13/09
</t>
        </r>
        <r>
          <rPr>
            <sz val="8"/>
            <color indexed="81"/>
            <rFont val="Tahoma"/>
            <family val="2"/>
          </rPr>
          <t>$0.93-$1.08</t>
        </r>
        <r>
          <rPr>
            <b/>
            <sz val="8"/>
            <color indexed="81"/>
            <rFont val="Tahoma"/>
            <family val="2"/>
          </rPr>
          <t xml:space="preserve">
Guidance: 8/14/09
</t>
        </r>
        <r>
          <rPr>
            <sz val="8"/>
            <color indexed="81"/>
            <rFont val="Tahoma"/>
            <family val="2"/>
          </rPr>
          <t>$0.75-$0.90</t>
        </r>
        <r>
          <rPr>
            <b/>
            <sz val="8"/>
            <color indexed="81"/>
            <rFont val="Tahoma"/>
            <family val="2"/>
          </rPr>
          <t xml:space="preserve">
Guidance: 5/19/2009
</t>
        </r>
        <r>
          <rPr>
            <sz val="8"/>
            <color indexed="81"/>
            <rFont val="Tahoma"/>
            <family val="2"/>
          </rPr>
          <t>Pension expense contribution is $0.03 accretive to EPS after accounting for: 1) share dilution and 2) lower pension expense ($302M vs. prior guidance of $322M).</t>
        </r>
        <r>
          <rPr>
            <b/>
            <sz val="8"/>
            <color indexed="81"/>
            <rFont val="Tahoma"/>
            <family val="2"/>
          </rPr>
          <t xml:space="preserve">
Guidance: 5/15/09
</t>
        </r>
        <r>
          <rPr>
            <sz val="8"/>
            <color indexed="81"/>
            <rFont val="Tahoma"/>
            <family val="2"/>
          </rPr>
          <t>$0.50-$0.65</t>
        </r>
      </text>
    </comment>
    <comment ref="CU194" authorId="2">
      <text>
        <r>
          <rPr>
            <b/>
            <sz val="8"/>
            <color indexed="81"/>
            <rFont val="Tahoma"/>
            <family val="2"/>
          </rPr>
          <t xml:space="preserve">Guidance 2/3/11:
</t>
        </r>
        <r>
          <rPr>
            <sz val="8"/>
            <color indexed="81"/>
            <rFont val="Tahoma"/>
            <family val="2"/>
          </rPr>
          <t>Raise</t>
        </r>
        <r>
          <rPr>
            <b/>
            <sz val="8"/>
            <color indexed="81"/>
            <rFont val="Tahoma"/>
            <family val="2"/>
          </rPr>
          <t xml:space="preserve"> </t>
        </r>
        <r>
          <rPr>
            <sz val="8"/>
            <color indexed="81"/>
            <rFont val="Tahoma"/>
            <family val="2"/>
          </rPr>
          <t xml:space="preserve">implies </t>
        </r>
        <r>
          <rPr>
            <b/>
            <sz val="8"/>
            <color indexed="81"/>
            <rFont val="Tahoma"/>
            <family val="2"/>
          </rPr>
          <t>$1.60 to $1.70</t>
        </r>
        <r>
          <rPr>
            <sz val="8"/>
            <color indexed="81"/>
            <rFont val="Tahoma"/>
            <family val="2"/>
          </rPr>
          <t xml:space="preserve"> clean EPS
1) Raise EPS 12 cents excluding charges
2) Original guidance embedded 8 cent charge; now we back out
3) Total of 20 cents of EPS raise vs. previous</t>
        </r>
        <r>
          <rPr>
            <b/>
            <sz val="8"/>
            <color indexed="81"/>
            <rFont val="Tahoma"/>
            <family val="2"/>
          </rPr>
          <t xml:space="preserve"> $1.40 to $1.50 FY guidance
 11/12/10:</t>
        </r>
        <r>
          <rPr>
            <sz val="8"/>
            <color indexed="81"/>
            <rFont val="Tahoma"/>
            <family val="2"/>
          </rPr>
          <t xml:space="preserve">
$1.40 to $1.50
</t>
        </r>
        <r>
          <rPr>
            <b/>
            <sz val="8"/>
            <color indexed="81"/>
            <rFont val="Tahoma"/>
            <family val="2"/>
          </rPr>
          <t xml:space="preserve">
Guidance 8/13/10:
</t>
        </r>
        <r>
          <rPr>
            <sz val="8"/>
            <color indexed="81"/>
            <rFont val="Tahoma"/>
            <family val="2"/>
          </rPr>
          <t>$1.40-1.50</t>
        </r>
        <r>
          <rPr>
            <b/>
            <sz val="8"/>
            <color indexed="81"/>
            <rFont val="Tahoma"/>
            <family val="2"/>
          </rPr>
          <t xml:space="preserve">
Walking from $1.64:
</t>
        </r>
        <r>
          <rPr>
            <sz val="8"/>
            <color indexed="81"/>
            <rFont val="Tahoma"/>
            <family val="2"/>
          </rPr>
          <t>a)</t>
        </r>
        <r>
          <rPr>
            <b/>
            <sz val="8"/>
            <color indexed="81"/>
            <rFont val="Tahoma"/>
            <family val="2"/>
          </rPr>
          <t xml:space="preserve"> </t>
        </r>
        <r>
          <rPr>
            <sz val="8"/>
            <color indexed="81"/>
            <rFont val="Tahoma"/>
            <family val="2"/>
          </rPr>
          <t>5 cent hit re bond premium fees</t>
        </r>
        <r>
          <rPr>
            <b/>
            <sz val="8"/>
            <color indexed="81"/>
            <rFont val="Tahoma"/>
            <family val="2"/>
          </rPr>
          <t xml:space="preserve">
</t>
        </r>
        <r>
          <rPr>
            <sz val="8"/>
            <color indexed="81"/>
            <rFont val="Tahoma"/>
            <family val="2"/>
          </rPr>
          <t xml:space="preserve">b) 2 cent hit on quarterly miss; guided to 0.05 to 0.08 and came in at 0.06
c) That gets to $1.57. Incremental 12 cents vs. $1.40-$1.45 midpoint is due to reduced sales expectations, not gross margin. Expect +2-3% comps vs. +5% plan.
</t>
        </r>
        <r>
          <rPr>
            <b/>
            <sz val="8"/>
            <color indexed="81"/>
            <rFont val="Tahoma"/>
            <family val="2"/>
          </rPr>
          <t xml:space="preserve">
Guidance 5/14/10:
</t>
        </r>
        <r>
          <rPr>
            <sz val="8"/>
            <color indexed="81"/>
            <rFont val="Tahoma"/>
            <family val="2"/>
          </rPr>
          <t>~$1.64</t>
        </r>
        <r>
          <rPr>
            <b/>
            <sz val="8"/>
            <color indexed="81"/>
            <rFont val="Tahoma"/>
            <family val="2"/>
          </rPr>
          <t xml:space="preserve">
Guidance 2/19/10:
</t>
        </r>
        <r>
          <rPr>
            <sz val="8"/>
            <color indexed="81"/>
            <rFont val="Tahoma"/>
            <family val="2"/>
          </rPr>
          <t>~$1.55</t>
        </r>
        <r>
          <rPr>
            <sz val="8"/>
            <color indexed="81"/>
            <rFont val="Tahoma"/>
            <family val="2"/>
          </rPr>
          <t xml:space="preserve">
</t>
        </r>
        <r>
          <rPr>
            <b/>
            <sz val="8"/>
            <color indexed="81"/>
            <rFont val="Tahoma"/>
            <family val="2"/>
          </rPr>
          <t xml:space="preserve">Guidance 4/20/10:
</t>
        </r>
        <r>
          <rPr>
            <sz val="8"/>
            <color indexed="81"/>
            <rFont val="Tahoma"/>
            <family val="2"/>
          </rPr>
          <t>~20% growth y/y</t>
        </r>
      </text>
    </comment>
    <comment ref="CY194" authorId="2">
      <text>
        <r>
          <rPr>
            <b/>
            <sz val="8"/>
            <color indexed="81"/>
            <rFont val="Tahoma"/>
            <family val="2"/>
          </rPr>
          <t xml:space="preserve">Guidance 5/16/11:
</t>
        </r>
        <r>
          <rPr>
            <sz val="8"/>
            <color indexed="81"/>
            <rFont val="Tahoma"/>
            <family val="2"/>
          </rPr>
          <t>Total of $56M pre-tax/ $35M pre-tax/ ($0.16 EPS) related to restructuring:
$8M Exit catalog
$35M Supply Chain
$7M 2010 YE Strategic Actions
$6M Other Cost Saves
(see p. 9 supplement)</t>
        </r>
        <r>
          <rPr>
            <b/>
            <sz val="8"/>
            <color indexed="81"/>
            <rFont val="Tahoma"/>
            <family val="2"/>
          </rPr>
          <t xml:space="preserve">
Guidance 1/24/11: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EE194" authorId="11">
      <text>
        <r>
          <rPr>
            <b/>
            <sz val="9"/>
            <color indexed="81"/>
            <rFont val="Tahoma"/>
            <family val="2"/>
          </rPr>
          <t>De Courreges, Edouard (Research):</t>
        </r>
        <r>
          <rPr>
            <sz val="9"/>
            <color indexed="81"/>
            <rFont val="Tahoma"/>
            <family val="2"/>
          </rPr>
          <t xml:space="preserve">
3/2/18: 5c to 25c guide</t>
        </r>
      </text>
    </comment>
    <comment ref="CY200" authorId="3">
      <text>
        <r>
          <rPr>
            <b/>
            <sz val="8"/>
            <color indexed="81"/>
            <rFont val="Tahoma"/>
            <family val="2"/>
          </rPr>
          <t xml:space="preserve">Per 10Q
</t>
        </r>
        <r>
          <rPr>
            <sz val="8"/>
            <color indexed="81"/>
            <rFont val="Tahoma"/>
            <family val="2"/>
          </rPr>
          <t>qualified pension plan expense net of tax $8</t>
        </r>
      </text>
    </comment>
    <comment ref="DC200" authorId="3">
      <text>
        <r>
          <rPr>
            <b/>
            <sz val="8"/>
            <color indexed="81"/>
            <rFont val="Tahoma"/>
            <family val="2"/>
          </rPr>
          <t xml:space="preserve">5/15/2012 Comment
</t>
        </r>
        <r>
          <rPr>
            <u/>
            <sz val="8"/>
            <color indexed="81"/>
            <rFont val="Tahoma"/>
            <family val="2"/>
          </rPr>
          <t>Adjustments:</t>
        </r>
        <r>
          <rPr>
            <sz val="8"/>
            <color indexed="81"/>
            <rFont val="Tahoma"/>
            <family val="2"/>
          </rPr>
          <t xml:space="preserve">
$30M for restructuring charges; $21M for gross margin reserve</t>
        </r>
      </text>
    </comment>
    <comment ref="DU200" authorId="6">
      <text>
        <r>
          <rPr>
            <b/>
            <sz val="9"/>
            <color indexed="81"/>
            <rFont val="Tahoma"/>
            <family val="2"/>
          </rPr>
          <t>Baglione, Gregory  (Research):</t>
        </r>
        <r>
          <rPr>
            <sz val="9"/>
            <color indexed="81"/>
            <rFont val="Tahoma"/>
            <family val="2"/>
          </rPr>
          <t xml:space="preserve">
$29M Adjustment
Includes:
$6M Restucturing
$4M extinguishment debt
$5net gain on sale of operating assets
$24M proportional share of home office JV
$2M tax impact from other comprehensive income allocation
leads to $97M adjusted net income </t>
        </r>
      </text>
    </comment>
    <comment ref="CY201" authorId="3">
      <text>
        <r>
          <rPr>
            <b/>
            <sz val="8"/>
            <color indexed="81"/>
            <rFont val="Tahoma"/>
            <family val="2"/>
          </rPr>
          <t xml:space="preserve">Per 10Q
</t>
        </r>
        <r>
          <rPr>
            <sz val="8"/>
            <color indexed="81"/>
            <rFont val="Tahoma"/>
            <family val="2"/>
          </rPr>
          <t>qualified pension plan expense net of tax $8</t>
        </r>
      </text>
    </comment>
    <comment ref="DG201" authorId="9">
      <text>
        <r>
          <rPr>
            <b/>
            <sz val="8"/>
            <color indexed="81"/>
            <rFont val="Tahoma"/>
            <family val="2"/>
          </rPr>
          <t xml:space="preserve">8/20/13: adjusted EPS: </t>
        </r>
        <r>
          <rPr>
            <sz val="8"/>
            <color indexed="81"/>
            <rFont val="Tahoma"/>
            <family val="2"/>
          </rPr>
          <t>+47M (restructuring and mgmt transition) + 9M (primary pension exp) + 114M (loss on extinguishment of debt) - 61M (gain on sale or redemption of non-op asset) + 218M (tax valuation charge)</t>
        </r>
      </text>
    </comment>
    <comment ref="DU201" authorId="6">
      <text>
        <r>
          <rPr>
            <b/>
            <sz val="9"/>
            <color indexed="81"/>
            <rFont val="Tahoma"/>
            <family val="2"/>
          </rPr>
          <t>Baglione, Gregory  (Research):</t>
        </r>
        <r>
          <rPr>
            <sz val="9"/>
            <color indexed="81"/>
            <rFont val="Tahoma"/>
            <family val="2"/>
          </rPr>
          <t xml:space="preserve">
$40M Adjustment
$9M restructuring and management transition
$34M gain/loss on extingusihment of debt
$5M Land JV
$2MTax impact resulting from other comprehensive income allocation </t>
        </r>
      </text>
    </comment>
    <comment ref="CY202" authorId="3">
      <text>
        <r>
          <rPr>
            <b/>
            <sz val="8"/>
            <color indexed="81"/>
            <rFont val="Tahoma"/>
            <family val="2"/>
          </rPr>
          <t xml:space="preserve">Per 11/14/11 press release: 
</t>
        </r>
        <r>
          <rPr>
            <sz val="8"/>
            <color indexed="81"/>
            <rFont val="Tahoma"/>
            <family val="2"/>
          </rPr>
          <t>qualified pension plan expense net of tax $8</t>
        </r>
        <r>
          <rPr>
            <sz val="8"/>
            <color indexed="81"/>
            <rFont val="Tahoma"/>
            <family val="2"/>
          </rPr>
          <t xml:space="preserve">
(EPS is $0.18 net of qpp)</t>
        </r>
      </text>
    </comment>
    <comment ref="DG202" authorId="9">
      <text>
        <r>
          <rPr>
            <b/>
            <sz val="8"/>
            <color indexed="81"/>
            <rFont val="Tahoma"/>
            <family val="2"/>
          </rPr>
          <t xml:space="preserve">11/20/13: adjusted EPS: </t>
        </r>
        <r>
          <rPr>
            <sz val="8"/>
            <color indexed="81"/>
            <rFont val="Tahoma"/>
            <family val="2"/>
          </rPr>
          <t xml:space="preserve">+46M (restructuring and mgmt transition) + 10M (primary pension exp) - 24M (gain on sale or redemption of non-op asset) </t>
        </r>
      </text>
    </comment>
    <comment ref="CY203" authorId="3">
      <text>
        <r>
          <rPr>
            <b/>
            <sz val="8"/>
            <color indexed="81"/>
            <rFont val="Tahoma"/>
            <family val="2"/>
          </rPr>
          <t xml:space="preserve">2/24/2012 Comment
</t>
        </r>
        <r>
          <rPr>
            <sz val="8"/>
            <color indexed="81"/>
            <rFont val="Tahoma"/>
            <family val="2"/>
          </rPr>
          <t>Adds back 1ualified pension expense of $22 ($13 after taxes) or 6c to EPS</t>
        </r>
      </text>
    </comment>
    <comment ref="DG203" authorId="9">
      <text>
        <r>
          <rPr>
            <b/>
            <sz val="8"/>
            <color indexed="81"/>
            <rFont val="Tahoma"/>
            <family val="2"/>
          </rPr>
          <t xml:space="preserve">2/26/14: adjusted EPS: 
</t>
        </r>
        <r>
          <rPr>
            <sz val="8"/>
            <color indexed="81"/>
            <rFont val="Tahoma"/>
            <family val="2"/>
          </rPr>
          <t>+50M (restructuring and mgmt transition) 
+ 25M (primary pension exp) 
- 46M (gain on sale or redemption of non-op asset) 
- 270M (tax valuation charge)</t>
        </r>
      </text>
    </comment>
    <comment ref="DZ203" authorId="7">
      <text>
        <r>
          <rPr>
            <b/>
            <sz val="9"/>
            <color indexed="81"/>
            <rFont val="Tahoma"/>
            <family val="2"/>
          </rPr>
          <t>Cassel, Lauren (Research):</t>
        </r>
        <r>
          <rPr>
            <sz val="9"/>
            <color indexed="81"/>
            <rFont val="Tahoma"/>
            <family val="2"/>
          </rPr>
          <t xml:space="preserve">
2/23/17: 53rd week 1c to neutral</t>
        </r>
      </text>
    </comment>
    <comment ref="CY204" authorId="2">
      <text>
        <r>
          <rPr>
            <b/>
            <sz val="8"/>
            <color indexed="81"/>
            <rFont val="Tahoma"/>
            <family val="2"/>
          </rPr>
          <t>Note adjusted for all 1-time items in prior quarters (see 1Q-4Q cell notes)
Per 2011 10K</t>
        </r>
        <r>
          <rPr>
            <sz val="8"/>
            <color indexed="81"/>
            <rFont val="Tahoma"/>
            <family val="2"/>
          </rPr>
          <t xml:space="preserve">
Wgtd Avg Diluted Shares: 217.4, </t>
        </r>
        <r>
          <rPr>
            <u/>
            <sz val="8"/>
            <color indexed="81"/>
            <rFont val="Tahoma"/>
            <family val="2"/>
          </rPr>
          <t>BUT</t>
        </r>
        <r>
          <rPr>
            <sz val="8"/>
            <color indexed="81"/>
            <rFont val="Tahoma"/>
            <family val="2"/>
          </rPr>
          <t xml:space="preserve"> company uses 220.7M shares in its 10K for calculating EPS as adj inc from continuing ops was positive.  3.3M shares were added to account for stock options, restricted stock awards and stock warrants</t>
        </r>
        <r>
          <rPr>
            <b/>
            <sz val="8"/>
            <color indexed="81"/>
            <rFont val="Tahoma"/>
            <family val="2"/>
          </rPr>
          <t xml:space="preserve">
Guidance 5/16/11:
</t>
        </r>
        <r>
          <rPr>
            <sz val="8"/>
            <color indexed="81"/>
            <rFont val="Tahoma"/>
            <family val="2"/>
          </rPr>
          <t>220M shares o/s</t>
        </r>
        <r>
          <rPr>
            <sz val="8"/>
            <color indexed="81"/>
            <rFont val="Tahoma"/>
            <family val="2"/>
          </rPr>
          <t xml:space="preserve">
</t>
        </r>
      </text>
    </comment>
    <comment ref="DU204" authorId="6">
      <text>
        <r>
          <rPr>
            <b/>
            <sz val="9"/>
            <color indexed="81"/>
            <rFont val="Tahoma"/>
            <family val="2"/>
          </rPr>
          <t>Baglione, Gregory  (Research):</t>
        </r>
        <r>
          <rPr>
            <sz val="9"/>
            <color indexed="81"/>
            <rFont val="Tahoma"/>
            <family val="2"/>
          </rPr>
          <t xml:space="preserve">
</t>
        </r>
        <r>
          <rPr>
            <b/>
            <sz val="9"/>
            <color indexed="81"/>
            <rFont val="Tahoma"/>
            <family val="2"/>
          </rPr>
          <t>11/11/16</t>
        </r>
        <r>
          <rPr>
            <sz val="9"/>
            <color indexed="81"/>
            <rFont val="Tahoma"/>
            <family val="2"/>
          </rPr>
          <t xml:space="preserve">
guidance:
Comparable store sales: expected to now increase 1% to 2%;
Gross margin: expected to now be flat versus 2015;
SG&amp;A dollars: expected to decrease versus 2015;
EBITDA1: expected to be $1 billion;
</t>
        </r>
        <r>
          <rPr>
            <b/>
            <sz val="9"/>
            <color indexed="81"/>
            <rFont val="Tahoma"/>
            <family val="2"/>
          </rPr>
          <t>Adjusted earnings per share: expected to be positive;</t>
        </r>
        <r>
          <rPr>
            <sz val="9"/>
            <color indexed="81"/>
            <rFont val="Tahoma"/>
            <family val="2"/>
          </rPr>
          <t xml:space="preserve">
Free cash flow: expected to improve versus 2015.
5/13/16
Adjusted earnings per share: expected to be positive;
2/25/16
Guidance: Adjusted earnings per share: expected to be positive;
</t>
        </r>
      </text>
    </comment>
    <comment ref="DZ204" authorId="7">
      <text>
        <r>
          <rPr>
            <b/>
            <sz val="9"/>
            <color indexed="81"/>
            <rFont val="Tahoma"/>
            <family val="2"/>
          </rPr>
          <t>Cassel, Lauren (Research):</t>
        </r>
        <r>
          <rPr>
            <sz val="9"/>
            <color indexed="81"/>
            <rFont val="Tahoma"/>
            <family val="2"/>
          </rPr>
          <t xml:space="preserve">
2/24/17: guidance: adjusted EPS 40-65c</t>
        </r>
      </text>
    </comment>
    <comment ref="CY210" authorId="2">
      <text>
        <r>
          <rPr>
            <b/>
            <sz val="8"/>
            <color indexed="81"/>
            <rFont val="Tahoma"/>
            <family val="2"/>
          </rPr>
          <t xml:space="preserve">Guidance 5/5/11:
</t>
        </r>
        <r>
          <rPr>
            <b/>
            <sz val="8"/>
            <color indexed="81"/>
            <rFont val="Tahoma"/>
            <family val="2"/>
          </rPr>
          <t>$0.24</t>
        </r>
        <r>
          <rPr>
            <sz val="8"/>
            <color indexed="81"/>
            <rFont val="Tahoma"/>
            <family val="2"/>
          </rPr>
          <t xml:space="preserve">
Includes:
1) 2 cents per share re revolving credit facility (in net interest)
2) 1 cent re restructuring charges re 1/24/11 outlet/catalog closing (in real estate)
3) 1 cent re restructuring charge supply chain (announced 5/5/11) (in real estate)
</t>
        </r>
        <r>
          <rPr>
            <b/>
            <sz val="8"/>
            <color indexed="81"/>
            <rFont val="Tahoma"/>
            <family val="2"/>
          </rPr>
          <t xml:space="preserve">Total 1x charges of $0.04, or $16M split btw real estate and net interest </t>
        </r>
        <r>
          <rPr>
            <sz val="8"/>
            <color indexed="81"/>
            <rFont val="Tahoma"/>
            <family val="2"/>
          </rPr>
          <t xml:space="preserve">
</t>
        </r>
        <r>
          <rPr>
            <b/>
            <sz val="8"/>
            <color indexed="12"/>
            <rFont val="Tahoma"/>
            <family val="2"/>
          </rPr>
          <t>$0.24 also includes 1 cent of share buyback</t>
        </r>
        <r>
          <rPr>
            <sz val="8"/>
            <color indexed="81"/>
            <rFont val="Tahoma"/>
            <family val="2"/>
          </rPr>
          <t xml:space="preserve">
Excluding 4 cents, </t>
        </r>
        <r>
          <rPr>
            <b/>
            <u/>
            <sz val="8"/>
            <color indexed="12"/>
            <rFont val="Tahoma"/>
            <family val="2"/>
          </rPr>
          <t xml:space="preserve">guidance is $0.28 </t>
        </r>
        <r>
          <rPr>
            <sz val="8"/>
            <color indexed="81"/>
            <rFont val="Tahoma"/>
            <family val="2"/>
          </rPr>
          <t>(including 1 cent buyback).
Unclear if Street is modeling to non-GAAP(</t>
        </r>
        <r>
          <rPr>
            <b/>
            <u/>
            <sz val="8"/>
            <color indexed="12"/>
            <rFont val="Tahoma"/>
            <family val="2"/>
          </rPr>
          <t>$0.28)</t>
        </r>
        <r>
          <rPr>
            <sz val="8"/>
            <color indexed="81"/>
            <rFont val="Tahoma"/>
            <family val="2"/>
          </rPr>
          <t xml:space="preserve"> or GAAP</t>
        </r>
        <r>
          <rPr>
            <sz val="8"/>
            <color indexed="12"/>
            <rFont val="Tahoma"/>
            <family val="2"/>
          </rPr>
          <t xml:space="preserve"> </t>
        </r>
        <r>
          <rPr>
            <b/>
            <u/>
            <sz val="8"/>
            <color indexed="12"/>
            <rFont val="Tahoma"/>
            <family val="2"/>
          </rPr>
          <t>($0.24)</t>
        </r>
        <r>
          <rPr>
            <b/>
            <sz val="8"/>
            <color indexed="81"/>
            <rFont val="Tahoma"/>
            <family val="2"/>
          </rPr>
          <t xml:space="preserve">
</t>
        </r>
        <r>
          <rPr>
            <sz val="8"/>
            <color indexed="81"/>
            <rFont val="Tahoma"/>
            <family val="2"/>
          </rPr>
          <t>***We ignore 2 cents re non comparable SG&amp;A expense related to new growth initiatives (Foundry, Gifting Grace, CLAD) announced on 1Q call</t>
        </r>
        <r>
          <rPr>
            <b/>
            <sz val="8"/>
            <color indexed="81"/>
            <rFont val="Tahoma"/>
            <family val="2"/>
          </rPr>
          <t xml:space="preserve">
Guidance 2/25/11:
</t>
        </r>
        <r>
          <rPr>
            <sz val="8"/>
            <color indexed="81"/>
            <rFont val="Tahoma"/>
            <family val="2"/>
          </rPr>
          <t>$0.18-0.23
Includes:
1) 1x charge of 2 cents per share re revolving credit facility
2) 1 cent re restructuring charges announced 1/24/11</t>
        </r>
        <r>
          <rPr>
            <sz val="8"/>
            <color indexed="81"/>
            <rFont val="Tahoma"/>
            <family val="2"/>
          </rPr>
          <t xml:space="preserve">
3) </t>
        </r>
        <r>
          <rPr>
            <b/>
            <u/>
            <sz val="8"/>
            <color indexed="81"/>
            <rFont val="Tahoma"/>
            <family val="2"/>
          </rPr>
          <t>No repurchase</t>
        </r>
        <r>
          <rPr>
            <b/>
            <sz val="8"/>
            <color indexed="81"/>
            <rFont val="Tahoma"/>
            <family val="2"/>
          </rPr>
          <t xml:space="preserve"> is</t>
        </r>
        <r>
          <rPr>
            <sz val="8"/>
            <color indexed="81"/>
            <rFont val="Tahoma"/>
            <family val="2"/>
          </rPr>
          <t xml:space="preserve"> included 
Estimated repurchase impact in 1Q is less than 1 penny.
</t>
        </r>
        <r>
          <rPr>
            <b/>
            <sz val="8"/>
            <color indexed="12"/>
            <rFont val="Tahoma"/>
            <family val="2"/>
          </rPr>
          <t xml:space="preserve">Excluding 3 cents, guidance is </t>
        </r>
        <r>
          <rPr>
            <b/>
            <u/>
            <sz val="8"/>
            <color indexed="12"/>
            <rFont val="Tahoma"/>
            <family val="2"/>
          </rPr>
          <t>$0.21-$0.26</t>
        </r>
        <r>
          <rPr>
            <sz val="8"/>
            <color indexed="81"/>
            <rFont val="Tahoma"/>
            <family val="2"/>
          </rPr>
          <t xml:space="preserve"> for qtr. </t>
        </r>
        <r>
          <rPr>
            <b/>
            <sz val="8"/>
            <color indexed="81"/>
            <rFont val="Tahoma"/>
            <family val="2"/>
          </rPr>
          <t>MS models ex items.</t>
        </r>
      </text>
    </comment>
    <comment ref="DC210" authorId="3">
      <text>
        <r>
          <rPr>
            <b/>
            <sz val="8"/>
            <color indexed="81"/>
            <rFont val="Tahoma"/>
            <family val="2"/>
          </rPr>
          <t xml:space="preserve">5/15/2012 Comment
</t>
        </r>
        <r>
          <rPr>
            <sz val="8"/>
            <color indexed="81"/>
            <rFont val="Tahoma"/>
            <family val="2"/>
          </rPr>
          <t>GAAP EPS, which includes:
1) $53M gross margin reserve (excluded from GM)</t>
        </r>
        <r>
          <rPr>
            <b/>
            <sz val="8"/>
            <color indexed="81"/>
            <rFont val="Tahoma"/>
            <family val="2"/>
          </rPr>
          <t xml:space="preserve">
</t>
        </r>
        <r>
          <rPr>
            <sz val="8"/>
            <color indexed="81"/>
            <rFont val="Tahoma"/>
            <family val="2"/>
          </rPr>
          <t>2) Home office &amp; stores expense $45M (13c)
3) Leadership transition $20M (5c)
4) Supply chain $6M (2c)
5) Misc $5M (1c)
6) non-qualified pension expense $49M</t>
        </r>
      </text>
    </comment>
    <comment ref="CA211" authorId="0">
      <text>
        <r>
          <rPr>
            <b/>
            <sz val="8"/>
            <color indexed="81"/>
            <rFont val="Tahoma"/>
            <family val="2"/>
          </rPr>
          <t>includes gain from discontinued ops</t>
        </r>
      </text>
    </comment>
    <comment ref="CY211" authorId="2">
      <text>
        <r>
          <rPr>
            <b/>
            <sz val="8"/>
            <color indexed="81"/>
            <rFont val="Tahoma"/>
            <family val="2"/>
          </rPr>
          <t xml:space="preserve">2Q11 10Q:
</t>
        </r>
        <r>
          <rPr>
            <sz val="8"/>
            <color indexed="81"/>
            <rFont val="Tahoma"/>
            <family val="2"/>
          </rPr>
          <t>$23MM of restructuring costs ($0.07 impact)</t>
        </r>
        <r>
          <rPr>
            <b/>
            <sz val="8"/>
            <color indexed="81"/>
            <rFont val="Tahoma"/>
            <family val="2"/>
          </rPr>
          <t xml:space="preserve">
Guidance 7/7/11:
</t>
        </r>
        <r>
          <rPr>
            <sz val="8"/>
            <color indexed="81"/>
            <rFont val="Tahoma"/>
            <family val="2"/>
          </rPr>
          <t xml:space="preserve">Guide down to ~$0.06 including 6 cents of charges
$0.10-$0.12 excl 6 cents of charges </t>
        </r>
        <r>
          <rPr>
            <b/>
            <sz val="8"/>
            <color indexed="81"/>
            <rFont val="Tahoma"/>
            <family val="2"/>
          </rPr>
          <t xml:space="preserve">
Guidance 5/16/11:
</t>
        </r>
        <r>
          <rPr>
            <sz val="8"/>
            <color indexed="81"/>
            <rFont val="Tahoma"/>
            <family val="2"/>
          </rPr>
          <t xml:space="preserve">$0.20-$0.24, incl 6 cents of restructuring
</t>
        </r>
        <r>
          <rPr>
            <b/>
            <sz val="8"/>
            <color indexed="12"/>
            <rFont val="Tahoma"/>
            <family val="2"/>
          </rPr>
          <t>$0.26-$0.30 ex restructuring items of $0.06 (and assumes no additional buybacks beyond $167M in 2Q)</t>
        </r>
      </text>
    </comment>
    <comment ref="DC211" authorId="9">
      <text>
        <r>
          <rPr>
            <b/>
            <sz val="8"/>
            <color indexed="81"/>
            <rFont val="Tahoma"/>
            <family val="2"/>
          </rPr>
          <t>+</t>
        </r>
        <r>
          <rPr>
            <sz val="8"/>
            <color indexed="81"/>
            <rFont val="Tahoma"/>
            <family val="2"/>
          </rPr>
          <t>$102M Inv. Markdown</t>
        </r>
        <r>
          <rPr>
            <sz val="8"/>
            <color indexed="81"/>
            <rFont val="Tahoma"/>
            <family val="2"/>
          </rPr>
          <t xml:space="preserve">
</t>
        </r>
      </text>
    </comment>
    <comment ref="CI212" authorId="0">
      <text>
        <r>
          <rPr>
            <b/>
            <sz val="8"/>
            <color indexed="81"/>
            <rFont val="Tahoma"/>
            <family val="2"/>
          </rPr>
          <t>Guidance: 11/8/07
$0.14 benefit due to federal and state tax credits</t>
        </r>
        <r>
          <rPr>
            <sz val="8"/>
            <color indexed="81"/>
            <rFont val="Tahoma"/>
            <family val="2"/>
          </rPr>
          <t xml:space="preserve">
</t>
        </r>
      </text>
    </comment>
    <comment ref="CM212" authorId="15">
      <text>
        <r>
          <rPr>
            <sz val="8"/>
            <color indexed="81"/>
            <rFont val="Tahoma"/>
            <family val="2"/>
          </rPr>
          <t xml:space="preserve">a benefit of ~$0.02 from the sale of a non-operating real estate property </t>
        </r>
      </text>
    </comment>
    <comment ref="CY212" authorId="2">
      <text>
        <r>
          <rPr>
            <b/>
            <sz val="8"/>
            <color indexed="81"/>
            <rFont val="Tahoma"/>
            <family val="2"/>
          </rPr>
          <t xml:space="preserve">Guidance 10/6/11:
</t>
        </r>
        <r>
          <rPr>
            <sz val="8"/>
            <color indexed="81"/>
            <rFont val="Tahoma"/>
            <family val="2"/>
          </rPr>
          <t xml:space="preserve">$(0.07-0.12), including restructuring charges of $0.22 cents
--Does NOT include impact of voluntary early retirement program (VERP)
</t>
        </r>
        <r>
          <rPr>
            <b/>
            <sz val="8"/>
            <color indexed="12"/>
            <rFont val="Tahoma"/>
            <family val="2"/>
          </rPr>
          <t xml:space="preserve">$0.10-$0.15 ex items </t>
        </r>
        <r>
          <rPr>
            <sz val="8"/>
            <color indexed="81"/>
            <rFont val="Tahoma"/>
            <family val="2"/>
          </rPr>
          <t>(vs. prior $0.20-0.25 on an apples to apples basis)</t>
        </r>
        <r>
          <rPr>
            <b/>
            <sz val="8"/>
            <color indexed="81"/>
            <rFont val="Tahoma"/>
            <family val="2"/>
          </rPr>
          <t xml:space="preserve">
Guidance 8/11/11:</t>
        </r>
        <r>
          <rPr>
            <sz val="8"/>
            <color indexed="81"/>
            <rFont val="Tahoma"/>
            <family val="2"/>
          </rPr>
          <t xml:space="preserve">
$0.15-$0.20
--Includes restructuring charges of $0.05 cents
--Does NOT include impact of voluntary early retirement program (VERP)
</t>
        </r>
        <r>
          <rPr>
            <b/>
            <sz val="8"/>
            <color indexed="12"/>
            <rFont val="Tahoma"/>
            <family val="2"/>
          </rPr>
          <t>$0.20-$0.25 ex items</t>
        </r>
      </text>
    </comment>
    <comment ref="CY213" authorId="3">
      <text>
        <r>
          <rPr>
            <b/>
            <sz val="8"/>
            <color indexed="81"/>
            <rFont val="Tahoma"/>
            <family val="2"/>
          </rPr>
          <t xml:space="preserve">1/5/12 Guidance
</t>
        </r>
        <r>
          <rPr>
            <sz val="8"/>
            <color indexed="81"/>
            <rFont val="Tahoma"/>
            <family val="2"/>
          </rPr>
          <t>1) Ex charges $0.65-0.70
2) Charges include:
- $0.50-.55 of restructuring / mgmt transition costs
- $0.50-.55 of charges related to rolling out new pricing strategy</t>
        </r>
        <r>
          <rPr>
            <b/>
            <sz val="8"/>
            <color indexed="81"/>
            <rFont val="Tahoma"/>
            <family val="2"/>
          </rPr>
          <t xml:space="preserve">
11/14/11 Guidance:
</t>
        </r>
        <r>
          <rPr>
            <sz val="8"/>
            <color indexed="81"/>
            <rFont val="Tahoma"/>
            <family val="2"/>
          </rPr>
          <t>1)</t>
        </r>
        <r>
          <rPr>
            <b/>
            <sz val="8"/>
            <color indexed="81"/>
            <rFont val="Tahoma"/>
            <family val="2"/>
          </rPr>
          <t xml:space="preserve"> </t>
        </r>
        <r>
          <rPr>
            <sz val="8"/>
            <color indexed="81"/>
            <rFont val="Tahoma"/>
            <family val="2"/>
          </rPr>
          <t>Ex charges $1.05-$1.15
2) Including restr/mgmt transition charges $0.64-$0.74</t>
        </r>
        <r>
          <rPr>
            <b/>
            <sz val="8"/>
            <color indexed="81"/>
            <rFont val="Tahoma"/>
            <family val="2"/>
          </rPr>
          <t xml:space="preserve">
</t>
        </r>
        <r>
          <rPr>
            <sz val="8"/>
            <color indexed="81"/>
            <rFont val="Tahoma"/>
            <family val="2"/>
          </rPr>
          <t>(~$104MM of restructuring/mgmt transition costs expected in 4Q)
3) Does not include any impact from implementation of new pricing strategy</t>
        </r>
        <r>
          <rPr>
            <sz val="8"/>
            <color indexed="81"/>
            <rFont val="Tahoma"/>
            <family val="2"/>
          </rPr>
          <t xml:space="preserve">
</t>
        </r>
      </text>
    </comment>
    <comment ref="DC213" authorId="3">
      <text>
        <r>
          <rPr>
            <b/>
            <i/>
            <sz val="8"/>
            <color indexed="12"/>
            <rFont val="Tahoma"/>
            <family val="2"/>
          </rPr>
          <t>See cell HB347 for 53rd week EPS impact.</t>
        </r>
        <r>
          <rPr>
            <b/>
            <sz val="8"/>
            <color indexed="81"/>
            <rFont val="Tahoma"/>
            <family val="2"/>
          </rPr>
          <t xml:space="preserve">
1/6/12 Commentary:
53rd week impact:
</t>
        </r>
        <r>
          <rPr>
            <sz val="8"/>
            <color indexed="81"/>
            <rFont val="Tahoma"/>
            <family val="2"/>
          </rPr>
          <t>- In the past extra week represented 1-1.5% of FY sales and $3M benefit to net income (2006)</t>
        </r>
        <r>
          <rPr>
            <b/>
            <sz val="8"/>
            <color indexed="81"/>
            <rFont val="Tahoma"/>
            <family val="2"/>
          </rPr>
          <t xml:space="preserve">
</t>
        </r>
        <r>
          <rPr>
            <sz val="8"/>
            <color indexed="81"/>
            <rFont val="Tahoma"/>
            <family val="2"/>
          </rPr>
          <t xml:space="preserve">
</t>
        </r>
      </text>
    </comment>
    <comment ref="CY214" authorId="2">
      <text>
        <r>
          <rPr>
            <b/>
            <u/>
            <sz val="8"/>
            <color indexed="81"/>
            <rFont val="Tahoma"/>
            <family val="2"/>
          </rPr>
          <t>Guidance 5/16/11:</t>
        </r>
        <r>
          <rPr>
            <b/>
            <sz val="8"/>
            <color indexed="81"/>
            <rFont val="Tahoma"/>
            <family val="2"/>
          </rPr>
          <t xml:space="preserve">
$2.15-$2.25 (including 1 time items and share repurchase)
</t>
        </r>
        <r>
          <rPr>
            <b/>
            <sz val="8"/>
            <color indexed="12"/>
            <rFont val="Tahoma"/>
            <family val="2"/>
          </rPr>
          <t>Excluding $0.16 of 1x items, EPS $2.31-$2.41 (this also assumes no additional share buybacks beyond the $900M completed in May 2011)</t>
        </r>
        <r>
          <rPr>
            <sz val="8"/>
            <color indexed="81"/>
            <rFont val="Tahoma"/>
            <family val="2"/>
          </rPr>
          <t xml:space="preserve">
</t>
        </r>
        <r>
          <rPr>
            <b/>
            <sz val="8"/>
            <color indexed="81"/>
            <rFont val="Tahoma"/>
            <family val="2"/>
          </rPr>
          <t xml:space="preserve">
Guidance 2/25/11:
</t>
        </r>
        <r>
          <rPr>
            <sz val="8"/>
            <color indexed="81"/>
            <rFont val="Tahoma"/>
            <family val="2"/>
          </rPr>
          <t>$2.00-$2.10 (includes 1 time items)</t>
        </r>
        <r>
          <rPr>
            <sz val="8"/>
            <color indexed="81"/>
            <rFont val="Tahoma"/>
            <family val="2"/>
          </rPr>
          <t xml:space="preserve">
No repurchase included. Repurchase will impact FY11 EPS by ~$0.10 
</t>
        </r>
        <r>
          <rPr>
            <b/>
            <sz val="8"/>
            <color indexed="12"/>
            <rFont val="Tahoma"/>
            <family val="2"/>
          </rPr>
          <t>Ex items but including share buybacks, guidance is $2.17-2.27 --- which is the basis that our estimate is on.</t>
        </r>
        <r>
          <rPr>
            <sz val="8"/>
            <color indexed="81"/>
            <rFont val="Tahoma"/>
            <family val="2"/>
          </rPr>
          <t xml:space="preserve">
</t>
        </r>
        <r>
          <rPr>
            <b/>
            <u/>
            <sz val="8"/>
            <color indexed="81"/>
            <rFont val="Tahoma"/>
            <family val="2"/>
          </rPr>
          <t>1x items for 2011</t>
        </r>
        <r>
          <rPr>
            <sz val="8"/>
            <color indexed="81"/>
            <rFont val="Tahoma"/>
            <family val="2"/>
          </rPr>
          <t xml:space="preserve">:
1) 2 cents of EPS charge re credit facility in 1Q
2) 5 cents of yearly restructuring charge </t>
        </r>
      </text>
    </comment>
    <comment ref="DC214" authorId="3">
      <text>
        <r>
          <rPr>
            <b/>
            <sz val="8"/>
            <color indexed="81"/>
            <rFont val="Tahoma"/>
            <family val="2"/>
          </rPr>
          <t xml:space="preserve">5/15/2012 
</t>
        </r>
        <r>
          <rPr>
            <sz val="8"/>
            <color indexed="81"/>
            <rFont val="Tahoma"/>
            <family val="2"/>
          </rPr>
          <t xml:space="preserve">Affirms $2.16 adjusted EPS (but not $1.59 in GAAP EPS given 1-time items) w/ $900M of savings realized in 2012 (vs. prior guidance for 2013)
</t>
        </r>
        <r>
          <rPr>
            <b/>
            <sz val="8"/>
            <color indexed="81"/>
            <rFont val="Tahoma"/>
            <family val="2"/>
          </rPr>
          <t xml:space="preserve">
2/24/12 Guidance
- </t>
        </r>
        <r>
          <rPr>
            <sz val="8"/>
            <color indexed="81"/>
            <rFont val="Tahoma"/>
            <family val="2"/>
          </rPr>
          <t>Meet or exceed $1.59 including $15M (~3c) of restructuring charges and $197M of non-cash qualified pension expense (54c)
- Meet or exceed $2.16 ex these items</t>
        </r>
        <r>
          <rPr>
            <b/>
            <sz val="8"/>
            <color indexed="81"/>
            <rFont val="Tahoma"/>
            <family val="2"/>
          </rPr>
          <t xml:space="preserve">
Guidance: 1/26/2012
</t>
        </r>
        <r>
          <rPr>
            <sz val="8"/>
            <color indexed="81"/>
            <rFont val="Tahoma"/>
            <family val="2"/>
          </rPr>
          <t xml:space="preserve">Meet or exceed $1.59 (2010 eps)
</t>
        </r>
      </text>
    </comment>
    <comment ref="CE220" authorId="0">
      <text>
        <r>
          <rPr>
            <b/>
            <sz val="8"/>
            <color indexed="81"/>
            <rFont val="Tahoma"/>
            <family val="2"/>
          </rPr>
          <t>mmcclell:</t>
        </r>
        <r>
          <rPr>
            <sz val="8"/>
            <color indexed="81"/>
            <rFont val="Tahoma"/>
            <family val="2"/>
          </rPr>
          <t xml:space="preserve">
guidance of 236</t>
        </r>
      </text>
    </comment>
    <comment ref="CI220" authorId="1">
      <text>
        <r>
          <rPr>
            <b/>
            <sz val="8"/>
            <color indexed="81"/>
            <rFont val="Tahoma"/>
            <family val="2"/>
          </rPr>
          <t>2/22/07: 228M average diluted share count (including 3 million in common stock equivalents)</t>
        </r>
      </text>
    </comment>
    <comment ref="CM220" authorId="0">
      <text>
        <r>
          <rPr>
            <b/>
            <sz val="8"/>
            <color indexed="81"/>
            <rFont val="Tahoma"/>
            <family val="2"/>
          </rPr>
          <t>Guidance: 02/21/2008</t>
        </r>
        <r>
          <rPr>
            <sz val="8"/>
            <color indexed="81"/>
            <rFont val="Tahoma"/>
            <family val="2"/>
          </rPr>
          <t xml:space="preserve">
223M (including ~2 million common stock equivalents) </t>
        </r>
      </text>
    </comment>
    <comment ref="CQ220" authorId="0">
      <text>
        <r>
          <rPr>
            <b/>
            <sz val="8"/>
            <color indexed="81"/>
            <rFont val="Tahoma"/>
            <family val="2"/>
          </rPr>
          <t>Guidance: 2/20/2009</t>
        </r>
        <r>
          <rPr>
            <sz val="8"/>
            <color indexed="81"/>
            <rFont val="Tahoma"/>
            <family val="2"/>
          </rPr>
          <t xml:space="preserve">
223M (including ~1 million common stock equivalents) </t>
        </r>
      </text>
    </comment>
    <comment ref="CU220" authorId="2">
      <text>
        <r>
          <rPr>
            <b/>
            <sz val="8"/>
            <color indexed="81"/>
            <rFont val="Tahoma"/>
            <family val="2"/>
          </rPr>
          <t xml:space="preserve">Guidance 2/19/10:
</t>
        </r>
        <r>
          <rPr>
            <sz val="8"/>
            <color indexed="81"/>
            <rFont val="Tahoma"/>
            <family val="2"/>
          </rPr>
          <t>~238 mn</t>
        </r>
        <r>
          <rPr>
            <sz val="8"/>
            <color indexed="81"/>
            <rFont val="Tahoma"/>
            <family val="2"/>
          </rPr>
          <t xml:space="preserve">
</t>
        </r>
      </text>
    </comment>
    <comment ref="BW221" authorId="20">
      <text>
        <r>
          <rPr>
            <b/>
            <sz val="8"/>
            <color indexed="81"/>
            <rFont val="Tahoma"/>
            <family val="2"/>
          </rPr>
          <t>gfowlkes:</t>
        </r>
        <r>
          <rPr>
            <sz val="8"/>
            <color indexed="81"/>
            <rFont val="Tahoma"/>
            <family val="2"/>
          </rPr>
          <t xml:space="preserve">
EPS less preferred dividend @ lower share count gives lowest diluted EPS.  Almost identical to using 310 diluted share count and no preferred div.</t>
        </r>
      </text>
    </comment>
    <comment ref="CE221" authorId="0">
      <text>
        <r>
          <rPr>
            <b/>
            <sz val="8"/>
            <color indexed="81"/>
            <rFont val="Tahoma"/>
            <family val="2"/>
          </rPr>
          <t>3 million in common stock equivalents</t>
        </r>
        <r>
          <rPr>
            <sz val="8"/>
            <color indexed="81"/>
            <rFont val="Tahoma"/>
            <family val="2"/>
          </rPr>
          <t xml:space="preserve">
</t>
        </r>
      </text>
    </comment>
    <comment ref="CI221" authorId="0">
      <text>
        <r>
          <rPr>
            <b/>
            <sz val="8"/>
            <color indexed="81"/>
            <rFont val="Tahoma"/>
            <family val="2"/>
          </rPr>
          <t>Guidance: 5/17/2007
226 including 3M common stock equivalents</t>
        </r>
        <r>
          <rPr>
            <sz val="8"/>
            <color indexed="81"/>
            <rFont val="Tahoma"/>
            <family val="2"/>
          </rPr>
          <t xml:space="preserve">
</t>
        </r>
      </text>
    </comment>
    <comment ref="CM221" authorId="0">
      <text>
        <r>
          <rPr>
            <b/>
            <sz val="8"/>
            <color indexed="81"/>
            <rFont val="Tahoma"/>
            <family val="2"/>
          </rPr>
          <t>Guidance: 05/15/2008</t>
        </r>
        <r>
          <rPr>
            <sz val="8"/>
            <color indexed="81"/>
            <rFont val="Tahoma"/>
            <family val="2"/>
          </rPr>
          <t xml:space="preserve">
223M (including ~1 million common stock equivalents) </t>
        </r>
      </text>
    </comment>
    <comment ref="CQ221" authorId="0">
      <text>
        <r>
          <rPr>
            <b/>
            <sz val="8"/>
            <color indexed="81"/>
            <rFont val="Tahoma"/>
            <family val="2"/>
          </rPr>
          <t xml:space="preserve">Note: 5/19/2009
</t>
        </r>
        <r>
          <rPr>
            <sz val="8"/>
            <color indexed="81"/>
            <rFont val="Tahoma"/>
            <family val="2"/>
          </rPr>
          <t>13.4M shares issued in $340M common stock contribution to pension plan</t>
        </r>
        <r>
          <rPr>
            <b/>
            <sz val="8"/>
            <color indexed="81"/>
            <rFont val="Tahoma"/>
            <family val="2"/>
          </rPr>
          <t xml:space="preserve">
Guidance: 5/15/2009</t>
        </r>
        <r>
          <rPr>
            <sz val="8"/>
            <color indexed="81"/>
            <rFont val="Tahoma"/>
            <family val="2"/>
          </rPr>
          <t xml:space="preserve">
222M (including ~1 million common stock equivalents) </t>
        </r>
      </text>
    </comment>
    <comment ref="CU221" authorId="2">
      <text>
        <r>
          <rPr>
            <b/>
            <sz val="8"/>
            <color indexed="81"/>
            <rFont val="Tahoma"/>
            <family val="2"/>
          </rPr>
          <t xml:space="preserve">Guidance 5/14/10:
</t>
        </r>
        <r>
          <rPr>
            <sz val="8"/>
            <color indexed="81"/>
            <rFont val="Tahoma"/>
            <family val="2"/>
          </rPr>
          <t>~238 mn</t>
        </r>
        <r>
          <rPr>
            <sz val="8"/>
            <color indexed="81"/>
            <rFont val="Tahoma"/>
            <family val="2"/>
          </rPr>
          <t xml:space="preserve">
</t>
        </r>
      </text>
    </comment>
    <comment ref="CE222" authorId="17">
      <text>
        <r>
          <rPr>
            <b/>
            <sz val="8"/>
            <color indexed="81"/>
            <rFont val="Tahoma"/>
            <family val="2"/>
          </rPr>
          <t>Guidance: 8/10/2006
228M</t>
        </r>
      </text>
    </comment>
    <comment ref="CI222" authorId="0">
      <text>
        <r>
          <rPr>
            <sz val="8"/>
            <color indexed="81"/>
            <rFont val="Tahoma"/>
            <family val="2"/>
          </rPr>
          <t xml:space="preserve">Guidance: 8/16/2007
224M
5/17/2007: Below 2Q level, as per discussion with IR
</t>
        </r>
      </text>
    </comment>
    <comment ref="CM222" authorId="0">
      <text>
        <r>
          <rPr>
            <b/>
            <sz val="8"/>
            <color indexed="81"/>
            <rFont val="Tahoma"/>
            <family val="2"/>
          </rPr>
          <t>Guidance: 08/15/2008</t>
        </r>
        <r>
          <rPr>
            <sz val="8"/>
            <color indexed="81"/>
            <rFont val="Tahoma"/>
            <family val="2"/>
          </rPr>
          <t xml:space="preserve">
223M (including ~1 million common stock equivalents) </t>
        </r>
      </text>
    </comment>
    <comment ref="CQ222" authorId="15">
      <text>
        <r>
          <rPr>
            <b/>
            <sz val="8"/>
            <color indexed="81"/>
            <rFont val="Tahoma"/>
            <family val="2"/>
          </rPr>
          <t xml:space="preserve">Guidance: 8/14/09
</t>
        </r>
        <r>
          <rPr>
            <sz val="8"/>
            <color indexed="81"/>
            <rFont val="Tahoma"/>
            <family val="2"/>
          </rPr>
          <t>~237M</t>
        </r>
      </text>
    </comment>
    <comment ref="CU222" authorId="16">
      <text>
        <r>
          <rPr>
            <b/>
            <sz val="8"/>
            <color indexed="81"/>
            <rFont val="Tahoma"/>
            <family val="2"/>
          </rPr>
          <t>Guidance - 8/13/10:</t>
        </r>
        <r>
          <rPr>
            <sz val="8"/>
            <color indexed="81"/>
            <rFont val="Tahoma"/>
            <family val="2"/>
          </rPr>
          <t xml:space="preserve">
238 million Wtd. Avg. FD shares</t>
        </r>
      </text>
    </comment>
    <comment ref="CY222" authorId="3">
      <text>
        <r>
          <rPr>
            <b/>
            <sz val="8"/>
            <color indexed="81"/>
            <rFont val="Tahoma"/>
            <family val="2"/>
          </rPr>
          <t>Note</t>
        </r>
        <r>
          <rPr>
            <sz val="8"/>
            <color indexed="81"/>
            <rFont val="Tahoma"/>
            <family val="2"/>
          </rPr>
          <t xml:space="preserve">
11/14/11 release shows 213.3MM on cover, but notes 215.5MM shares outstanding in the reconciliation for restructuring items. Release notes that this share count was used for 3Q EPS as adj net income per share ex restructuring and mgmt transition charges and adjusted net income were positive.
</t>
        </r>
      </text>
    </comment>
    <comment ref="AM223" authorId="24">
      <text>
        <r>
          <rPr>
            <sz val="8"/>
            <color indexed="81"/>
            <rFont val="Tahoma"/>
            <family val="2"/>
          </rPr>
          <t>fitzgibc:
0.6 shares taken out to reach 1.36</t>
        </r>
      </text>
    </comment>
    <comment ref="CA223" authorId="0">
      <text>
        <r>
          <rPr>
            <sz val="8"/>
            <color indexed="81"/>
            <rFont val="Tahoma"/>
            <family val="2"/>
          </rPr>
          <t xml:space="preserve">mgmt guidance of 235 avg diluted
</t>
        </r>
      </text>
    </comment>
    <comment ref="CE223" authorId="17">
      <text>
        <r>
          <rPr>
            <b/>
            <sz val="8"/>
            <color indexed="81"/>
            <rFont val="Tahoma"/>
            <family val="2"/>
          </rPr>
          <t>Guidance: 11/9/2006
228M
Guidance: 8/10/2006
228M</t>
        </r>
      </text>
    </comment>
    <comment ref="CI223" authorId="0">
      <text>
        <r>
          <rPr>
            <sz val="8"/>
            <color indexed="81"/>
            <rFont val="Tahoma"/>
            <family val="2"/>
          </rPr>
          <t>Guidance: 11/15/2007
224M</t>
        </r>
      </text>
    </comment>
    <comment ref="CM223" authorId="0">
      <text>
        <r>
          <rPr>
            <b/>
            <sz val="8"/>
            <color indexed="81"/>
            <rFont val="Tahoma"/>
            <family val="2"/>
          </rPr>
          <t>Guidance: 11/14/2008</t>
        </r>
        <r>
          <rPr>
            <sz val="8"/>
            <color indexed="81"/>
            <rFont val="Tahoma"/>
            <family val="2"/>
          </rPr>
          <t xml:space="preserve">
223M (including ~1 million common stock equivalents) </t>
        </r>
      </text>
    </comment>
    <comment ref="CQ223" authorId="2">
      <text>
        <r>
          <rPr>
            <b/>
            <sz val="8"/>
            <color indexed="81"/>
            <rFont val="Tahoma"/>
            <family val="2"/>
          </rPr>
          <t xml:space="preserve">Guidance: 11/13/09
</t>
        </r>
        <r>
          <rPr>
            <sz val="8"/>
            <color indexed="81"/>
            <rFont val="Tahoma"/>
            <family val="2"/>
          </rPr>
          <t>~238mn</t>
        </r>
        <r>
          <rPr>
            <sz val="8"/>
            <color indexed="81"/>
            <rFont val="Tahoma"/>
            <family val="2"/>
          </rPr>
          <t xml:space="preserve">
</t>
        </r>
      </text>
    </comment>
    <comment ref="CU223" authorId="2">
      <text>
        <r>
          <rPr>
            <b/>
            <sz val="8"/>
            <color indexed="81"/>
            <rFont val="Tahoma"/>
            <family val="2"/>
          </rPr>
          <t xml:space="preserve">Guidance 11/11/10:
</t>
        </r>
        <r>
          <rPr>
            <sz val="8"/>
            <color indexed="81"/>
            <rFont val="Tahoma"/>
            <family val="2"/>
          </rPr>
          <t>238mn shares o/s</t>
        </r>
        <r>
          <rPr>
            <sz val="8"/>
            <color indexed="81"/>
            <rFont val="Tahoma"/>
            <family val="2"/>
          </rPr>
          <t xml:space="preserve">
Reported in PR</t>
        </r>
      </text>
    </comment>
    <comment ref="CY223" authorId="3">
      <text>
        <r>
          <rPr>
            <b/>
            <sz val="8"/>
            <color indexed="81"/>
            <rFont val="Tahoma"/>
            <family val="2"/>
          </rPr>
          <t xml:space="preserve">11/14/11 guidance:
</t>
        </r>
        <r>
          <rPr>
            <sz val="8"/>
            <color indexed="81"/>
            <rFont val="Tahoma"/>
            <family val="2"/>
          </rPr>
          <t xml:space="preserve">~220MM common shares
4Q share count so high due to dilution from 3 factors: 1) Johnson's warrant, 2) RSUs, and 3) other options more in the money
</t>
        </r>
      </text>
    </comment>
    <comment ref="BW224" authorId="20">
      <text>
        <r>
          <rPr>
            <sz val="8"/>
            <color indexed="81"/>
            <rFont val="Tahoma"/>
            <family val="2"/>
          </rPr>
          <t>Adjusted for diluted share count of 310 in 2Q</t>
        </r>
      </text>
    </comment>
    <comment ref="CA224" authorId="0">
      <text>
        <r>
          <rPr>
            <b/>
            <sz val="8"/>
            <color indexed="81"/>
            <rFont val="Tahoma"/>
            <family val="2"/>
          </rPr>
          <t>mmcclell:</t>
        </r>
        <r>
          <rPr>
            <sz val="8"/>
            <color indexed="81"/>
            <rFont val="Tahoma"/>
            <family val="2"/>
          </rPr>
          <t xml:space="preserve">
mgmt guidance of 255</t>
        </r>
      </text>
    </comment>
    <comment ref="CE224" authorId="17">
      <text>
        <r>
          <rPr>
            <b/>
            <sz val="8"/>
            <color indexed="81"/>
            <rFont val="Tahoma"/>
            <family val="2"/>
          </rPr>
          <t>Guidance: 11/9/2006
232M
Guidance: 8/10/2006
232M</t>
        </r>
      </text>
    </comment>
    <comment ref="CI224" authorId="1">
      <text>
        <r>
          <rPr>
            <b/>
            <sz val="8"/>
            <color indexed="81"/>
            <rFont val="Tahoma"/>
            <family val="2"/>
          </rPr>
          <t>8/16/07: Discussion with B. Johnson, ~226 
2/22/07: 228M average diluted share count (including 3 million in common stock equivalents)</t>
        </r>
      </text>
    </comment>
    <comment ref="CM224" authorId="0">
      <text>
        <r>
          <rPr>
            <b/>
            <sz val="8"/>
            <color indexed="81"/>
            <rFont val="Tahoma"/>
            <family val="2"/>
          </rPr>
          <t>Guidance: 02/21/2008</t>
        </r>
        <r>
          <rPr>
            <sz val="8"/>
            <color indexed="81"/>
            <rFont val="Tahoma"/>
            <family val="2"/>
          </rPr>
          <t xml:space="preserve">
224M (including ~2 million common stock equivalents)</t>
        </r>
      </text>
    </comment>
    <comment ref="CQ224" authorId="15">
      <text>
        <r>
          <rPr>
            <b/>
            <sz val="8"/>
            <color indexed="81"/>
            <rFont val="Tahoma"/>
            <family val="2"/>
          </rPr>
          <t xml:space="preserve">Guidance: 8/14/09
</t>
        </r>
        <r>
          <rPr>
            <sz val="8"/>
            <color indexed="81"/>
            <rFont val="Tahoma"/>
            <family val="2"/>
          </rPr>
          <t>~233M</t>
        </r>
      </text>
    </comment>
    <comment ref="CU224" authorId="2">
      <text>
        <r>
          <rPr>
            <b/>
            <sz val="8"/>
            <color indexed="81"/>
            <rFont val="Tahoma"/>
            <family val="2"/>
          </rPr>
          <t xml:space="preserve">Guidance 2/19/10:
</t>
        </r>
        <r>
          <rPr>
            <sz val="8"/>
            <color indexed="81"/>
            <rFont val="Tahoma"/>
            <family val="2"/>
          </rPr>
          <t>Approx 238 mn shares</t>
        </r>
        <r>
          <rPr>
            <sz val="8"/>
            <color indexed="81"/>
            <rFont val="Tahoma"/>
            <family val="2"/>
          </rPr>
          <t xml:space="preserve">
</t>
        </r>
      </text>
    </comment>
    <comment ref="CY224" authorId="2">
      <text>
        <r>
          <rPr>
            <b/>
            <sz val="8"/>
            <color indexed="81"/>
            <rFont val="Tahoma"/>
            <family val="2"/>
          </rPr>
          <t>Per 2011 10K</t>
        </r>
        <r>
          <rPr>
            <sz val="8"/>
            <color indexed="81"/>
            <rFont val="Tahoma"/>
            <family val="2"/>
          </rPr>
          <t xml:space="preserve">
Wgtd Avg Diluted Shares: 217.4, </t>
        </r>
        <r>
          <rPr>
            <u/>
            <sz val="8"/>
            <color indexed="81"/>
            <rFont val="Tahoma"/>
            <family val="2"/>
          </rPr>
          <t>BUT</t>
        </r>
        <r>
          <rPr>
            <sz val="8"/>
            <color indexed="81"/>
            <rFont val="Tahoma"/>
            <family val="2"/>
          </rPr>
          <t xml:space="preserve"> company uses 220.7M shares in its 10K for calculating EPS as adj inc from continuing ops was positive.  3.3M shares were added to account for stock options, restricted stock awards and stock warrants</t>
        </r>
        <r>
          <rPr>
            <b/>
            <sz val="8"/>
            <color indexed="81"/>
            <rFont val="Tahoma"/>
            <family val="2"/>
          </rPr>
          <t xml:space="preserve">
Guidance 5/16/11:
</t>
        </r>
        <r>
          <rPr>
            <sz val="8"/>
            <color indexed="81"/>
            <rFont val="Tahoma"/>
            <family val="2"/>
          </rPr>
          <t>220M shares o/s</t>
        </r>
        <r>
          <rPr>
            <sz val="8"/>
            <color indexed="81"/>
            <rFont val="Tahoma"/>
            <family val="2"/>
          </rPr>
          <t xml:space="preserve">
</t>
        </r>
      </text>
    </comment>
    <comment ref="CY230" authorId="2">
      <text>
        <r>
          <rPr>
            <b/>
            <sz val="8"/>
            <color indexed="81"/>
            <rFont val="Tahoma"/>
            <family val="2"/>
          </rPr>
          <t xml:space="preserve">Guidance 5/5/11: </t>
        </r>
        <r>
          <rPr>
            <sz val="8"/>
            <color indexed="81"/>
            <rFont val="Tahoma"/>
            <family val="2"/>
          </rPr>
          <t>Completion of $900M share repo in 1Q results in 213M shares at qtr end</t>
        </r>
        <r>
          <rPr>
            <b/>
            <sz val="8"/>
            <color indexed="81"/>
            <rFont val="Tahoma"/>
            <family val="2"/>
          </rPr>
          <t xml:space="preserve"> </t>
        </r>
        <r>
          <rPr>
            <sz val="8"/>
            <color indexed="81"/>
            <rFont val="Tahoma"/>
            <family val="2"/>
          </rPr>
          <t xml:space="preserve">
</t>
        </r>
      </text>
    </comment>
    <comment ref="CQ231" authorId="13">
      <text>
        <r>
          <rPr>
            <b/>
            <sz val="8"/>
            <color indexed="81"/>
            <rFont val="Tahoma"/>
            <family val="2"/>
          </rPr>
          <t xml:space="preserve">Note: 5/19/2009
</t>
        </r>
        <r>
          <rPr>
            <sz val="8"/>
            <color indexed="81"/>
            <rFont val="Tahoma"/>
            <family val="2"/>
          </rPr>
          <t>Hardcoded to reflect new avg. diluted share count from pension contribution.</t>
        </r>
        <r>
          <rPr>
            <sz val="8"/>
            <color indexed="81"/>
            <rFont val="Tahoma"/>
            <family val="2"/>
          </rPr>
          <t xml:space="preserve">
</t>
        </r>
      </text>
    </comment>
    <comment ref="CY232" authorId="3">
      <text>
        <r>
          <rPr>
            <b/>
            <sz val="8"/>
            <color indexed="81"/>
            <rFont val="Tahoma"/>
            <family val="2"/>
          </rPr>
          <t xml:space="preserve">3Q11 10Q
</t>
        </r>
        <r>
          <rPr>
            <sz val="8"/>
            <color indexed="81"/>
            <rFont val="Tahoma"/>
            <family val="2"/>
          </rPr>
          <t>213,549,232 as of 12/2/11</t>
        </r>
      </text>
    </comment>
    <comment ref="CU233" authorId="2">
      <text>
        <r>
          <rPr>
            <b/>
            <sz val="8"/>
            <color indexed="81"/>
            <rFont val="Tahoma"/>
            <family val="2"/>
          </rPr>
          <t>Reported in PR</t>
        </r>
      </text>
    </comment>
    <comment ref="CY233" authorId="3">
      <text>
        <r>
          <rPr>
            <b/>
            <sz val="8"/>
            <color indexed="81"/>
            <rFont val="Tahoma"/>
            <family val="2"/>
          </rPr>
          <t>Includes share issuance (e.g. options, etc.) to get to tgt share ct for 4Q</t>
        </r>
      </text>
    </comment>
    <comment ref="CQ241" authorId="13">
      <text>
        <r>
          <rPr>
            <b/>
            <sz val="8"/>
            <color indexed="81"/>
            <rFont val="Tahoma"/>
            <family val="2"/>
          </rPr>
          <t xml:space="preserve">Note: 5/19/2009
</t>
        </r>
        <r>
          <rPr>
            <sz val="8"/>
            <color indexed="81"/>
            <rFont val="Tahoma"/>
            <family val="2"/>
          </rPr>
          <t>Hardcoded to reflect new avg. diluted share count from pension contribution.</t>
        </r>
        <r>
          <rPr>
            <sz val="8"/>
            <color indexed="81"/>
            <rFont val="Tahoma"/>
            <family val="2"/>
          </rPr>
          <t xml:space="preserve">
</t>
        </r>
      </text>
    </comment>
  </commentList>
</comments>
</file>

<file path=xl/comments6.xml><?xml version="1.0" encoding="utf-8"?>
<comments xmlns="http://schemas.openxmlformats.org/spreadsheetml/2006/main">
  <authors>
    <author>mmcclell</author>
    <author>balskyh</author>
    <author>duol</author>
    <author>Baglione, Gregory  (Research)</author>
    <author>Baglione, Gregory (Research)</author>
    <author>Cassel, Lauren (Research)</author>
    <author>De Courreges, Edouard (Research)</author>
  </authors>
  <commentList>
    <comment ref="AA168" authorId="0">
      <text>
        <r>
          <rPr>
            <sz val="8"/>
            <color indexed="81"/>
            <rFont val="Tahoma"/>
            <family val="2"/>
          </rPr>
          <t xml:space="preserve">Update with 10K.
</t>
        </r>
      </text>
    </comment>
    <comment ref="F193" authorId="1">
      <text>
        <r>
          <rPr>
            <b/>
            <sz val="8"/>
            <color indexed="81"/>
            <rFont val="Tahoma"/>
            <family val="2"/>
          </rPr>
          <t xml:space="preserve">Note:
</t>
        </r>
        <r>
          <rPr>
            <sz val="8"/>
            <color indexed="81"/>
            <rFont val="Tahoma"/>
            <family val="2"/>
          </rPr>
          <t>Traffic -10%
Conversion ~-5%
Spend the difference</t>
        </r>
        <r>
          <rPr>
            <b/>
            <sz val="8"/>
            <color indexed="81"/>
            <rFont val="Tahoma"/>
            <family val="2"/>
          </rPr>
          <t xml:space="preserve">
5/16/2012 Comment
</t>
        </r>
        <r>
          <rPr>
            <sz val="8"/>
            <color indexed="81"/>
            <rFont val="Tahoma"/>
            <family val="2"/>
          </rPr>
          <t>1)</t>
        </r>
        <r>
          <rPr>
            <b/>
            <sz val="8"/>
            <color indexed="81"/>
            <rFont val="Tahoma"/>
            <family val="2"/>
          </rPr>
          <t xml:space="preserve"> Traffic -10% </t>
        </r>
        <r>
          <rPr>
            <sz val="8"/>
            <color indexed="81"/>
            <rFont val="Tahoma"/>
            <family val="2"/>
          </rPr>
          <t>with weekends -12% and weekdays -6%
2) -21% in February; 2H of qtr saw 300 bps of improvement
3) Conversion LY 22%; this yr 21% (</t>
        </r>
        <r>
          <rPr>
            <b/>
            <sz val="8"/>
            <color indexed="81"/>
            <rFont val="Tahoma"/>
            <family val="2"/>
          </rPr>
          <t>down ~5% y/y</t>
        </r>
        <r>
          <rPr>
            <sz val="8"/>
            <color indexed="81"/>
            <rFont val="Tahoma"/>
            <family val="2"/>
          </rPr>
          <t xml:space="preserve">)
4) Avg spend / visits was $46 vs. $48 LY </t>
        </r>
        <r>
          <rPr>
            <b/>
            <sz val="8"/>
            <color indexed="81"/>
            <rFont val="Tahoma"/>
            <family val="2"/>
          </rPr>
          <t xml:space="preserve"> (down ~5% y/y)</t>
        </r>
        <r>
          <rPr>
            <sz val="8"/>
            <color indexed="81"/>
            <rFont val="Tahoma"/>
            <family val="2"/>
          </rPr>
          <t xml:space="preserve">
5) 40% of transactions LY were coupon driven
6) Sales consistently $230M/week (Easter week was higher)</t>
        </r>
        <r>
          <rPr>
            <b/>
            <sz val="8"/>
            <color indexed="81"/>
            <rFont val="Tahoma"/>
            <family val="2"/>
          </rPr>
          <t xml:space="preserve">
</t>
        </r>
        <r>
          <rPr>
            <sz val="8"/>
            <color indexed="81"/>
            <rFont val="Tahoma"/>
            <family val="2"/>
          </rPr>
          <t xml:space="preserve">7) 67% of sales everyday price; 18% month long values; 15% best price merch
8) Clearance 15% of sales vs. 12% LY
</t>
        </r>
        <r>
          <rPr>
            <b/>
            <sz val="8"/>
            <color indexed="81"/>
            <rFont val="Tahoma"/>
            <family val="2"/>
          </rPr>
          <t xml:space="preserve">
Per Guidance 1/26/12: 
</t>
        </r>
        <r>
          <rPr>
            <sz val="8"/>
            <color indexed="81"/>
            <rFont val="Tahoma"/>
            <family val="2"/>
          </rPr>
          <t>- Comps improving over the course of the yr w/ 2H stronger than 1H as new pricing strategy is communicated</t>
        </r>
        <r>
          <rPr>
            <b/>
            <sz val="8"/>
            <color indexed="81"/>
            <rFont val="Tahoma"/>
            <family val="2"/>
          </rPr>
          <t xml:space="preserve">
</t>
        </r>
      </text>
    </comment>
    <comment ref="F194" authorId="1">
      <text>
        <r>
          <rPr>
            <b/>
            <sz val="8"/>
            <color indexed="81"/>
            <rFont val="Tahoma"/>
            <family val="2"/>
          </rPr>
          <t xml:space="preserve">11/11/12:
</t>
        </r>
        <r>
          <rPr>
            <sz val="8"/>
            <color indexed="81"/>
            <rFont val="Tahoma"/>
            <family val="2"/>
          </rPr>
          <t>Traffic -12%
Conversion -8%
Spend = delta (~-2%)</t>
        </r>
        <r>
          <rPr>
            <b/>
            <sz val="8"/>
            <color indexed="81"/>
            <rFont val="Tahoma"/>
            <family val="2"/>
          </rPr>
          <t xml:space="preserve">
5/16/12
</t>
        </r>
        <r>
          <rPr>
            <sz val="8"/>
            <color indexed="81"/>
            <rFont val="Tahoma"/>
            <family val="2"/>
          </rPr>
          <t xml:space="preserve">* Traffic - 12%; conversion +5% (20.8% LY vs. 21.9% TY); spend -3% ($45.66 LY vs. $44.15 TY)
* Clearance = 15% of sales vs. 10%+ LY
</t>
        </r>
        <r>
          <rPr>
            <b/>
            <sz val="8"/>
            <color indexed="81"/>
            <rFont val="Tahoma"/>
            <family val="2"/>
          </rPr>
          <t xml:space="preserve">
5/16/2012 Guidance
</t>
        </r>
        <r>
          <rPr>
            <sz val="8"/>
            <color indexed="81"/>
            <rFont val="Tahoma"/>
            <family val="2"/>
          </rPr>
          <t>* Mgmt Expects comp improvement throughout rest of 2012 sequentially</t>
        </r>
        <r>
          <rPr>
            <b/>
            <sz val="8"/>
            <color indexed="81"/>
            <rFont val="Tahoma"/>
            <family val="2"/>
          </rPr>
          <t xml:space="preserve">
Per Guidance 1/26/12: 
</t>
        </r>
        <r>
          <rPr>
            <sz val="8"/>
            <color indexed="81"/>
            <rFont val="Tahoma"/>
            <family val="2"/>
          </rPr>
          <t>- Comps improving over the course of the yr w/ 2H stronger than 1H as new pricing strategy is communicated</t>
        </r>
        <r>
          <rPr>
            <b/>
            <sz val="8"/>
            <color indexed="81"/>
            <rFont val="Tahoma"/>
            <family val="2"/>
          </rPr>
          <t xml:space="preserve">
</t>
        </r>
      </text>
    </comment>
    <comment ref="F195" authorId="1">
      <text>
        <r>
          <rPr>
            <b/>
            <sz val="8"/>
            <color indexed="81"/>
            <rFont val="Tahoma"/>
            <family val="2"/>
          </rPr>
          <t xml:space="preserve">11/11/2012: 
</t>
        </r>
        <r>
          <rPr>
            <sz val="8"/>
            <color indexed="81"/>
            <rFont val="Tahoma"/>
            <family val="2"/>
          </rPr>
          <t>* Traffic -12%
* Conversion -10%
* Delta = spend (units + ticket) -4%
* Clearance mix = 23% vs. 15% LY</t>
        </r>
      </text>
    </comment>
    <comment ref="F196" authorId="1">
      <text>
        <r>
          <rPr>
            <b/>
            <sz val="8"/>
            <color indexed="81"/>
            <rFont val="Tahoma"/>
            <family val="2"/>
          </rPr>
          <t xml:space="preserve">12/11/2012 Note: </t>
        </r>
        <r>
          <rPr>
            <sz val="8"/>
            <color indexed="81"/>
            <rFont val="Tahoma"/>
            <family val="2"/>
          </rPr>
          <t xml:space="preserve">was previously -20% </t>
        </r>
      </text>
    </comment>
    <comment ref="P196" authorId="1">
      <text>
        <r>
          <rPr>
            <b/>
            <sz val="8"/>
            <color indexed="81"/>
            <rFont val="Tahoma"/>
            <family val="2"/>
          </rPr>
          <t>Note: -</t>
        </r>
        <r>
          <rPr>
            <sz val="8"/>
            <color indexed="81"/>
            <rFont val="Tahoma"/>
            <family val="2"/>
          </rPr>
          <t xml:space="preserve">307 bps: space productivity ex extra wk
           +500 bps: $130M benefit from extra week
</t>
        </r>
      </text>
    </comment>
    <comment ref="F200" authorId="1">
      <text>
        <r>
          <rPr>
            <b/>
            <sz val="8"/>
            <color indexed="81"/>
            <rFont val="Tahoma"/>
            <family val="2"/>
          </rPr>
          <t xml:space="preserve">Note: </t>
        </r>
        <r>
          <rPr>
            <sz val="8"/>
            <color indexed="81"/>
            <rFont val="Tahoma"/>
            <family val="2"/>
          </rPr>
          <t xml:space="preserve">LY conv ~-5%, traffic ~-10%, spend ~-5%; Assumes traffic -2% (delta vs. 3Q's -12%), conversion + spend -5% (delta vs. 3Q's conversion -10%)
</t>
        </r>
      </text>
    </comment>
    <comment ref="F201" authorId="1">
      <text>
        <r>
          <rPr>
            <b/>
            <sz val="8"/>
            <color indexed="81"/>
            <rFont val="Tahoma"/>
            <family val="2"/>
          </rPr>
          <t xml:space="preserve">Note: </t>
        </r>
        <r>
          <rPr>
            <sz val="8"/>
            <color indexed="81"/>
            <rFont val="Tahoma"/>
            <family val="2"/>
          </rPr>
          <t xml:space="preserve">LY conv ~-5%, traffic ~-10%, spend ~-5%; Assumes traffic -2% (delta vs. 3Q's -12%), conversion + spend -5% (delta vs. 3Q's conversion -10%)
</t>
        </r>
      </text>
    </comment>
    <comment ref="F202" authorId="1">
      <text>
        <r>
          <rPr>
            <b/>
            <sz val="8"/>
            <color indexed="81"/>
            <rFont val="Tahoma"/>
            <family val="2"/>
          </rPr>
          <t xml:space="preserve">Notes: 
</t>
        </r>
        <r>
          <rPr>
            <sz val="8"/>
            <color indexed="81"/>
            <rFont val="Tahoma"/>
            <family val="2"/>
          </rPr>
          <t xml:space="preserve">1) </t>
        </r>
        <r>
          <rPr>
            <b/>
            <sz val="8"/>
            <color indexed="81"/>
            <rFont val="Tahoma"/>
            <family val="2"/>
          </rPr>
          <t xml:space="preserve"> </t>
        </r>
        <r>
          <rPr>
            <sz val="8"/>
            <color indexed="81"/>
            <rFont val="Tahoma"/>
            <family val="2"/>
          </rPr>
          <t xml:space="preserve">LY traffic -12%; conversion -10%; Spend (units + ticket) -4%
2) Laps $10 coupon in November
</t>
        </r>
        <r>
          <rPr>
            <b/>
            <sz val="8"/>
            <color indexed="81"/>
            <rFont val="Tahoma"/>
            <family val="2"/>
          </rPr>
          <t>8/20/13:</t>
        </r>
        <r>
          <rPr>
            <sz val="8"/>
            <color indexed="81"/>
            <rFont val="Tahoma"/>
            <family val="2"/>
          </rPr>
          <t xml:space="preserve"> expect positive comp coming out of 3Q. Aug comp difficult (extended clearance and haircut traffic LY)
</t>
        </r>
        <r>
          <rPr>
            <b/>
            <sz val="8"/>
            <color indexed="81"/>
            <rFont val="Tahoma"/>
            <family val="2"/>
          </rPr>
          <t>10/8/13 PR:</t>
        </r>
        <r>
          <rPr>
            <sz val="8"/>
            <color indexed="81"/>
            <rFont val="Tahoma"/>
            <family val="2"/>
          </rPr>
          <t xml:space="preserve"> Sept Comp -4%, Aug -9.8%
</t>
        </r>
        <r>
          <rPr>
            <b/>
            <sz val="8"/>
            <color indexed="81"/>
            <rFont val="Tahoma"/>
            <family val="2"/>
          </rPr>
          <t>11/7/13 PR:</t>
        </r>
        <r>
          <rPr>
            <sz val="8"/>
            <color indexed="81"/>
            <rFont val="Tahoma"/>
            <family val="2"/>
          </rPr>
          <t xml:space="preserve"> Oct Comp +0.9%
</t>
        </r>
        <r>
          <rPr>
            <b/>
            <sz val="8"/>
            <color indexed="81"/>
            <rFont val="Tahoma"/>
            <family val="2"/>
          </rPr>
          <t>11/20/13 CC</t>
        </r>
        <r>
          <rPr>
            <sz val="8"/>
            <color indexed="81"/>
            <rFont val="Tahoma"/>
            <family val="2"/>
          </rPr>
          <t>: Traffic improved but still negative yoy. Conversion is up yoy (compared to down last Q)</t>
        </r>
      </text>
    </comment>
    <comment ref="F203" authorId="2">
      <text>
        <r>
          <rPr>
            <b/>
            <sz val="8"/>
            <color indexed="81"/>
            <rFont val="Tahoma"/>
            <family val="2"/>
          </rPr>
          <t>11/20/13:</t>
        </r>
        <r>
          <rPr>
            <sz val="8"/>
            <color indexed="81"/>
            <rFont val="Tahoma"/>
            <family val="2"/>
          </rPr>
          <t xml:space="preserve"> expect +ve comp.
</t>
        </r>
        <r>
          <rPr>
            <b/>
            <sz val="8"/>
            <color indexed="81"/>
            <rFont val="Tahoma"/>
            <family val="2"/>
          </rPr>
          <t>12/3/13:</t>
        </r>
        <r>
          <rPr>
            <sz val="8"/>
            <color indexed="81"/>
            <rFont val="Tahoma"/>
            <family val="2"/>
          </rPr>
          <t xml:space="preserve"> Nov comps +10.1%</t>
        </r>
        <r>
          <rPr>
            <sz val="8"/>
            <color indexed="81"/>
            <rFont val="Tahoma"/>
            <family val="2"/>
          </rPr>
          <t xml:space="preserve">
</t>
        </r>
        <r>
          <rPr>
            <b/>
            <sz val="8"/>
            <color indexed="81"/>
            <rFont val="Tahoma"/>
            <family val="2"/>
          </rPr>
          <t>2/4/14:</t>
        </r>
        <r>
          <rPr>
            <sz val="8"/>
            <color indexed="81"/>
            <rFont val="Tahoma"/>
            <family val="2"/>
          </rPr>
          <t xml:space="preserve"> +2%. Nov/Dec +3.1%</t>
        </r>
      </text>
    </comment>
    <comment ref="P203" authorId="1">
      <text>
        <r>
          <rPr>
            <b/>
            <sz val="8"/>
            <color indexed="81"/>
            <rFont val="Tahoma"/>
            <family val="2"/>
          </rPr>
          <t>Note: +</t>
        </r>
        <r>
          <rPr>
            <sz val="8"/>
            <color indexed="81"/>
            <rFont val="Tahoma"/>
            <family val="2"/>
          </rPr>
          <t>50 bps: space productivity ex extra wk
LY</t>
        </r>
      </text>
    </comment>
    <comment ref="F214" authorId="3">
      <text>
        <r>
          <rPr>
            <sz val="9"/>
            <color indexed="81"/>
            <rFont val="Tahoma"/>
            <family val="2"/>
          </rPr>
          <t>For the first quarter of 2015, our conversion rate and our average unit retail increased, while the average transaction value and units per transaction decreased as compared to the corresponding prior year period.
Source: 10Q-1Q15</t>
        </r>
        <r>
          <rPr>
            <b/>
            <sz val="9"/>
            <color indexed="81"/>
            <rFont val="Tahoma"/>
            <family val="2"/>
          </rPr>
          <t xml:space="preserve">
</t>
        </r>
      </text>
    </comment>
    <comment ref="F215" authorId="3">
      <text>
        <r>
          <rPr>
            <sz val="9"/>
            <color indexed="81"/>
            <rFont val="Tahoma"/>
            <family val="2"/>
          </rPr>
          <t>For the second quarter and first half of 2015, our transaction counts, conversion rate and average unit retail increased, while the average transaction value and units per transaction decreased as compared to the corresponding prior year periods.
Source: 10Q-2Q15</t>
        </r>
        <r>
          <rPr>
            <b/>
            <sz val="9"/>
            <color indexed="81"/>
            <rFont val="Tahoma"/>
            <family val="2"/>
          </rPr>
          <t xml:space="preserve">
</t>
        </r>
      </text>
    </comment>
    <comment ref="F216" authorId="3">
      <text>
        <r>
          <rPr>
            <sz val="9"/>
            <color indexed="81"/>
            <rFont val="Tahoma"/>
            <family val="2"/>
          </rPr>
          <t>For the third quarter and the first nine months of 2015, our transaction counts and conversion rate increased as compared to the corresponding prior year periods.
Source: 10Q-3Q15</t>
        </r>
        <r>
          <rPr>
            <b/>
            <sz val="9"/>
            <color indexed="81"/>
            <rFont val="Tahoma"/>
            <family val="2"/>
          </rPr>
          <t xml:space="preserve">
</t>
        </r>
      </text>
    </comment>
    <comment ref="D217" authorId="3">
      <text>
        <r>
          <rPr>
            <b/>
            <sz val="9"/>
            <color indexed="81"/>
            <rFont val="Tahoma"/>
            <family val="2"/>
          </rPr>
          <t>Baglione, Gregory  (Research):</t>
        </r>
        <r>
          <rPr>
            <sz val="9"/>
            <color indexed="81"/>
            <rFont val="Tahoma"/>
            <family val="2"/>
          </rPr>
          <t xml:space="preserve">
11/24/15
Expect sales 120 bps below sales</t>
        </r>
      </text>
    </comment>
    <comment ref="F217" authorId="3">
      <text>
        <r>
          <rPr>
            <b/>
            <sz val="9"/>
            <color indexed="81"/>
            <rFont val="Tahoma"/>
            <family val="2"/>
          </rPr>
          <t xml:space="preserve">Baglione, Gregory  (Research):
</t>
        </r>
        <r>
          <rPr>
            <sz val="9"/>
            <color indexed="81"/>
            <rFont val="Tahoma"/>
            <family val="2"/>
          </rPr>
          <t xml:space="preserve">
For the quarter, on a comparable store basis, conversion, units per transaction, and transactions were all up versus last year. Average unit retail was down slightly, largely driven by unseasonably warm weather conditions.</t>
        </r>
        <r>
          <rPr>
            <b/>
            <sz val="9"/>
            <color indexed="81"/>
            <rFont val="Tahoma"/>
            <family val="2"/>
          </rPr>
          <t xml:space="preserve">
</t>
        </r>
        <r>
          <rPr>
            <sz val="9"/>
            <color indexed="81"/>
            <rFont val="Tahoma"/>
            <family val="2"/>
          </rPr>
          <t xml:space="preserve">Source: 4Q15 Conference Call
</t>
        </r>
        <r>
          <rPr>
            <sz val="9"/>
            <color indexed="81"/>
            <rFont val="Tahoma"/>
            <family val="2"/>
          </rPr>
          <t>11/13/15
Expect 4Q inline with FY guidance 4-5%
Maintaining our +2.0% comp, in-line with two-year stack from 3Q ~6.0%
1/7/16
Company provides holiday upadate, Nov/Dec period comps increased 3.9%</t>
        </r>
      </text>
    </comment>
    <comment ref="F218" authorId="3">
      <text>
        <r>
          <rPr>
            <sz val="9"/>
            <color indexed="81"/>
            <rFont val="Tahoma"/>
            <family val="2"/>
          </rPr>
          <t>For 2015, conversion, transaction counts and average unit retail increased, while the units per transaction decreased as compared to the prior year. 
Source: 10K-2015</t>
        </r>
        <r>
          <rPr>
            <b/>
            <sz val="9"/>
            <color indexed="81"/>
            <rFont val="Tahoma"/>
            <family val="2"/>
          </rPr>
          <t xml:space="preserve">
</t>
        </r>
      </text>
    </comment>
    <comment ref="F221" authorId="3">
      <text>
        <r>
          <rPr>
            <b/>
            <sz val="9"/>
            <color indexed="81"/>
            <rFont val="Tahoma"/>
            <family val="2"/>
          </rPr>
          <t>Baglione, Gregory  (Research):</t>
        </r>
        <r>
          <rPr>
            <sz val="9"/>
            <color indexed="81"/>
            <rFont val="Tahoma"/>
            <family val="2"/>
          </rPr>
          <t xml:space="preserve">
5/13/16
And as I look back at the monthly comps for the quarter, we delivered positive comps in the month of February; we experienced negative comps in March and in early April and experienced positive comps the last two weeks of April heading into the Mother's Day selling season.
Conversion rate and units per transaction increased while transaction counts and average unit retail decreased for the first three months of 2016 as compared to the prior year.
Source: 10Q-1Q16</t>
        </r>
      </text>
    </comment>
    <comment ref="H221" authorId="3">
      <text>
        <r>
          <rPr>
            <b/>
            <sz val="9"/>
            <color indexed="81"/>
            <rFont val="Tahoma"/>
            <family val="2"/>
          </rPr>
          <t>Baglione, Gregory  (Research):</t>
        </r>
        <r>
          <rPr>
            <sz val="9"/>
            <color indexed="81"/>
            <rFont val="Tahoma"/>
            <family val="2"/>
          </rPr>
          <t xml:space="preserve">
Spread between sales and comps is expected to be 150 bps in 1Q but 60 for FY</t>
        </r>
      </text>
    </comment>
    <comment ref="AQ221" authorId="3">
      <text>
        <r>
          <rPr>
            <b/>
            <sz val="9"/>
            <color indexed="81"/>
            <rFont val="Tahoma"/>
            <family val="2"/>
          </rPr>
          <t>Baglione, Gregory  (Research):</t>
        </r>
        <r>
          <rPr>
            <sz val="9"/>
            <color indexed="81"/>
            <rFont val="Tahoma"/>
            <family val="2"/>
          </rPr>
          <t xml:space="preserve">
per trent +15%
Third, our online business continues to generate strong results. On a year-over-year basis for the first quarter our online SKU count increased over
50% and our online supply base is up nearly 20%. In addition, our mobile traffic continues to increase dramatically, but even more important our
conversion on mobile improved nearly 50% in the quarter.</t>
        </r>
      </text>
    </comment>
    <comment ref="F222" authorId="3">
      <text>
        <r>
          <rPr>
            <sz val="9"/>
            <color indexed="81"/>
            <rFont val="Tahoma"/>
            <family val="2"/>
          </rPr>
          <t>Conversion, units per transaction, and transaction counts were all up versus last year while average unit retail was down.
Source: 10Q-2Q16</t>
        </r>
      </text>
    </comment>
    <comment ref="H222" authorId="3">
      <text>
        <r>
          <rPr>
            <b/>
            <sz val="9"/>
            <color indexed="81"/>
            <rFont val="Tahoma"/>
            <family val="2"/>
          </rPr>
          <t>Baglione, Gregory  (Research):</t>
        </r>
        <r>
          <rPr>
            <sz val="9"/>
            <color indexed="81"/>
            <rFont val="Tahoma"/>
            <family val="2"/>
          </rPr>
          <t xml:space="preserve">
2/25/16 Per conversation with IR, model ~30-40 bps of sales spread remainder of 2016
</t>
        </r>
      </text>
    </comment>
    <comment ref="AQ222" authorId="3">
      <text>
        <r>
          <rPr>
            <b/>
            <sz val="9"/>
            <color indexed="81"/>
            <rFont val="Tahoma"/>
            <family val="2"/>
          </rPr>
          <t>Baglione, Gregory  (Research):</t>
        </r>
        <r>
          <rPr>
            <sz val="9"/>
            <color indexed="81"/>
            <rFont val="Tahoma"/>
            <family val="2"/>
          </rPr>
          <t xml:space="preserve">
Nearly 20% growth.</t>
        </r>
      </text>
    </comment>
    <comment ref="F223" authorId="4">
      <text>
        <r>
          <rPr>
            <b/>
            <sz val="9"/>
            <color indexed="81"/>
            <rFont val="Tahoma"/>
            <family val="2"/>
          </rPr>
          <t>Baglione, Gregory (Research):</t>
        </r>
        <r>
          <rPr>
            <sz val="9"/>
            <color indexed="81"/>
            <rFont val="Tahoma"/>
            <family val="2"/>
          </rPr>
          <t xml:space="preserve">
Trent noted October was the best month 3-4% comp, which benefitted ~1-2% from appliances. They expect full quarter uplift in 4Q. 
11/11/16
In looking at the monthly cadence, October comped positively and was our strongest month of the quarter. All divisions, except women's apparel
and women's accessories, were positive in October, a clear indication of the ongoing strength of our new growth initiatives.
Our strongest performing categories for the quarter were Sephora, Home, Salon and Fine Jewelry. Geographically, the Pacific and Northwest regions
were our best performing regions.
For the quarter, average unit retail was up versus last year while units per transaction and transaction counts were down. However, October's
positive comps for sales results were driven by and increase in transaction counts.
We are extremely pleased with the private label credit card penetration. For the third quarter, the penetration rate on our card continued to improve
and was the highest percent in many years, increasing 200 basis points versus last year.</t>
        </r>
      </text>
    </comment>
    <comment ref="H223" authorId="3">
      <text>
        <r>
          <rPr>
            <b/>
            <sz val="9"/>
            <color indexed="81"/>
            <rFont val="Tahoma"/>
            <family val="2"/>
          </rPr>
          <t>Baglione, Gregory  (Research):</t>
        </r>
        <r>
          <rPr>
            <sz val="9"/>
            <color indexed="81"/>
            <rFont val="Tahoma"/>
            <family val="2"/>
          </rPr>
          <t xml:space="preserve">
2/25/16 Per conversation with IR, model ~30-40 bps of sales spread remainder of 2016
</t>
        </r>
      </text>
    </comment>
    <comment ref="K223" authorId="4">
      <text>
        <r>
          <rPr>
            <b/>
            <sz val="9"/>
            <color indexed="81"/>
            <rFont val="Tahoma"/>
            <family val="2"/>
          </rPr>
          <t>Baglione, Gregory (Research):</t>
        </r>
        <r>
          <rPr>
            <sz val="9"/>
            <color indexed="81"/>
            <rFont val="Tahoma"/>
            <family val="2"/>
          </rPr>
          <t xml:space="preserve">
Openned one store and closed one store.</t>
        </r>
      </text>
    </comment>
    <comment ref="F224" authorId="3">
      <text>
        <r>
          <rPr>
            <b/>
            <sz val="9"/>
            <color indexed="81"/>
            <rFont val="Tahoma"/>
            <family val="2"/>
          </rPr>
          <t>Baglione, Gregory  (Research):</t>
        </r>
        <r>
          <rPr>
            <sz val="9"/>
            <color indexed="81"/>
            <rFont val="Tahoma"/>
            <family val="2"/>
          </rPr>
          <t xml:space="preserve">
1/4/17
</t>
        </r>
        <r>
          <rPr>
            <b/>
            <sz val="9"/>
            <color indexed="81"/>
            <rFont val="Tahoma"/>
            <family val="2"/>
          </rPr>
          <t xml:space="preserve">J. C. Penney Company, Inc. (NYSE: JCP) announced today that its comparable store sales for the combined nine-week November and December period resulted in a (0.8) percent decline over the same period last year, which equates to a 3.1 percent positive two-year stack of comparable store sales for the same time period. The Company also reaffirmed its full-year EBITDA1 target of $1 billion for fiscal 2016.
Per management * -50 bps comp for Q4
</t>
        </r>
        <r>
          <rPr>
            <sz val="9"/>
            <color indexed="81"/>
            <rFont val="Tahoma"/>
            <family val="2"/>
          </rPr>
          <t xml:space="preserve">
11/11/16
Looking ahead, we expect the fourth quarter to be our best-performing quarter of the year as we fully realize the impact of our 2016 sales initiatives.
The ongoing success from our new Sephora Inside JCPenney locations, our center core refreshes and our home initiatives, including major appliances,
expanded window treatment offerings and Ashley Furniture, will continue to drive incremental sales and gradually lessen our dependence on
apparel.
</t>
        </r>
        <r>
          <rPr>
            <b/>
            <sz val="9"/>
            <color indexed="81"/>
            <rFont val="Tahoma"/>
            <family val="2"/>
          </rPr>
          <t>As we pivot our retail strategy towards these and other non-weather-sensitive categories, we expect the strength and performance from these
initiatives will help drive our fourth-quarter comp store sales performance to be in a range of approximately 2% to 5%.
5</t>
        </r>
        <r>
          <rPr>
            <sz val="9"/>
            <color indexed="81"/>
            <rFont val="Tahoma"/>
            <family val="2"/>
          </rPr>
          <t xml:space="preserve">
</t>
        </r>
      </text>
    </comment>
    <comment ref="H224" authorId="3">
      <text>
        <r>
          <rPr>
            <b/>
            <sz val="9"/>
            <color indexed="81"/>
            <rFont val="Tahoma"/>
            <family val="2"/>
          </rPr>
          <t>Baglione, Gregory  (Research):</t>
        </r>
        <r>
          <rPr>
            <sz val="9"/>
            <color indexed="81"/>
            <rFont val="Tahoma"/>
            <family val="2"/>
          </rPr>
          <t xml:space="preserve">
2/25/16 Per conversation with IR, model ~30-40 bps of sales spread remainder of 2016
</t>
        </r>
      </text>
    </comment>
    <comment ref="AQ224" authorId="5">
      <text>
        <r>
          <rPr>
            <b/>
            <sz val="9"/>
            <color indexed="81"/>
            <rFont val="Tahoma"/>
            <family val="2"/>
          </rPr>
          <t>Cassel, Lauren (Research):</t>
        </r>
        <r>
          <rPr>
            <sz val="9"/>
            <color indexed="81"/>
            <rFont val="Tahoma"/>
            <family val="2"/>
          </rPr>
          <t xml:space="preserve">
Our online business remains strong and delivered double-digit
growth for both the quarter and the full year. In</t>
        </r>
      </text>
    </comment>
    <comment ref="F225" authorId="3">
      <text>
        <r>
          <rPr>
            <b/>
            <sz val="9"/>
            <color indexed="81"/>
            <rFont val="Tahoma"/>
            <family val="2"/>
          </rPr>
          <t>Baglione, Gregory  (Research):</t>
        </r>
        <r>
          <rPr>
            <sz val="9"/>
            <color indexed="81"/>
            <rFont val="Tahoma"/>
            <family val="2"/>
          </rPr>
          <t xml:space="preserve">
11/11/16
Having said that, and given the softer-than-expected sales in Q3, we have updated our comparable store sales guidance on a full-year basis to now
be in the range of a positive 1% to 2%.
8/16/16
Having said that, we reaffirm our comparable-store sales guidance to be in the
range of 3% to 4% on a full-year basis.
5/13/16 No change to FY guidance
Comparable store sales: expected to increase 3 % to 4 %;
2/25/16
FY Guide Comparable store sales: expected to increase 3 % to 4 %;
</t>
        </r>
      </text>
    </comment>
    <comment ref="AQ225" authorId="5">
      <text>
        <r>
          <rPr>
            <b/>
            <sz val="9"/>
            <color indexed="81"/>
            <rFont val="Tahoma"/>
            <family val="2"/>
          </rPr>
          <t>Cassel, Lauren (Research): per Kelley - full year ~13% of total sales</t>
        </r>
      </text>
    </comment>
    <comment ref="H228" authorId="4">
      <text>
        <r>
          <rPr>
            <b/>
            <sz val="9"/>
            <color indexed="81"/>
            <rFont val="Tahoma"/>
            <family val="2"/>
          </rPr>
          <t>Baglione, Gregory (Research):</t>
        </r>
        <r>
          <rPr>
            <sz val="9"/>
            <color indexed="81"/>
            <rFont val="Tahoma"/>
            <family val="2"/>
          </rPr>
          <t xml:space="preserve">
We expect JCP to close another 40 stores next year. At $5M per store implies ~1.6% negative sales spread per quarter.
</t>
        </r>
      </text>
    </comment>
    <comment ref="AQ228" authorId="3">
      <text>
        <r>
          <rPr>
            <b/>
            <sz val="9"/>
            <color indexed="81"/>
            <rFont val="Tahoma"/>
            <family val="2"/>
          </rPr>
          <t>Baglione, Gregory  (Research):</t>
        </r>
        <r>
          <rPr>
            <sz val="9"/>
            <color indexed="81"/>
            <rFont val="Tahoma"/>
            <family val="2"/>
          </rPr>
          <t xml:space="preserve">
Assume eCommerce grows LDD rate in 2017
</t>
        </r>
      </text>
    </comment>
    <comment ref="D229" authorId="6">
      <text>
        <r>
          <rPr>
            <b/>
            <sz val="9"/>
            <color indexed="81"/>
            <rFont val="Tahoma"/>
            <family val="2"/>
          </rPr>
          <t>De Courreges, Edouard (Research):</t>
        </r>
        <r>
          <rPr>
            <sz val="9"/>
            <color indexed="81"/>
            <rFont val="Tahoma"/>
            <family val="2"/>
          </rPr>
          <t xml:space="preserve">
De Courreges, Edouard (Research):
8/11/17: 100 new appliance showrooms in May
32 Sephora locations
31 Sephora expansions
now operate over 600 Sephora inside JCPenney shops and we opened a total of 70 locations in 2017</t>
        </r>
      </text>
    </comment>
    <comment ref="F229" authorId="6">
      <text>
        <r>
          <rPr>
            <b/>
            <sz val="9"/>
            <color indexed="81"/>
            <rFont val="Tahoma"/>
            <family val="2"/>
          </rPr>
          <t>De Courreges, Edouard (Research):</t>
        </r>
        <r>
          <rPr>
            <sz val="9"/>
            <color indexed="81"/>
            <rFont val="Tahoma"/>
            <family val="2"/>
          </rPr>
          <t xml:space="preserve">
8/11/17: new apparel initiatives led to sequential comp improving in all apparel categories
delivered positive comps in May, low-single-digit negative comps in June,
and approximately flat comps in July. And July's comp is significant when you consider that we are comping against a nearly plus 4% comp from
July of 2016. And July trend continued into BTS
liquidation sales had a short-term cannibalization impact on the go-forward
stores of approximately 20 basis points, meaning that the true underlying comp trend for the second quarter was down approximately 1.1%.
Categories: 
+ growth initiatives of home and beauty, which consist of fine jewelry, salon, and Sephora. Also,  shoes and handbags 
-kids underperformed total comp</t>
        </r>
      </text>
    </comment>
    <comment ref="AQ229" authorId="3">
      <text>
        <r>
          <rPr>
            <b/>
            <sz val="9"/>
            <color indexed="81"/>
            <rFont val="Tahoma"/>
            <family val="2"/>
          </rPr>
          <t>Baglione, Gregory  (Research):</t>
        </r>
        <r>
          <rPr>
            <sz val="9"/>
            <color indexed="81"/>
            <rFont val="Tahoma"/>
            <family val="2"/>
          </rPr>
          <t xml:space="preserve">
Assume eCommerce grows LDD rate in 2017
</t>
        </r>
      </text>
    </comment>
    <comment ref="D230" authorId="6">
      <text>
        <r>
          <rPr>
            <b/>
            <sz val="9"/>
            <color indexed="81"/>
            <rFont val="Tahoma"/>
            <family val="2"/>
          </rPr>
          <t>De Courreges, Edouard (Research):</t>
        </r>
        <r>
          <rPr>
            <sz val="9"/>
            <color indexed="81"/>
            <rFont val="Tahoma"/>
            <family val="2"/>
          </rPr>
          <t xml:space="preserve">
350 basis points spread between total net sales and comp sales is primarily related to store closings
8/11/17: in the third quarter, 38 of these new locations will open. This will allow us to end the year with nearly 650 locations. And at that time, we willhave Sephora shops in approximately 75% of our stores store expansion rollout will give us a total of just over 500 stores with mattress showrooms by Labor Day
</t>
        </r>
      </text>
    </comment>
    <comment ref="F230" authorId="6">
      <text>
        <r>
          <rPr>
            <b/>
            <sz val="9"/>
            <color indexed="81"/>
            <rFont val="Tahoma"/>
            <family val="2"/>
          </rPr>
          <t>De Courreges, Edouard (Research):</t>
        </r>
        <r>
          <rPr>
            <sz val="9"/>
            <color indexed="81"/>
            <rFont val="Tahoma"/>
            <family val="2"/>
          </rPr>
          <t xml:space="preserve">
AUR +LSD, UPT + MSD, Trans -MSD
liquidation sales had a short-term cannibalization impact on the go-forward
stores of approximately 20 basis points, meaning that the true underlying comp trend for the second quarter was down approximately 1.1%.
90 basis points above the high end of the guidance we provided 2 weeks ago. The last few days of the quarter, we achieved sales results well above our forecast. Customer response to our biggest sales of them all far exceeded our expectations.</t>
        </r>
      </text>
    </comment>
    <comment ref="H230" authorId="6">
      <text>
        <r>
          <rPr>
            <b/>
            <sz val="9"/>
            <color indexed="81"/>
            <rFont val="Tahoma"/>
            <family val="2"/>
          </rPr>
          <t>De Courreges, Edouard (Research):</t>
        </r>
        <r>
          <rPr>
            <sz val="9"/>
            <color indexed="81"/>
            <rFont val="Tahoma"/>
            <family val="2"/>
          </rPr>
          <t xml:space="preserve">
-4 from store closures</t>
        </r>
      </text>
    </comment>
    <comment ref="AQ230" authorId="3">
      <text>
        <r>
          <rPr>
            <b/>
            <sz val="9"/>
            <color indexed="81"/>
            <rFont val="Tahoma"/>
            <family val="2"/>
          </rPr>
          <t>Baglione, Gregory  (Research):</t>
        </r>
        <r>
          <rPr>
            <sz val="9"/>
            <color indexed="81"/>
            <rFont val="Tahoma"/>
            <family val="2"/>
          </rPr>
          <t xml:space="preserve">
</t>
        </r>
        <r>
          <rPr>
            <b/>
            <sz val="9"/>
            <color indexed="81"/>
            <rFont val="Tahoma"/>
            <family val="2"/>
          </rPr>
          <t>Omnichannel continues to drive strong double-digit growth in the quarte</t>
        </r>
        <r>
          <rPr>
            <sz val="9"/>
            <color indexed="81"/>
            <rFont val="Tahoma"/>
            <family val="2"/>
          </rPr>
          <t xml:space="preserve">
Assume eCommerce grows LDD rate in 2017
</t>
        </r>
      </text>
    </comment>
    <comment ref="F231" authorId="6">
      <text>
        <r>
          <rPr>
            <b/>
            <sz val="9"/>
            <color indexed="81"/>
            <rFont val="Tahoma"/>
            <family val="2"/>
          </rPr>
          <t>De Courreges, Edouard (Research):</t>
        </r>
        <r>
          <rPr>
            <sz val="9"/>
            <color indexed="81"/>
            <rFont val="Tahoma"/>
            <family val="2"/>
          </rPr>
          <t xml:space="preserve">
1/4/18: assume +3.4% Nov/Dec Sales are 80% of 4Q, remainder is flat</t>
        </r>
      </text>
    </comment>
    <comment ref="H231" authorId="6">
      <text>
        <r>
          <rPr>
            <b/>
            <sz val="9"/>
            <color indexed="81"/>
            <rFont val="Tahoma"/>
            <family val="2"/>
          </rPr>
          <t>De Courreges, Edouard (Research):</t>
        </r>
        <r>
          <rPr>
            <sz val="9"/>
            <color indexed="81"/>
            <rFont val="Tahoma"/>
            <family val="2"/>
          </rPr>
          <t xml:space="preserve">
-4 for closed stores,
 + (4-5) for 53rd week = ~0</t>
        </r>
      </text>
    </comment>
    <comment ref="AQ231" authorId="3">
      <text>
        <r>
          <rPr>
            <b/>
            <sz val="9"/>
            <color indexed="81"/>
            <rFont val="Tahoma"/>
            <family val="2"/>
          </rPr>
          <t>Baglione, Gregory  (Research):</t>
        </r>
        <r>
          <rPr>
            <sz val="9"/>
            <color indexed="81"/>
            <rFont val="Tahoma"/>
            <family val="2"/>
          </rPr>
          <t xml:space="preserve">
Assume eCommerce grows LDD rate in 2017
</t>
        </r>
      </text>
    </comment>
    <comment ref="H232" authorId="4">
      <text>
        <r>
          <rPr>
            <b/>
            <sz val="9"/>
            <color indexed="81"/>
            <rFont val="Tahoma"/>
            <family val="2"/>
          </rPr>
          <t xml:space="preserve">2/23/17: The total store closures represent approximately 13 - 14 % of the Company's current store portfolio, less than 5% of total annual sales, less than 2% of EBITDA and 0% of net income.
Assume $465M sales impact - all closing in 2Q
Baglione, Gregory (Research):
</t>
        </r>
        <r>
          <rPr>
            <sz val="9"/>
            <color indexed="81"/>
            <rFont val="Tahoma"/>
            <family val="2"/>
          </rPr>
          <t>We expect JCP to close another 10-15 stores next year. Hence, we are keeping the spread at -0.4%. This implies ~$80M from store closures or ~$6-7M per store which would be a few million below the company average and makes sense given lower quality locations</t>
        </r>
        <r>
          <rPr>
            <b/>
            <sz val="9"/>
            <color indexed="81"/>
            <rFont val="Tahoma"/>
            <family val="2"/>
          </rPr>
          <t xml:space="preserve">.
</t>
        </r>
        <r>
          <rPr>
            <sz val="9"/>
            <color indexed="81"/>
            <rFont val="Tahoma"/>
            <family val="2"/>
          </rPr>
          <t xml:space="preserve">
53rd week benefit 300-350 bps to 4Q per model notes</t>
        </r>
      </text>
    </comment>
    <comment ref="AQ232" authorId="5">
      <text>
        <r>
          <rPr>
            <b/>
            <sz val="9"/>
            <color indexed="81"/>
            <rFont val="Tahoma"/>
            <family val="2"/>
          </rPr>
          <t>Cassel, Lauren (Research): per Kelley - full year ~13% of total sales</t>
        </r>
      </text>
    </comment>
    <comment ref="F235" authorId="6">
      <text>
        <r>
          <rPr>
            <b/>
            <sz val="9"/>
            <color indexed="81"/>
            <rFont val="Tahoma"/>
            <family val="2"/>
          </rPr>
          <t>De Courreges, Edouard (Research):</t>
        </r>
        <r>
          <rPr>
            <sz val="9"/>
            <color indexed="81"/>
            <rFont val="Tahoma"/>
            <family val="2"/>
          </rPr>
          <t xml:space="preserve">
less worse bc assume tax refund delay doesn't repeat</t>
        </r>
      </text>
    </comment>
    <comment ref="H235" authorId="6">
      <text>
        <r>
          <rPr>
            <b/>
            <sz val="9"/>
            <color indexed="81"/>
            <rFont val="Tahoma"/>
            <family val="2"/>
          </rPr>
          <t>De Courreges, Edouard (Research):</t>
        </r>
        <r>
          <rPr>
            <sz val="9"/>
            <color indexed="81"/>
            <rFont val="Tahoma"/>
            <family val="2"/>
          </rPr>
          <t xml:space="preserve">
3/2/18: guide ~-560 bps spread for 1Q
Incremental -4 from 138 store closures; incremental +1 from 53rd week calendar shift</t>
        </r>
      </text>
    </comment>
    <comment ref="H236" authorId="6">
      <text>
        <r>
          <rPr>
            <b/>
            <sz val="9"/>
            <color indexed="81"/>
            <rFont val="Tahoma"/>
            <family val="2"/>
          </rPr>
          <t>De Courreges, Edouard (Research):</t>
        </r>
        <r>
          <rPr>
            <sz val="9"/>
            <color indexed="81"/>
            <rFont val="Tahoma"/>
            <family val="2"/>
          </rPr>
          <t xml:space="preserve">
incremental +0.3 from 53rd week calendar shift</t>
        </r>
      </text>
    </comment>
    <comment ref="D237" authorId="6">
      <text>
        <r>
          <rPr>
            <b/>
            <sz val="9"/>
            <color indexed="81"/>
            <rFont val="Tahoma"/>
            <family val="2"/>
          </rPr>
          <t>De Courreges, Edouard (Research):</t>
        </r>
        <r>
          <rPr>
            <sz val="9"/>
            <color indexed="81"/>
            <rFont val="Tahoma"/>
            <family val="2"/>
          </rPr>
          <t xml:space="preserve">
</t>
        </r>
      </text>
    </comment>
    <comment ref="F237" authorId="6">
      <text>
        <r>
          <rPr>
            <b/>
            <sz val="9"/>
            <color indexed="81"/>
            <rFont val="Tahoma"/>
            <family val="2"/>
          </rPr>
          <t>De Courreges, Edouard (Research):</t>
        </r>
        <r>
          <rPr>
            <sz val="9"/>
            <color indexed="81"/>
            <rFont val="Tahoma"/>
            <family val="2"/>
          </rPr>
          <t xml:space="preserve">
Incremental -2 comps from the offset of 3Qs promos
+.2 from hurricane 
</t>
        </r>
      </text>
    </comment>
    <comment ref="H237" authorId="6">
      <text>
        <r>
          <rPr>
            <b/>
            <sz val="9"/>
            <color indexed="81"/>
            <rFont val="Tahoma"/>
            <family val="2"/>
          </rPr>
          <t>De Courreges, Edouard (Research):</t>
        </r>
        <r>
          <rPr>
            <sz val="9"/>
            <color indexed="81"/>
            <rFont val="Tahoma"/>
            <family val="2"/>
          </rPr>
          <t xml:space="preserve">
incremental -0.2 from 53rd week calendar shift</t>
        </r>
      </text>
    </comment>
    <comment ref="H238" authorId="6">
      <text>
        <r>
          <rPr>
            <b/>
            <sz val="9"/>
            <color indexed="81"/>
            <rFont val="Tahoma"/>
            <family val="2"/>
          </rPr>
          <t>De Courreges, Edouard (Research):</t>
        </r>
        <r>
          <rPr>
            <sz val="9"/>
            <color indexed="81"/>
            <rFont val="Tahoma"/>
            <family val="2"/>
          </rPr>
          <t xml:space="preserve">
incremental -4.5 from 53rd week calendar shift</t>
        </r>
      </text>
    </comment>
    <comment ref="H239" authorId="6">
      <text>
        <r>
          <rPr>
            <b/>
            <sz val="9"/>
            <color indexed="81"/>
            <rFont val="Tahoma"/>
            <family val="2"/>
          </rPr>
          <t>De Courreges, Edouard (Research):</t>
        </r>
        <r>
          <rPr>
            <sz val="9"/>
            <color indexed="81"/>
            <rFont val="Tahoma"/>
            <family val="2"/>
          </rPr>
          <t xml:space="preserve">
3/2/18 guide for -430 bps spread 2018</t>
        </r>
      </text>
    </comment>
  </commentList>
</comments>
</file>

<file path=xl/comments7.xml><?xml version="1.0" encoding="utf-8"?>
<comments xmlns="http://schemas.openxmlformats.org/spreadsheetml/2006/main">
  <authors>
    <author>cuomochr</author>
    <author>balskyh</author>
    <author>Baglione, Gregory (Research)</author>
    <author>Baglione, Gregory  (Research)</author>
    <author>mmcclell</author>
  </authors>
  <commentList>
    <comment ref="Z7" authorId="0">
      <text>
        <r>
          <rPr>
            <b/>
            <sz val="8"/>
            <color indexed="81"/>
            <rFont val="Tahoma"/>
            <family val="2"/>
          </rPr>
          <t xml:space="preserve">2011 10K
Break down of 2011 vs 2011 Sales Change:
</t>
        </r>
        <r>
          <rPr>
            <sz val="8"/>
            <color indexed="81"/>
            <rFont val="Tahoma"/>
            <family val="2"/>
          </rPr>
          <t>Comp sales (incl. direct) +$33M
New store sales, net +$11M
Sale decline thru catalago print media &amp; outlet stores -$534</t>
        </r>
        <r>
          <rPr>
            <b/>
            <sz val="8"/>
            <color indexed="81"/>
            <rFont val="Tahoma"/>
            <family val="2"/>
          </rPr>
          <t xml:space="preserve">
Sales by Category:
</t>
        </r>
        <r>
          <rPr>
            <sz val="8"/>
            <color indexed="81"/>
            <rFont val="Tahoma"/>
            <family val="2"/>
          </rPr>
          <t xml:space="preserve">Women's apparel 25%
Men's apparel &amp; accessories 20%
Home 15%
Women's accessories, inc Sephora 12%
Children's apparel 12%
Family footwear 7%
Fine jewelry 4%
Services &amp; other 5%
</t>
        </r>
        <r>
          <rPr>
            <b/>
            <sz val="8"/>
            <color indexed="81"/>
            <rFont val="Tahoma"/>
            <family val="2"/>
          </rPr>
          <t xml:space="preserve">Sales / SF
</t>
        </r>
        <r>
          <rPr>
            <sz val="8"/>
            <color indexed="81"/>
            <rFont val="Tahoma"/>
            <family val="2"/>
          </rPr>
          <t xml:space="preserve">Sales per GSF $154 vs $153 LY
Sales per net selling SF: $212 vs. $210 LY
</t>
        </r>
        <r>
          <rPr>
            <b/>
            <sz val="8"/>
            <color indexed="81"/>
            <rFont val="Tahoma"/>
            <family val="2"/>
          </rPr>
          <t xml:space="preserve">
Comment 8/11/11:
</t>
        </r>
        <r>
          <rPr>
            <sz val="8"/>
            <color indexed="81"/>
            <rFont val="Tahoma"/>
            <family val="2"/>
          </rPr>
          <t>-Co. went dark on catalogue biz in 4Q10</t>
        </r>
        <r>
          <rPr>
            <sz val="8"/>
            <color indexed="81"/>
            <rFont val="Tahoma"/>
            <family val="2"/>
          </rPr>
          <t xml:space="preserve">
-About $400M sales loss in 2011 from catalog
-Co will be completely out of it by end of year</t>
        </r>
      </text>
    </comment>
    <comment ref="AA9" authorId="1">
      <text>
        <r>
          <rPr>
            <b/>
            <sz val="8"/>
            <color indexed="81"/>
            <rFont val="Tahoma"/>
            <family val="2"/>
          </rPr>
          <t xml:space="preserve">Internet only </t>
        </r>
      </text>
    </comment>
    <comment ref="AA10" authorId="1">
      <text>
        <r>
          <rPr>
            <b/>
            <sz val="8"/>
            <color indexed="81"/>
            <rFont val="Tahoma"/>
            <family val="2"/>
          </rPr>
          <t xml:space="preserve">Internet only </t>
        </r>
      </text>
    </comment>
    <comment ref="AF11" authorId="2">
      <text>
        <r>
          <rPr>
            <b/>
            <sz val="9"/>
            <color indexed="81"/>
            <rFont val="Tahoma"/>
            <family val="2"/>
          </rPr>
          <t>Baglione, Gregory (Research):</t>
        </r>
        <r>
          <rPr>
            <sz val="9"/>
            <color indexed="81"/>
            <rFont val="Tahoma"/>
            <family val="2"/>
          </rPr>
          <t xml:space="preserve">
We expect JCP to close 40 stores next year vs our prior estimate of 15. This would imply ~1.6% negative sales spread ($5M average sales/store * 40 stores =$200M), largeyl offset by 53rd week benefit which we also model at ~1.5%
53rd week benefit 300-350 bps to 4Q per model notes
11/14/16
Per management model ~100 bps spread for next year is the right way to think about 53rd week net of store closures. Management noted approximately 5-7 store closures is the right way to think about next year. 53rd week impact is 1.1-1.2%--reverses next year
</t>
        </r>
      </text>
    </comment>
    <comment ref="AG11" authorId="2">
      <text>
        <r>
          <rPr>
            <b/>
            <sz val="9"/>
            <color indexed="81"/>
            <rFont val="Tahoma"/>
            <family val="2"/>
          </rPr>
          <t>2/26/17: will have 120 bps headwind from anniversarying 53rd week and one quarter of ~4% headwind from closing stores = ~220 bps headwind + ~60 bps for ~40 store closures = ~280 bps spread
Baglione, Gregory (Research):</t>
        </r>
        <r>
          <rPr>
            <sz val="9"/>
            <color indexed="81"/>
            <rFont val="Tahoma"/>
            <family val="2"/>
          </rPr>
          <t xml:space="preserve">
11/14/16
Per management model ~100 bps for 53rd week. IR noted spread should be neutral in 2017, so model sales ~1% above comp. This reverses in 2018.
</t>
        </r>
      </text>
    </comment>
    <comment ref="Y12" authorId="0">
      <text>
        <r>
          <rPr>
            <b/>
            <sz val="8"/>
            <color indexed="81"/>
            <rFont val="Tahoma"/>
            <family val="2"/>
          </rPr>
          <t xml:space="preserve">Guidance 2/19/10:
</t>
        </r>
        <r>
          <rPr>
            <sz val="8"/>
            <color indexed="81"/>
            <rFont val="Tahoma"/>
            <family val="2"/>
          </rPr>
          <t>Increase 30-50 bps less than comps</t>
        </r>
        <r>
          <rPr>
            <sz val="8"/>
            <color indexed="81"/>
            <rFont val="Tahoma"/>
            <family val="2"/>
          </rPr>
          <t xml:space="preserve">
</t>
        </r>
      </text>
    </comment>
    <comment ref="Z12" authorId="0">
      <text>
        <r>
          <rPr>
            <b/>
            <sz val="8"/>
            <color indexed="81"/>
            <rFont val="Tahoma"/>
            <family val="2"/>
          </rPr>
          <t xml:space="preserve">Guidance 5/16/11:
</t>
        </r>
        <r>
          <rPr>
            <sz val="8"/>
            <color indexed="81"/>
            <rFont val="Tahoma"/>
            <family val="2"/>
          </rPr>
          <t>+LSD</t>
        </r>
        <r>
          <rPr>
            <b/>
            <sz val="8"/>
            <color indexed="81"/>
            <rFont val="Tahoma"/>
            <family val="2"/>
          </rPr>
          <t xml:space="preserve">
Guidance 2/25/11:
</t>
        </r>
        <r>
          <rPr>
            <sz val="8"/>
            <color indexed="81"/>
            <rFont val="Tahoma"/>
            <family val="2"/>
          </rPr>
          <t>+LSD</t>
        </r>
        <r>
          <rPr>
            <sz val="8"/>
            <color indexed="81"/>
            <rFont val="Tahoma"/>
            <family val="2"/>
          </rPr>
          <t xml:space="preserve">
Expect sales growth 300 bps less than our comp store sales due to the elimination of the Outlet and catalogue business over next 2 years</t>
        </r>
      </text>
    </comment>
    <comment ref="Y15" authorId="0">
      <text>
        <r>
          <rPr>
            <b/>
            <sz val="8"/>
            <color indexed="81"/>
            <rFont val="Tahoma"/>
            <family val="2"/>
          </rPr>
          <t>10K, p. 13
Confirmed 2 Openings and 4 Closings for Year
EOY Count = 1,006</t>
        </r>
        <r>
          <rPr>
            <sz val="8"/>
            <color indexed="81"/>
            <rFont val="Tahoma"/>
            <family val="2"/>
          </rPr>
          <t xml:space="preserve">
</t>
        </r>
      </text>
    </comment>
    <comment ref="Z15" authorId="0">
      <text>
        <r>
          <rPr>
            <b/>
            <sz val="8"/>
            <color indexed="81"/>
            <rFont val="Tahoma"/>
            <family val="2"/>
          </rPr>
          <t xml:space="preserve">Per 2011 10K 
</t>
        </r>
        <r>
          <rPr>
            <sz val="8"/>
            <color indexed="81"/>
            <rFont val="Tahoma"/>
            <family val="2"/>
          </rPr>
          <t xml:space="preserve">3 opened in 2011
</t>
        </r>
        <r>
          <rPr>
            <b/>
            <sz val="8"/>
            <color indexed="81"/>
            <rFont val="Tahoma"/>
            <family val="2"/>
          </rPr>
          <t xml:space="preserve">
Guidance 2/25/11:
</t>
        </r>
        <r>
          <rPr>
            <sz val="8"/>
            <color indexed="81"/>
            <rFont val="Tahoma"/>
            <family val="2"/>
          </rPr>
          <t>Open</t>
        </r>
        <r>
          <rPr>
            <b/>
            <sz val="8"/>
            <color indexed="81"/>
            <rFont val="Tahoma"/>
            <family val="2"/>
          </rPr>
          <t xml:space="preserve"> </t>
        </r>
        <r>
          <rPr>
            <sz val="8"/>
            <color indexed="81"/>
            <rFont val="Tahoma"/>
            <family val="2"/>
          </rPr>
          <t>3 new stores in 2011
Close 5 stores and outlet biz
Square Footage Flat overall in 2011</t>
        </r>
        <r>
          <rPr>
            <b/>
            <sz val="8"/>
            <color indexed="81"/>
            <rFont val="Tahoma"/>
            <family val="2"/>
          </rPr>
          <t xml:space="preserve">
Guidance 4/12/2010:
</t>
        </r>
        <r>
          <rPr>
            <sz val="8"/>
            <color indexed="81"/>
            <rFont val="Tahoma"/>
            <family val="2"/>
          </rPr>
          <t>Expect muted store growth in near term given commercial real estate mkt; 
75 stores over 5 years</t>
        </r>
        <r>
          <rPr>
            <sz val="8"/>
            <color indexed="81"/>
            <rFont val="Tahoma"/>
            <family val="2"/>
          </rPr>
          <t xml:space="preserve">
</t>
        </r>
      </text>
    </comment>
    <comment ref="AA15" authorId="0">
      <text>
        <r>
          <rPr>
            <b/>
            <sz val="8"/>
            <color indexed="81"/>
            <rFont val="Tahoma"/>
            <family val="2"/>
          </rPr>
          <t xml:space="preserve">Guidance 5/16/2011:
</t>
        </r>
        <r>
          <rPr>
            <sz val="8"/>
            <color indexed="81"/>
            <rFont val="Tahoma"/>
            <family val="2"/>
          </rPr>
          <t xml:space="preserve">Given SG&amp;A focus and lack of Sq Ftg growth opportunities, company assumes fewer stores in out years (not quantified, but less than original 75 stores over 5 years in 5 year plan)
</t>
        </r>
        <r>
          <rPr>
            <b/>
            <sz val="8"/>
            <color indexed="81"/>
            <rFont val="Tahoma"/>
            <family val="2"/>
          </rPr>
          <t xml:space="preserve">
Guidance 4/12/2010:
</t>
        </r>
        <r>
          <rPr>
            <sz val="8"/>
            <color indexed="81"/>
            <rFont val="Tahoma"/>
            <family val="2"/>
          </rPr>
          <t>Expect muted store growth in near term given commercial real estate mkt; 
75 stores over 5 years</t>
        </r>
        <r>
          <rPr>
            <sz val="8"/>
            <color indexed="81"/>
            <rFont val="Tahoma"/>
            <family val="2"/>
          </rPr>
          <t xml:space="preserve">
</t>
        </r>
      </text>
    </comment>
    <comment ref="AB15" authorId="0">
      <text>
        <r>
          <rPr>
            <b/>
            <sz val="8"/>
            <color indexed="81"/>
            <rFont val="Tahoma"/>
            <family val="2"/>
          </rPr>
          <t xml:space="preserve">Guidance 5/16/2011:
</t>
        </r>
        <r>
          <rPr>
            <sz val="8"/>
            <color indexed="81"/>
            <rFont val="Tahoma"/>
            <family val="2"/>
          </rPr>
          <t xml:space="preserve">Given SG&amp;A focus and lack of Sq Ftg growth opportunities, company assumes fewer stores in out years (not quantified, but less than original 75 stores over 5 years in 5 year plan)
</t>
        </r>
        <r>
          <rPr>
            <b/>
            <sz val="8"/>
            <color indexed="81"/>
            <rFont val="Tahoma"/>
            <family val="2"/>
          </rPr>
          <t xml:space="preserve">
Guidance 4/12/2010:
</t>
        </r>
        <r>
          <rPr>
            <sz val="8"/>
            <color indexed="81"/>
            <rFont val="Tahoma"/>
            <family val="2"/>
          </rPr>
          <t>Expect muted store growth in near term given commercial real estate mkt; 
75 stores over 5 years</t>
        </r>
        <r>
          <rPr>
            <sz val="8"/>
            <color indexed="81"/>
            <rFont val="Tahoma"/>
            <family val="2"/>
          </rPr>
          <t xml:space="preserve">
</t>
        </r>
      </text>
    </comment>
    <comment ref="Y16" authorId="0">
      <text>
        <r>
          <rPr>
            <b/>
            <sz val="8"/>
            <color indexed="81"/>
            <rFont val="Tahoma"/>
            <family val="2"/>
          </rPr>
          <t>10K, p. 13
Confirmed 2 Openings and 4 Closings for Year
EOY Count = 1,006</t>
        </r>
        <r>
          <rPr>
            <sz val="8"/>
            <color indexed="81"/>
            <rFont val="Tahoma"/>
            <family val="2"/>
          </rPr>
          <t xml:space="preserve">
</t>
        </r>
      </text>
    </comment>
    <comment ref="Z16" authorId="1">
      <text>
        <r>
          <rPr>
            <b/>
            <sz val="8"/>
            <color indexed="81"/>
            <rFont val="Tahoma"/>
            <family val="2"/>
          </rPr>
          <t xml:space="preserve">Per 2011 10K
</t>
        </r>
        <r>
          <rPr>
            <sz val="8"/>
            <color indexed="81"/>
            <rFont val="Tahoma"/>
            <family val="2"/>
          </rPr>
          <t>-7 stores</t>
        </r>
      </text>
    </comment>
    <comment ref="AG16" authorId="3">
      <text>
        <r>
          <rPr>
            <b/>
            <sz val="9"/>
            <color indexed="81"/>
            <rFont val="Tahoma"/>
            <family val="2"/>
          </rPr>
          <t>Baglione, Gregory  (Research):</t>
        </r>
        <r>
          <rPr>
            <sz val="9"/>
            <color indexed="81"/>
            <rFont val="Tahoma"/>
            <family val="2"/>
          </rPr>
          <t xml:space="preserve">
Model ~40 store closures per year going forward
</t>
        </r>
      </text>
    </comment>
    <comment ref="AH16" authorId="3">
      <text>
        <r>
          <rPr>
            <b/>
            <sz val="9"/>
            <color indexed="81"/>
            <rFont val="Tahoma"/>
            <family val="2"/>
          </rPr>
          <t>Baglione, Gregory  (Research):</t>
        </r>
        <r>
          <rPr>
            <sz val="9"/>
            <color indexed="81"/>
            <rFont val="Tahoma"/>
            <family val="2"/>
          </rPr>
          <t xml:space="preserve">
Model ~40 store closures per year going forward
</t>
        </r>
      </text>
    </comment>
    <comment ref="AI16" authorId="3">
      <text>
        <r>
          <rPr>
            <b/>
            <sz val="9"/>
            <color indexed="81"/>
            <rFont val="Tahoma"/>
            <family val="2"/>
          </rPr>
          <t>Baglione, Gregory  (Research):</t>
        </r>
        <r>
          <rPr>
            <sz val="9"/>
            <color indexed="81"/>
            <rFont val="Tahoma"/>
            <family val="2"/>
          </rPr>
          <t xml:space="preserve">
Model ~40 store closures per year going forward
</t>
        </r>
      </text>
    </comment>
    <comment ref="AJ16" authorId="3">
      <text>
        <r>
          <rPr>
            <b/>
            <sz val="9"/>
            <color indexed="81"/>
            <rFont val="Tahoma"/>
            <family val="2"/>
          </rPr>
          <t>Baglione, Gregory  (Research):</t>
        </r>
        <r>
          <rPr>
            <sz val="9"/>
            <color indexed="81"/>
            <rFont val="Tahoma"/>
            <family val="2"/>
          </rPr>
          <t xml:space="preserve">
Model ~40 store closures per year going forward
</t>
        </r>
      </text>
    </comment>
    <comment ref="AK16" authorId="3">
      <text>
        <r>
          <rPr>
            <b/>
            <sz val="9"/>
            <color indexed="81"/>
            <rFont val="Tahoma"/>
            <family val="2"/>
          </rPr>
          <t>Baglione, Gregory  (Research):</t>
        </r>
        <r>
          <rPr>
            <sz val="9"/>
            <color indexed="81"/>
            <rFont val="Tahoma"/>
            <family val="2"/>
          </rPr>
          <t xml:space="preserve">
Model ~40 store closures per year going forward
</t>
        </r>
      </text>
    </comment>
    <comment ref="Y39" authorId="0">
      <text>
        <r>
          <rPr>
            <b/>
            <sz val="8"/>
            <color indexed="81"/>
            <rFont val="Tahoma"/>
            <family val="2"/>
          </rPr>
          <t xml:space="preserve">Guidance 5/14/10:
</t>
        </r>
        <r>
          <rPr>
            <sz val="8"/>
            <color indexed="81"/>
            <rFont val="Tahoma"/>
            <family val="2"/>
          </rPr>
          <t>+LSD%</t>
        </r>
        <r>
          <rPr>
            <b/>
            <sz val="8"/>
            <color indexed="81"/>
            <rFont val="Tahoma"/>
            <family val="2"/>
          </rPr>
          <t xml:space="preserve">
Guidance 2/19/10:
</t>
        </r>
        <r>
          <rPr>
            <sz val="8"/>
            <color indexed="81"/>
            <rFont val="Tahoma"/>
            <family val="2"/>
          </rPr>
          <t>+LSD%</t>
        </r>
        <r>
          <rPr>
            <sz val="8"/>
            <color indexed="81"/>
            <rFont val="Tahoma"/>
            <family val="2"/>
          </rPr>
          <t xml:space="preserve">
</t>
        </r>
      </text>
    </comment>
    <comment ref="Z39" authorId="0">
      <text>
        <r>
          <rPr>
            <b/>
            <sz val="8"/>
            <color indexed="81"/>
            <rFont val="Tahoma"/>
            <family val="2"/>
          </rPr>
          <t xml:space="preserve">2011 10K
</t>
        </r>
        <r>
          <rPr>
            <sz val="8"/>
            <color indexed="81"/>
            <rFont val="Tahoma"/>
            <family val="2"/>
          </rPr>
          <t xml:space="preserve">* 2011 off mall traffic up; on mall down
* Conversion rate at all stores up vs 2010
* Avg unit retail up slightly y/y
* Transactions up y/y
* # units and units / transaction down y/y
* Sales in all geographies relatively flat in 2011; best performance in SW and weakest from the NW and Central regions
* Best performing categories: women's apparel and women's accesories, incl Sephora; Worst performing: home and family footwear </t>
        </r>
        <r>
          <rPr>
            <b/>
            <sz val="8"/>
            <color indexed="81"/>
            <rFont val="Tahoma"/>
            <family val="2"/>
          </rPr>
          <t xml:space="preserve">
</t>
        </r>
        <r>
          <rPr>
            <sz val="8"/>
            <color indexed="81"/>
            <rFont val="Tahoma"/>
            <family val="2"/>
          </rPr>
          <t xml:space="preserve">* Private and exclusive brands @ 55% of total merch sales (same as LY)
</t>
        </r>
        <r>
          <rPr>
            <b/>
            <sz val="8"/>
            <color indexed="81"/>
            <rFont val="Tahoma"/>
            <family val="2"/>
          </rPr>
          <t xml:space="preserve">
Guidance 5/16/11:
</t>
        </r>
        <r>
          <rPr>
            <sz val="8"/>
            <color indexed="81"/>
            <rFont val="Tahoma"/>
            <family val="2"/>
          </rPr>
          <t>+LSD to MSD</t>
        </r>
        <r>
          <rPr>
            <b/>
            <sz val="8"/>
            <color indexed="81"/>
            <rFont val="Tahoma"/>
            <family val="2"/>
          </rPr>
          <t xml:space="preserve">
Guidance 2/25/11:
</t>
        </r>
        <r>
          <rPr>
            <sz val="8"/>
            <color indexed="81"/>
            <rFont val="Tahoma"/>
            <family val="2"/>
          </rPr>
          <t>+LSD to MSD</t>
        </r>
        <r>
          <rPr>
            <sz val="8"/>
            <color indexed="81"/>
            <rFont val="Tahoma"/>
            <family val="2"/>
          </rPr>
          <t xml:space="preserve">
</t>
        </r>
      </text>
    </comment>
    <comment ref="AC39" authorId="4">
      <text>
        <r>
          <rPr>
            <b/>
            <sz val="8"/>
            <color indexed="81"/>
            <rFont val="Tahoma"/>
            <family val="2"/>
          </rPr>
          <t xml:space="preserve">Guidance 4/20/10:
</t>
        </r>
        <r>
          <rPr>
            <sz val="8"/>
            <color indexed="81"/>
            <rFont val="Tahoma"/>
            <family val="2"/>
          </rPr>
          <t>5% long term from 2010-2014</t>
        </r>
        <r>
          <rPr>
            <b/>
            <sz val="8"/>
            <color indexed="81"/>
            <rFont val="Tahoma"/>
            <family val="2"/>
          </rPr>
          <t xml:space="preserve">
Note: 2/7/2008
</t>
        </r>
        <r>
          <rPr>
            <sz val="8"/>
            <color indexed="81"/>
            <rFont val="Tahoma"/>
            <family val="2"/>
          </rPr>
          <t>Includes stores + internet as of February 2008.</t>
        </r>
        <r>
          <rPr>
            <b/>
            <sz val="8"/>
            <color indexed="81"/>
            <rFont val="Tahoma"/>
            <family val="2"/>
          </rPr>
          <t xml:space="preserve">
Guidance: 4/18/07
</t>
        </r>
        <r>
          <rPr>
            <sz val="8"/>
            <color indexed="81"/>
            <rFont val="Tahoma"/>
            <family val="2"/>
          </rPr>
          <t>Low-to-mid single digit (stores only)</t>
        </r>
      </text>
    </comment>
    <comment ref="AD39" authorId="4">
      <text>
        <r>
          <rPr>
            <b/>
            <sz val="8"/>
            <color indexed="81"/>
            <rFont val="Tahoma"/>
            <family val="2"/>
          </rPr>
          <t xml:space="preserve">Guidance 4/20/10:
</t>
        </r>
        <r>
          <rPr>
            <sz val="8"/>
            <color indexed="81"/>
            <rFont val="Tahoma"/>
            <family val="2"/>
          </rPr>
          <t>5% long term from 2010-2014</t>
        </r>
        <r>
          <rPr>
            <b/>
            <sz val="8"/>
            <color indexed="81"/>
            <rFont val="Tahoma"/>
            <family val="2"/>
          </rPr>
          <t xml:space="preserve">
Note: 2/7/2008
</t>
        </r>
        <r>
          <rPr>
            <sz val="8"/>
            <color indexed="81"/>
            <rFont val="Tahoma"/>
            <family val="2"/>
          </rPr>
          <t>Includes stores + internet as of February 2008.</t>
        </r>
        <r>
          <rPr>
            <b/>
            <sz val="8"/>
            <color indexed="81"/>
            <rFont val="Tahoma"/>
            <family val="2"/>
          </rPr>
          <t xml:space="preserve">
Guidance: 4/18/07
</t>
        </r>
        <r>
          <rPr>
            <sz val="8"/>
            <color indexed="81"/>
            <rFont val="Tahoma"/>
            <family val="2"/>
          </rPr>
          <t>Low-to-mid single digit (stores only)</t>
        </r>
      </text>
    </comment>
    <comment ref="AE39" authorId="4">
      <text>
        <r>
          <rPr>
            <b/>
            <sz val="8"/>
            <color indexed="81"/>
            <rFont val="Tahoma"/>
            <family val="2"/>
          </rPr>
          <t xml:space="preserve">Guidance 4/20/10:
</t>
        </r>
        <r>
          <rPr>
            <sz val="8"/>
            <color indexed="81"/>
            <rFont val="Tahoma"/>
            <family val="2"/>
          </rPr>
          <t>5% long term from 2010-2014</t>
        </r>
        <r>
          <rPr>
            <b/>
            <sz val="8"/>
            <color indexed="81"/>
            <rFont val="Tahoma"/>
            <family val="2"/>
          </rPr>
          <t xml:space="preserve">
Note: 2/7/2008
</t>
        </r>
        <r>
          <rPr>
            <sz val="8"/>
            <color indexed="81"/>
            <rFont val="Tahoma"/>
            <family val="2"/>
          </rPr>
          <t>Includes stores + internet as of February 2008.</t>
        </r>
        <r>
          <rPr>
            <b/>
            <sz val="8"/>
            <color indexed="81"/>
            <rFont val="Tahoma"/>
            <family val="2"/>
          </rPr>
          <t xml:space="preserve">
Guidance: 4/18/07
</t>
        </r>
        <r>
          <rPr>
            <sz val="8"/>
            <color indexed="81"/>
            <rFont val="Tahoma"/>
            <family val="2"/>
          </rPr>
          <t>Low-to-mid single digit (stores only)
1/7/15
Raising to a 2% comp from a 1.0% comp</t>
        </r>
      </text>
    </comment>
    <comment ref="AF39" authorId="3">
      <text>
        <r>
          <rPr>
            <b/>
            <sz val="9"/>
            <color indexed="81"/>
            <rFont val="Tahoma"/>
            <family val="2"/>
          </rPr>
          <t>Baglione, Gregory  (Research):</t>
        </r>
        <r>
          <rPr>
            <sz val="9"/>
            <color indexed="81"/>
            <rFont val="Tahoma"/>
            <family val="2"/>
          </rPr>
          <t xml:space="preserve">
1/7/15
Raising comp to a 1.5% comp from 1.0%
5/13/16
Lowering comp to +0.5% from +1.5%</t>
        </r>
      </text>
    </comment>
    <comment ref="AG39" authorId="3">
      <text>
        <r>
          <rPr>
            <b/>
            <sz val="9"/>
            <color indexed="81"/>
            <rFont val="Tahoma"/>
            <family val="2"/>
          </rPr>
          <t>Baglione, Gregory  (Research):</t>
        </r>
        <r>
          <rPr>
            <sz val="9"/>
            <color indexed="81"/>
            <rFont val="Tahoma"/>
            <family val="2"/>
          </rPr>
          <t xml:space="preserve">
Lowering to 0% comp in 2018 and thereafter
</t>
        </r>
      </text>
    </comment>
    <comment ref="AH39" authorId="3">
      <text>
        <r>
          <rPr>
            <b/>
            <sz val="9"/>
            <color indexed="81"/>
            <rFont val="Tahoma"/>
            <family val="2"/>
          </rPr>
          <t>Baglione, Gregory  (Research):</t>
        </r>
        <r>
          <rPr>
            <sz val="9"/>
            <color indexed="81"/>
            <rFont val="Tahoma"/>
            <family val="2"/>
          </rPr>
          <t xml:space="preserve">
Lowering to 0% comp in 2018 and thereafter
</t>
        </r>
      </text>
    </comment>
    <comment ref="AI39" authorId="3">
      <text>
        <r>
          <rPr>
            <b/>
            <sz val="9"/>
            <color indexed="81"/>
            <rFont val="Tahoma"/>
            <family val="2"/>
          </rPr>
          <t>Baglione, Gregory  (Research):</t>
        </r>
        <r>
          <rPr>
            <sz val="9"/>
            <color indexed="81"/>
            <rFont val="Tahoma"/>
            <family val="2"/>
          </rPr>
          <t xml:space="preserve">
Lowering to 0% comp in 2018 and thereafter
</t>
        </r>
      </text>
    </comment>
    <comment ref="AJ39" authorId="3">
      <text>
        <r>
          <rPr>
            <b/>
            <sz val="9"/>
            <color indexed="81"/>
            <rFont val="Tahoma"/>
            <family val="2"/>
          </rPr>
          <t>Baglione, Gregory  (Research):</t>
        </r>
        <r>
          <rPr>
            <sz val="9"/>
            <color indexed="81"/>
            <rFont val="Tahoma"/>
            <family val="2"/>
          </rPr>
          <t xml:space="preserve">
Lowering to 0% comp in 2018 and thereafter
</t>
        </r>
      </text>
    </comment>
    <comment ref="AK39" authorId="3">
      <text>
        <r>
          <rPr>
            <b/>
            <sz val="9"/>
            <color indexed="81"/>
            <rFont val="Tahoma"/>
            <family val="2"/>
          </rPr>
          <t>Baglione, Gregory  (Research):</t>
        </r>
        <r>
          <rPr>
            <sz val="9"/>
            <color indexed="81"/>
            <rFont val="Tahoma"/>
            <family val="2"/>
          </rPr>
          <t xml:space="preserve">
Lowering to 0% comp in 2018 and thereafter
</t>
        </r>
      </text>
    </comment>
  </commentList>
</comments>
</file>

<file path=xl/comments8.xml><?xml version="1.0" encoding="utf-8"?>
<comments xmlns="http://schemas.openxmlformats.org/spreadsheetml/2006/main">
  <authors>
    <author>balskyh</author>
    <author>cuomochr</author>
    <author>mmcclell</author>
    <author>Baglione, Gregory  (Research)</author>
    <author>Baglione, Gregory (Research)</author>
    <author>Cassel, Lauren (Research)</author>
    <author>Michelle Clark</author>
    <author>casselau</author>
  </authors>
  <commentList>
    <comment ref="AB7" authorId="0">
      <text>
        <r>
          <rPr>
            <b/>
            <sz val="8"/>
            <color indexed="81"/>
            <rFont val="Tahoma"/>
            <family val="2"/>
          </rPr>
          <t xml:space="preserve">Commentary 1/9/12
</t>
        </r>
        <r>
          <rPr>
            <sz val="8"/>
            <color indexed="81"/>
            <rFont val="Tahoma"/>
            <family val="2"/>
          </rPr>
          <t xml:space="preserve">- In the past extra week was 1-1.5% of FY sales
- Not providing guidance until 1/25th meeting
</t>
        </r>
        <r>
          <rPr>
            <b/>
            <sz val="8"/>
            <color indexed="81"/>
            <rFont val="Tahoma"/>
            <family val="2"/>
          </rPr>
          <t xml:space="preserve">
Note: </t>
        </r>
        <r>
          <rPr>
            <sz val="8"/>
            <color indexed="81"/>
            <rFont val="Tahoma"/>
            <family val="2"/>
          </rPr>
          <t>Extra week in January 2006</t>
        </r>
      </text>
    </comment>
    <comment ref="AC7" authorId="1">
      <text>
        <r>
          <rPr>
            <b/>
            <sz val="8"/>
            <color indexed="81"/>
            <rFont val="Tahoma"/>
            <family val="2"/>
          </rPr>
          <t xml:space="preserve">11/7/11 Press Release
</t>
        </r>
        <r>
          <rPr>
            <sz val="8"/>
            <color indexed="81"/>
            <rFont val="Tahoma"/>
            <family val="2"/>
          </rPr>
          <t>JCP to launch Martha Stewart stores inside JCP in February; website to launch in 2012</t>
        </r>
        <r>
          <rPr>
            <b/>
            <sz val="8"/>
            <color indexed="81"/>
            <rFont val="Tahoma"/>
            <family val="2"/>
          </rPr>
          <t xml:space="preserve">
4/20/10 Guidance:
</t>
        </r>
        <r>
          <rPr>
            <sz val="8"/>
            <color indexed="81"/>
            <rFont val="Tahoma"/>
            <family val="2"/>
          </rPr>
          <t>Total sales to reach ~$23bn by 2014, primarily driven by comp store sales growth</t>
        </r>
        <r>
          <rPr>
            <sz val="8"/>
            <color indexed="81"/>
            <rFont val="Tahoma"/>
            <family val="2"/>
          </rPr>
          <t xml:space="preserve">
$5bn increase vs. 2010 composed of:
$3BN Existing Stores
$1BN Internet
$1BN New Stores</t>
        </r>
      </text>
    </comment>
    <comment ref="AD7" authorId="1">
      <text>
        <r>
          <rPr>
            <b/>
            <sz val="8"/>
            <color indexed="81"/>
            <rFont val="Tahoma"/>
            <family val="2"/>
          </rPr>
          <t xml:space="preserve">11/7/11 Press Release
</t>
        </r>
        <r>
          <rPr>
            <sz val="8"/>
            <color indexed="81"/>
            <rFont val="Tahoma"/>
            <family val="2"/>
          </rPr>
          <t>JCP to launch Martha Stewart stores inside JCP in February; website to launch in 2012</t>
        </r>
        <r>
          <rPr>
            <b/>
            <sz val="8"/>
            <color indexed="81"/>
            <rFont val="Tahoma"/>
            <family val="2"/>
          </rPr>
          <t xml:space="preserve">
4/20/10 Guidance:
</t>
        </r>
        <r>
          <rPr>
            <sz val="8"/>
            <color indexed="81"/>
            <rFont val="Tahoma"/>
            <family val="2"/>
          </rPr>
          <t>Total sales to reach ~$23bn by 2014, primarily driven by comp store sales growth</t>
        </r>
        <r>
          <rPr>
            <sz val="8"/>
            <color indexed="81"/>
            <rFont val="Tahoma"/>
            <family val="2"/>
          </rPr>
          <t xml:space="preserve">
$5bn increase vs. 2010 composed of:
$3BN Existing Stores
$1BN Internet
$1BN New Stores</t>
        </r>
      </text>
    </comment>
    <comment ref="AE7" authorId="1">
      <text>
        <r>
          <rPr>
            <b/>
            <sz val="8"/>
            <color indexed="81"/>
            <rFont val="Tahoma"/>
            <family val="2"/>
          </rPr>
          <t xml:space="preserve">4/20/10 Guidance:
</t>
        </r>
        <r>
          <rPr>
            <sz val="8"/>
            <color indexed="81"/>
            <rFont val="Tahoma"/>
            <family val="2"/>
          </rPr>
          <t>Total sales to reach ~$23bn by 2014, primarily driven by comp store sales growth</t>
        </r>
        <r>
          <rPr>
            <sz val="8"/>
            <color indexed="81"/>
            <rFont val="Tahoma"/>
            <family val="2"/>
          </rPr>
          <t xml:space="preserve">
$5bn increase vs. 2010 composed of:
$3BN Existing Stores
$1BN Internet
$1BN New Stores</t>
        </r>
      </text>
    </comment>
    <comment ref="AC9" authorId="1">
      <text>
        <r>
          <rPr>
            <b/>
            <sz val="8"/>
            <color indexed="81"/>
            <rFont val="Tahoma"/>
            <family val="2"/>
          </rPr>
          <t xml:space="preserve">Guidance 4/20/10:
</t>
        </r>
        <r>
          <rPr>
            <sz val="8"/>
            <color indexed="81"/>
            <rFont val="Tahoma"/>
            <family val="2"/>
          </rPr>
          <t>5% long term from 2010-2014</t>
        </r>
        <r>
          <rPr>
            <b/>
            <sz val="8"/>
            <color indexed="81"/>
            <rFont val="Tahoma"/>
            <family val="2"/>
          </rPr>
          <t xml:space="preserve">
</t>
        </r>
        <r>
          <rPr>
            <sz val="8"/>
            <color indexed="81"/>
            <rFont val="Tahoma"/>
            <family val="2"/>
          </rPr>
          <t xml:space="preserve">
</t>
        </r>
      </text>
    </comment>
    <comment ref="AD9" authorId="1">
      <text>
        <r>
          <rPr>
            <b/>
            <sz val="8"/>
            <color indexed="81"/>
            <rFont val="Tahoma"/>
            <family val="2"/>
          </rPr>
          <t xml:space="preserve">Guidance 4/20/10:
</t>
        </r>
        <r>
          <rPr>
            <sz val="8"/>
            <color indexed="81"/>
            <rFont val="Tahoma"/>
            <family val="2"/>
          </rPr>
          <t>5% long term from 2010-2014</t>
        </r>
        <r>
          <rPr>
            <b/>
            <sz val="8"/>
            <color indexed="81"/>
            <rFont val="Tahoma"/>
            <family val="2"/>
          </rPr>
          <t xml:space="preserve">
</t>
        </r>
        <r>
          <rPr>
            <sz val="8"/>
            <color indexed="81"/>
            <rFont val="Tahoma"/>
            <family val="2"/>
          </rPr>
          <t xml:space="preserve">
</t>
        </r>
      </text>
    </comment>
    <comment ref="V11" authorId="2">
      <text>
        <r>
          <rPr>
            <b/>
            <sz val="8"/>
            <color indexed="81"/>
            <rFont val="Tahoma"/>
            <family val="2"/>
          </rPr>
          <t>Adjusted to reflect 52 wk vs. 53 wk in FY06</t>
        </r>
        <r>
          <rPr>
            <sz val="8"/>
            <color indexed="81"/>
            <rFont val="Tahoma"/>
            <family val="2"/>
          </rPr>
          <t xml:space="preserve">
</t>
        </r>
      </text>
    </comment>
    <comment ref="K12" authorId="0">
      <text>
        <r>
          <rPr>
            <sz val="8"/>
            <color indexed="81"/>
            <rFont val="Tahoma"/>
            <family val="2"/>
          </rPr>
          <t>Guidance</t>
        </r>
      </text>
    </comment>
    <comment ref="AA12" authorId="0">
      <text>
        <r>
          <rPr>
            <b/>
            <sz val="8"/>
            <color indexed="81"/>
            <rFont val="Tahoma"/>
            <family val="2"/>
          </rPr>
          <t xml:space="preserve">1/26/12 Guidance
</t>
        </r>
        <r>
          <rPr>
            <sz val="8"/>
            <color indexed="81"/>
            <rFont val="Tahoma"/>
            <family val="2"/>
          </rPr>
          <t>Targeting 40%+ gross margins by 2015</t>
        </r>
      </text>
    </comment>
    <comment ref="AB12" authorId="1">
      <text>
        <r>
          <rPr>
            <b/>
            <sz val="8"/>
            <color indexed="81"/>
            <rFont val="Tahoma"/>
            <family val="2"/>
          </rPr>
          <t xml:space="preserve">1/26/12 Guidance
</t>
        </r>
        <r>
          <rPr>
            <sz val="8"/>
            <color indexed="81"/>
            <rFont val="Tahoma"/>
            <family val="2"/>
          </rPr>
          <t>Targeting 40%+ gross margins by 2015</t>
        </r>
        <r>
          <rPr>
            <b/>
            <sz val="8"/>
            <color indexed="81"/>
            <rFont val="Tahoma"/>
            <family val="2"/>
          </rPr>
          <t xml:space="preserve">
4/20/10 Guidance:
</t>
        </r>
        <r>
          <rPr>
            <sz val="8"/>
            <color indexed="81"/>
            <rFont val="Tahoma"/>
            <family val="2"/>
          </rPr>
          <t>Gross margin expected to increase to ~40% of sales by 2014</t>
        </r>
        <r>
          <rPr>
            <sz val="8"/>
            <color indexed="81"/>
            <rFont val="Tahoma"/>
            <family val="2"/>
          </rPr>
          <t xml:space="preserve">
</t>
        </r>
      </text>
    </comment>
    <comment ref="AF12" authorId="3">
      <text>
        <r>
          <rPr>
            <b/>
            <sz val="9"/>
            <color indexed="81"/>
            <rFont val="Tahoma"/>
            <family val="2"/>
          </rPr>
          <t>Baglione, Gregory  (Research):</t>
        </r>
        <r>
          <rPr>
            <sz val="9"/>
            <color indexed="81"/>
            <rFont val="Tahoma"/>
            <family val="2"/>
          </rPr>
          <t xml:space="preserve">
11/14/16
Model GM down 10 bps per year going forward despite management's  "20-30 bps annual expansion in 17/18, potentially less opportunity in 2019"
prev: 36.5%
curr: 36.3%
5/13/16
Lowering GM to 36.5% from 36.7%</t>
        </r>
      </text>
    </comment>
    <comment ref="AG12" authorId="3">
      <text>
        <r>
          <rPr>
            <b/>
            <sz val="9"/>
            <color indexed="81"/>
            <rFont val="Tahoma"/>
            <family val="2"/>
          </rPr>
          <t>Baglione, Gregory  (Research):</t>
        </r>
        <r>
          <rPr>
            <sz val="9"/>
            <color indexed="81"/>
            <rFont val="Tahoma"/>
            <family val="2"/>
          </rPr>
          <t xml:space="preserve">
11/14/16
Model GM down 10 bps per year going forward despite management's  "20-30 bps annual expansion in 17/18, potentially less opportunity in 2019"
</t>
        </r>
      </text>
    </comment>
    <comment ref="AH12" authorId="3">
      <text>
        <r>
          <rPr>
            <b/>
            <sz val="9"/>
            <color indexed="81"/>
            <rFont val="Tahoma"/>
            <family val="2"/>
          </rPr>
          <t>Baglione, Gregory  (Research):</t>
        </r>
        <r>
          <rPr>
            <sz val="9"/>
            <color indexed="81"/>
            <rFont val="Tahoma"/>
            <family val="2"/>
          </rPr>
          <t xml:space="preserve">
11/14/16
Model GM down 10 bps per year going forward despite management's  "20-30 bps annual expansion in 17/18, potentially less opportunity in 2019"
</t>
        </r>
      </text>
    </comment>
    <comment ref="AI12" authorId="3">
      <text>
        <r>
          <rPr>
            <b/>
            <sz val="9"/>
            <color indexed="81"/>
            <rFont val="Tahoma"/>
            <family val="2"/>
          </rPr>
          <t>Baglione, Gregory  (Research):</t>
        </r>
        <r>
          <rPr>
            <sz val="9"/>
            <color indexed="81"/>
            <rFont val="Tahoma"/>
            <family val="2"/>
          </rPr>
          <t xml:space="preserve">
11/14/16
Model GM down 10 bps per year going forward despite management's  "20-30 bps annual expansion in 17/18, potentially less opportunity in 2019"
</t>
        </r>
      </text>
    </comment>
    <comment ref="AJ12" authorId="3">
      <text>
        <r>
          <rPr>
            <b/>
            <sz val="9"/>
            <color indexed="81"/>
            <rFont val="Tahoma"/>
            <family val="2"/>
          </rPr>
          <t>Baglione, Gregory  (Research):</t>
        </r>
        <r>
          <rPr>
            <sz val="9"/>
            <color indexed="81"/>
            <rFont val="Tahoma"/>
            <family val="2"/>
          </rPr>
          <t xml:space="preserve">
11/14/16
Model GM down 10 bps per year going forward despite management's  "20-30 bps annual expansion in 17/18, potentially less opportunity in 2019"
</t>
        </r>
      </text>
    </comment>
    <comment ref="AA13" authorId="0">
      <text>
        <r>
          <rPr>
            <b/>
            <sz val="8"/>
            <color indexed="81"/>
            <rFont val="Tahoma"/>
            <family val="2"/>
          </rPr>
          <t xml:space="preserve">1/26/12 Guidance
</t>
        </r>
        <r>
          <rPr>
            <sz val="8"/>
            <color indexed="81"/>
            <rFont val="Tahoma"/>
            <family val="2"/>
          </rPr>
          <t>Targeting 40%+ gross margins by 2015</t>
        </r>
      </text>
    </comment>
    <comment ref="AB13" authorId="0">
      <text>
        <r>
          <rPr>
            <b/>
            <sz val="8"/>
            <color indexed="81"/>
            <rFont val="Tahoma"/>
            <family val="2"/>
          </rPr>
          <t xml:space="preserve">1/26/12 Guidance
</t>
        </r>
        <r>
          <rPr>
            <sz val="8"/>
            <color indexed="81"/>
            <rFont val="Tahoma"/>
            <family val="2"/>
          </rPr>
          <t>Targeting 40%+ gross margins by 2015</t>
        </r>
      </text>
    </comment>
    <comment ref="AC13" authorId="0">
      <text>
        <r>
          <rPr>
            <b/>
            <sz val="8"/>
            <color indexed="81"/>
            <rFont val="Tahoma"/>
            <family val="2"/>
          </rPr>
          <t xml:space="preserve">1/26/12 Guidance
</t>
        </r>
        <r>
          <rPr>
            <sz val="8"/>
            <color indexed="81"/>
            <rFont val="Tahoma"/>
            <family val="2"/>
          </rPr>
          <t>Targeting 40%+ gross margins by 2015</t>
        </r>
      </text>
    </comment>
    <comment ref="AD13" authorId="0">
      <text>
        <r>
          <rPr>
            <b/>
            <sz val="8"/>
            <color indexed="81"/>
            <rFont val="Tahoma"/>
            <family val="2"/>
          </rPr>
          <t xml:space="preserve">1/26/12 Guidance
</t>
        </r>
        <r>
          <rPr>
            <sz val="8"/>
            <color indexed="81"/>
            <rFont val="Tahoma"/>
            <family val="2"/>
          </rPr>
          <t>Targeting 40%+ gross margins by 2015</t>
        </r>
      </text>
    </comment>
    <comment ref="AE13" authorId="0">
      <text>
        <r>
          <rPr>
            <b/>
            <sz val="8"/>
            <color indexed="81"/>
            <rFont val="Tahoma"/>
            <family val="2"/>
          </rPr>
          <t xml:space="preserve">1/26/12 Guidance
</t>
        </r>
        <r>
          <rPr>
            <sz val="8"/>
            <color indexed="81"/>
            <rFont val="Tahoma"/>
            <family val="2"/>
          </rPr>
          <t>Targeting 40%+ gross margins by 2015</t>
        </r>
      </text>
    </comment>
    <comment ref="Z15" authorId="0">
      <text/>
    </comment>
    <comment ref="AC15" authorId="1">
      <text>
        <r>
          <rPr>
            <b/>
            <sz val="8"/>
            <color indexed="81"/>
            <rFont val="Tahoma"/>
            <family val="2"/>
          </rPr>
          <t>Incorporates MS estimates for incremental cost saves.</t>
        </r>
        <r>
          <rPr>
            <sz val="8"/>
            <color indexed="81"/>
            <rFont val="Tahoma"/>
            <family val="2"/>
          </rPr>
          <t xml:space="preserve">
</t>
        </r>
      </text>
    </comment>
    <comment ref="AD15" authorId="1">
      <text>
        <r>
          <rPr>
            <b/>
            <sz val="8"/>
            <color indexed="81"/>
            <rFont val="Tahoma"/>
            <family val="2"/>
          </rPr>
          <t>Incorporates MS estimates for incremental cost saves.</t>
        </r>
        <r>
          <rPr>
            <sz val="8"/>
            <color indexed="81"/>
            <rFont val="Tahoma"/>
            <family val="2"/>
          </rPr>
          <t xml:space="preserve">
</t>
        </r>
      </text>
    </comment>
    <comment ref="AE15" authorId="1">
      <text>
        <r>
          <rPr>
            <b/>
            <sz val="8"/>
            <color indexed="81"/>
            <rFont val="Tahoma"/>
            <family val="2"/>
          </rPr>
          <t>Incorporates MS estimates for incremental cost saves.</t>
        </r>
        <r>
          <rPr>
            <sz val="8"/>
            <color indexed="81"/>
            <rFont val="Tahoma"/>
            <family val="2"/>
          </rPr>
          <t xml:space="preserve">
</t>
        </r>
      </text>
    </comment>
    <comment ref="AF15" authorId="4">
      <text>
        <r>
          <rPr>
            <b/>
            <sz val="9"/>
            <color indexed="81"/>
            <rFont val="Tahoma"/>
            <family val="2"/>
          </rPr>
          <t>Baglione, Gregory (Research):</t>
        </r>
        <r>
          <rPr>
            <sz val="9"/>
            <color indexed="81"/>
            <rFont val="Tahoma"/>
            <family val="2"/>
          </rPr>
          <t xml:space="preserve">
We model SG&amp;A to fall $135M next year. $100M headquarters SG&amp;A reductions, $15M from incremental credit income, 1% baseline SG&amp;A inflation.</t>
        </r>
      </text>
    </comment>
    <comment ref="AG15" authorId="5">
      <text>
        <r>
          <rPr>
            <b/>
            <sz val="9"/>
            <color indexed="81"/>
            <rFont val="Tahoma"/>
            <family val="2"/>
          </rPr>
          <t>Cassel, Lauren (Research):</t>
        </r>
        <r>
          <rPr>
            <sz val="9"/>
            <color indexed="81"/>
            <rFont val="Tahoma"/>
            <family val="2"/>
          </rPr>
          <t xml:space="preserve">
need to back out $30M from extra week 
+$71M of store savings (1.5 quarters of benefit) = $3271.8
approximately 230 positions were subsequently eliminated. The annual cost savings generated from the home office and store reorganization are estimated at approximately $20-$25 million</t>
        </r>
      </text>
    </comment>
    <comment ref="AF16" authorId="4">
      <text>
        <r>
          <rPr>
            <b/>
            <sz val="9"/>
            <color indexed="81"/>
            <rFont val="Tahoma"/>
            <family val="2"/>
          </rPr>
          <t>Baglione, Gregory (Research):</t>
        </r>
        <r>
          <rPr>
            <sz val="9"/>
            <color indexed="81"/>
            <rFont val="Tahoma"/>
            <family val="2"/>
          </rPr>
          <t xml:space="preserve">
We model $3.4B SG&amp;A next year, including $15M from incremental credit, $100M HQ, 1% baseline inflation, $54M stores) $100M headquarters SG&amp;A reductions, $15M from incremental credit income, 1% baseline SG&amp;A inflation. This leads to ~4% SG&amp;A decline next year. </t>
        </r>
      </text>
    </comment>
    <comment ref="X17" authorId="2">
      <text>
        <r>
          <rPr>
            <b/>
            <sz val="8"/>
            <color indexed="81"/>
            <rFont val="Tahoma"/>
            <family val="2"/>
          </rPr>
          <t>Includes impact of pension.</t>
        </r>
        <r>
          <rPr>
            <sz val="8"/>
            <color indexed="81"/>
            <rFont val="Tahoma"/>
            <family val="2"/>
          </rPr>
          <t xml:space="preserve">
</t>
        </r>
      </text>
    </comment>
    <comment ref="AB17" authorId="0">
      <text>
        <r>
          <rPr>
            <b/>
            <sz val="8"/>
            <color indexed="81"/>
            <rFont val="Tahoma"/>
            <family val="2"/>
          </rPr>
          <t xml:space="preserve">Guidance 1/26/12:
</t>
        </r>
        <r>
          <rPr>
            <sz val="8"/>
            <color indexed="81"/>
            <rFont val="Tahoma"/>
            <family val="2"/>
          </rPr>
          <t>Target &lt;30% SG&amp;A ratio by 2013 &amp; 27% by 2015</t>
        </r>
      </text>
    </comment>
    <comment ref="AC17" authorId="6">
      <text>
        <r>
          <rPr>
            <b/>
            <sz val="8"/>
            <color indexed="81"/>
            <rFont val="Tahoma"/>
            <family val="2"/>
          </rPr>
          <t xml:space="preserve">Guidance 1/26/12:
</t>
        </r>
        <r>
          <rPr>
            <sz val="8"/>
            <color indexed="81"/>
            <rFont val="Tahoma"/>
            <family val="2"/>
          </rPr>
          <t>Target &lt;30% SG&amp;A ratio by 2013 &amp; 27% by 2015</t>
        </r>
        <r>
          <rPr>
            <b/>
            <sz val="8"/>
            <color indexed="81"/>
            <rFont val="Tahoma"/>
            <family val="2"/>
          </rPr>
          <t xml:space="preserve">
Note: Based off prior year's adjusted SG&amp;A ratio (row 349)</t>
        </r>
        <r>
          <rPr>
            <sz val="8"/>
            <color indexed="81"/>
            <rFont val="Tahoma"/>
            <family val="2"/>
          </rPr>
          <t xml:space="preserve">
</t>
        </r>
      </text>
    </comment>
    <comment ref="AD17" authorId="6">
      <text>
        <r>
          <rPr>
            <b/>
            <sz val="8"/>
            <color indexed="81"/>
            <rFont val="Tahoma"/>
            <family val="2"/>
          </rPr>
          <t xml:space="preserve">Guidance 1/26/12:
</t>
        </r>
        <r>
          <rPr>
            <sz val="8"/>
            <color indexed="81"/>
            <rFont val="Tahoma"/>
            <family val="2"/>
          </rPr>
          <t>Target &lt;30% SG&amp;A ratio by 2013 &amp; 27% by 2015</t>
        </r>
        <r>
          <rPr>
            <b/>
            <sz val="8"/>
            <color indexed="81"/>
            <rFont val="Tahoma"/>
            <family val="2"/>
          </rPr>
          <t xml:space="preserve">
Note: Based off prior year's adjusted SG&amp;A ratio (row 349)</t>
        </r>
        <r>
          <rPr>
            <sz val="8"/>
            <color indexed="81"/>
            <rFont val="Tahoma"/>
            <family val="2"/>
          </rPr>
          <t xml:space="preserve">
</t>
        </r>
      </text>
    </comment>
    <comment ref="AE17" authorId="6">
      <text>
        <r>
          <rPr>
            <b/>
            <sz val="8"/>
            <color indexed="81"/>
            <rFont val="Tahoma"/>
            <family val="2"/>
          </rPr>
          <t xml:space="preserve">Guidance 1/26/12:
</t>
        </r>
        <r>
          <rPr>
            <sz val="8"/>
            <color indexed="81"/>
            <rFont val="Tahoma"/>
            <family val="2"/>
          </rPr>
          <t>Target &lt;30% SG&amp;A ratio by 2013 &amp; 27% by 2015</t>
        </r>
        <r>
          <rPr>
            <b/>
            <sz val="8"/>
            <color indexed="81"/>
            <rFont val="Tahoma"/>
            <family val="2"/>
          </rPr>
          <t xml:space="preserve">
Note: Based off prior year's adjusted SG&amp;A ratio (row 349)</t>
        </r>
        <r>
          <rPr>
            <sz val="8"/>
            <color indexed="81"/>
            <rFont val="Tahoma"/>
            <family val="2"/>
          </rPr>
          <t xml:space="preserve">
</t>
        </r>
      </text>
    </comment>
    <comment ref="M18" authorId="0">
      <text>
        <r>
          <rPr>
            <sz val="8"/>
            <color indexed="81"/>
            <rFont val="Tahoma"/>
            <family val="2"/>
          </rPr>
          <t>Guidance</t>
        </r>
      </text>
    </comment>
    <comment ref="AB18" authorId="6">
      <text>
        <r>
          <rPr>
            <b/>
            <sz val="8"/>
            <color indexed="81"/>
            <rFont val="Tahoma"/>
            <family val="2"/>
          </rPr>
          <t>Assumes leverage at 2% comp</t>
        </r>
        <r>
          <rPr>
            <sz val="8"/>
            <color indexed="81"/>
            <rFont val="Tahoma"/>
            <family val="2"/>
          </rPr>
          <t xml:space="preserve">
</t>
        </r>
      </text>
    </comment>
    <comment ref="AC18" authorId="6">
      <text>
        <r>
          <rPr>
            <b/>
            <sz val="8"/>
            <color indexed="81"/>
            <rFont val="Tahoma"/>
            <family val="2"/>
          </rPr>
          <t>Assumes leverage at 2% comp</t>
        </r>
        <r>
          <rPr>
            <sz val="8"/>
            <color indexed="81"/>
            <rFont val="Tahoma"/>
            <family val="2"/>
          </rPr>
          <t xml:space="preserve">
</t>
        </r>
      </text>
    </comment>
    <comment ref="AD18" authorId="6">
      <text>
        <r>
          <rPr>
            <b/>
            <sz val="8"/>
            <color indexed="81"/>
            <rFont val="Tahoma"/>
            <family val="2"/>
          </rPr>
          <t>Assumes leverage at 2% comp</t>
        </r>
        <r>
          <rPr>
            <sz val="8"/>
            <color indexed="81"/>
            <rFont val="Tahoma"/>
            <family val="2"/>
          </rPr>
          <t xml:space="preserve">
</t>
        </r>
      </text>
    </comment>
    <comment ref="AE18" authorId="6">
      <text>
        <r>
          <rPr>
            <b/>
            <sz val="8"/>
            <color indexed="81"/>
            <rFont val="Tahoma"/>
            <family val="2"/>
          </rPr>
          <t>Assumes leverage at 2% comp</t>
        </r>
        <r>
          <rPr>
            <sz val="8"/>
            <color indexed="81"/>
            <rFont val="Tahoma"/>
            <family val="2"/>
          </rPr>
          <t xml:space="preserve">
</t>
        </r>
      </text>
    </comment>
    <comment ref="AA21" authorId="1">
      <text>
        <r>
          <rPr>
            <b/>
            <sz val="8"/>
            <color indexed="81"/>
            <rFont val="Tahoma"/>
            <family val="2"/>
          </rPr>
          <t>11/14/11 guidance</t>
        </r>
        <r>
          <rPr>
            <sz val="8"/>
            <color indexed="81"/>
            <rFont val="Tahoma"/>
            <family val="2"/>
          </rPr>
          <t xml:space="preserve">
1) $50MM beneficial impact from VERP program in op ex in 2012 (so a reduction in SG&amp;A expense)</t>
        </r>
        <r>
          <rPr>
            <b/>
            <sz val="8"/>
            <color indexed="81"/>
            <rFont val="Tahoma"/>
            <family val="2"/>
          </rPr>
          <t xml:space="preserve">
Incorporates MS estimates for incremental cost saves.</t>
        </r>
        <r>
          <rPr>
            <sz val="8"/>
            <color indexed="81"/>
            <rFont val="Tahoma"/>
            <family val="2"/>
          </rPr>
          <t xml:space="preserve">
</t>
        </r>
      </text>
    </comment>
    <comment ref="AB21" authorId="0">
      <text>
        <r>
          <rPr>
            <b/>
            <sz val="8"/>
            <color indexed="81"/>
            <rFont val="Tahoma"/>
            <family val="2"/>
          </rPr>
          <t xml:space="preserve">5/15/2012 Guidance
</t>
        </r>
        <r>
          <rPr>
            <sz val="8"/>
            <color indexed="81"/>
            <rFont val="Tahoma"/>
            <family val="2"/>
          </rPr>
          <t xml:space="preserve">Will realize $900M in 2012 (net) and &gt; $900M in 2013 
5/15/2012 Guidance
Expect to realized $900M of savings by y/e 2012 (vs. 2013). Identified saving opportunities for 2012/2013 include
1) $50M for reticketing
2) $250M for fewer store hours
3) $100M for removing cash wraps
4) $300M for advertising
5) $200M home office
6) (new) $500M for reducing inventory to 13 wks from 17 wks
7) Clean up legacy systems
8) Simplify processes
</t>
        </r>
        <r>
          <rPr>
            <b/>
            <sz val="8"/>
            <color indexed="81"/>
            <rFont val="Tahoma"/>
            <family val="2"/>
          </rPr>
          <t xml:space="preserve">
2/24/2012 Guidance
</t>
        </r>
        <r>
          <rPr>
            <sz val="8"/>
            <color indexed="81"/>
            <rFont val="Tahoma"/>
            <family val="2"/>
          </rPr>
          <t>1) ~1/2 of savings realized in 2012, more back half weighted
2) Some savings reinvested / some permanent</t>
        </r>
        <r>
          <rPr>
            <b/>
            <sz val="8"/>
            <color indexed="81"/>
            <rFont val="Tahoma"/>
            <family val="2"/>
          </rPr>
          <t xml:space="preserve">
Per 1/26/12 Guidance:
</t>
        </r>
        <r>
          <rPr>
            <sz val="8"/>
            <color indexed="81"/>
            <rFont val="Tahoma"/>
            <family val="2"/>
          </rPr>
          <t>- $900M of cost savings in 2013e (some of benefit begins in 2012) w/ savings from:
1) $400M of store-level savings (incl. $50M from no more reticketing, $100M from removing unused cash wraps, $250M from fewer hours spent operating stores)
2) $300M of advertising saves (w/ $200M in 2012)
3) $200M of home office savings
- Targeting &lt;30% SG&amp;A ratio by 2013 and ~27% ratio by 2015</t>
        </r>
      </text>
    </comment>
    <comment ref="AB23" authorId="6">
      <text>
        <r>
          <rPr>
            <b/>
            <sz val="8"/>
            <color indexed="81"/>
            <rFont val="Tahoma"/>
            <family val="2"/>
          </rPr>
          <t>Guidance: 1/26/2012
&lt; 30%</t>
        </r>
        <r>
          <rPr>
            <sz val="8"/>
            <color indexed="81"/>
            <rFont val="Tahoma"/>
            <family val="2"/>
          </rPr>
          <t xml:space="preserve">
</t>
        </r>
      </text>
    </comment>
    <comment ref="M24" authorId="0">
      <text>
        <r>
          <rPr>
            <sz val="8"/>
            <color indexed="81"/>
            <rFont val="Tahoma"/>
            <family val="2"/>
          </rPr>
          <t>Guidance</t>
        </r>
      </text>
    </comment>
    <comment ref="AG32" authorId="4">
      <text>
        <r>
          <rPr>
            <b/>
            <sz val="9"/>
            <color indexed="81"/>
            <rFont val="Tahoma"/>
            <family val="2"/>
          </rPr>
          <t>Baglione, Gregory (Research):</t>
        </r>
        <r>
          <rPr>
            <sz val="9"/>
            <color indexed="81"/>
            <rFont val="Tahoma"/>
            <family val="2"/>
          </rPr>
          <t xml:space="preserve">
Model D&amp;A to fall $15M in 2018 and ~$20M thereafter</t>
        </r>
      </text>
    </comment>
    <comment ref="AF45" authorId="7">
      <text>
        <r>
          <rPr>
            <b/>
            <sz val="9"/>
            <color indexed="81"/>
            <rFont val="Tahoma"/>
            <family val="2"/>
          </rPr>
          <t>casselau:</t>
        </r>
        <r>
          <rPr>
            <sz val="9"/>
            <color indexed="81"/>
            <rFont val="Tahoma"/>
            <family val="2"/>
          </rPr>
          <t xml:space="preserve">
$1.2B goal</t>
        </r>
      </text>
    </comment>
    <comment ref="AG47" authorId="4">
      <text>
        <r>
          <rPr>
            <b/>
            <sz val="9"/>
            <color indexed="81"/>
            <rFont val="Tahoma"/>
            <family val="2"/>
          </rPr>
          <t>Baglione, Gregory (Research):</t>
        </r>
        <r>
          <rPr>
            <sz val="9"/>
            <color indexed="81"/>
            <rFont val="Tahoma"/>
            <family val="2"/>
          </rPr>
          <t xml:space="preserve">
per conversation with JCP IR, expect interest expense to fall $10-$20M per year given debt paydown over next several years</t>
        </r>
      </text>
    </comment>
    <comment ref="AH47" authorId="4">
      <text>
        <r>
          <rPr>
            <b/>
            <sz val="9"/>
            <color indexed="81"/>
            <rFont val="Tahoma"/>
            <family val="2"/>
          </rPr>
          <t>Baglione, Gregory (Research):</t>
        </r>
        <r>
          <rPr>
            <sz val="9"/>
            <color indexed="81"/>
            <rFont val="Tahoma"/>
            <family val="2"/>
          </rPr>
          <t xml:space="preserve">
per conversation with JCP IR, expect interest expense to fall $10-$20M per year given debt paydown over next several years</t>
        </r>
      </text>
    </comment>
    <comment ref="AI47" authorId="4">
      <text>
        <r>
          <rPr>
            <b/>
            <sz val="9"/>
            <color indexed="81"/>
            <rFont val="Tahoma"/>
            <family val="2"/>
          </rPr>
          <t>Baglione, Gregory (Research):</t>
        </r>
        <r>
          <rPr>
            <sz val="9"/>
            <color indexed="81"/>
            <rFont val="Tahoma"/>
            <family val="2"/>
          </rPr>
          <t xml:space="preserve">
per conversation with JCP IR, expect interest expense to fall $10-$20M per year given debt paydown over next several years</t>
        </r>
      </text>
    </comment>
    <comment ref="AA72" authorId="0">
      <text>
        <r>
          <rPr>
            <b/>
            <sz val="8"/>
            <color indexed="81"/>
            <rFont val="Tahoma"/>
            <family val="2"/>
          </rPr>
          <t xml:space="preserve">Guidance: 1/26/2012
</t>
        </r>
        <r>
          <rPr>
            <sz val="8"/>
            <color indexed="81"/>
            <rFont val="Tahoma"/>
            <family val="2"/>
          </rPr>
          <t>Meet or exceed $2.16 on an adjusted basis</t>
        </r>
      </text>
    </comment>
    <comment ref="AC72" authorId="2">
      <text>
        <r>
          <rPr>
            <b/>
            <sz val="8"/>
            <color indexed="81"/>
            <rFont val="Tahoma"/>
            <family val="2"/>
          </rPr>
          <t xml:space="preserve">Guidance 4/20/10:
</t>
        </r>
        <r>
          <rPr>
            <sz val="8"/>
            <color indexed="81"/>
            <rFont val="Tahoma"/>
            <family val="2"/>
          </rPr>
          <t>EPS growth, adjusted for pension, expected to achieve 25% 4-yr CAGR (2011-2014)</t>
        </r>
        <r>
          <rPr>
            <b/>
            <sz val="8"/>
            <color indexed="81"/>
            <rFont val="Tahoma"/>
            <family val="2"/>
          </rPr>
          <t xml:space="preserve">
2014 EPS goal &gt;$ 5.00 of EPS
Guidance: 4/18/07
</t>
        </r>
        <r>
          <rPr>
            <sz val="8"/>
            <color indexed="81"/>
            <rFont val="Tahoma"/>
            <family val="2"/>
          </rPr>
          <t>2008-2011, 16% CAGR</t>
        </r>
        <r>
          <rPr>
            <sz val="8"/>
            <color indexed="81"/>
            <rFont val="Tahoma"/>
            <family val="2"/>
          </rPr>
          <t xml:space="preserve">
</t>
        </r>
      </text>
    </comment>
    <comment ref="AD72" authorId="2">
      <text>
        <r>
          <rPr>
            <b/>
            <sz val="8"/>
            <color indexed="81"/>
            <rFont val="Tahoma"/>
            <family val="2"/>
          </rPr>
          <t xml:space="preserve">Guidance 4/20/10:
</t>
        </r>
        <r>
          <rPr>
            <sz val="8"/>
            <color indexed="81"/>
            <rFont val="Tahoma"/>
            <family val="2"/>
          </rPr>
          <t>EPS growth, adjusted for pension, expected to achieve 25% 4-yr CAGR (2011-2014)</t>
        </r>
        <r>
          <rPr>
            <b/>
            <sz val="8"/>
            <color indexed="81"/>
            <rFont val="Tahoma"/>
            <family val="2"/>
          </rPr>
          <t xml:space="preserve">
2014 EPS goal &gt;$ 5.00 of EPS
Guidance: 4/18/07
</t>
        </r>
        <r>
          <rPr>
            <sz val="8"/>
            <color indexed="81"/>
            <rFont val="Tahoma"/>
            <family val="2"/>
          </rPr>
          <t>2008-2011, 16% CAGR</t>
        </r>
        <r>
          <rPr>
            <sz val="8"/>
            <color indexed="81"/>
            <rFont val="Tahoma"/>
            <family val="2"/>
          </rPr>
          <t xml:space="preserve">
</t>
        </r>
      </text>
    </comment>
    <comment ref="AE72" authorId="2">
      <text>
        <r>
          <rPr>
            <b/>
            <sz val="8"/>
            <color indexed="81"/>
            <rFont val="Tahoma"/>
            <family val="2"/>
          </rPr>
          <t xml:space="preserve">11/14/16:
</t>
        </r>
        <r>
          <rPr>
            <sz val="8"/>
            <color indexed="81"/>
            <rFont val="Tahoma"/>
            <family val="2"/>
          </rPr>
          <t>FY16  EPS reflects +1% comp, 36.1% GM, 28.1% SGA</t>
        </r>
        <r>
          <rPr>
            <b/>
            <sz val="8"/>
            <color indexed="81"/>
            <rFont val="Tahoma"/>
            <family val="2"/>
          </rPr>
          <t xml:space="preserve">
Guidance 4/20/10:
</t>
        </r>
        <r>
          <rPr>
            <sz val="8"/>
            <color indexed="81"/>
            <rFont val="Tahoma"/>
            <family val="2"/>
          </rPr>
          <t>EPS growth, adjusted for pension, expected to achieve 25% 4-yr CAGR (2011-2014)</t>
        </r>
        <r>
          <rPr>
            <b/>
            <sz val="8"/>
            <color indexed="81"/>
            <rFont val="Tahoma"/>
            <family val="2"/>
          </rPr>
          <t xml:space="preserve">
2014 EPS goal &gt;$ 5.00 of EPS
Guidance: 4/18/07
</t>
        </r>
        <r>
          <rPr>
            <sz val="8"/>
            <color indexed="81"/>
            <rFont val="Tahoma"/>
            <family val="2"/>
          </rPr>
          <t>2008-2011, 16% CAGR</t>
        </r>
        <r>
          <rPr>
            <sz val="8"/>
            <color indexed="81"/>
            <rFont val="Tahoma"/>
            <family val="2"/>
          </rPr>
          <t xml:space="preserve">
</t>
        </r>
      </text>
    </comment>
    <comment ref="AF72" authorId="2">
      <text>
        <r>
          <rPr>
            <b/>
            <sz val="8"/>
            <color indexed="81"/>
            <rFont val="Tahoma"/>
            <family val="2"/>
          </rPr>
          <t xml:space="preserve">11/14/16:
</t>
        </r>
        <r>
          <rPr>
            <sz val="8"/>
            <color indexed="81"/>
            <rFont val="Tahoma"/>
            <family val="2"/>
          </rPr>
          <t>FY16  EPS reflects +1% comp, 36.1% GM, 28.1% SGA</t>
        </r>
        <r>
          <rPr>
            <b/>
            <sz val="8"/>
            <color indexed="81"/>
            <rFont val="Tahoma"/>
            <family val="2"/>
          </rPr>
          <t xml:space="preserve">
Guidance 4/20/10:
</t>
        </r>
        <r>
          <rPr>
            <sz val="8"/>
            <color indexed="81"/>
            <rFont val="Tahoma"/>
            <family val="2"/>
          </rPr>
          <t>EPS growth, adjusted for pension, expected to achieve 25% 4-yr CAGR (2011-2014)</t>
        </r>
        <r>
          <rPr>
            <b/>
            <sz val="8"/>
            <color indexed="81"/>
            <rFont val="Tahoma"/>
            <family val="2"/>
          </rPr>
          <t xml:space="preserve">
2014 EPS goal &gt;$ 5.00 of EPS
Guidance: 4/18/07
</t>
        </r>
        <r>
          <rPr>
            <sz val="8"/>
            <color indexed="81"/>
            <rFont val="Tahoma"/>
            <family val="2"/>
          </rPr>
          <t>2008-2011, 16% CAGR</t>
        </r>
        <r>
          <rPr>
            <sz val="8"/>
            <color indexed="81"/>
            <rFont val="Tahoma"/>
            <family val="2"/>
          </rPr>
          <t xml:space="preserve">
</t>
        </r>
      </text>
    </comment>
    <comment ref="Z75" authorId="1">
      <text>
        <r>
          <rPr>
            <b/>
            <sz val="8"/>
            <color indexed="81"/>
            <rFont val="Tahoma"/>
            <family val="2"/>
          </rPr>
          <t xml:space="preserve">Guidance 5/16/11:
</t>
        </r>
        <r>
          <rPr>
            <sz val="8"/>
            <color indexed="81"/>
            <rFont val="Tahoma"/>
            <family val="2"/>
          </rPr>
          <t>Total of $56M pre-tax/ $35M pre-tax/ ($0.16 EPS) related to restructuring:
$8M Exit catalog
$35M Supply Chain
$7M 2010 YE Strategic Actions
$6M Other Cost Saves
(see p. 9 supplement)</t>
        </r>
        <r>
          <rPr>
            <b/>
            <sz val="8"/>
            <color indexed="81"/>
            <rFont val="Tahoma"/>
            <family val="2"/>
          </rPr>
          <t xml:space="preserve">
Guidance 1/24/11: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AA75" authorId="1">
      <text>
        <r>
          <rPr>
            <b/>
            <u/>
            <sz val="8"/>
            <color indexed="81"/>
            <rFont val="Tahoma"/>
            <family val="2"/>
          </rPr>
          <t>Guidance 5/16/11:</t>
        </r>
        <r>
          <rPr>
            <b/>
            <sz val="8"/>
            <color indexed="81"/>
            <rFont val="Tahoma"/>
            <family val="2"/>
          </rPr>
          <t xml:space="preserve">
</t>
        </r>
        <r>
          <rPr>
            <sz val="8"/>
            <color indexed="81"/>
            <rFont val="Tahoma"/>
            <family val="2"/>
          </rPr>
          <t>Total of $22M in 2012 pre-tax related to restructuring
$7M Exit catalog
$15M Supply Chain
(see p. 9 1Q11 supplement)</t>
        </r>
        <r>
          <rPr>
            <b/>
            <sz val="8"/>
            <color indexed="81"/>
            <rFont val="Tahoma"/>
            <family val="2"/>
          </rPr>
          <t xml:space="preserve">
</t>
        </r>
        <r>
          <rPr>
            <b/>
            <u/>
            <sz val="8"/>
            <color indexed="81"/>
            <rFont val="Tahoma"/>
            <family val="2"/>
          </rPr>
          <t>Guidance 1/24/11:</t>
        </r>
        <r>
          <rPr>
            <b/>
            <sz val="8"/>
            <color indexed="81"/>
            <rFont val="Tahoma"/>
            <family val="2"/>
          </rPr>
          <t xml:space="preserve">
</t>
        </r>
        <r>
          <rPr>
            <sz val="8"/>
            <color indexed="81"/>
            <rFont val="Tahoma"/>
            <family val="2"/>
          </rPr>
          <t xml:space="preserve">1) Treats as extraordinary:
a) Restructuring charges re announcements on 1/24 related to store and outlet closings (1 cent = $2.5M after tax in 1Q). 
b) </t>
        </r>
        <r>
          <rPr>
            <u/>
            <sz val="8"/>
            <color indexed="81"/>
            <rFont val="Tahoma"/>
            <family val="2"/>
          </rPr>
          <t xml:space="preserve">For the rest of the year, there will be an additional </t>
        </r>
        <r>
          <rPr>
            <b/>
            <u/>
            <sz val="8"/>
            <color indexed="12"/>
            <rFont val="Tahoma"/>
            <family val="2"/>
          </rPr>
          <t xml:space="preserve">4 cents ($10M) </t>
        </r>
        <r>
          <rPr>
            <u/>
            <sz val="8"/>
            <color indexed="81"/>
            <rFont val="Tahoma"/>
            <family val="2"/>
          </rPr>
          <t>hit</t>
        </r>
        <r>
          <rPr>
            <sz val="8"/>
            <color indexed="81"/>
            <rFont val="Tahoma"/>
            <family val="2"/>
          </rPr>
          <t xml:space="preserve">, although we do not know timing.  We have </t>
        </r>
        <r>
          <rPr>
            <b/>
            <u/>
            <sz val="8"/>
            <color indexed="12"/>
            <rFont val="Tahoma"/>
            <family val="2"/>
          </rPr>
          <t>assumed 2Q and 3Q</t>
        </r>
        <r>
          <rPr>
            <sz val="8"/>
            <color indexed="81"/>
            <rFont val="Tahoma"/>
            <family val="2"/>
          </rPr>
          <t xml:space="preserve">.
</t>
        </r>
        <r>
          <rPr>
            <b/>
            <sz val="8"/>
            <color indexed="81"/>
            <rFont val="Tahoma"/>
            <family val="2"/>
          </rPr>
          <t>Flows through real estate and other.</t>
        </r>
        <r>
          <rPr>
            <sz val="8"/>
            <color indexed="81"/>
            <rFont val="Tahoma"/>
            <family val="2"/>
          </rPr>
          <t xml:space="preserve">
</t>
        </r>
      </text>
    </comment>
    <comment ref="AB79" authorId="0">
      <text>
        <r>
          <rPr>
            <b/>
            <sz val="8"/>
            <color indexed="81"/>
            <rFont val="Tahoma"/>
            <family val="2"/>
          </rPr>
          <t>Share repo price</t>
        </r>
      </text>
    </comment>
    <comment ref="AC79" authorId="0">
      <text>
        <r>
          <rPr>
            <b/>
            <sz val="8"/>
            <color indexed="81"/>
            <rFont val="Tahoma"/>
            <family val="2"/>
          </rPr>
          <t>Share repo price</t>
        </r>
      </text>
    </comment>
    <comment ref="AD79" authorId="0">
      <text>
        <r>
          <rPr>
            <b/>
            <sz val="8"/>
            <color indexed="81"/>
            <rFont val="Tahoma"/>
            <family val="2"/>
          </rPr>
          <t>Share repo price</t>
        </r>
      </text>
    </comment>
  </commentList>
</comments>
</file>

<file path=xl/comments9.xml><?xml version="1.0" encoding="utf-8"?>
<comments xmlns="http://schemas.openxmlformats.org/spreadsheetml/2006/main">
  <authors>
    <author>De Courreges, Edouard (Research)</author>
    <author>Baglione, Gregory  (Research)</author>
  </authors>
  <commentList>
    <comment ref="H30" authorId="0">
      <text>
        <r>
          <rPr>
            <b/>
            <sz val="9"/>
            <color indexed="81"/>
            <rFont val="Tahoma"/>
            <family val="2"/>
          </rPr>
          <t>De Courreges, Edouard (Research):</t>
        </r>
        <r>
          <rPr>
            <sz val="9"/>
            <color indexed="81"/>
            <rFont val="Tahoma"/>
            <family val="2"/>
          </rPr>
          <t xml:space="preserve">
8/2/17 BB</t>
        </r>
      </text>
    </comment>
    <comment ref="H31" authorId="0">
      <text>
        <r>
          <rPr>
            <b/>
            <sz val="9"/>
            <color indexed="81"/>
            <rFont val="Tahoma"/>
            <family val="2"/>
          </rPr>
          <t>De Courreges, Edouard (Research):</t>
        </r>
        <r>
          <rPr>
            <sz val="9"/>
            <color indexed="81"/>
            <rFont val="Tahoma"/>
            <family val="2"/>
          </rPr>
          <t xml:space="preserve">
Damodoran</t>
        </r>
      </text>
    </comment>
    <comment ref="H32" authorId="1">
      <text>
        <r>
          <rPr>
            <b/>
            <sz val="9"/>
            <color indexed="81"/>
            <rFont val="Tahoma"/>
            <family val="2"/>
          </rPr>
          <t>Baglione, Gregory  (Research):</t>
        </r>
        <r>
          <rPr>
            <sz val="9"/>
            <color indexed="81"/>
            <rFont val="Tahoma"/>
            <family val="2"/>
          </rPr>
          <t xml:space="preserve">
8/2/17 BB</t>
        </r>
      </text>
    </comment>
  </commentList>
</comments>
</file>

<file path=xl/comments10.xml><?xml version="1.0" encoding="utf-8"?>
<comments xmlns="http://schemas.openxmlformats.org/spreadsheetml/2006/main">
  <authors>
    <author>balskyh</author>
    <author>Duol</author>
    <author>casselau</author>
    <author>duol</author>
  </authors>
  <commentList>
    <comment ref="J17" authorId="0">
      <text>
        <r>
          <rPr>
            <b/>
            <sz val="8"/>
            <color indexed="81"/>
            <rFont val="Tahoma"/>
            <family val="2"/>
          </rPr>
          <t xml:space="preserve">Per IR: </t>
        </r>
        <r>
          <rPr>
            <sz val="8"/>
            <color indexed="81"/>
            <rFont val="Tahoma"/>
            <family val="2"/>
          </rPr>
          <t>1Q13 difference between book taxes (-$199M) and deferred taxes ($164M) was caused by pension and REIT differences, but the two numbers should be largely similar in future quarters (no need to model them differently)</t>
        </r>
        <r>
          <rPr>
            <b/>
            <sz val="8"/>
            <color indexed="81"/>
            <rFont val="Tahoma"/>
            <family val="2"/>
          </rPr>
          <t xml:space="preserve">
</t>
        </r>
      </text>
    </comment>
    <comment ref="F23" authorId="1">
      <text>
        <r>
          <rPr>
            <b/>
            <sz val="8"/>
            <color indexed="81"/>
            <rFont val="Tahoma"/>
            <family val="2"/>
          </rPr>
          <t>2Q12: Inv Writedown</t>
        </r>
        <r>
          <rPr>
            <sz val="8"/>
            <color indexed="81"/>
            <rFont val="Tahoma"/>
            <family val="2"/>
          </rPr>
          <t xml:space="preserve">
</t>
        </r>
      </text>
    </comment>
    <comment ref="K23" authorId="1">
      <text>
        <r>
          <rPr>
            <b/>
            <sz val="8"/>
            <color indexed="81"/>
            <rFont val="Tahoma"/>
            <family val="2"/>
          </rPr>
          <t>8/20/13:</t>
        </r>
        <r>
          <rPr>
            <sz val="8"/>
            <color indexed="81"/>
            <rFont val="Tahoma"/>
            <family val="2"/>
          </rPr>
          <t xml:space="preserve"> $114M loss on extinguishment of debt</t>
        </r>
        <r>
          <rPr>
            <sz val="8"/>
            <color indexed="81"/>
            <rFont val="Tahoma"/>
            <family val="2"/>
          </rPr>
          <t xml:space="preserve">
</t>
        </r>
      </text>
    </comment>
    <comment ref="R23" authorId="2">
      <text>
        <r>
          <rPr>
            <b/>
            <sz val="9"/>
            <color indexed="81"/>
            <rFont val="Tahoma"/>
            <family val="2"/>
          </rPr>
          <t>casselau:</t>
        </r>
        <r>
          <rPr>
            <sz val="9"/>
            <color indexed="81"/>
            <rFont val="Tahoma"/>
            <family val="2"/>
          </rPr>
          <t xml:space="preserve">
loss on extinguishment of debt</t>
        </r>
      </text>
    </comment>
    <comment ref="K28" authorId="0">
      <text>
        <r>
          <rPr>
            <b/>
            <sz val="8"/>
            <color indexed="81"/>
            <rFont val="Tahoma"/>
            <family val="2"/>
          </rPr>
          <t xml:space="preserve">5/16/13: </t>
        </r>
        <r>
          <rPr>
            <sz val="8"/>
            <color indexed="81"/>
            <rFont val="Tahoma"/>
            <family val="2"/>
          </rPr>
          <t xml:space="preserve"> unpaid/accrued capex of $335 in 1Q; ~90% of capex incurred in 1H13</t>
        </r>
      </text>
    </comment>
    <comment ref="L28" authorId="0">
      <text>
        <r>
          <rPr>
            <b/>
            <sz val="8"/>
            <color indexed="81"/>
            <rFont val="Tahoma"/>
            <family val="2"/>
          </rPr>
          <t xml:space="preserve">5/16/13: </t>
        </r>
        <r>
          <rPr>
            <sz val="8"/>
            <color indexed="81"/>
            <rFont val="Tahoma"/>
            <family val="2"/>
          </rPr>
          <t xml:space="preserve">  ~90% of capex incurred in 1H13
</t>
        </r>
        <r>
          <rPr>
            <b/>
            <sz val="8"/>
            <color indexed="81"/>
            <rFont val="Tahoma"/>
            <family val="2"/>
          </rPr>
          <t>8/20/13:</t>
        </r>
        <r>
          <rPr>
            <sz val="8"/>
            <color indexed="81"/>
            <rFont val="Tahoma"/>
            <family val="2"/>
          </rPr>
          <t xml:space="preserve"> Reaffirmed $1B CapEx for full year. "Excluding the home capital expenditures that will be paid in the third quarter, we expect our capital expenditures to return to much lower levels reflecting investments in Sephora inside JCPenney, information technology, and maintenance in our stores and distribution facilities."
</t>
        </r>
      </text>
    </comment>
    <comment ref="M28" authorId="0">
      <text>
        <r>
          <rPr>
            <b/>
            <sz val="8"/>
            <color indexed="81"/>
            <rFont val="Tahoma"/>
            <family val="2"/>
          </rPr>
          <t xml:space="preserve">5/16/13: </t>
        </r>
        <r>
          <rPr>
            <sz val="8"/>
            <color indexed="81"/>
            <rFont val="Tahoma"/>
            <family val="2"/>
          </rPr>
          <t xml:space="preserve">  ~90% of capex incurred in 1H13
</t>
        </r>
        <r>
          <rPr>
            <b/>
            <sz val="8"/>
            <color indexed="81"/>
            <rFont val="Tahoma"/>
            <family val="2"/>
          </rPr>
          <t>8/20/13:</t>
        </r>
        <r>
          <rPr>
            <sz val="8"/>
            <color indexed="81"/>
            <rFont val="Tahoma"/>
            <family val="2"/>
          </rPr>
          <t xml:space="preserve"> Reaffirmed $1B CapEx for full year. "Excluding the home capital expenditures that will be paid in the third quarter, we expect our capital expenditures to return to much lower levels reflecting investments in Sephora inside JCPenney, information technology, and maintenance in our stores and distribution facilities."
</t>
        </r>
        <r>
          <rPr>
            <b/>
            <sz val="8"/>
            <color indexed="81"/>
            <rFont val="Tahoma"/>
            <family val="2"/>
          </rPr>
          <t>11/20/13:</t>
        </r>
        <r>
          <rPr>
            <sz val="8"/>
            <color indexed="81"/>
            <rFont val="Tahoma"/>
            <family val="2"/>
          </rPr>
          <t xml:space="preserve"> expect 175M </t>
        </r>
      </text>
    </comment>
    <comment ref="S28" authorId="3">
      <text>
        <r>
          <rPr>
            <b/>
            <sz val="8"/>
            <color indexed="81"/>
            <rFont val="Tahoma"/>
            <family val="2"/>
          </rPr>
          <t>2/26/13:</t>
        </r>
        <r>
          <rPr>
            <sz val="8"/>
            <color indexed="81"/>
            <rFont val="Tahoma"/>
            <family val="2"/>
          </rPr>
          <t xml:space="preserve"> guidance $250M
</t>
        </r>
        <r>
          <rPr>
            <b/>
            <sz val="8"/>
            <color indexed="81"/>
            <rFont val="Tahoma"/>
            <family val="2"/>
          </rPr>
          <t xml:space="preserve">
11/20/13: </t>
        </r>
        <r>
          <rPr>
            <sz val="8"/>
            <color indexed="81"/>
            <rFont val="Tahoma"/>
            <family val="2"/>
          </rPr>
          <t xml:space="preserve">continue to expect $300M
</t>
        </r>
      </text>
    </comment>
    <comment ref="C29" authorId="1">
      <text>
        <r>
          <rPr>
            <b/>
            <sz val="8"/>
            <color indexed="81"/>
            <rFont val="Tahoma"/>
            <family val="2"/>
          </rPr>
          <t>proceeds from sale of op. assets</t>
        </r>
      </text>
    </comment>
    <comment ref="C39" authorId="1">
      <text>
        <r>
          <rPr>
            <b/>
            <sz val="8"/>
            <color indexed="81"/>
            <rFont val="Tahoma"/>
            <family val="2"/>
          </rPr>
          <t>Accred exp and other</t>
        </r>
      </text>
    </comment>
    <comment ref="J40" authorId="0">
      <text>
        <r>
          <rPr>
            <b/>
            <sz val="8"/>
            <color indexed="81"/>
            <rFont val="Tahoma"/>
            <family val="2"/>
          </rPr>
          <t xml:space="preserve">8/20/13 Trent Kruse call: </t>
        </r>
        <r>
          <rPr>
            <sz val="8"/>
            <color indexed="81"/>
            <rFont val="Tahoma"/>
            <family val="2"/>
          </rPr>
          <t>received $194M in '12.</t>
        </r>
        <r>
          <rPr>
            <b/>
            <sz val="8"/>
            <color indexed="81"/>
            <rFont val="Tahoma"/>
            <family val="2"/>
          </rPr>
          <t xml:space="preserve"> Exhausted.
Note: </t>
        </r>
        <r>
          <rPr>
            <sz val="8"/>
            <color indexed="81"/>
            <rFont val="Tahoma"/>
            <family val="2"/>
          </rPr>
          <t xml:space="preserve">Includes $90M received related to tax carryback benefit (of $284M outstanding as of 4Q12 end)
</t>
        </r>
      </text>
    </comment>
    <comment ref="L40" authorId="0">
      <text>
        <r>
          <rPr>
            <b/>
            <sz val="8"/>
            <color indexed="81"/>
            <rFont val="Tahoma"/>
            <family val="2"/>
          </rPr>
          <t xml:space="preserve">Note: </t>
        </r>
        <r>
          <rPr>
            <sz val="8"/>
            <color indexed="81"/>
            <rFont val="Tahoma"/>
            <family val="2"/>
          </rPr>
          <t>Assumes remaining $284M of carrybacks received in 3Q</t>
        </r>
      </text>
    </comment>
    <comment ref="C41" authorId="1">
      <text>
        <r>
          <rPr>
            <b/>
            <sz val="8"/>
            <color indexed="81"/>
            <rFont val="Tahoma"/>
            <family val="2"/>
          </rPr>
          <t>curr income tax payable + carryback benefit = current income taxes</t>
        </r>
      </text>
    </comment>
    <comment ref="J41" authorId="0">
      <text>
        <r>
          <rPr>
            <b/>
            <sz val="8"/>
            <color indexed="81"/>
            <rFont val="Tahoma"/>
            <family val="2"/>
          </rPr>
          <t xml:space="preserve">Note: </t>
        </r>
        <r>
          <rPr>
            <sz val="8"/>
            <color indexed="81"/>
            <rFont val="Tahoma"/>
            <family val="2"/>
          </rPr>
          <t>Line item in cash flow is $55M, including $90M received related to tax carryback benefit (of $284M outstanding as of 4Q12 end)</t>
        </r>
      </text>
    </comment>
    <comment ref="L49" authorId="0">
      <text>
        <r>
          <rPr>
            <b/>
            <sz val="8"/>
            <color indexed="81"/>
            <rFont val="Tahoma"/>
            <family val="2"/>
          </rPr>
          <t xml:space="preserve">Note: </t>
        </r>
        <r>
          <rPr>
            <sz val="8"/>
            <color indexed="81"/>
            <rFont val="Tahoma"/>
            <family val="2"/>
          </rPr>
          <t>JCP required to pay down -$5.625 of term loan per qtr starting 9/13</t>
        </r>
      </text>
    </comment>
    <comment ref="K50" authorId="0">
      <text>
        <r>
          <rPr>
            <b/>
            <sz val="8"/>
            <color indexed="81"/>
            <rFont val="Tahoma"/>
            <family val="2"/>
          </rPr>
          <t xml:space="preserve">5/28/2013 Note: </t>
        </r>
        <r>
          <rPr>
            <sz val="8"/>
            <color indexed="81"/>
            <rFont val="Tahoma"/>
            <family val="2"/>
          </rPr>
          <t>Issued $2.25Bn and repaid $242.7M of debt due 2023</t>
        </r>
      </text>
    </comment>
    <comment ref="K56" authorId="0">
      <text>
        <r>
          <rPr>
            <b/>
            <sz val="8"/>
            <color indexed="81"/>
            <rFont val="Tahoma"/>
            <family val="2"/>
          </rPr>
          <t xml:space="preserve">8/23/13: </t>
        </r>
        <r>
          <rPr>
            <sz val="8"/>
            <color indexed="81"/>
            <rFont val="Tahoma"/>
            <family val="2"/>
          </rPr>
          <t>premium on early retirement of LT debt ($110M)+payments of capital leases and note payable ($14M)+financing cost($4M)+other changes in share holders equity ($4M)</t>
        </r>
        <r>
          <rPr>
            <b/>
            <sz val="8"/>
            <color indexed="81"/>
            <rFont val="Tahoma"/>
            <family val="2"/>
          </rPr>
          <t xml:space="preserve">
5/23/2013: </t>
        </r>
        <r>
          <rPr>
            <sz val="8"/>
            <color indexed="81"/>
            <rFont val="Tahoma"/>
            <family val="2"/>
          </rPr>
          <t>Reflects tender premium for $242.780M 7.125% notes @ 145%</t>
        </r>
      </text>
    </comment>
    <comment ref="N62" authorId="1">
      <text>
        <r>
          <rPr>
            <b/>
            <sz val="8"/>
            <color indexed="81"/>
            <rFont val="Tahoma"/>
            <family val="2"/>
          </rPr>
          <t xml:space="preserve">8/20/13: </t>
        </r>
        <r>
          <rPr>
            <sz val="8"/>
            <color indexed="81"/>
            <rFont val="Tahoma"/>
            <family val="2"/>
          </rPr>
          <t xml:space="preserve">Year end target: $1.2B cash (+$300M credit = $1.5B liquidity)
</t>
        </r>
        <r>
          <rPr>
            <b/>
            <sz val="8"/>
            <color indexed="81"/>
            <rFont val="Tahoma"/>
            <family val="2"/>
          </rPr>
          <t xml:space="preserve">
9/27/13:</t>
        </r>
        <r>
          <rPr>
            <sz val="8"/>
            <color indexed="81"/>
            <rFont val="Tahoma"/>
            <family val="2"/>
          </rPr>
          <t xml:space="preserve"> Sec Filing: Now expect 1.3B year end liquidity + new equity offering (Implying $1B cash pre equity offering)
</t>
        </r>
        <r>
          <rPr>
            <b/>
            <sz val="8"/>
            <color indexed="81"/>
            <rFont val="Tahoma"/>
            <family val="2"/>
          </rPr>
          <t>11/20/13</t>
        </r>
        <r>
          <rPr>
            <sz val="8"/>
            <color indexed="81"/>
            <rFont val="Tahoma"/>
            <family val="2"/>
          </rPr>
          <t xml:space="preserve">: Year-end liquidity $2B+ ($500M credit available)
</t>
        </r>
        <r>
          <rPr>
            <b/>
            <sz val="8"/>
            <color indexed="81"/>
            <rFont val="Tahoma"/>
            <family val="2"/>
          </rPr>
          <t>2/4/14:</t>
        </r>
        <r>
          <rPr>
            <sz val="8"/>
            <color indexed="81"/>
            <rFont val="Tahoma"/>
            <family val="2"/>
          </rPr>
          <t xml:space="preserve"> Year-end liquidity $2B+ ($500M credit available)</t>
        </r>
      </text>
    </comment>
  </commentList>
</comments>
</file>

<file path=xl/comments11.xml><?xml version="1.0" encoding="utf-8"?>
<comments xmlns="http://schemas.openxmlformats.org/spreadsheetml/2006/main">
  <authors>
    <author>mmcclell</author>
    <author>balskyh</author>
    <author>Cassel, Lauren (Research)</author>
    <author>Baglione, Gregory  (Research)</author>
    <author>Duol</author>
    <author>duol</author>
    <author>De Courreges, Edouard (Research)</author>
  </authors>
  <commentList>
    <comment ref="AN10" authorId="0">
      <text>
        <r>
          <rPr>
            <b/>
            <sz val="8"/>
            <color indexed="81"/>
            <rFont val="Tahoma"/>
            <family val="2"/>
          </rPr>
          <t xml:space="preserve">Comment: 5/15/2008
</t>
        </r>
        <r>
          <rPr>
            <sz val="8"/>
            <color indexed="81"/>
            <rFont val="Tahoma"/>
            <family val="2"/>
          </rPr>
          <t xml:space="preserve">Inventories were up 2.1% on a comp store basis </t>
        </r>
        <r>
          <rPr>
            <sz val="8"/>
            <color indexed="81"/>
            <rFont val="Tahoma"/>
            <family val="2"/>
          </rPr>
          <t xml:space="preserve">
</t>
        </r>
      </text>
    </comment>
    <comment ref="BI10" authorId="1">
      <text>
        <r>
          <rPr>
            <b/>
            <sz val="8"/>
            <color indexed="81"/>
            <rFont val="Tahoma"/>
            <family val="2"/>
          </rPr>
          <t xml:space="preserve">3/12/2013: </t>
        </r>
        <r>
          <rPr>
            <sz val="8"/>
            <color indexed="81"/>
            <rFont val="Tahoma"/>
            <family val="2"/>
          </rPr>
          <t xml:space="preserve">per IR: Likely to see a sequential increase in Q1 inv vs. Q4 2012 due to the Home launch. Q2 will be relatively flat with Q1, but somewhat hard to know with the new product coming on.
</t>
        </r>
      </text>
    </comment>
    <comment ref="BM10" authorId="1">
      <text>
        <r>
          <rPr>
            <b/>
            <sz val="8"/>
            <color indexed="81"/>
            <rFont val="Tahoma"/>
            <family val="2"/>
          </rPr>
          <t xml:space="preserve">3/12/2013: </t>
        </r>
        <r>
          <rPr>
            <sz val="8"/>
            <color indexed="81"/>
            <rFont val="Tahoma"/>
            <family val="2"/>
          </rPr>
          <t xml:space="preserve">per IR: Likely to see a sequential increase in Q1 inv vs. Q4 2012 due to the Home launch. Q2 will be relatively flat with Q1, but somewhat hard to know with the new product coming on.
</t>
        </r>
      </text>
    </comment>
    <comment ref="BY10" authorId="2">
      <text>
        <r>
          <rPr>
            <b/>
            <sz val="9"/>
            <color indexed="81"/>
            <rFont val="Tahoma"/>
            <family val="2"/>
          </rPr>
          <t>Cassel, Lauren (Research):</t>
        </r>
        <r>
          <rPr>
            <sz val="9"/>
            <color indexed="81"/>
            <rFont val="Tahoma"/>
            <family val="2"/>
          </rPr>
          <t xml:space="preserve">
5/12/17: Approximately 300 basis points of the increase was driven by floor samples for appliance showrooms and higher inventory levels to support the Company's continued investment in new Sephora shops.  </t>
        </r>
      </text>
    </comment>
    <comment ref="BP11" authorId="3">
      <text>
        <r>
          <rPr>
            <b/>
            <sz val="9"/>
            <color indexed="81"/>
            <rFont val="Tahoma"/>
            <family val="2"/>
          </rPr>
          <t>Baglione, Gregory  (Research):
8/14/15
Inventory up 5.5%, 1) back to school tax free events, 2) company also felt they were too lean last year.</t>
        </r>
      </text>
    </comment>
    <comment ref="AZ12" authorId="1">
      <text>
        <r>
          <rPr>
            <b/>
            <sz val="8"/>
            <color indexed="81"/>
            <rFont val="Tahoma"/>
            <family val="2"/>
          </rPr>
          <t xml:space="preserve">Comment 10/6/11:
</t>
        </r>
        <r>
          <rPr>
            <sz val="8"/>
            <color indexed="81"/>
            <rFont val="Tahoma"/>
            <family val="2"/>
          </rPr>
          <t>Need to work through inventory in Oct due to weakness in Sept.</t>
        </r>
      </text>
    </comment>
    <comment ref="BI12" authorId="4">
      <text>
        <r>
          <rPr>
            <b/>
            <sz val="8"/>
            <color indexed="81"/>
            <rFont val="Tahoma"/>
            <family val="2"/>
          </rPr>
          <t xml:space="preserve">8/20/13: </t>
        </r>
        <r>
          <rPr>
            <sz val="8"/>
            <color indexed="81"/>
            <rFont val="Tahoma"/>
            <family val="2"/>
          </rPr>
          <t>expect to see that go up a little bit in Q3 and then that would reverse back in Q4. Overall yr end inv down from end of Q2</t>
        </r>
      </text>
    </comment>
    <comment ref="AJ13" authorId="0">
      <text>
        <r>
          <rPr>
            <b/>
            <sz val="8"/>
            <color indexed="81"/>
            <rFont val="Tahoma"/>
            <family val="2"/>
          </rPr>
          <t xml:space="preserve">Comment: 2/21/2008
</t>
        </r>
        <r>
          <rPr>
            <sz val="8"/>
            <color indexed="81"/>
            <rFont val="Tahoma"/>
            <family val="2"/>
          </rPr>
          <t>Inventories were up 2% on a comp store basis (this includes AL + Sephora merchandise)</t>
        </r>
        <r>
          <rPr>
            <sz val="8"/>
            <color indexed="81"/>
            <rFont val="Tahoma"/>
            <family val="2"/>
          </rPr>
          <t xml:space="preserve">
</t>
        </r>
      </text>
    </comment>
    <comment ref="AZ13" authorId="1">
      <text>
        <r>
          <rPr>
            <b/>
            <sz val="8"/>
            <color indexed="81"/>
            <rFont val="Tahoma"/>
            <family val="2"/>
          </rPr>
          <t xml:space="preserve">Comment 1/5/12
</t>
        </r>
        <r>
          <rPr>
            <sz val="8"/>
            <color indexed="81"/>
            <rFont val="Tahoma"/>
            <family val="2"/>
          </rPr>
          <t xml:space="preserve">Inventory "very lean" at end of Dec
</t>
        </r>
        <r>
          <rPr>
            <b/>
            <sz val="8"/>
            <color indexed="81"/>
            <rFont val="Tahoma"/>
            <family val="2"/>
          </rPr>
          <t xml:space="preserve">
Comment 12/1/11
</t>
        </r>
        <r>
          <rPr>
            <sz val="8"/>
            <color indexed="81"/>
            <rFont val="Tahoma"/>
            <family val="2"/>
          </rPr>
          <t xml:space="preserve">Inventory up in some areas as of m/e Nov
</t>
        </r>
        <r>
          <rPr>
            <b/>
            <sz val="8"/>
            <color indexed="81"/>
            <rFont val="Tahoma"/>
            <family val="2"/>
          </rPr>
          <t xml:space="preserve">
Comment 11/14/11
</t>
        </r>
        <r>
          <rPr>
            <sz val="8"/>
            <color indexed="81"/>
            <rFont val="Tahoma"/>
            <family val="2"/>
          </rPr>
          <t>4Q purchases trending better than fall in terms of price, but still up y/y</t>
        </r>
      </text>
    </comment>
    <comment ref="BH13" authorId="5">
      <text>
        <r>
          <rPr>
            <b/>
            <sz val="8"/>
            <color indexed="81"/>
            <rFont val="Tahoma"/>
            <family val="2"/>
          </rPr>
          <t>11/20/13: expect 2.85B year end inventory</t>
        </r>
        <r>
          <rPr>
            <sz val="8"/>
            <color indexed="81"/>
            <rFont val="Tahoma"/>
            <family val="2"/>
          </rPr>
          <t xml:space="preserve">
</t>
        </r>
      </text>
    </comment>
    <comment ref="BU13" authorId="2">
      <text>
        <r>
          <rPr>
            <b/>
            <sz val="9"/>
            <color indexed="81"/>
            <rFont val="Tahoma"/>
            <family val="2"/>
          </rPr>
          <t>Cassel, Lauren (Research):</t>
        </r>
        <r>
          <rPr>
            <sz val="9"/>
            <color indexed="81"/>
            <rFont val="Tahoma"/>
            <family val="2"/>
          </rPr>
          <t xml:space="preserve">
2/23/17: 370 bps of the increase was driven by floor samples for appliance showrooms and ihgher inventory levels to support the company's continued investment in new Sephora shops; other basic replenishment inventory accounted for an additional 260 bps of the increase in inventory; these increases were partially offset by decreases in fashion and seasonal apparel and other inventory levels</t>
        </r>
      </text>
    </comment>
    <comment ref="BY13" authorId="2">
      <text>
        <r>
          <rPr>
            <b/>
            <sz val="9"/>
            <color indexed="81"/>
            <rFont val="Tahoma"/>
            <family val="2"/>
          </rPr>
          <t>Cassel, Lauren (Research):</t>
        </r>
        <r>
          <rPr>
            <sz val="9"/>
            <color indexed="81"/>
            <rFont val="Tahoma"/>
            <family val="2"/>
          </rPr>
          <t xml:space="preserve">
2/24/17: expect to be -5% or more</t>
        </r>
      </text>
    </comment>
    <comment ref="BX16" authorId="2">
      <text>
        <r>
          <rPr>
            <b/>
            <sz val="9"/>
            <color indexed="81"/>
            <rFont val="Tahoma"/>
            <family val="2"/>
          </rPr>
          <t>Cassel, Lauren (Research):</t>
        </r>
        <r>
          <rPr>
            <sz val="9"/>
            <color indexed="81"/>
            <rFont val="Tahoma"/>
            <family val="2"/>
          </rPr>
          <t xml:space="preserve">
excludes deferred tax assets y/y (was not in press release)</t>
        </r>
      </text>
    </comment>
    <comment ref="CB16" authorId="2">
      <text>
        <r>
          <rPr>
            <b/>
            <sz val="9"/>
            <color indexed="81"/>
            <rFont val="Tahoma"/>
            <family val="2"/>
          </rPr>
          <t>Cassel, Lauren (Research):</t>
        </r>
        <r>
          <rPr>
            <sz val="9"/>
            <color indexed="81"/>
            <rFont val="Tahoma"/>
            <family val="2"/>
          </rPr>
          <t xml:space="preserve">
excludes deferred tax assets y/y (was not in press release)</t>
        </r>
      </text>
    </comment>
    <comment ref="BX30" authorId="6">
      <text>
        <r>
          <rPr>
            <b/>
            <sz val="9"/>
            <color indexed="81"/>
            <rFont val="Tahoma"/>
            <family val="2"/>
          </rPr>
          <t>De Courreges, Edouard (Research):</t>
        </r>
        <r>
          <rPr>
            <sz val="9"/>
            <color indexed="81"/>
            <rFont val="Tahoma"/>
            <family val="2"/>
          </rPr>
          <t xml:space="preserve">
reduction was primarily due to
timing and reduced receipts in the third quarter as we continue to effectively manage our overall inventory position</t>
        </r>
      </text>
    </comment>
  </commentList>
</comments>
</file>

<file path=xl/comments12.xml><?xml version="1.0" encoding="utf-8"?>
<comments xmlns="http://schemas.openxmlformats.org/spreadsheetml/2006/main">
  <authors>
    <author>mmcclell</author>
    <author>Denise Frazer</author>
    <author>Baglione, Gregory  (Research)</author>
    <author>cuomochr</author>
    <author>DL</author>
    <author>casselau</author>
    <author>balskyh</author>
    <author>gfowlkes</author>
    <author>A satisfied Microsoft Office user</author>
    <author>De Courreges, Edouard (Research)</author>
    <author>Cassel, Lauren (Research)</author>
    <author>Mains, Spencer (Research)</author>
    <author>leechi</author>
    <author>afloam</author>
  </authors>
  <commentList>
    <comment ref="S8" authorId="0">
      <text>
        <r>
          <rPr>
            <b/>
            <sz val="8"/>
            <color indexed="81"/>
            <rFont val="Tahoma"/>
            <family val="2"/>
          </rPr>
          <t xml:space="preserve">Guidance: 4/18/07
</t>
        </r>
        <r>
          <rPr>
            <sz val="8"/>
            <color indexed="81"/>
            <rFont val="Tahoma"/>
            <family val="2"/>
          </rPr>
          <t>$7.1bn from 08-11</t>
        </r>
      </text>
    </comment>
    <comment ref="T8" authorId="0">
      <text>
        <r>
          <rPr>
            <b/>
            <sz val="8"/>
            <color indexed="81"/>
            <rFont val="Tahoma"/>
            <family val="2"/>
          </rPr>
          <t xml:space="preserve">Guidance: 4/18/07
</t>
        </r>
        <r>
          <rPr>
            <sz val="8"/>
            <color indexed="81"/>
            <rFont val="Tahoma"/>
            <family val="2"/>
          </rPr>
          <t>$7.1bn from 08-11</t>
        </r>
      </text>
    </comment>
    <comment ref="U8" authorId="0">
      <text>
        <r>
          <rPr>
            <b/>
            <sz val="8"/>
            <color indexed="81"/>
            <rFont val="Tahoma"/>
            <family val="2"/>
          </rPr>
          <t xml:space="preserve">Guidance: 4/18/07
</t>
        </r>
        <r>
          <rPr>
            <sz val="8"/>
            <color indexed="81"/>
            <rFont val="Tahoma"/>
            <family val="2"/>
          </rPr>
          <t>$7.1bn from 08-11</t>
        </r>
      </text>
    </comment>
    <comment ref="V8" authorId="0">
      <text>
        <r>
          <rPr>
            <b/>
            <sz val="8"/>
            <color indexed="81"/>
            <rFont val="Tahoma"/>
            <family val="2"/>
          </rPr>
          <t xml:space="preserve">Guidance: 4/18/07
</t>
        </r>
        <r>
          <rPr>
            <sz val="8"/>
            <color indexed="81"/>
            <rFont val="Tahoma"/>
            <family val="2"/>
          </rPr>
          <t>$7.1bn from 08-11</t>
        </r>
      </text>
    </comment>
    <comment ref="W8" authorId="0">
      <text>
        <r>
          <rPr>
            <b/>
            <sz val="8"/>
            <color indexed="81"/>
            <rFont val="Tahoma"/>
            <family val="2"/>
          </rPr>
          <t xml:space="preserve">Guidance: 4/18/07
</t>
        </r>
        <r>
          <rPr>
            <sz val="8"/>
            <color indexed="81"/>
            <rFont val="Tahoma"/>
            <family val="2"/>
          </rPr>
          <t>$7.1bn from 08-11</t>
        </r>
      </text>
    </comment>
    <comment ref="X8" authorId="0">
      <text>
        <r>
          <rPr>
            <b/>
            <sz val="8"/>
            <color indexed="81"/>
            <rFont val="Tahoma"/>
            <family val="2"/>
          </rPr>
          <t xml:space="preserve">Guidance: 4/18/07
</t>
        </r>
        <r>
          <rPr>
            <sz val="8"/>
            <color indexed="81"/>
            <rFont val="Tahoma"/>
            <family val="2"/>
          </rPr>
          <t>$7.1bn from 08-11</t>
        </r>
      </text>
    </comment>
    <comment ref="Y8" authorId="0">
      <text>
        <r>
          <rPr>
            <b/>
            <sz val="8"/>
            <color indexed="81"/>
            <rFont val="Tahoma"/>
            <family val="2"/>
          </rPr>
          <t xml:space="preserve">Guidance: 4/18/07
</t>
        </r>
        <r>
          <rPr>
            <sz val="8"/>
            <color indexed="81"/>
            <rFont val="Tahoma"/>
            <family val="2"/>
          </rPr>
          <t>$7.1bn from 08-11</t>
        </r>
      </text>
    </comment>
    <comment ref="Z8" authorId="0">
      <text>
        <r>
          <rPr>
            <b/>
            <sz val="8"/>
            <color indexed="81"/>
            <rFont val="Tahoma"/>
            <family val="2"/>
          </rPr>
          <t xml:space="preserve">Guidance: 4/18/07
</t>
        </r>
        <r>
          <rPr>
            <sz val="8"/>
            <color indexed="81"/>
            <rFont val="Tahoma"/>
            <family val="2"/>
          </rPr>
          <t>$7.1bn from 08-11</t>
        </r>
      </text>
    </comment>
    <comment ref="AA8" authorId="0">
      <text>
        <r>
          <rPr>
            <b/>
            <sz val="8"/>
            <color indexed="81"/>
            <rFont val="Tahoma"/>
            <family val="2"/>
          </rPr>
          <t xml:space="preserve">Guidance: 4/18/07
</t>
        </r>
        <r>
          <rPr>
            <sz val="8"/>
            <color indexed="81"/>
            <rFont val="Tahoma"/>
            <family val="2"/>
          </rPr>
          <t>$7.1bn from 08-11</t>
        </r>
      </text>
    </comment>
    <comment ref="AB8" authorId="0">
      <text>
        <r>
          <rPr>
            <b/>
            <sz val="8"/>
            <color indexed="81"/>
            <rFont val="Tahoma"/>
            <family val="2"/>
          </rPr>
          <t xml:space="preserve">Guidance: 4/18/07
</t>
        </r>
        <r>
          <rPr>
            <sz val="8"/>
            <color indexed="81"/>
            <rFont val="Tahoma"/>
            <family val="2"/>
          </rPr>
          <t>$7.1bn from 08-11</t>
        </r>
      </text>
    </comment>
    <comment ref="AC8" authorId="0">
      <text>
        <r>
          <rPr>
            <b/>
            <sz val="8"/>
            <color indexed="81"/>
            <rFont val="Tahoma"/>
            <family val="2"/>
          </rPr>
          <t xml:space="preserve">Guidance: 4/18/07
</t>
        </r>
        <r>
          <rPr>
            <sz val="8"/>
            <color indexed="81"/>
            <rFont val="Tahoma"/>
            <family val="2"/>
          </rPr>
          <t>$7.1bn from 08-11</t>
        </r>
      </text>
    </comment>
    <comment ref="U10" authorId="1">
      <text>
        <r>
          <rPr>
            <b/>
            <sz val="8"/>
            <color indexed="81"/>
            <rFont val="Tahoma"/>
            <family val="2"/>
          </rPr>
          <t>Denise Frazer:</t>
        </r>
        <r>
          <rPr>
            <sz val="8"/>
            <color indexed="81"/>
            <rFont val="Tahoma"/>
            <family val="2"/>
          </rPr>
          <t xml:space="preserve">
Catalog restructuring</t>
        </r>
      </text>
    </comment>
    <comment ref="AG10" authorId="2">
      <text>
        <r>
          <rPr>
            <b/>
            <sz val="9"/>
            <color indexed="81"/>
            <rFont val="Tahoma"/>
            <family val="2"/>
          </rPr>
          <t>Baglione, Gregory  (Research):</t>
        </r>
        <r>
          <rPr>
            <sz val="9"/>
            <color indexed="81"/>
            <rFont val="Tahoma"/>
            <family val="2"/>
          </rPr>
          <t xml:space="preserve">
$50M litigation
pension charge TBD in December</t>
        </r>
      </text>
    </comment>
    <comment ref="Z11" authorId="0">
      <text>
        <r>
          <rPr>
            <b/>
            <sz val="8"/>
            <color indexed="81"/>
            <rFont val="Tahoma"/>
            <family val="2"/>
          </rPr>
          <t xml:space="preserve">Guidance: 4/18/07
</t>
        </r>
        <r>
          <rPr>
            <sz val="8"/>
            <color indexed="81"/>
            <rFont val="Tahoma"/>
            <family val="2"/>
          </rPr>
          <t>$7.1bn from 08-11</t>
        </r>
      </text>
    </comment>
    <comment ref="AB11" authorId="3">
      <text>
        <r>
          <rPr>
            <b/>
            <sz val="8"/>
            <color indexed="81"/>
            <rFont val="Tahoma"/>
            <family val="2"/>
          </rPr>
          <t xml:space="preserve">Guidance 11/12/10:
</t>
        </r>
        <r>
          <rPr>
            <sz val="8"/>
            <color indexed="81"/>
            <rFont val="Tahoma"/>
            <family val="2"/>
          </rPr>
          <t xml:space="preserve">4Q guidance of $141M plus 9 months of $379M equates to $520M for FY
</t>
        </r>
        <r>
          <rPr>
            <b/>
            <sz val="8"/>
            <color indexed="81"/>
            <rFont val="Tahoma"/>
            <family val="2"/>
          </rPr>
          <t xml:space="preserve">
Guidance 2/19/10:
</t>
        </r>
        <r>
          <rPr>
            <sz val="8"/>
            <color indexed="81"/>
            <rFont val="Tahoma"/>
            <family val="2"/>
          </rPr>
          <t>~$515mn</t>
        </r>
        <r>
          <rPr>
            <sz val="8"/>
            <color indexed="81"/>
            <rFont val="Tahoma"/>
            <family val="2"/>
          </rPr>
          <t xml:space="preserve">
</t>
        </r>
      </text>
    </comment>
    <comment ref="AC11" authorId="3">
      <text>
        <r>
          <rPr>
            <b/>
            <sz val="8"/>
            <color indexed="81"/>
            <rFont val="Tahoma"/>
            <family val="2"/>
          </rPr>
          <t xml:space="preserve">Guidance 2/25/11:
</t>
        </r>
        <r>
          <rPr>
            <sz val="8"/>
            <color indexed="81"/>
            <rFont val="Tahoma"/>
            <family val="2"/>
          </rPr>
          <t>Modestly higher y/y</t>
        </r>
        <r>
          <rPr>
            <sz val="8"/>
            <color indexed="81"/>
            <rFont val="Tahoma"/>
            <family val="2"/>
          </rPr>
          <t xml:space="preserve">
</t>
        </r>
      </text>
    </comment>
    <comment ref="AF11" authorId="4">
      <text>
        <r>
          <rPr>
            <b/>
            <sz val="9"/>
            <color indexed="81"/>
            <rFont val="Tahoma"/>
            <family val="2"/>
          </rPr>
          <t xml:space="preserve">11/12/14: </t>
        </r>
        <r>
          <rPr>
            <sz val="9"/>
            <color indexed="81"/>
            <rFont val="Tahoma"/>
            <family val="2"/>
          </rPr>
          <t xml:space="preserve">guidance $640M
</t>
        </r>
      </text>
    </comment>
    <comment ref="AG11" authorId="5">
      <text>
        <r>
          <rPr>
            <b/>
            <sz val="9"/>
            <color indexed="81"/>
            <rFont val="Tahoma"/>
            <family val="2"/>
          </rPr>
          <t>casselau:</t>
        </r>
        <r>
          <rPr>
            <sz val="9"/>
            <color indexed="81"/>
            <rFont val="Tahoma"/>
            <family val="2"/>
          </rPr>
          <t xml:space="preserve">
2/26/15: guidance $615M</t>
        </r>
      </text>
    </comment>
    <comment ref="AB14" authorId="3">
      <text>
        <r>
          <rPr>
            <b/>
            <sz val="8"/>
            <color indexed="81"/>
            <rFont val="Tahoma"/>
            <family val="2"/>
          </rPr>
          <t xml:space="preserve">Comment 5/25/10:
</t>
        </r>
        <r>
          <rPr>
            <sz val="8"/>
            <color indexed="81"/>
            <rFont val="Tahoma"/>
            <family val="2"/>
          </rPr>
          <t>1) Company uses net proceeds of $392M re 2Q debt issuance to fund pension plan
2) IR confirms that this amount should be only amount for the year (6/3/10)</t>
        </r>
        <r>
          <rPr>
            <sz val="8"/>
            <color indexed="81"/>
            <rFont val="Tahoma"/>
            <family val="2"/>
          </rPr>
          <t xml:space="preserve">
</t>
        </r>
      </text>
    </comment>
    <comment ref="M18" authorId="6">
      <text>
        <r>
          <rPr>
            <sz val="8"/>
            <color indexed="81"/>
            <rFont val="Tahoma"/>
            <family val="2"/>
          </rPr>
          <t>Guidance</t>
        </r>
      </text>
    </comment>
    <comment ref="G20" authorId="7">
      <text>
        <r>
          <rPr>
            <b/>
            <sz val="8"/>
            <color indexed="81"/>
            <rFont val="Tahoma"/>
            <family val="2"/>
          </rPr>
          <t>gfowlkes:</t>
        </r>
        <r>
          <rPr>
            <sz val="8"/>
            <color indexed="81"/>
            <rFont val="Tahoma"/>
            <family val="2"/>
          </rPr>
          <t xml:space="preserve">
deferred taxes from discontinued ops</t>
        </r>
      </text>
    </comment>
    <comment ref="Q24" authorId="7">
      <text>
        <r>
          <rPr>
            <b/>
            <sz val="8"/>
            <color indexed="81"/>
            <rFont val="Tahoma"/>
            <family val="2"/>
          </rPr>
          <t>gfowlkes:</t>
        </r>
        <r>
          <rPr>
            <sz val="8"/>
            <color indexed="81"/>
            <rFont val="Tahoma"/>
            <family val="2"/>
          </rPr>
          <t xml:space="preserve">
Sale of discontinued ops</t>
        </r>
      </text>
    </comment>
    <comment ref="S24" authorId="7">
      <text>
        <r>
          <rPr>
            <b/>
            <sz val="8"/>
            <color indexed="81"/>
            <rFont val="Tahoma"/>
            <family val="2"/>
          </rPr>
          <t>gfowlkes:</t>
        </r>
        <r>
          <rPr>
            <sz val="8"/>
            <color indexed="81"/>
            <rFont val="Tahoma"/>
            <family val="2"/>
          </rPr>
          <t xml:space="preserve">
Sale of discontinued ops</t>
        </r>
      </text>
    </comment>
    <comment ref="N29" authorId="8">
      <text>
        <r>
          <rPr>
            <sz val="8"/>
            <color indexed="81"/>
            <rFont val="Tahoma"/>
            <family val="2"/>
          </rPr>
          <t>$500m on stores/catalog, $300m on drugstores</t>
        </r>
      </text>
    </comment>
    <comment ref="V29" authorId="7">
      <text>
        <r>
          <rPr>
            <b/>
            <sz val="8"/>
            <color indexed="81"/>
            <rFont val="Tahoma"/>
            <family val="2"/>
          </rPr>
          <t>gfowlkes:</t>
        </r>
        <r>
          <rPr>
            <sz val="8"/>
            <color indexed="81"/>
            <rFont val="Tahoma"/>
            <family val="2"/>
          </rPr>
          <t xml:space="preserve">
about $150 m maintenance</t>
        </r>
      </text>
    </comment>
    <comment ref="W29" authorId="7">
      <text>
        <r>
          <rPr>
            <sz val="8"/>
            <color indexed="81"/>
            <rFont val="Tahoma"/>
            <family val="2"/>
          </rPr>
          <t>$270 new stores
$200 existing stores
$170 tech
$60 other</t>
        </r>
      </text>
    </comment>
    <comment ref="X29" authorId="0">
      <text>
        <r>
          <rPr>
            <sz val="8"/>
            <color indexed="81"/>
            <rFont val="Tahoma"/>
            <family val="2"/>
          </rPr>
          <t>New stores = $365M
Existing stores = $266M
Technology = $110M
Other = $31M
Total = $772M</t>
        </r>
      </text>
    </comment>
    <comment ref="Y29" authorId="0">
      <text>
        <r>
          <rPr>
            <b/>
            <sz val="8"/>
            <color indexed="81"/>
            <rFont val="Tahoma"/>
            <family val="2"/>
          </rPr>
          <t xml:space="preserve">Guidance: 4/18/07
</t>
        </r>
        <r>
          <rPr>
            <sz val="8"/>
            <color indexed="81"/>
            <rFont val="Tahoma"/>
            <family val="2"/>
          </rPr>
          <t>$1.2Bn:
New stores = $650M
Existing stores = $375M
Technology = $75M
Other = $100M</t>
        </r>
        <r>
          <rPr>
            <sz val="8"/>
            <color indexed="81"/>
            <rFont val="Tahoma"/>
            <family val="2"/>
          </rPr>
          <t xml:space="preserve">
</t>
        </r>
      </text>
    </comment>
    <comment ref="Z29" authorId="0">
      <text>
        <r>
          <rPr>
            <b/>
            <sz val="8"/>
            <color indexed="81"/>
            <rFont val="Tahoma"/>
            <family val="2"/>
          </rPr>
          <t>Guidance: 11/14/2008:</t>
        </r>
        <r>
          <rPr>
            <sz val="8"/>
            <color indexed="81"/>
            <rFont val="Tahoma"/>
            <family val="2"/>
          </rPr>
          <t xml:space="preserve"> continue to expect $1BN</t>
        </r>
        <r>
          <rPr>
            <b/>
            <sz val="8"/>
            <color indexed="81"/>
            <rFont val="Tahoma"/>
            <family val="2"/>
          </rPr>
          <t xml:space="preserve">
Guidance: 5/15/2008 </t>
        </r>
        <r>
          <rPr>
            <sz val="8"/>
            <color indexed="81"/>
            <rFont val="Tahoma"/>
            <family val="2"/>
          </rPr>
          <t>continue to expect $1Bn in Capex</t>
        </r>
        <r>
          <rPr>
            <b/>
            <sz val="8"/>
            <color indexed="81"/>
            <rFont val="Tahoma"/>
            <family val="2"/>
          </rPr>
          <t xml:space="preserve">
Guidance: 4/16/2008
$1Bn:
</t>
        </r>
        <r>
          <rPr>
            <sz val="8"/>
            <color indexed="81"/>
            <rFont val="Tahoma"/>
            <family val="2"/>
          </rPr>
          <t>$525M new and relocated stores (vs $687M last year)
$300M store renewals and updates (vs $389M last year)
$175M tech &amp; other (vs $167M last year)</t>
        </r>
        <r>
          <rPr>
            <b/>
            <sz val="8"/>
            <color indexed="81"/>
            <rFont val="Tahoma"/>
            <family val="2"/>
          </rPr>
          <t xml:space="preserve">
</t>
        </r>
        <r>
          <rPr>
            <sz val="8"/>
            <color indexed="81"/>
            <rFont val="Tahoma"/>
            <family val="2"/>
          </rPr>
          <t>Guidance: 2/21/08</t>
        </r>
        <r>
          <rPr>
            <b/>
            <sz val="8"/>
            <color indexed="81"/>
            <rFont val="Tahoma"/>
            <family val="2"/>
          </rPr>
          <t xml:space="preserve">
</t>
        </r>
        <r>
          <rPr>
            <sz val="8"/>
            <color indexed="81"/>
            <rFont val="Tahoma"/>
            <family val="2"/>
          </rPr>
          <t>$1.0Bn, principally in support of new store growth and renovations of existing stores</t>
        </r>
        <r>
          <rPr>
            <sz val="8"/>
            <color indexed="81"/>
            <rFont val="Tahoma"/>
            <family val="2"/>
          </rPr>
          <t xml:space="preserve">
</t>
        </r>
      </text>
    </comment>
    <comment ref="AA29" authorId="0">
      <text>
        <r>
          <rPr>
            <b/>
            <sz val="8"/>
            <color indexed="81"/>
            <rFont val="Tahoma"/>
            <family val="2"/>
          </rPr>
          <t xml:space="preserve">Guidance: 11/13/09
</t>
        </r>
        <r>
          <rPr>
            <sz val="8"/>
            <color indexed="81"/>
            <rFont val="Tahoma"/>
            <family val="2"/>
          </rPr>
          <t>reiterate $600M</t>
        </r>
        <r>
          <rPr>
            <b/>
            <sz val="8"/>
            <color indexed="81"/>
            <rFont val="Tahoma"/>
            <family val="2"/>
          </rPr>
          <t xml:space="preserve">
Guidance: 2/5/09
</t>
        </r>
        <r>
          <rPr>
            <sz val="8"/>
            <color indexed="81"/>
            <rFont val="Tahoma"/>
            <family val="2"/>
          </rPr>
          <t>reiterate $600M</t>
        </r>
        <r>
          <rPr>
            <b/>
            <sz val="8"/>
            <color indexed="81"/>
            <rFont val="Tahoma"/>
            <family val="2"/>
          </rPr>
          <t xml:space="preserve">
Guidance: 11/14/08
</t>
        </r>
        <r>
          <rPr>
            <sz val="8"/>
            <color indexed="81"/>
            <rFont val="Tahoma"/>
            <family val="2"/>
          </rPr>
          <t>~$600mm</t>
        </r>
        <r>
          <rPr>
            <b/>
            <sz val="8"/>
            <color indexed="81"/>
            <rFont val="Tahoma"/>
            <family val="2"/>
          </rPr>
          <t xml:space="preserve">
Guidance: 6/25/2008
</t>
        </r>
        <r>
          <rPr>
            <sz val="8"/>
            <color indexed="81"/>
            <rFont val="Tahoma"/>
            <family val="2"/>
          </rPr>
          <t>~$650M</t>
        </r>
        <r>
          <rPr>
            <b/>
            <sz val="8"/>
            <color indexed="81"/>
            <rFont val="Tahoma"/>
            <family val="2"/>
          </rPr>
          <t xml:space="preserve">
Guidance: 4/16/2008
</t>
        </r>
        <r>
          <rPr>
            <sz val="8"/>
            <color indexed="81"/>
            <rFont val="Tahoma"/>
            <family val="2"/>
          </rPr>
          <t>According to CEO Mike Ullman, FY09 capex should be equal to or below FY08 levels.</t>
        </r>
        <r>
          <rPr>
            <b/>
            <sz val="8"/>
            <color indexed="81"/>
            <rFont val="Tahoma"/>
            <family val="2"/>
          </rPr>
          <t xml:space="preserve">
Note: </t>
        </r>
        <r>
          <rPr>
            <sz val="8"/>
            <color indexed="81"/>
            <rFont val="Tahoma"/>
            <family val="2"/>
          </rPr>
          <t>We assume JCP opens 10 fewer stores in 2009.</t>
        </r>
        <r>
          <rPr>
            <b/>
            <sz val="8"/>
            <color indexed="81"/>
            <rFont val="Tahoma"/>
            <family val="2"/>
          </rPr>
          <t xml:space="preserve">
Guidance: 4/18/07
</t>
        </r>
        <r>
          <rPr>
            <sz val="8"/>
            <color indexed="81"/>
            <rFont val="Tahoma"/>
            <family val="2"/>
          </rPr>
          <t>$1.275Bn:
New stores = $700M
Existing stores = $375M
Technology = $100M
Other = $100M</t>
        </r>
      </text>
    </comment>
    <comment ref="AB29" authorId="0">
      <text>
        <r>
          <rPr>
            <b/>
            <sz val="8"/>
            <color indexed="81"/>
            <rFont val="Tahoma"/>
            <family val="2"/>
          </rPr>
          <t xml:space="preserve">Guidance: 11/12/2010
</t>
        </r>
        <r>
          <rPr>
            <sz val="8"/>
            <color indexed="81"/>
            <rFont val="Tahoma"/>
            <family val="2"/>
          </rPr>
          <t>Remains ~$500mn</t>
        </r>
        <r>
          <rPr>
            <b/>
            <sz val="8"/>
            <color indexed="81"/>
            <rFont val="Tahoma"/>
            <family val="2"/>
          </rPr>
          <t xml:space="preserve">
Guidance: 5/14/2010
</t>
        </r>
        <r>
          <rPr>
            <sz val="8"/>
            <color indexed="81"/>
            <rFont val="Tahoma"/>
            <family val="2"/>
          </rPr>
          <t>Remains</t>
        </r>
        <r>
          <rPr>
            <b/>
            <sz val="8"/>
            <color indexed="81"/>
            <rFont val="Tahoma"/>
            <family val="2"/>
          </rPr>
          <t xml:space="preserve"> </t>
        </r>
        <r>
          <rPr>
            <sz val="8"/>
            <color indexed="81"/>
            <rFont val="Tahoma"/>
            <family val="2"/>
          </rPr>
          <t>~$500mn</t>
        </r>
        <r>
          <rPr>
            <b/>
            <sz val="8"/>
            <color indexed="81"/>
            <rFont val="Tahoma"/>
            <family val="2"/>
          </rPr>
          <t xml:space="preserve">
Guidance: 2/19/2010
</t>
        </r>
        <r>
          <rPr>
            <sz val="8"/>
            <color indexed="81"/>
            <rFont val="Tahoma"/>
            <family val="2"/>
          </rPr>
          <t>Raise to ~$500mn; 2 new stores and 75 Sephoras</t>
        </r>
        <r>
          <rPr>
            <b/>
            <sz val="8"/>
            <color indexed="81"/>
            <rFont val="Tahoma"/>
            <family val="2"/>
          </rPr>
          <t xml:space="preserve">
Guidance: 11/13/2009
</t>
        </r>
        <r>
          <rPr>
            <sz val="8"/>
            <color indexed="81"/>
            <rFont val="Tahoma"/>
            <family val="2"/>
          </rPr>
          <t>Reiterate</t>
        </r>
        <r>
          <rPr>
            <b/>
            <sz val="8"/>
            <color indexed="81"/>
            <rFont val="Tahoma"/>
            <family val="2"/>
          </rPr>
          <t xml:space="preserve"> </t>
        </r>
        <r>
          <rPr>
            <sz val="8"/>
            <color indexed="81"/>
            <rFont val="Tahoma"/>
            <family val="2"/>
          </rPr>
          <t>$400M
75 Sephora, 5 or less new stores</t>
        </r>
        <r>
          <rPr>
            <b/>
            <sz val="8"/>
            <color indexed="81"/>
            <rFont val="Tahoma"/>
            <family val="2"/>
          </rPr>
          <t xml:space="preserve">
Guidance: 2/5/2009
</t>
        </r>
        <r>
          <rPr>
            <sz val="8"/>
            <color indexed="81"/>
            <rFont val="Tahoma"/>
            <family val="2"/>
          </rPr>
          <t>$400M</t>
        </r>
      </text>
    </comment>
    <comment ref="AC29" authorId="3">
      <text>
        <r>
          <rPr>
            <b/>
            <sz val="8"/>
            <color indexed="81"/>
            <rFont val="Tahoma"/>
            <family val="2"/>
          </rPr>
          <t xml:space="preserve">Guidance 5/16/11:
</t>
        </r>
        <r>
          <rPr>
            <sz val="8"/>
            <color indexed="81"/>
            <rFont val="Tahoma"/>
            <family val="2"/>
          </rPr>
          <t>Reiterates capex of $650M</t>
        </r>
        <r>
          <rPr>
            <b/>
            <sz val="8"/>
            <color indexed="81"/>
            <rFont val="Tahoma"/>
            <family val="2"/>
          </rPr>
          <t xml:space="preserve">
Guidance 2/25/11:
</t>
        </r>
        <r>
          <rPr>
            <sz val="8"/>
            <color indexed="81"/>
            <rFont val="Tahoma"/>
            <family val="2"/>
          </rPr>
          <t>Capex of $650M</t>
        </r>
        <r>
          <rPr>
            <b/>
            <sz val="8"/>
            <color indexed="81"/>
            <rFont val="Tahoma"/>
            <family val="2"/>
          </rPr>
          <t xml:space="preserve">
-</t>
        </r>
        <r>
          <rPr>
            <sz val="8"/>
            <color indexed="81"/>
            <rFont val="Tahoma"/>
            <family val="2"/>
          </rPr>
          <t>Planning&amp; allocation tools (size and markdown optimization)
-Digital initiatives
-Expansion of MNG by Mango
3 new dept stores
70 renovations
76 Sephoras</t>
        </r>
        <r>
          <rPr>
            <b/>
            <sz val="8"/>
            <color indexed="81"/>
            <rFont val="Tahoma"/>
            <family val="2"/>
          </rPr>
          <t xml:space="preserve">
Guidance 11/12/10:
</t>
        </r>
        <r>
          <rPr>
            <sz val="8"/>
            <color indexed="81"/>
            <rFont val="Tahoma"/>
            <family val="2"/>
          </rPr>
          <t>Capex of $600M</t>
        </r>
        <r>
          <rPr>
            <sz val="8"/>
            <color indexed="81"/>
            <rFont val="Tahoma"/>
            <family val="2"/>
          </rPr>
          <t xml:space="preserve">
</t>
        </r>
      </text>
    </comment>
    <comment ref="AD29" authorId="6">
      <text>
        <r>
          <rPr>
            <b/>
            <sz val="8"/>
            <color indexed="81"/>
            <rFont val="Tahoma"/>
            <family val="2"/>
          </rPr>
          <t xml:space="preserve">2011 10K
</t>
        </r>
        <r>
          <rPr>
            <sz val="8"/>
            <color indexed="81"/>
            <rFont val="Tahoma"/>
            <family val="2"/>
          </rPr>
          <t>$800M primarily related to investment in shops inside JCP and technology improvements</t>
        </r>
        <r>
          <rPr>
            <b/>
            <sz val="8"/>
            <color indexed="81"/>
            <rFont val="Tahoma"/>
            <family val="2"/>
          </rPr>
          <t xml:space="preserve">
2/24/2012
</t>
        </r>
        <r>
          <rPr>
            <sz val="8"/>
            <color indexed="81"/>
            <rFont val="Tahoma"/>
            <family val="2"/>
          </rPr>
          <t>$800M</t>
        </r>
        <r>
          <rPr>
            <b/>
            <sz val="8"/>
            <color indexed="81"/>
            <rFont val="Tahoma"/>
            <family val="2"/>
          </rPr>
          <t xml:space="preserve">
Per 1/26/12 Guidance:
- </t>
        </r>
        <r>
          <rPr>
            <sz val="8"/>
            <color indexed="81"/>
            <rFont val="Tahoma"/>
            <family val="2"/>
          </rPr>
          <t>$800M in 2012E for roll-out of 10 new shops @ 1,100 stores + investment in technology
- Roll-out shops starting Aug 2012
- Plan to self-fund roll-out</t>
        </r>
        <r>
          <rPr>
            <b/>
            <sz val="8"/>
            <color indexed="81"/>
            <rFont val="Tahoma"/>
            <family val="2"/>
          </rPr>
          <t xml:space="preserve">
11/14/11 comment:
</t>
        </r>
        <r>
          <rPr>
            <sz val="8"/>
            <color indexed="81"/>
            <rFont val="Tahoma"/>
            <family val="2"/>
          </rPr>
          <t>Continue to introduce 75-85 Sephora's per yr; wherever add a Sephora plan to do a remodel</t>
        </r>
      </text>
    </comment>
    <comment ref="AE29" authorId="3">
      <text>
        <r>
          <rPr>
            <b/>
            <sz val="8"/>
            <color indexed="81"/>
            <rFont val="Tahoma"/>
            <family val="2"/>
          </rPr>
          <t xml:space="preserve">6/12/2013 </t>
        </r>
        <r>
          <rPr>
            <sz val="8"/>
            <color indexed="81"/>
            <rFont val="Tahoma"/>
            <family val="2"/>
          </rPr>
          <t>Expect $1Bn in Capex (per 10K); 2Q weighted (per IR)</t>
        </r>
        <r>
          <rPr>
            <b/>
            <sz val="8"/>
            <color indexed="81"/>
            <rFont val="Tahoma"/>
            <family val="2"/>
          </rPr>
          <t xml:space="preserve">
3/26/2013 guidance: 
</t>
        </r>
        <r>
          <rPr>
            <sz val="8"/>
            <color indexed="81"/>
            <rFont val="Tahoma"/>
            <family val="2"/>
          </rPr>
          <t xml:space="preserve">Expect $800M in capex in FY13. Mgmt noted:
 1) They have become more efficient and have cut costs out of the rollout, so the shops will be less expensive to buildout (on a per shop basis) 
2) IT spend will be down y/y 
3) maintenance capex will be down y/y 
Also, CapEx could be pulled back in 2H if they don't see good returns on the shops. 
</t>
        </r>
        <r>
          <rPr>
            <b/>
            <sz val="8"/>
            <color indexed="81"/>
            <rFont val="Tahoma"/>
            <family val="2"/>
          </rPr>
          <t xml:space="preserve">
1/26/12 Guidance:
- </t>
        </r>
        <r>
          <rPr>
            <sz val="8"/>
            <color indexed="81"/>
            <rFont val="Tahoma"/>
            <family val="2"/>
          </rPr>
          <t xml:space="preserve">Will roll-out 2-3 shops per month to entire fleet through Dec 2015 </t>
        </r>
        <r>
          <rPr>
            <b/>
            <sz val="8"/>
            <color indexed="81"/>
            <rFont val="Tahoma"/>
            <family val="2"/>
          </rPr>
          <t xml:space="preserve">
11/14/11 comment:
</t>
        </r>
        <r>
          <rPr>
            <sz val="8"/>
            <color indexed="81"/>
            <rFont val="Tahoma"/>
            <family val="2"/>
          </rPr>
          <t>Continue to introduce 75-85 Sephora's per yr; wherever add a Sephora plan to do a remodel</t>
        </r>
        <r>
          <rPr>
            <b/>
            <sz val="8"/>
            <color indexed="81"/>
            <rFont val="Tahoma"/>
            <family val="2"/>
          </rPr>
          <t xml:space="preserve">
Guidance 5/16/11:
</t>
        </r>
        <r>
          <rPr>
            <sz val="8"/>
            <color indexed="81"/>
            <rFont val="Tahoma"/>
            <family val="2"/>
          </rPr>
          <t>Capex likely to be &lt;$1bn as contemplated in April 2010 Analyst Day given SG&amp;A focus and less sq footage opportunities</t>
        </r>
        <r>
          <rPr>
            <b/>
            <sz val="8"/>
            <color indexed="81"/>
            <rFont val="Tahoma"/>
            <family val="2"/>
          </rPr>
          <t xml:space="preserve">
Guidance 4/20/10:
</t>
        </r>
        <r>
          <rPr>
            <sz val="8"/>
            <color indexed="81"/>
            <rFont val="Tahoma"/>
            <family val="2"/>
          </rPr>
          <t>Expect capex to increase over the period to include new store growth as CRE market and consumer economy recover.
Early yrs - capex focus on ongoing store renovation and Sephora rollout</t>
        </r>
        <r>
          <rPr>
            <sz val="8"/>
            <color indexed="81"/>
            <rFont val="Tahoma"/>
            <family val="2"/>
          </rPr>
          <t xml:space="preserve">
</t>
        </r>
      </text>
    </comment>
    <comment ref="AF29" authorId="3">
      <text>
        <r>
          <rPr>
            <b/>
            <sz val="8"/>
            <color indexed="81"/>
            <rFont val="Tahoma"/>
            <family val="2"/>
          </rPr>
          <t xml:space="preserve">2/26/14 guidance: </t>
        </r>
        <r>
          <rPr>
            <sz val="8"/>
            <color indexed="81"/>
            <rFont val="Tahoma"/>
            <family val="2"/>
          </rPr>
          <t xml:space="preserve">expect approx. $250M capex
</t>
        </r>
        <r>
          <rPr>
            <b/>
            <sz val="8"/>
            <color indexed="81"/>
            <rFont val="Tahoma"/>
            <family val="2"/>
          </rPr>
          <t>5/15/14 guidanc</t>
        </r>
        <r>
          <rPr>
            <sz val="8"/>
            <color indexed="81"/>
            <rFont val="Tahoma"/>
            <family val="2"/>
          </rPr>
          <t>e:</t>
        </r>
        <r>
          <rPr>
            <sz val="8"/>
            <color indexed="81"/>
            <rFont val="Tahoma"/>
            <family val="2"/>
          </rPr>
          <t xml:space="preserve"> $250M
</t>
        </r>
        <r>
          <rPr>
            <b/>
            <sz val="8"/>
            <color indexed="81"/>
            <rFont val="Tahoma"/>
            <family val="2"/>
          </rPr>
          <t>8/14/14 guidance:</t>
        </r>
        <r>
          <rPr>
            <sz val="8"/>
            <color indexed="81"/>
            <rFont val="Tahoma"/>
            <family val="2"/>
          </rPr>
          <t xml:space="preserve"> $250M
</t>
        </r>
        <r>
          <rPr>
            <b/>
            <sz val="8"/>
            <color indexed="81"/>
            <rFont val="Tahoma"/>
            <family val="2"/>
          </rPr>
          <t>11/12/14 guidance:</t>
        </r>
        <r>
          <rPr>
            <sz val="8"/>
            <color indexed="81"/>
            <rFont val="Tahoma"/>
            <family val="2"/>
          </rPr>
          <t xml:space="preserve"> $250M</t>
        </r>
        <r>
          <rPr>
            <b/>
            <sz val="8"/>
            <color indexed="81"/>
            <rFont val="Tahoma"/>
            <family val="2"/>
          </rPr>
          <t xml:space="preserve">
8/20/13: </t>
        </r>
        <r>
          <rPr>
            <sz val="8"/>
            <color indexed="81"/>
            <rFont val="Tahoma"/>
            <family val="2"/>
          </rPr>
          <t xml:space="preserve">"we expect capital expenditures next year to be approximately $300 million"
</t>
        </r>
        <r>
          <rPr>
            <b/>
            <sz val="8"/>
            <color indexed="81"/>
            <rFont val="Tahoma"/>
            <family val="2"/>
          </rPr>
          <t xml:space="preserve">
1/26/12 Guidance:
- </t>
        </r>
        <r>
          <rPr>
            <sz val="8"/>
            <color indexed="81"/>
            <rFont val="Tahoma"/>
            <family val="2"/>
          </rPr>
          <t xml:space="preserve">Will roll-out 2-3 shops per month to entire fleet through Dec 2015 </t>
        </r>
        <r>
          <rPr>
            <b/>
            <sz val="8"/>
            <color indexed="81"/>
            <rFont val="Tahoma"/>
            <family val="2"/>
          </rPr>
          <t xml:space="preserve">
11/14/11 comment:
</t>
        </r>
        <r>
          <rPr>
            <sz val="8"/>
            <color indexed="81"/>
            <rFont val="Tahoma"/>
            <family val="2"/>
          </rPr>
          <t>Continue to introduce 75-85 Sephora's per yr; wherever add a Sephora plan to do a remodel</t>
        </r>
        <r>
          <rPr>
            <b/>
            <sz val="8"/>
            <color indexed="81"/>
            <rFont val="Tahoma"/>
            <family val="2"/>
          </rPr>
          <t xml:space="preserve">
Guidance 5/16/11:
</t>
        </r>
        <r>
          <rPr>
            <sz val="8"/>
            <color indexed="81"/>
            <rFont val="Tahoma"/>
            <family val="2"/>
          </rPr>
          <t>Capex likely to be &lt;$1bn as contemplated in April 2010 Analyst Day given SG&amp;A focus and less sq footage opportunities</t>
        </r>
        <r>
          <rPr>
            <b/>
            <sz val="8"/>
            <color indexed="81"/>
            <rFont val="Tahoma"/>
            <family val="2"/>
          </rPr>
          <t xml:space="preserve">
Guidance 4/20/10:
</t>
        </r>
        <r>
          <rPr>
            <sz val="8"/>
            <color indexed="81"/>
            <rFont val="Tahoma"/>
            <family val="2"/>
          </rPr>
          <t>Expect capex to increase over the period to include new store growth as CRE market and consumer economy recover.
Early yrs - capex focus on ongoing store renovation and Sephora rollout</t>
        </r>
        <r>
          <rPr>
            <sz val="8"/>
            <color indexed="81"/>
            <rFont val="Tahoma"/>
            <family val="2"/>
          </rPr>
          <t xml:space="preserve">
</t>
        </r>
      </text>
    </comment>
    <comment ref="AG29" authorId="5">
      <text>
        <r>
          <rPr>
            <b/>
            <sz val="9"/>
            <color indexed="81"/>
            <rFont val="Tahoma"/>
            <family val="2"/>
          </rPr>
          <t>casselau:
5/13/15: $250-300M</t>
        </r>
        <r>
          <rPr>
            <sz val="9"/>
            <color indexed="81"/>
            <rFont val="Tahoma"/>
            <family val="2"/>
          </rPr>
          <t xml:space="preserve">
We expect next year to be roughly
in line with 2014. Depending on some of the tests we are running, it could inch up slightly, but we expect to be in line.
8/12/15 
Expect to be near high end of range ~300
</t>
        </r>
      </text>
    </comment>
    <comment ref="AH29" authorId="2">
      <text>
        <r>
          <rPr>
            <b/>
            <sz val="9"/>
            <color indexed="81"/>
            <rFont val="Tahoma"/>
            <family val="2"/>
          </rPr>
          <t>Baglione, Gregory  (Research):</t>
        </r>
        <r>
          <rPr>
            <sz val="9"/>
            <color indexed="81"/>
            <rFont val="Tahoma"/>
            <family val="2"/>
          </rPr>
          <t xml:space="preserve">
8/12/15 
2016 CapEX slightly higher than $300M
11/13/15
Expect Capex $25-$50M higher y/y
2/25/16
FY Guidance ~$375M</t>
        </r>
      </text>
    </comment>
    <comment ref="AI29" authorId="2">
      <text>
        <r>
          <rPr>
            <b/>
            <sz val="9"/>
            <color indexed="81"/>
            <rFont val="Tahoma"/>
            <family val="2"/>
          </rPr>
          <t xml:space="preserve">From 10-K
</t>
        </r>
        <r>
          <rPr>
            <sz val="9"/>
            <color indexed="81"/>
            <rFont val="Tahoma"/>
            <family val="2"/>
          </rPr>
          <t>$178 store renewals and updates
$123 capitalized software
$5 New and relocated stores
$89 Technology and other</t>
        </r>
        <r>
          <rPr>
            <b/>
            <sz val="9"/>
            <color indexed="81"/>
            <rFont val="Tahoma"/>
            <family val="2"/>
          </rPr>
          <t xml:space="preserve">
9/27/17: ME confirmed that 400M is a good run rate #
11/9 </t>
        </r>
        <r>
          <rPr>
            <sz val="9"/>
            <color indexed="81"/>
            <rFont val="Tahoma"/>
            <family val="2"/>
          </rPr>
          <t xml:space="preserve">For the full year, we expect capital expenditures, net of landlord allowances, to be approximately $400
</t>
        </r>
        <r>
          <rPr>
            <b/>
            <sz val="9"/>
            <color indexed="81"/>
            <rFont val="Tahoma"/>
            <family val="2"/>
          </rPr>
          <t xml:space="preserve">
2/23/17: guidance $400M 
Baglione, Gregory  (Research):</t>
        </r>
        <r>
          <rPr>
            <sz val="9"/>
            <color indexed="81"/>
            <rFont val="Tahoma"/>
            <family val="2"/>
          </rPr>
          <t xml:space="preserve">
8/12/15 
2016 CapEX slightly higher than $300M
11/13/15
Expect Capex $25-$50M higher y/y
</t>
        </r>
      </text>
    </comment>
    <comment ref="AJ29" authorId="9">
      <text>
        <r>
          <rPr>
            <b/>
            <sz val="9"/>
            <color indexed="81"/>
            <rFont val="Tahoma"/>
            <family val="2"/>
          </rPr>
          <t>De Courreges, Edouard (Research):</t>
        </r>
        <r>
          <rPr>
            <sz val="9"/>
            <color indexed="81"/>
            <rFont val="Tahoma"/>
            <family val="2"/>
          </rPr>
          <t xml:space="preserve">
Capital expenditures, net of landlord allowances, are expected to be approximately $375 million
will relate primarily to our store environment, investments in information technology and the continued roll-out of approximately 30 new Sephora inside JCPenney locations and the conversion of approximately 100 of our salons to The Salon by InStyle format.</t>
        </r>
      </text>
    </comment>
    <comment ref="AC30" authorId="6">
      <text>
        <r>
          <rPr>
            <b/>
            <sz val="8"/>
            <color indexed="81"/>
            <rFont val="Tahoma"/>
            <family val="2"/>
          </rPr>
          <t>10/12/11 Mgmt Commentary / Email:
Total proceeds paid of $267.5MM for Liz Claiborne family of brands + Monet
(excludes $20MM advance to LCI to help JCP develop exclusive brands between now and Spring 2014)</t>
        </r>
        <r>
          <rPr>
            <sz val="8"/>
            <color indexed="81"/>
            <rFont val="Tahoma"/>
            <family val="2"/>
          </rPr>
          <t xml:space="preserve">
</t>
        </r>
      </text>
    </comment>
    <comment ref="AI30" authorId="10">
      <text>
        <r>
          <rPr>
            <b/>
            <sz val="9"/>
            <color indexed="81"/>
            <rFont val="Tahoma"/>
            <family val="2"/>
          </rPr>
          <t>Cassel, Lauren (Research):</t>
        </r>
        <r>
          <rPr>
            <sz val="9"/>
            <color indexed="81"/>
            <rFont val="Tahoma"/>
            <family val="2"/>
          </rPr>
          <t xml:space="preserve">
Baglione, Gregory (Research):
Per Trent "We’ve been discussing Bueno Park DC, minimum $100M in asset monetization in 2017, likely to be higher than that, looking and receiving other offers on other properties"</t>
        </r>
      </text>
    </comment>
    <comment ref="AF31" authorId="11">
      <text>
        <r>
          <rPr>
            <b/>
            <sz val="9"/>
            <color indexed="81"/>
            <rFont val="Tahoma"/>
            <family val="2"/>
          </rPr>
          <t>Mains, Spencer (Research):</t>
        </r>
        <r>
          <rPr>
            <sz val="9"/>
            <color indexed="81"/>
            <rFont val="Tahoma"/>
            <family val="2"/>
          </rPr>
          <t xml:space="preserve">
Joint venture return of investment</t>
        </r>
      </text>
    </comment>
    <comment ref="AH40" authorId="10">
      <text>
        <r>
          <rPr>
            <b/>
            <sz val="9"/>
            <color indexed="81"/>
            <rFont val="Tahoma"/>
            <family val="2"/>
          </rPr>
          <t>Cassel, Lauren (Research):</t>
        </r>
        <r>
          <rPr>
            <sz val="9"/>
            <color indexed="81"/>
            <rFont val="Tahoma"/>
            <family val="2"/>
          </rPr>
          <t xml:space="preserve">
2/23/17: In addition, the approximate $400 million
swing in accrued expenses and others on the cash flow statement is primarily driven by the large accruals in 2015 related to incentive compensation
and restructuring that were paid in 2016. It did not re-accrue at nearly the same levels this year.</t>
        </r>
      </text>
    </comment>
    <comment ref="AD47" authorId="6">
      <text>
        <r>
          <rPr>
            <b/>
            <sz val="8"/>
            <color indexed="81"/>
            <rFont val="Tahoma"/>
            <family val="2"/>
          </rPr>
          <t xml:space="preserve">5/15/2012 Guidance
</t>
        </r>
        <r>
          <rPr>
            <sz val="8"/>
            <color indexed="81"/>
            <rFont val="Tahoma"/>
            <family val="2"/>
          </rPr>
          <t>$1Bn in cash generated before Capex in 2012</t>
        </r>
      </text>
    </comment>
    <comment ref="AF47" authorId="4">
      <text>
        <r>
          <rPr>
            <b/>
            <sz val="9"/>
            <color indexed="81"/>
            <rFont val="Tahoma"/>
            <family val="2"/>
          </rPr>
          <t xml:space="preserve">8/14/14: </t>
        </r>
        <r>
          <rPr>
            <sz val="9"/>
            <color indexed="81"/>
            <rFont val="Tahoma"/>
            <family val="2"/>
          </rPr>
          <t xml:space="preserve">expect positive FCF
</t>
        </r>
        <r>
          <rPr>
            <b/>
            <sz val="9"/>
            <color indexed="81"/>
            <rFont val="Tahoma"/>
            <family val="2"/>
          </rPr>
          <t>11/12/14:</t>
        </r>
        <r>
          <rPr>
            <sz val="9"/>
            <color indexed="81"/>
            <rFont val="Tahoma"/>
            <family val="2"/>
          </rPr>
          <t xml:space="preserve"> expect positive FCF</t>
        </r>
      </text>
    </comment>
    <comment ref="AG47" authorId="5">
      <text>
        <r>
          <rPr>
            <b/>
            <sz val="9"/>
            <color indexed="81"/>
            <rFont val="Tahoma"/>
            <family val="2"/>
          </rPr>
          <t>casselau:</t>
        </r>
        <r>
          <rPr>
            <sz val="9"/>
            <color indexed="81"/>
            <rFont val="Tahoma"/>
            <family val="2"/>
          </rPr>
          <t xml:space="preserve">
2/26/15: guidance flat FCF
8/14/15 FCF B/E</t>
        </r>
      </text>
    </comment>
    <comment ref="AH47" authorId="2">
      <text>
        <r>
          <rPr>
            <b/>
            <sz val="9"/>
            <color indexed="81"/>
            <rFont val="Tahoma"/>
            <family val="2"/>
          </rPr>
          <t>Baglione, Gregory  (Research):</t>
        </r>
        <r>
          <rPr>
            <sz val="9"/>
            <color indexed="81"/>
            <rFont val="Tahoma"/>
            <family val="2"/>
          </rPr>
          <t xml:space="preserve">
8/12/15
Expect to ~300-$400M in FCF in 2017 and beyond
2/25/16
Free cash flow: expected to improve versus 2015.
</t>
        </r>
      </text>
    </comment>
    <comment ref="AI47" authorId="2">
      <text>
        <r>
          <rPr>
            <b/>
            <sz val="9"/>
            <color indexed="81"/>
            <rFont val="Tahoma"/>
            <family val="2"/>
          </rPr>
          <t>Baglione, Gregory  (Research):</t>
        </r>
        <r>
          <rPr>
            <sz val="9"/>
            <color indexed="81"/>
            <rFont val="Tahoma"/>
            <family val="2"/>
          </rPr>
          <t xml:space="preserve">
8/14/15
Expect to ~300-$400M in FCF in 2017 and beyond
</t>
        </r>
      </text>
    </comment>
    <comment ref="AJ47" authorId="2">
      <text>
        <r>
          <rPr>
            <b/>
            <sz val="9"/>
            <color indexed="81"/>
            <rFont val="Tahoma"/>
            <family val="2"/>
          </rPr>
          <t>Baglione, Gregory  (Research):</t>
        </r>
        <r>
          <rPr>
            <sz val="9"/>
            <color indexed="81"/>
            <rFont val="Tahoma"/>
            <family val="2"/>
          </rPr>
          <t xml:space="preserve">
8/14/15
Expect to ~300-$400M in FCF in 2017 and beyond
</t>
        </r>
      </text>
    </comment>
    <comment ref="AD49" authorId="6">
      <text>
        <r>
          <rPr>
            <b/>
            <sz val="8"/>
            <color indexed="81"/>
            <rFont val="Tahoma"/>
            <family val="2"/>
          </rPr>
          <t xml:space="preserve">8/11/2012
</t>
        </r>
        <r>
          <rPr>
            <sz val="8"/>
            <color indexed="81"/>
            <rFont val="Tahoma"/>
            <family val="2"/>
          </rPr>
          <t>~$250M repaid in August 2012</t>
        </r>
        <r>
          <rPr>
            <b/>
            <sz val="8"/>
            <color indexed="81"/>
            <rFont val="Tahoma"/>
            <family val="2"/>
          </rPr>
          <t xml:space="preserve">
Per 2010 10K</t>
        </r>
        <r>
          <rPr>
            <sz val="8"/>
            <color indexed="81"/>
            <rFont val="Tahoma"/>
            <family val="2"/>
          </rPr>
          <t xml:space="preserve">
- $230M of 9.0% Notes Due 8/1/2012
</t>
        </r>
      </text>
    </comment>
    <comment ref="AF49" authorId="6">
      <text>
        <r>
          <rPr>
            <b/>
            <sz val="8"/>
            <color indexed="81"/>
            <rFont val="Tahoma"/>
            <family val="2"/>
          </rPr>
          <t xml:space="preserve">2/13/2013: </t>
        </r>
        <r>
          <rPr>
            <sz val="8"/>
            <color indexed="81"/>
            <rFont val="Tahoma"/>
            <family val="2"/>
          </rPr>
          <t>Assume$500M line draw remains outstanding</t>
        </r>
      </text>
    </comment>
    <comment ref="R50" authorId="1">
      <text>
        <r>
          <rPr>
            <b/>
            <sz val="8"/>
            <color indexed="81"/>
            <rFont val="Tahoma"/>
            <family val="2"/>
          </rPr>
          <t>Denise Frazer:</t>
        </r>
        <r>
          <rPr>
            <sz val="8"/>
            <color indexed="81"/>
            <rFont val="Tahoma"/>
            <family val="2"/>
          </rPr>
          <t xml:space="preserve">
proceeds from equipment financing
</t>
        </r>
      </text>
    </comment>
    <comment ref="Z51" authorId="12">
      <text>
        <r>
          <rPr>
            <b/>
            <sz val="8"/>
            <color indexed="81"/>
            <rFont val="Tahoma"/>
            <family val="2"/>
          </rPr>
          <t xml:space="preserve"> 7.375% Notes, Due 2008</t>
        </r>
        <r>
          <rPr>
            <sz val="8"/>
            <color indexed="81"/>
            <rFont val="Tahoma"/>
            <family val="2"/>
          </rPr>
          <t xml:space="preserve">
</t>
        </r>
      </text>
    </comment>
    <comment ref="AB51" authorId="12">
      <text>
        <r>
          <rPr>
            <b/>
            <sz val="8"/>
            <color indexed="81"/>
            <rFont val="Tahoma"/>
            <family val="2"/>
          </rPr>
          <t xml:space="preserve">Guidance 5/14/10:
</t>
        </r>
        <r>
          <rPr>
            <sz val="8"/>
            <color indexed="81"/>
            <rFont val="Tahoma"/>
            <family val="2"/>
          </rPr>
          <t>Adds $300M reduction in debt re tender offer that will expire on May 21</t>
        </r>
        <r>
          <rPr>
            <b/>
            <sz val="8"/>
            <color indexed="81"/>
            <rFont val="Tahoma"/>
            <family val="2"/>
          </rPr>
          <t xml:space="preserve">
2/19/10:
</t>
        </r>
        <r>
          <rPr>
            <sz val="8"/>
            <color indexed="81"/>
            <rFont val="Tahoma"/>
            <family val="2"/>
          </rPr>
          <t>$393mn debt maturity in March 2010</t>
        </r>
        <r>
          <rPr>
            <b/>
            <sz val="8"/>
            <color indexed="81"/>
            <rFont val="Tahoma"/>
            <family val="2"/>
          </rPr>
          <t xml:space="preserve">
12/14/09: </t>
        </r>
        <r>
          <rPr>
            <sz val="8"/>
            <color indexed="81"/>
            <rFont val="Tahoma"/>
            <family val="2"/>
          </rPr>
          <t>Factset cites $400mn due in 2010, which ties with $500mn from 2008 10K less $100mn payback cited below</t>
        </r>
        <r>
          <rPr>
            <b/>
            <sz val="8"/>
            <color indexed="81"/>
            <rFont val="Tahoma"/>
            <family val="2"/>
          </rPr>
          <t xml:space="preserve">
8.0% Notes, Due 2010
- 104M tendered early</t>
        </r>
      </text>
    </comment>
    <comment ref="AC51" authorId="3">
      <text>
        <r>
          <rPr>
            <b/>
            <sz val="8"/>
            <color indexed="81"/>
            <rFont val="Tahoma"/>
            <family val="2"/>
          </rPr>
          <t xml:space="preserve">Factset 12/28/10: 
</t>
        </r>
        <r>
          <rPr>
            <sz val="8"/>
            <color indexed="81"/>
            <rFont val="Tahoma"/>
            <family val="2"/>
          </rPr>
          <t xml:space="preserve">$0 </t>
        </r>
        <r>
          <rPr>
            <sz val="8"/>
            <color indexed="81"/>
            <rFont val="Tahoma"/>
            <family val="2"/>
          </rPr>
          <t>scheduled</t>
        </r>
      </text>
    </comment>
    <comment ref="AE51" authorId="6">
      <text>
        <r>
          <rPr>
            <b/>
            <sz val="8"/>
            <color indexed="81"/>
            <rFont val="Tahoma"/>
            <family val="2"/>
          </rPr>
          <t>5/23/2013:</t>
        </r>
        <r>
          <rPr>
            <sz val="8"/>
            <color indexed="81"/>
            <rFont val="Tahoma"/>
            <family val="2"/>
          </rPr>
          <t xml:space="preserve"> tendered 95.41% of 7 1/8% notes (does not expect to tender remaining amount), which represents $242.782M</t>
        </r>
      </text>
    </comment>
    <comment ref="AH51" authorId="2">
      <text>
        <r>
          <rPr>
            <b/>
            <sz val="9"/>
            <color indexed="81"/>
            <rFont val="Tahoma"/>
            <family val="2"/>
          </rPr>
          <t>Baglione, Gregory  (Research):</t>
        </r>
        <r>
          <rPr>
            <sz val="9"/>
            <color indexed="81"/>
            <rFont val="Tahoma"/>
            <family val="2"/>
          </rPr>
          <t xml:space="preserve">
11/11/16
Retired $138M debt YTD--still expect to retire $400-$500M. Plan to use headquarter sale for debt retirement. 
2/25/16
Company expects to retire another $400M-$500M debt in 2016
</t>
        </r>
      </text>
    </comment>
    <comment ref="AI51" authorId="2">
      <text>
        <r>
          <rPr>
            <b/>
            <sz val="9"/>
            <color indexed="81"/>
            <rFont val="Tahoma"/>
            <family val="2"/>
          </rPr>
          <t xml:space="preserve">10-K
</t>
        </r>
        <r>
          <rPr>
            <sz val="9"/>
            <color indexed="81"/>
            <rFont val="Tahoma"/>
            <family val="2"/>
          </rPr>
          <t>During 2017, we paid $334 million to settle cash tender offers with respect to portions of our outstanding 2018 Notes and 2019 Notes. Additionally, we repurchased and retired $40 million aggregate principal amount of our 2020 Notes, repaid $220 million of debt at maturity and repaid $16 million on our capital leases and note payable.</t>
        </r>
        <r>
          <rPr>
            <b/>
            <sz val="9"/>
            <color indexed="81"/>
            <rFont val="Tahoma"/>
            <family val="2"/>
          </rPr>
          <t xml:space="preserve">
5/11/17:  During the quarter, the Company utilized available cash on hand to retire $220 million of outstanding bonds that matured in April.  As previously announced earlier this week, the Company launched cash tender offers to purchase up to $300 million aggregate principal amount on portions of its 2018 and 2019 outstanding bonds
</t>
        </r>
        <r>
          <rPr>
            <sz val="9"/>
            <color indexed="81"/>
            <rFont val="Tahoma"/>
            <family val="2"/>
          </rPr>
          <t xml:space="preserve">
11/14/16
Company could retire debt w/ Home office sale.
2/25/16
Company expects to retire $300M of 16/17 maturities</t>
        </r>
      </text>
    </comment>
    <comment ref="AJ51" authorId="9">
      <text>
        <r>
          <rPr>
            <b/>
            <sz val="9"/>
            <color indexed="81"/>
            <rFont val="Tahoma"/>
            <family val="2"/>
          </rPr>
          <t>De Courreges, Edouard (Research):</t>
        </r>
        <r>
          <rPr>
            <sz val="9"/>
            <color indexed="81"/>
            <rFont val="Tahoma"/>
            <family val="2"/>
          </rPr>
          <t xml:space="preserve">
3/22/18: J. C. Penney also announced that it has increased the tender cap for the 8.125% Senior Notes due 2019 from $95 million to $125 million and the tender cap for the 5.65% Senior Notes due 2020 from $225 million to $250 million (as increased, the "Tender Caps").
3/2/18:In addition to our fiscal 2017 debt reduction efforts, we recently retired, at maturity, $190 million of notes due February 5, 2018.
</t>
        </r>
      </text>
    </comment>
    <comment ref="AK51" authorId="9">
      <text>
        <r>
          <rPr>
            <b/>
            <sz val="9"/>
            <color indexed="81"/>
            <rFont val="Tahoma"/>
            <family val="2"/>
          </rPr>
          <t>De Courreges, Edouard (Research):</t>
        </r>
        <r>
          <rPr>
            <sz val="9"/>
            <color indexed="81"/>
            <rFont val="Tahoma"/>
            <family val="2"/>
          </rPr>
          <t xml:space="preserve">
based on debt schedule</t>
        </r>
      </text>
    </comment>
    <comment ref="AL51" authorId="9">
      <text>
        <r>
          <rPr>
            <b/>
            <sz val="9"/>
            <color indexed="81"/>
            <rFont val="Tahoma"/>
            <family val="2"/>
          </rPr>
          <t>De Courreges, Edouard (Research):</t>
        </r>
        <r>
          <rPr>
            <sz val="9"/>
            <color indexed="81"/>
            <rFont val="Tahoma"/>
            <family val="2"/>
          </rPr>
          <t xml:space="preserve">
based on debt schedule</t>
        </r>
      </text>
    </comment>
    <comment ref="Z52" authorId="0">
      <text>
        <r>
          <rPr>
            <b/>
            <sz val="8"/>
            <color indexed="81"/>
            <rFont val="Tahoma"/>
            <family val="2"/>
          </rPr>
          <t>Guidance: 4/18/07</t>
        </r>
        <r>
          <rPr>
            <sz val="8"/>
            <color indexed="81"/>
            <rFont val="Tahoma"/>
            <family val="2"/>
          </rPr>
          <t xml:space="preserve">
$1,500M from 08-11</t>
        </r>
      </text>
    </comment>
    <comment ref="AA52" authorId="0">
      <text>
        <r>
          <rPr>
            <b/>
            <sz val="8"/>
            <color indexed="81"/>
            <rFont val="Tahoma"/>
            <family val="2"/>
          </rPr>
          <t>Guidance: 4/18/07</t>
        </r>
        <r>
          <rPr>
            <sz val="8"/>
            <color indexed="81"/>
            <rFont val="Tahoma"/>
            <family val="2"/>
          </rPr>
          <t xml:space="preserve">
$1,500M from 08-11</t>
        </r>
      </text>
    </comment>
    <comment ref="AB52" authorId="0">
      <text>
        <r>
          <rPr>
            <b/>
            <sz val="8"/>
            <color indexed="81"/>
            <rFont val="Tahoma"/>
            <family val="2"/>
          </rPr>
          <t xml:space="preserve">Guidance: 2/19/10
</t>
        </r>
        <r>
          <rPr>
            <sz val="8"/>
            <color indexed="81"/>
            <rFont val="Tahoma"/>
            <family val="2"/>
          </rPr>
          <t>Focus will be on restoring investment grade credit rating, not necessarily on buyback</t>
        </r>
        <r>
          <rPr>
            <b/>
            <sz val="8"/>
            <color indexed="81"/>
            <rFont val="Tahoma"/>
            <family val="2"/>
          </rPr>
          <t xml:space="preserve">
Guidance: 4/18/07</t>
        </r>
        <r>
          <rPr>
            <sz val="8"/>
            <color indexed="81"/>
            <rFont val="Tahoma"/>
            <family val="2"/>
          </rPr>
          <t xml:space="preserve">
$1,500M from 08-11, but assume $0 based on recent trends</t>
        </r>
      </text>
    </comment>
    <comment ref="AC52" authorId="3">
      <text>
        <r>
          <rPr>
            <b/>
            <sz val="8"/>
            <color indexed="81"/>
            <rFont val="Tahoma"/>
            <family val="2"/>
          </rPr>
          <t>Guidance 2/25/11:
-</t>
        </r>
        <r>
          <rPr>
            <sz val="8"/>
            <color indexed="81"/>
            <rFont val="Tahoma"/>
            <family val="2"/>
          </rPr>
          <t>$900M repo announced, starting in March 2011</t>
        </r>
        <r>
          <rPr>
            <sz val="8"/>
            <color indexed="81"/>
            <rFont val="Tahoma"/>
            <family val="2"/>
          </rPr>
          <t xml:space="preserve">
-Should be completed in 2011</t>
        </r>
      </text>
    </comment>
    <comment ref="AH53" authorId="10">
      <text>
        <r>
          <rPr>
            <b/>
            <sz val="9"/>
            <color indexed="81"/>
            <rFont val="Tahoma"/>
            <family val="2"/>
          </rPr>
          <t>Cassel, Lauren (Research):</t>
        </r>
        <r>
          <rPr>
            <sz val="9"/>
            <color indexed="81"/>
            <rFont val="Tahoma"/>
            <family val="2"/>
          </rPr>
          <t xml:space="preserve">
$2M proceeds from stock options exercised </t>
        </r>
      </text>
    </comment>
    <comment ref="Z55" authorId="0">
      <text>
        <r>
          <rPr>
            <b/>
            <sz val="8"/>
            <color indexed="81"/>
            <rFont val="Tahoma"/>
            <family val="2"/>
          </rPr>
          <t>Guidance: 4/18/07</t>
        </r>
        <r>
          <rPr>
            <sz val="8"/>
            <color indexed="81"/>
            <rFont val="Tahoma"/>
            <family val="2"/>
          </rPr>
          <t xml:space="preserve">
$900M from 08-11</t>
        </r>
      </text>
    </comment>
    <comment ref="AA55" authorId="0">
      <text>
        <r>
          <rPr>
            <b/>
            <sz val="8"/>
            <color indexed="81"/>
            <rFont val="Tahoma"/>
            <family val="2"/>
          </rPr>
          <t>Guidance: 4/18/07</t>
        </r>
        <r>
          <rPr>
            <sz val="8"/>
            <color indexed="81"/>
            <rFont val="Tahoma"/>
            <family val="2"/>
          </rPr>
          <t xml:space="preserve">
$900M from 08-11</t>
        </r>
      </text>
    </comment>
    <comment ref="AB55" authorId="0">
      <text>
        <r>
          <rPr>
            <b/>
            <sz val="8"/>
            <color indexed="81"/>
            <rFont val="Tahoma"/>
            <family val="2"/>
          </rPr>
          <t>Guidance: 4/18/07</t>
        </r>
        <r>
          <rPr>
            <sz val="8"/>
            <color indexed="81"/>
            <rFont val="Tahoma"/>
            <family val="2"/>
          </rPr>
          <t xml:space="preserve">
$900M from 08-11</t>
        </r>
      </text>
    </comment>
    <comment ref="AC55" authorId="0">
      <text>
        <r>
          <rPr>
            <b/>
            <sz val="8"/>
            <color indexed="81"/>
            <rFont val="Tahoma"/>
            <family val="2"/>
          </rPr>
          <t>Guidance: 4/18/07</t>
        </r>
        <r>
          <rPr>
            <sz val="8"/>
            <color indexed="81"/>
            <rFont val="Tahoma"/>
            <family val="2"/>
          </rPr>
          <t xml:space="preserve">
$900M from 08-11</t>
        </r>
      </text>
    </comment>
    <comment ref="F56" authorId="6">
      <text>
        <r>
          <rPr>
            <b/>
            <sz val="8"/>
            <color indexed="81"/>
            <rFont val="Tahoma"/>
            <family val="2"/>
          </rPr>
          <t>Adjustment</t>
        </r>
      </text>
    </comment>
    <comment ref="P56" authorId="12">
      <text>
        <r>
          <rPr>
            <b/>
            <sz val="8"/>
            <color indexed="81"/>
            <rFont val="Tahoma"/>
            <family val="2"/>
          </rPr>
          <t>-Adjustment for restated financials.  Restated CF was not provided.</t>
        </r>
      </text>
    </comment>
    <comment ref="S56" authorId="12">
      <text>
        <r>
          <rPr>
            <b/>
            <sz val="8"/>
            <color indexed="81"/>
            <rFont val="Tahoma"/>
            <family val="2"/>
          </rPr>
          <t>-Adjustment for restated financials.  Restated CF was not provided.</t>
        </r>
      </text>
    </comment>
    <comment ref="T56" authorId="12">
      <text>
        <r>
          <rPr>
            <b/>
            <sz val="8"/>
            <color indexed="81"/>
            <rFont val="Tahoma"/>
            <family val="2"/>
          </rPr>
          <t>-Adjustment for restated financials.  Restated CF was not provided.</t>
        </r>
      </text>
    </comment>
    <comment ref="AE56" authorId="6">
      <text>
        <r>
          <rPr>
            <b/>
            <sz val="8"/>
            <color indexed="81"/>
            <rFont val="Tahoma"/>
            <family val="2"/>
          </rPr>
          <t xml:space="preserve">5/23/2013: </t>
        </r>
        <r>
          <rPr>
            <sz val="8"/>
            <color indexed="81"/>
            <rFont val="Tahoma"/>
            <family val="2"/>
          </rPr>
          <t>Reflects tender premium for $242.780M 7.125% notes @ 145%</t>
        </r>
      </text>
    </comment>
    <comment ref="AH56" authorId="10">
      <text>
        <r>
          <rPr>
            <b/>
            <sz val="9"/>
            <color indexed="81"/>
            <rFont val="Tahoma"/>
            <family val="2"/>
          </rPr>
          <t>Cassel, Lauren (Research):</t>
        </r>
        <r>
          <rPr>
            <sz val="9"/>
            <color indexed="81"/>
            <rFont val="Tahoma"/>
            <family val="2"/>
          </rPr>
          <t xml:space="preserve">
Include 216M net proceeds from financing obligation</t>
        </r>
      </text>
    </comment>
    <comment ref="E60" authorId="6">
      <text>
        <r>
          <rPr>
            <b/>
            <sz val="8"/>
            <color indexed="81"/>
            <rFont val="Tahoma"/>
            <family val="2"/>
          </rPr>
          <t>Adjustment</t>
        </r>
      </text>
    </comment>
    <comment ref="N60" authorId="13">
      <text>
        <r>
          <rPr>
            <b/>
            <sz val="8"/>
            <color indexed="81"/>
            <rFont val="Tahoma"/>
            <family val="2"/>
          </rPr>
          <t>afloam:</t>
        </r>
        <r>
          <rPr>
            <sz val="8"/>
            <color indexed="81"/>
            <rFont val="Tahoma"/>
            <family val="2"/>
          </rPr>
          <t xml:space="preserve">
should be 287</t>
        </r>
      </text>
    </comment>
    <comment ref="O60" authorId="13">
      <text>
        <r>
          <rPr>
            <b/>
            <sz val="8"/>
            <color indexed="81"/>
            <rFont val="Tahoma"/>
            <family val="2"/>
          </rPr>
          <t>afloam:</t>
        </r>
        <r>
          <rPr>
            <sz val="8"/>
            <color indexed="81"/>
            <rFont val="Tahoma"/>
            <family val="2"/>
          </rPr>
          <t xml:space="preserve">
 should be 49
</t>
        </r>
      </text>
    </comment>
    <comment ref="AI67" authorId="9">
      <text>
        <r>
          <rPr>
            <b/>
            <sz val="9"/>
            <color indexed="81"/>
            <rFont val="Tahoma"/>
            <family val="2"/>
          </rPr>
          <t>De Courreges, Edouard (Research):</t>
        </r>
        <r>
          <rPr>
            <sz val="9"/>
            <color indexed="81"/>
            <rFont val="Tahoma"/>
            <family val="2"/>
          </rPr>
          <t xml:space="preserve">
During 2017,
the primary pension plan funded status improved to 102%, mainly due to the strong performance and planned assets, which generated significant
returns for the year. Our pension plan continues to be in a well-funded position, and we do not expect to make cash contributions for this foreseeable
future.</t>
        </r>
      </text>
    </comment>
  </commentList>
</comments>
</file>

<file path=xl/comments13.xml><?xml version="1.0" encoding="utf-8"?>
<comments xmlns="http://schemas.openxmlformats.org/spreadsheetml/2006/main">
  <authors>
    <author>balskyh</author>
    <author>De Courreges, Edouard (Research)</author>
    <author>Baglione, Gregory (Research)</author>
    <author>casselau</author>
    <author>leechi</author>
    <author>DL</author>
  </authors>
  <commentList>
    <comment ref="AD9" authorId="0">
      <text>
        <r>
          <rPr>
            <b/>
            <sz val="8"/>
            <color indexed="81"/>
            <rFont val="Tahoma"/>
            <family val="2"/>
          </rPr>
          <t xml:space="preserve">8/11/2012 Guidance
</t>
        </r>
        <r>
          <rPr>
            <sz val="8"/>
            <color indexed="81"/>
            <rFont val="Tahoma"/>
            <family val="2"/>
          </rPr>
          <t>Expect to end year w/ at least $1Bn cash excluding any additional sales of non-core assets</t>
        </r>
      </text>
    </comment>
    <comment ref="AD14" authorId="0">
      <text>
        <r>
          <rPr>
            <b/>
            <sz val="8"/>
            <color indexed="81"/>
            <rFont val="Tahoma"/>
            <family val="2"/>
          </rPr>
          <t xml:space="preserve">8/11/2012 Guidance
</t>
        </r>
        <r>
          <rPr>
            <sz val="8"/>
            <color indexed="81"/>
            <rFont val="Tahoma"/>
            <family val="2"/>
          </rPr>
          <t>Inventories 
-$500M y/y</t>
        </r>
      </text>
    </comment>
    <comment ref="AJ14" authorId="1">
      <text>
        <r>
          <rPr>
            <b/>
            <sz val="9"/>
            <color indexed="81"/>
            <rFont val="Tahoma"/>
            <family val="2"/>
          </rPr>
          <t>De Courreges, Edouard (Research):</t>
        </r>
        <r>
          <rPr>
            <sz val="9"/>
            <color indexed="81"/>
            <rFont val="Tahoma"/>
            <family val="2"/>
          </rPr>
          <t xml:space="preserve">
3/2/18: Expect inventory -MSD by end of the year</t>
        </r>
      </text>
    </comment>
    <comment ref="AH15" authorId="2">
      <text>
        <r>
          <rPr>
            <b/>
            <sz val="9"/>
            <color indexed="81"/>
            <rFont val="Tahoma"/>
            <family val="2"/>
          </rPr>
          <t>Baglione, Gregory (Research):</t>
        </r>
        <r>
          <rPr>
            <sz val="9"/>
            <color indexed="81"/>
            <rFont val="Tahoma"/>
            <family val="2"/>
          </rPr>
          <t xml:space="preserve">
per 3Q16 10-Q accrued epxenes $68M</t>
        </r>
      </text>
    </comment>
    <comment ref="AI18" authorId="1">
      <text>
        <r>
          <rPr>
            <b/>
            <sz val="9"/>
            <color indexed="81"/>
            <rFont val="Tahoma"/>
            <family val="2"/>
          </rPr>
          <t>De Courreges, Edouard (Research):</t>
        </r>
        <r>
          <rPr>
            <sz val="9"/>
            <color indexed="81"/>
            <rFont val="Tahoma"/>
            <family val="2"/>
          </rPr>
          <t xml:space="preserve">
$245 Land
$4,750 Buildings
$1,603 Furniture and equipment
$1,068 Leasehold improvement
$115 Capital leases (equipment)
-$3,500 Accumulated depreciation
</t>
        </r>
      </text>
    </comment>
    <comment ref="AD20" authorId="0">
      <text>
        <r>
          <rPr>
            <b/>
            <sz val="8"/>
            <color indexed="81"/>
            <rFont val="Tahoma"/>
            <family val="2"/>
          </rPr>
          <t>10/12/11 Mgmt Commentary / Email:
Total proceeds paid of $267.5MM for Liz Claiborne family of brands + Monet -&gt; reflected as a purchase of an intangible asset
(excludes $20MM advance to LCI to help JCP develop exclusive brands between now and Spring 2014)</t>
        </r>
        <r>
          <rPr>
            <sz val="8"/>
            <color indexed="81"/>
            <rFont val="Tahoma"/>
            <family val="2"/>
          </rPr>
          <t xml:space="preserve">
</t>
        </r>
      </text>
    </comment>
    <comment ref="AI21" authorId="1">
      <text>
        <r>
          <rPr>
            <b/>
            <sz val="9"/>
            <color indexed="81"/>
            <rFont val="Tahoma"/>
            <family val="2"/>
          </rPr>
          <t>De Courreges, Edouard (Research):</t>
        </r>
        <r>
          <rPr>
            <sz val="9"/>
            <color indexed="81"/>
            <rFont val="Tahoma"/>
            <family val="2"/>
          </rPr>
          <t xml:space="preserve">
$300M Capitalized software, net
$275M Indefinite-lived intangible assets, net - Liz Claiborne and monet IP 
$28 Revolving credit facility unamortized costs, net
$9M Interest rate swaps
$5M Realty investments
$44M Other</t>
        </r>
      </text>
    </comment>
    <comment ref="AI27" authorId="1">
      <text>
        <r>
          <rPr>
            <b/>
            <sz val="9"/>
            <color indexed="81"/>
            <rFont val="Tahoma"/>
            <family val="2"/>
          </rPr>
          <t>De Courreges, Edouard (Research):</t>
        </r>
        <r>
          <rPr>
            <sz val="9"/>
            <color indexed="81"/>
            <rFont val="Tahoma"/>
            <family val="2"/>
          </rPr>
          <t xml:space="preserve">
$193M Accrued salaries, vacation,  and bonus
$203M Customer gift cards
$102M Taxes other than income taxes
$28M Occupancy and rent-related
$67M Interest
$77M Advertising
$44M Current portion of workers' compensation and general liability self-insurance
$26M Restructuring and mgmt transition
$29M Current portioon of retirement plan liabilities
$58M Capex
$292M Other</t>
        </r>
      </text>
    </comment>
    <comment ref="AF28" authorId="0">
      <text>
        <r>
          <rPr>
            <b/>
            <sz val="8"/>
            <color indexed="81"/>
            <rFont val="Tahoma"/>
            <family val="2"/>
          </rPr>
          <t xml:space="preserve">4/22/2013 assumption: </t>
        </r>
        <r>
          <rPr>
            <sz val="8"/>
            <color indexed="81"/>
            <rFont val="Tahoma"/>
            <family val="2"/>
          </rPr>
          <t>Includes April 2013 $850M revolver draw</t>
        </r>
      </text>
    </comment>
    <comment ref="AG28" authorId="0">
      <text>
        <r>
          <rPr>
            <b/>
            <sz val="8"/>
            <color indexed="81"/>
            <rFont val="Tahoma"/>
            <family val="2"/>
          </rPr>
          <t xml:space="preserve">4/22/2013 assumption: </t>
        </r>
        <r>
          <rPr>
            <sz val="8"/>
            <color indexed="81"/>
            <rFont val="Tahoma"/>
            <family val="2"/>
          </rPr>
          <t>Includes April 2013 $850M revolver draw</t>
        </r>
      </text>
    </comment>
    <comment ref="AH28" authorId="0">
      <text>
        <r>
          <rPr>
            <b/>
            <sz val="8"/>
            <color indexed="81"/>
            <rFont val="Tahoma"/>
            <family val="2"/>
          </rPr>
          <t xml:space="preserve">4/22/2013 assumption: </t>
        </r>
        <r>
          <rPr>
            <sz val="8"/>
            <color indexed="81"/>
            <rFont val="Tahoma"/>
            <family val="2"/>
          </rPr>
          <t>Includes April 2013 $850M revolver draw</t>
        </r>
      </text>
    </comment>
    <comment ref="AI28" authorId="0">
      <text>
        <r>
          <rPr>
            <b/>
            <sz val="8"/>
            <color indexed="81"/>
            <rFont val="Tahoma"/>
            <family val="2"/>
          </rPr>
          <t xml:space="preserve">4/22/2013 assumption: </t>
        </r>
        <r>
          <rPr>
            <sz val="8"/>
            <color indexed="81"/>
            <rFont val="Tahoma"/>
            <family val="2"/>
          </rPr>
          <t>Includes April 2013 $850M revolver draw</t>
        </r>
      </text>
    </comment>
    <comment ref="AJ28" authorId="0">
      <text>
        <r>
          <rPr>
            <b/>
            <sz val="8"/>
            <color indexed="81"/>
            <rFont val="Tahoma"/>
            <family val="2"/>
          </rPr>
          <t xml:space="preserve">4/22/2013 assumption: </t>
        </r>
        <r>
          <rPr>
            <sz val="8"/>
            <color indexed="81"/>
            <rFont val="Tahoma"/>
            <family val="2"/>
          </rPr>
          <t>Includes April 2013 $850M revolver draw</t>
        </r>
      </text>
    </comment>
    <comment ref="AK28" authorId="0">
      <text>
        <r>
          <rPr>
            <b/>
            <sz val="8"/>
            <color indexed="81"/>
            <rFont val="Tahoma"/>
            <family val="2"/>
          </rPr>
          <t xml:space="preserve">4/22/2013 assumption: </t>
        </r>
        <r>
          <rPr>
            <sz val="8"/>
            <color indexed="81"/>
            <rFont val="Tahoma"/>
            <family val="2"/>
          </rPr>
          <t>Includes April 2013 $850M revolver draw</t>
        </r>
      </text>
    </comment>
    <comment ref="AL28" authorId="0">
      <text>
        <r>
          <rPr>
            <b/>
            <sz val="8"/>
            <color indexed="81"/>
            <rFont val="Tahoma"/>
            <family val="2"/>
          </rPr>
          <t xml:space="preserve">4/22/2013 assumption: </t>
        </r>
        <r>
          <rPr>
            <sz val="8"/>
            <color indexed="81"/>
            <rFont val="Tahoma"/>
            <family val="2"/>
          </rPr>
          <t>Includes April 2013 $850M revolver draw</t>
        </r>
      </text>
    </comment>
    <comment ref="AM28" authorId="0">
      <text>
        <r>
          <rPr>
            <b/>
            <sz val="8"/>
            <color indexed="81"/>
            <rFont val="Tahoma"/>
            <family val="2"/>
          </rPr>
          <t xml:space="preserve">4/22/2013 assumption: </t>
        </r>
        <r>
          <rPr>
            <sz val="8"/>
            <color indexed="81"/>
            <rFont val="Tahoma"/>
            <family val="2"/>
          </rPr>
          <t>Includes April 2013 $850M revolver draw</t>
        </r>
      </text>
    </comment>
    <comment ref="AH33" authorId="3">
      <text>
        <r>
          <rPr>
            <b/>
            <sz val="9"/>
            <color indexed="81"/>
            <rFont val="Tahoma"/>
            <family val="2"/>
          </rPr>
          <t xml:space="preserve">casselau:
2/23/17: In December we fully repaid the $162 million of outstanding borrowings from last quarter and made no additional draws on our ABL during the period. As such, our
liquidity position at the end of the year was approximately $2.8B.
In the second quarter we successfully refinanced our $2.2 billion real estate backed term loan that was previously due in 2018. This term loan was replaced in totality with a $1.7 billion term loan and a $500 million fixed rate secured bond, extending both maturities five years to 2023. With this refinance we achieved better pricing which lowered our interest expense by $24 million on an annualized basis. In the fourth quarter we completed the sale of our home office building and the surrounding 45 acres of land for a gross sale price of approximately $350 million before closing and transaction costs.
</t>
        </r>
        <r>
          <rPr>
            <sz val="9"/>
            <color indexed="81"/>
            <rFont val="Tahoma"/>
            <family val="2"/>
          </rPr>
          <t xml:space="preserve">
5/13/15: expect $300-500M debt reduction in 2016 + 2017</t>
        </r>
      </text>
    </comment>
    <comment ref="AI33" authorId="3">
      <text>
        <r>
          <rPr>
            <b/>
            <sz val="9"/>
            <color indexed="81"/>
            <rFont val="Tahoma"/>
            <family val="2"/>
          </rPr>
          <t>casselau:
2/23/17: As part of this we expect
the $220 million of borrowings that mature in the coming weeks to be paid with cash on hand at maturity</t>
        </r>
        <r>
          <rPr>
            <sz val="9"/>
            <color indexed="81"/>
            <rFont val="Tahoma"/>
            <family val="2"/>
          </rPr>
          <t xml:space="preserve">
5/13/15: expect $300-500M debt reduction in 2016 + 2017</t>
        </r>
      </text>
    </comment>
    <comment ref="AI34" authorId="1">
      <text>
        <r>
          <rPr>
            <b/>
            <sz val="9"/>
            <color indexed="81"/>
            <rFont val="Tahoma"/>
            <family val="2"/>
          </rPr>
          <t>De Courreges, Edouard (Research):</t>
        </r>
        <r>
          <rPr>
            <sz val="9"/>
            <color indexed="81"/>
            <rFont val="Tahoma"/>
            <family val="2"/>
          </rPr>
          <t xml:space="preserve">
+$10M Merchandise inventory
+$8M Accrued vacation pay
+$57M Gift cards
+$30M Stock based compensation
+$5M State taxes
+$44 Worker's comp/general liability
+$26M Accrued rent
+$3M Litigation exposure
+$8M Mirror savings plan
+$34M Pension and other retiree obligations
+$719 NOLs and tax credit carryforwards
+$48M other
-$767 Valuation Allowance
-$310M D&amp;A
-$31M Tax benefit transfers
-$27M Long lived intangible assets</t>
        </r>
      </text>
    </comment>
    <comment ref="B35" authorId="0">
      <text>
        <r>
          <rPr>
            <b/>
            <sz val="8"/>
            <color indexed="81"/>
            <rFont val="Tahoma"/>
            <family val="2"/>
          </rPr>
          <t>Includes pension</t>
        </r>
      </text>
    </comment>
    <comment ref="AI35" authorId="1">
      <text>
        <r>
          <rPr>
            <b/>
            <sz val="9"/>
            <color indexed="81"/>
            <rFont val="Tahoma"/>
            <family val="2"/>
          </rPr>
          <t>De Courreges, Edouard (Research):</t>
        </r>
        <r>
          <rPr>
            <sz val="9"/>
            <color indexed="81"/>
            <rFont val="Tahoma"/>
            <family val="2"/>
          </rPr>
          <t xml:space="preserve">
$153M Supplemental pension and postretirement benefit plan liabilities
$121M  Long term portion of workers' compensation and general liability insurance
$139 Deferred developer/tenant allowances
$97M Deferred rent liability
$15M Restructuring and management transition
$42M Other</t>
        </r>
      </text>
    </comment>
    <comment ref="AH44" authorId="1">
      <text>
        <r>
          <rPr>
            <b/>
            <sz val="9"/>
            <color indexed="81"/>
            <rFont val="Tahoma"/>
            <family val="2"/>
          </rPr>
          <t>De Courreges, Edouard (Research):</t>
        </r>
        <r>
          <rPr>
            <sz val="9"/>
            <color indexed="81"/>
            <rFont val="Tahoma"/>
            <family val="2"/>
          </rPr>
          <t xml:space="preserve">
</t>
        </r>
      </text>
    </comment>
    <comment ref="P46" authorId="4">
      <text>
        <r>
          <rPr>
            <b/>
            <sz val="8"/>
            <color indexed="81"/>
            <rFont val="Tahoma"/>
            <family val="2"/>
          </rPr>
          <t>-Adjustment for restated financials.  Restated CF was not provided.</t>
        </r>
      </text>
    </comment>
    <comment ref="AD79" authorId="0">
      <text>
        <r>
          <rPr>
            <b/>
            <sz val="8"/>
            <color indexed="81"/>
            <rFont val="Tahoma"/>
            <family val="2"/>
          </rPr>
          <t xml:space="preserve">8/11/2012 Note
</t>
        </r>
        <r>
          <rPr>
            <sz val="8"/>
            <color indexed="81"/>
            <rFont val="Tahoma"/>
            <family val="2"/>
          </rPr>
          <t>Tgting 13 wks inventory down from 17 wks 
Will add inventory in 3Q for holiday w/ inventory exiting 4Q $500M less vs. LY</t>
        </r>
        <r>
          <rPr>
            <b/>
            <sz val="8"/>
            <color indexed="81"/>
            <rFont val="Tahoma"/>
            <family val="2"/>
          </rPr>
          <t xml:space="preserve">
5/16/2012 Guidance
</t>
        </r>
        <r>
          <rPr>
            <sz val="8"/>
            <color indexed="81"/>
            <rFont val="Tahoma"/>
            <family val="2"/>
          </rPr>
          <t>1) Plan to reduce inventory from 17 weeks of supply to 13 weeks ($500M of savings benefit) in 2012</t>
        </r>
      </text>
    </comment>
    <comment ref="AF88" authorId="5">
      <text>
        <r>
          <rPr>
            <b/>
            <sz val="9"/>
            <color indexed="81"/>
            <rFont val="Tahoma"/>
            <family val="2"/>
          </rPr>
          <t xml:space="preserve">11/12/14: </t>
        </r>
        <r>
          <rPr>
            <sz val="9"/>
            <color indexed="81"/>
            <rFont val="Tahoma"/>
            <family val="2"/>
          </rPr>
          <t xml:space="preserve">to be down high mid single digits
</t>
        </r>
      </text>
    </comment>
  </commentList>
</comments>
</file>

<file path=xl/comments14.xml><?xml version="1.0" encoding="utf-8"?>
<comments xmlns="http://schemas.openxmlformats.org/spreadsheetml/2006/main">
  <authors>
    <author>De Courreges, Edouard (Research)</author>
  </authors>
  <commentList>
    <comment ref="AB153" authorId="0">
      <text>
        <r>
          <rPr>
            <b/>
            <sz val="9"/>
            <color indexed="81"/>
            <rFont val="Tahoma"/>
            <family val="2"/>
          </rPr>
          <t>De Courreges, Edouard (Research):</t>
        </r>
        <r>
          <rPr>
            <sz val="9"/>
            <color indexed="81"/>
            <rFont val="Tahoma"/>
            <family val="2"/>
          </rPr>
          <t xml:space="preserve">
</t>
        </r>
      </text>
    </comment>
    <comment ref="H154" authorId="0">
      <text>
        <r>
          <rPr>
            <b/>
            <sz val="9"/>
            <color indexed="81"/>
            <rFont val="Tahoma"/>
            <family val="2"/>
          </rPr>
          <t>De Courreges, Edouard (Research):</t>
        </r>
        <r>
          <rPr>
            <sz val="9"/>
            <color indexed="81"/>
            <rFont val="Tahoma"/>
            <family val="2"/>
          </rPr>
          <t xml:space="preserve">
3/2/18: Expect inventory -MSD by end of the year</t>
        </r>
      </text>
    </comment>
  </commentList>
</comments>
</file>

<file path=xl/comments15.xml><?xml version="1.0" encoding="utf-8"?>
<comments xmlns="http://schemas.openxmlformats.org/spreadsheetml/2006/main">
  <authors>
    <author>jdieter</author>
    <author>Leon Michaelides</author>
    <author>Vincent Mellet</author>
    <author>balskyh</author>
    <author>cuomochr</author>
    <author>leechi</author>
  </authors>
  <commentList>
    <comment ref="J3" authorId="0">
      <text>
        <r>
          <rPr>
            <b/>
            <sz val="8"/>
            <color indexed="81"/>
            <rFont val="Tahoma"/>
            <family val="2"/>
          </rPr>
          <t>Reset Lease template in 2003 due to signficant changes in leases following Eckerd sale.</t>
        </r>
      </text>
    </comment>
    <comment ref="C20" authorId="1">
      <text>
        <r>
          <rPr>
            <b/>
            <sz val="8"/>
            <color indexed="81"/>
            <rFont val="Tahoma"/>
            <family val="2"/>
          </rPr>
          <t>Leon Michaelides:</t>
        </r>
        <r>
          <rPr>
            <sz val="8"/>
            <color indexed="81"/>
            <rFont val="Tahoma"/>
            <family val="2"/>
          </rPr>
          <t xml:space="preserve">
This is assuming that the take on portfolio of leases is on average half way through their life.   Use the simple example to calculate what % this will be using the same assumptions as in the first year for this model.</t>
        </r>
      </text>
    </comment>
    <comment ref="J20" authorId="1">
      <text>
        <r>
          <rPr>
            <b/>
            <sz val="8"/>
            <color indexed="81"/>
            <rFont val="Tahoma"/>
            <family val="2"/>
          </rPr>
          <t>Leon Michaelides:</t>
        </r>
        <r>
          <rPr>
            <sz val="8"/>
            <color indexed="81"/>
            <rFont val="Tahoma"/>
            <family val="2"/>
          </rPr>
          <t xml:space="preserve">
This is assuming that the take on portfolio of leases is on average half way through their life.   Use the simple example to calculate what % this will be using the same assumptions as in the first year for this model.</t>
        </r>
      </text>
    </comment>
    <comment ref="B37" authorId="1">
      <text>
        <r>
          <rPr>
            <b/>
            <sz val="8"/>
            <color indexed="81"/>
            <rFont val="Tahoma"/>
            <family val="2"/>
          </rPr>
          <t>Leon Michaelides:</t>
        </r>
        <r>
          <rPr>
            <sz val="8"/>
            <color indexed="81"/>
            <rFont val="Tahoma"/>
            <family val="2"/>
          </rPr>
          <t xml:space="preserve">
If the company only begins using operating leases during the historical periods included in the template then for first year set weighted average interest rate equal to the interest implicit in new leases signed.</t>
        </r>
      </text>
    </comment>
    <comment ref="J37" authorId="0">
      <text>
        <r>
          <rPr>
            <b/>
            <sz val="8"/>
            <color indexed="81"/>
            <rFont val="Tahoma"/>
            <family val="2"/>
          </rPr>
          <t>Per 10K, weighted average interest rate is 9.2%</t>
        </r>
        <r>
          <rPr>
            <sz val="8"/>
            <color indexed="81"/>
            <rFont val="Tahoma"/>
            <family val="2"/>
          </rPr>
          <t xml:space="preserve">
</t>
        </r>
      </text>
    </comment>
    <comment ref="K37" authorId="0">
      <text>
        <r>
          <rPr>
            <b/>
            <sz val="8"/>
            <color indexed="81"/>
            <rFont val="Tahoma"/>
            <family val="2"/>
          </rPr>
          <t>Per 10K, weighted average interest rate is 9.0%</t>
        </r>
        <r>
          <rPr>
            <sz val="8"/>
            <color indexed="81"/>
            <rFont val="Tahoma"/>
            <family val="2"/>
          </rPr>
          <t xml:space="preserve">
</t>
        </r>
      </text>
    </comment>
    <comment ref="L37" authorId="0">
      <text>
        <r>
          <rPr>
            <b/>
            <sz val="8"/>
            <color indexed="81"/>
            <rFont val="Tahoma"/>
            <family val="2"/>
          </rPr>
          <t>Per 10K, weighted average interest rate is 8.1%</t>
        </r>
        <r>
          <rPr>
            <sz val="8"/>
            <color indexed="81"/>
            <rFont val="Tahoma"/>
            <family val="2"/>
          </rPr>
          <t xml:space="preserve">
</t>
        </r>
      </text>
    </comment>
    <comment ref="M37" authorId="0">
      <text>
        <r>
          <rPr>
            <b/>
            <sz val="8"/>
            <color indexed="81"/>
            <rFont val="Tahoma"/>
            <family val="2"/>
          </rPr>
          <t>Per 10K, JCP provides weighted average interest rate of 7.8%</t>
        </r>
        <r>
          <rPr>
            <sz val="8"/>
            <color indexed="81"/>
            <rFont val="Tahoma"/>
            <family val="2"/>
          </rPr>
          <t xml:space="preserve">
</t>
        </r>
      </text>
    </comment>
    <comment ref="N37" authorId="0">
      <text>
        <r>
          <rPr>
            <b/>
            <sz val="8"/>
            <color indexed="81"/>
            <rFont val="Tahoma"/>
            <family val="2"/>
          </rPr>
          <t>Per 10K, JCP provides weighted average interest rate of 7.3%</t>
        </r>
        <r>
          <rPr>
            <sz val="8"/>
            <color indexed="81"/>
            <rFont val="Tahoma"/>
            <family val="2"/>
          </rPr>
          <t xml:space="preserve">
</t>
        </r>
      </text>
    </comment>
    <comment ref="O37" authorId="0">
      <text>
        <r>
          <rPr>
            <b/>
            <sz val="8"/>
            <color indexed="81"/>
            <rFont val="Tahoma"/>
            <family val="2"/>
          </rPr>
          <t>Per 10K, JCP provides weighted average interest rate of 7.3%</t>
        </r>
        <r>
          <rPr>
            <sz val="8"/>
            <color indexed="81"/>
            <rFont val="Tahoma"/>
            <family val="2"/>
          </rPr>
          <t xml:space="preserve">
</t>
        </r>
      </text>
    </comment>
    <comment ref="B38" authorId="2">
      <text>
        <r>
          <rPr>
            <b/>
            <sz val="8"/>
            <color indexed="81"/>
            <rFont val="Tahoma"/>
            <family val="2"/>
          </rPr>
          <t>Vincent Mellet:</t>
        </r>
        <r>
          <rPr>
            <sz val="8"/>
            <color indexed="81"/>
            <rFont val="Tahoma"/>
            <family val="2"/>
          </rPr>
          <t xml:space="preserve">
5 Year T-note</t>
        </r>
      </text>
    </comment>
    <comment ref="R38" authorId="3">
      <text>
        <r>
          <rPr>
            <b/>
            <sz val="8"/>
            <color indexed="81"/>
            <rFont val="Tahoma"/>
            <family val="2"/>
          </rPr>
          <t>Assumes 3% given that 5-yr treasuries currently trading at all-time lows</t>
        </r>
      </text>
    </comment>
    <comment ref="P39" authorId="4">
      <text>
        <r>
          <rPr>
            <b/>
            <sz val="8"/>
            <color indexed="81"/>
            <rFont val="Tahoma"/>
            <family val="2"/>
          </rPr>
          <t>10K, p. 78</t>
        </r>
      </text>
    </comment>
    <comment ref="Q39" authorId="4">
      <text>
        <r>
          <rPr>
            <b/>
            <sz val="8"/>
            <color indexed="81"/>
            <rFont val="Tahoma"/>
            <family val="2"/>
          </rPr>
          <t>10K, p. 73, F-22</t>
        </r>
      </text>
    </comment>
    <comment ref="R39" authorId="3">
      <text>
        <r>
          <rPr>
            <b/>
            <sz val="8"/>
            <color indexed="81"/>
            <rFont val="Tahoma"/>
            <family val="2"/>
          </rPr>
          <t>Per 2011 10K, pg F-26</t>
        </r>
      </text>
    </comment>
    <comment ref="B41" authorId="1">
      <text>
        <r>
          <rPr>
            <b/>
            <sz val="8"/>
            <color indexed="81"/>
            <rFont val="Tahoma"/>
            <family val="2"/>
          </rPr>
          <t>Leon Michaelides:</t>
        </r>
        <r>
          <rPr>
            <sz val="8"/>
            <color indexed="81"/>
            <rFont val="Tahoma"/>
            <family val="2"/>
          </rPr>
          <t xml:space="preserve">
Use as an alternate method of forecasting lease payments.  Or if disclosures are available then use as a sensibility check on forecast lease payments.  </t>
        </r>
      </text>
    </comment>
    <comment ref="Q41" authorId="4">
      <text>
        <r>
          <rPr>
            <b/>
            <sz val="8"/>
            <color indexed="81"/>
            <rFont val="Tahoma"/>
            <family val="2"/>
          </rPr>
          <t>10K, p.10</t>
        </r>
        <r>
          <rPr>
            <sz val="8"/>
            <color indexed="81"/>
            <rFont val="Tahoma"/>
            <family val="2"/>
          </rPr>
          <t xml:space="preserve">
</t>
        </r>
      </text>
    </comment>
    <comment ref="R41" authorId="4">
      <text>
        <r>
          <rPr>
            <b/>
            <sz val="8"/>
            <color indexed="81"/>
            <rFont val="Tahoma"/>
            <family val="2"/>
          </rPr>
          <t>10K, p.11 (includes 121 Ground Leases)</t>
        </r>
      </text>
    </comment>
    <comment ref="B45" authorId="1">
      <text>
        <r>
          <rPr>
            <b/>
            <sz val="8"/>
            <color indexed="81"/>
            <rFont val="Tahoma"/>
            <family val="2"/>
          </rPr>
          <t>Leon Michaelides:</t>
        </r>
        <r>
          <rPr>
            <sz val="8"/>
            <color indexed="81"/>
            <rFont val="Tahoma"/>
            <family val="2"/>
          </rPr>
          <t xml:space="preserve">
Use as an alternate method of forecasting lease payments.  Or if disclosures are available then use as a sensibility check on forecast lease payments.  </t>
        </r>
      </text>
    </comment>
    <comment ref="M45" authorId="0">
      <text>
        <r>
          <rPr>
            <b/>
            <sz val="8"/>
            <color indexed="81"/>
            <rFont val="Tahoma"/>
            <family val="2"/>
          </rPr>
          <t>Estimated that % of leased gross square footage = % of leased stores</t>
        </r>
        <r>
          <rPr>
            <sz val="8"/>
            <color indexed="81"/>
            <rFont val="Tahoma"/>
            <family val="2"/>
          </rPr>
          <t xml:space="preserve">
</t>
        </r>
      </text>
    </comment>
    <comment ref="B49" authorId="1">
      <text>
        <r>
          <rPr>
            <b/>
            <sz val="8"/>
            <color indexed="81"/>
            <rFont val="Tahoma"/>
            <family val="2"/>
          </rPr>
          <t>Leon Michaelides:</t>
        </r>
        <r>
          <rPr>
            <sz val="8"/>
            <color indexed="81"/>
            <rFont val="Tahoma"/>
            <family val="2"/>
          </rPr>
          <t xml:space="preserve">
An option if disclosure is available is to forecast lease payments per number of leased units.</t>
        </r>
      </text>
    </comment>
    <comment ref="B52" authorId="1">
      <text>
        <r>
          <rPr>
            <b/>
            <sz val="8"/>
            <color indexed="81"/>
            <rFont val="Tahoma"/>
            <family val="2"/>
          </rPr>
          <t>Leon Michaelides:</t>
        </r>
        <r>
          <rPr>
            <sz val="8"/>
            <color indexed="81"/>
            <rFont val="Tahoma"/>
            <family val="2"/>
          </rPr>
          <t xml:space="preserve">
Present Value of the Increase in lease payments each year.  This is the PV of new leases signed and is equavilent to the capital spending financed through operating leases.
Either use an assumed growth rate or forecast capex explicitly.</t>
        </r>
      </text>
    </comment>
    <comment ref="B53" authorId="1">
      <text>
        <r>
          <rPr>
            <b/>
            <sz val="8"/>
            <color indexed="81"/>
            <rFont val="Tahoma"/>
            <family val="2"/>
          </rPr>
          <t>Leon Michaelides:</t>
        </r>
        <r>
          <rPr>
            <sz val="8"/>
            <color indexed="81"/>
            <rFont val="Tahoma"/>
            <family val="2"/>
          </rPr>
          <t xml:space="preserve">
Use as an alternate method of forecasting lease payments. </t>
        </r>
      </text>
    </comment>
    <comment ref="B58" authorId="1">
      <text>
        <r>
          <rPr>
            <b/>
            <sz val="8"/>
            <color indexed="81"/>
            <rFont val="Tahoma"/>
            <family val="2"/>
          </rPr>
          <t>Leon Michaelides:</t>
        </r>
        <r>
          <rPr>
            <sz val="8"/>
            <color indexed="81"/>
            <rFont val="Tahoma"/>
            <family val="2"/>
          </rPr>
          <t xml:space="preserve">
non cancelable leases only</t>
        </r>
      </text>
    </comment>
    <comment ref="J60" authorId="0">
      <text>
        <r>
          <rPr>
            <b/>
            <sz val="8"/>
            <color indexed="81"/>
            <rFont val="Tahoma"/>
            <family val="2"/>
          </rPr>
          <t>Cumulative payment of 397M reported in 10K appears too low compared to later years.  We speculate that company may not be including lease renewals, which it includes in later periods.  As a result, we estimate the cumulative payment (including lease renewals)by multiplying the last minimum lease payment by # of years in remaining duration of reported lease payments.</t>
        </r>
      </text>
    </comment>
    <comment ref="K60" authorId="0">
      <text>
        <r>
          <rPr>
            <b/>
            <sz val="8"/>
            <color indexed="81"/>
            <rFont val="Tahoma"/>
            <family val="2"/>
          </rPr>
          <t>Cumulative payment of 415M appears too low compared to later years.  We speculate that company may not be including lease renewals, which it includes in later periods.  As a result, we estimate the cumulative payment (including lease renewals) by multiplying last minimum lease payment by # of years in remaining duration of reported lease payments.</t>
        </r>
      </text>
    </comment>
    <comment ref="Q60" authorId="4">
      <text>
        <r>
          <rPr>
            <b/>
            <sz val="8"/>
            <color indexed="81"/>
            <rFont val="Tahoma"/>
            <family val="2"/>
          </rPr>
          <t>10K, p. 36</t>
        </r>
        <r>
          <rPr>
            <sz val="8"/>
            <color indexed="81"/>
            <rFont val="Tahoma"/>
            <family val="2"/>
          </rPr>
          <t xml:space="preserve">
</t>
        </r>
      </text>
    </comment>
    <comment ref="R60" authorId="4">
      <text>
        <r>
          <rPr>
            <b/>
            <sz val="8"/>
            <color indexed="81"/>
            <rFont val="Tahoma"/>
            <family val="2"/>
          </rPr>
          <t>10K, p. F-26</t>
        </r>
      </text>
    </comment>
    <comment ref="J63" authorId="5">
      <text>
        <r>
          <rPr>
            <b/>
            <sz val="8"/>
            <color indexed="81"/>
            <rFont val="Tahoma"/>
            <family val="2"/>
          </rPr>
          <t xml:space="preserve">The Company conducts the major part of its operations from leased premises that include retail stores, store distribution centers, warehouses, offices and other facilities. Almost all leases will expire during the next </t>
        </r>
        <r>
          <rPr>
            <b/>
            <u/>
            <sz val="8"/>
            <color indexed="81"/>
            <rFont val="Tahoma"/>
            <family val="2"/>
          </rPr>
          <t>20 years</t>
        </r>
        <r>
          <rPr>
            <b/>
            <sz val="8"/>
            <color indexed="81"/>
            <rFont val="Tahoma"/>
            <family val="2"/>
          </rPr>
          <t>; however, most leases will be renewed or replaced by leases on other premises. JCPenney also leases data processing equipment and other personal property under operating leases of primarily three to five years.</t>
        </r>
        <r>
          <rPr>
            <sz val="8"/>
            <color indexed="81"/>
            <rFont val="Tahoma"/>
            <family val="2"/>
          </rPr>
          <t xml:space="preserve">
</t>
        </r>
      </text>
    </comment>
    <comment ref="K63" authorId="5">
      <text>
        <r>
          <rPr>
            <b/>
            <sz val="8"/>
            <color indexed="81"/>
            <rFont val="Tahoma"/>
            <family val="2"/>
          </rPr>
          <t xml:space="preserve">The Company conducts the major part of its operations from leased premises that include retail stores, store distribution centers, warehouses, offices and other facilities. Almost all leases will expire during the next </t>
        </r>
        <r>
          <rPr>
            <b/>
            <u/>
            <sz val="8"/>
            <color indexed="81"/>
            <rFont val="Tahoma"/>
            <family val="2"/>
          </rPr>
          <t>20 years</t>
        </r>
        <r>
          <rPr>
            <b/>
            <sz val="8"/>
            <color indexed="81"/>
            <rFont val="Tahoma"/>
            <family val="2"/>
          </rPr>
          <t>; however, most leases will be renewed or replaced by leases on other premises. JCPenney also leases data processing equipment and other personal property under operating leases of primarily three to five years.</t>
        </r>
        <r>
          <rPr>
            <sz val="8"/>
            <color indexed="81"/>
            <rFont val="Tahoma"/>
            <family val="2"/>
          </rPr>
          <t xml:space="preserve">
</t>
        </r>
      </text>
    </comment>
    <comment ref="L63" authorId="5">
      <text>
        <r>
          <rPr>
            <b/>
            <sz val="8"/>
            <color indexed="81"/>
            <rFont val="Tahoma"/>
            <family val="2"/>
          </rPr>
          <t xml:space="preserve">The Company conducts the major part of its operations from leased premises that include retail stores, store distribution centers, warehouses, offices and other facilities. Almost all leases will expire during the next </t>
        </r>
        <r>
          <rPr>
            <b/>
            <u/>
            <sz val="8"/>
            <color indexed="81"/>
            <rFont val="Tahoma"/>
            <family val="2"/>
          </rPr>
          <t>20 years</t>
        </r>
        <r>
          <rPr>
            <b/>
            <sz val="8"/>
            <color indexed="81"/>
            <rFont val="Tahoma"/>
            <family val="2"/>
          </rPr>
          <t>; however, most leases will be renewed or replaced by leases on other premises. JCPenney also leases data processing equipment and other personal property under operating leases of primarily three to five years.</t>
        </r>
        <r>
          <rPr>
            <sz val="8"/>
            <color indexed="81"/>
            <rFont val="Tahoma"/>
            <family val="2"/>
          </rPr>
          <t xml:space="preserve">
</t>
        </r>
      </text>
    </comment>
    <comment ref="M63" authorId="5">
      <text>
        <r>
          <rPr>
            <b/>
            <sz val="8"/>
            <color indexed="81"/>
            <rFont val="Tahoma"/>
            <family val="2"/>
          </rPr>
          <t xml:space="preserve">The Company conducts the major part of its operations from leased premises that include retail stores, store distribution centers, warehouses, offices and other facilities. Almost all leases will expire during the next </t>
        </r>
        <r>
          <rPr>
            <b/>
            <u/>
            <sz val="8"/>
            <color indexed="81"/>
            <rFont val="Tahoma"/>
            <family val="2"/>
          </rPr>
          <t>20 years</t>
        </r>
        <r>
          <rPr>
            <b/>
            <sz val="8"/>
            <color indexed="81"/>
            <rFont val="Tahoma"/>
            <family val="2"/>
          </rPr>
          <t>; however, most leases will be renewed or replaced by leases on other premises. JCPenney also leases data processing equipment and other personal property under operating leases of primarily three to five years.</t>
        </r>
        <r>
          <rPr>
            <sz val="8"/>
            <color indexed="81"/>
            <rFont val="Tahoma"/>
            <family val="2"/>
          </rPr>
          <t xml:space="preserve">
</t>
        </r>
      </text>
    </comment>
    <comment ref="N63" authorId="5">
      <text>
        <r>
          <rPr>
            <b/>
            <sz val="8"/>
            <color indexed="81"/>
            <rFont val="Tahoma"/>
            <family val="2"/>
          </rPr>
          <t xml:space="preserve">The Company conducts the major part of its operations from leased premises that include retail stores, store distribution centers, warehouses, offices and other facilities. Almost all leases will expire during the next </t>
        </r>
        <r>
          <rPr>
            <b/>
            <u/>
            <sz val="8"/>
            <color indexed="81"/>
            <rFont val="Tahoma"/>
            <family val="2"/>
          </rPr>
          <t>20 years</t>
        </r>
        <r>
          <rPr>
            <b/>
            <sz val="8"/>
            <color indexed="81"/>
            <rFont val="Tahoma"/>
            <family val="2"/>
          </rPr>
          <t>; however, most leases will be renewed or replaced by leases on other premises. JCPenney also leases data processing equipment and other personal property under operating leases of primarily three to five years.</t>
        </r>
        <r>
          <rPr>
            <sz val="8"/>
            <color indexed="81"/>
            <rFont val="Tahoma"/>
            <family val="2"/>
          </rPr>
          <t xml:space="preserve">
</t>
        </r>
      </text>
    </comment>
    <comment ref="O63" authorId="5">
      <text>
        <r>
          <rPr>
            <b/>
            <sz val="8"/>
            <color indexed="81"/>
            <rFont val="Tahoma"/>
            <family val="2"/>
          </rPr>
          <t xml:space="preserve">The Company conducts the major part of its operations from leased premises that include retail stores, store distribution centers, warehouses, offices and other facilities. Almost all leases will expire during the next </t>
        </r>
        <r>
          <rPr>
            <b/>
            <u/>
            <sz val="8"/>
            <color indexed="81"/>
            <rFont val="Tahoma"/>
            <family val="2"/>
          </rPr>
          <t>20 years</t>
        </r>
        <r>
          <rPr>
            <b/>
            <sz val="8"/>
            <color indexed="81"/>
            <rFont val="Tahoma"/>
            <family val="2"/>
          </rPr>
          <t>; however, most leases will be renewed or replaced by leases on other premises. JCPenney also leases data processing equipment and other personal property under operating leases of primarily three to five years.</t>
        </r>
        <r>
          <rPr>
            <sz val="8"/>
            <color indexed="81"/>
            <rFont val="Tahoma"/>
            <family val="2"/>
          </rPr>
          <t xml:space="preserve">
</t>
        </r>
      </text>
    </comment>
    <comment ref="P63" authorId="5">
      <text>
        <r>
          <rPr>
            <b/>
            <sz val="8"/>
            <color indexed="81"/>
            <rFont val="Tahoma"/>
            <family val="2"/>
          </rPr>
          <t xml:space="preserve">The Company conducts the major part of its operations from leased premises that include retail stores, store distribution centers, warehouses, offices and other facilities. Almost all leases will expire during the next </t>
        </r>
        <r>
          <rPr>
            <b/>
            <u/>
            <sz val="8"/>
            <color indexed="81"/>
            <rFont val="Tahoma"/>
            <family val="2"/>
          </rPr>
          <t>20 years</t>
        </r>
        <r>
          <rPr>
            <b/>
            <sz val="8"/>
            <color indexed="81"/>
            <rFont val="Tahoma"/>
            <family val="2"/>
          </rPr>
          <t>; however, most leases will be renewed or replaced by leases on other premises. JCPenney also leases data processing equipment and other personal property under operating leases of primarily three to five years.</t>
        </r>
        <r>
          <rPr>
            <sz val="8"/>
            <color indexed="81"/>
            <rFont val="Tahoma"/>
            <family val="2"/>
          </rPr>
          <t xml:space="preserve">
</t>
        </r>
      </text>
    </comment>
    <comment ref="Q63" authorId="5">
      <text>
        <r>
          <rPr>
            <b/>
            <sz val="8"/>
            <color indexed="81"/>
            <rFont val="Tahoma"/>
            <family val="2"/>
          </rPr>
          <t xml:space="preserve">The Company conducts the major part of its operations from leased premises that include retail stores, store distribution centers, warehouses, offices and other facilities. Almost all leases will expire during the next </t>
        </r>
        <r>
          <rPr>
            <b/>
            <u/>
            <sz val="8"/>
            <color indexed="81"/>
            <rFont val="Tahoma"/>
            <family val="2"/>
          </rPr>
          <t>20 years</t>
        </r>
        <r>
          <rPr>
            <b/>
            <sz val="8"/>
            <color indexed="81"/>
            <rFont val="Tahoma"/>
            <family val="2"/>
          </rPr>
          <t>; however, most leases will be renewed or replaced by leases on other premises. JCPenney also leases data processing equipment and other personal property under operating leases of primarily three to five years.</t>
        </r>
        <r>
          <rPr>
            <sz val="8"/>
            <color indexed="81"/>
            <rFont val="Tahoma"/>
            <family val="2"/>
          </rPr>
          <t xml:space="preserve">
</t>
        </r>
      </text>
    </comment>
    <comment ref="C68" authorId="5">
      <text>
        <r>
          <rPr>
            <b/>
            <sz val="8"/>
            <color indexed="81"/>
            <rFont val="Tahoma"/>
            <family val="2"/>
          </rPr>
          <t>Reflects only minimum rent expense  (Rent expense for real property - contingent rent)</t>
        </r>
      </text>
    </comment>
    <comment ref="D68" authorId="5">
      <text>
        <r>
          <rPr>
            <b/>
            <sz val="8"/>
            <color indexed="81"/>
            <rFont val="Tahoma"/>
            <family val="2"/>
          </rPr>
          <t>Reflects only minimum rent expense  (Rent expense for real property - contingent rent)</t>
        </r>
      </text>
    </comment>
    <comment ref="E68" authorId="5">
      <text>
        <r>
          <rPr>
            <b/>
            <sz val="8"/>
            <color indexed="81"/>
            <rFont val="Tahoma"/>
            <family val="2"/>
          </rPr>
          <t>Reflects only minimum rent expense  (Rent expense for real property - contingent rent)</t>
        </r>
      </text>
    </comment>
    <comment ref="F68" authorId="5">
      <text>
        <r>
          <rPr>
            <b/>
            <sz val="8"/>
            <color indexed="81"/>
            <rFont val="Tahoma"/>
            <family val="2"/>
          </rPr>
          <t>Reflects only minimum rent expense  (Rent expense for real property - contingent rent)</t>
        </r>
      </text>
    </comment>
    <comment ref="G68" authorId="5">
      <text>
        <r>
          <rPr>
            <b/>
            <sz val="8"/>
            <color indexed="81"/>
            <rFont val="Tahoma"/>
            <family val="2"/>
          </rPr>
          <t>Reflects only minimum rent expense  (Rent expense for real property - contingent rent)</t>
        </r>
      </text>
    </comment>
    <comment ref="H68" authorId="5">
      <text>
        <r>
          <rPr>
            <b/>
            <sz val="8"/>
            <color indexed="81"/>
            <rFont val="Tahoma"/>
            <family val="2"/>
          </rPr>
          <t>Reflects only minimum rent expense  (Rent expense for real property - contingent rent)</t>
        </r>
      </text>
    </comment>
    <comment ref="I68" authorId="5">
      <text>
        <r>
          <rPr>
            <b/>
            <sz val="8"/>
            <color indexed="81"/>
            <rFont val="Tahoma"/>
            <family val="2"/>
          </rPr>
          <t>Reflects only minimum rent expense  (Rent expense for real property - contingent rent)</t>
        </r>
      </text>
    </comment>
    <comment ref="J68" authorId="5">
      <text>
        <r>
          <rPr>
            <b/>
            <sz val="8"/>
            <color indexed="81"/>
            <rFont val="Tahoma"/>
            <family val="2"/>
          </rPr>
          <t>Reflects only minimum rent expense  (Rent expense for real property - contingent rent)</t>
        </r>
      </text>
    </comment>
    <comment ref="K68" authorId="5">
      <text>
        <r>
          <rPr>
            <b/>
            <sz val="8"/>
            <color indexed="81"/>
            <rFont val="Tahoma"/>
            <family val="2"/>
          </rPr>
          <t>Reflects only minimum rent expense  (Rent expense for real property - contingent rent)</t>
        </r>
      </text>
    </comment>
    <comment ref="L68" authorId="5">
      <text>
        <r>
          <rPr>
            <b/>
            <sz val="8"/>
            <color indexed="81"/>
            <rFont val="Tahoma"/>
            <family val="2"/>
          </rPr>
          <t>Reflects only minimum rent expense  (Real property base rent and straight-lined step rent expense)</t>
        </r>
      </text>
    </comment>
    <comment ref="M68" authorId="5">
      <text>
        <r>
          <rPr>
            <b/>
            <sz val="8"/>
            <color indexed="81"/>
            <rFont val="Tahoma"/>
            <family val="2"/>
          </rPr>
          <t>Reflects only minimum rent expense  (Real property base rent and straight-lined step rent expense)</t>
        </r>
      </text>
    </comment>
    <comment ref="N68" authorId="5">
      <text>
        <r>
          <rPr>
            <b/>
            <sz val="8"/>
            <color indexed="81"/>
            <rFont val="Tahoma"/>
            <family val="2"/>
          </rPr>
          <t>Reflects only minimum rent expense  (Real property base rent and straight-lined step rent expense)</t>
        </r>
      </text>
    </comment>
    <comment ref="Q68" authorId="4">
      <text>
        <r>
          <rPr>
            <b/>
            <sz val="8"/>
            <color indexed="81"/>
            <rFont val="Tahoma"/>
            <family val="2"/>
          </rPr>
          <t>10K, p.73</t>
        </r>
        <r>
          <rPr>
            <sz val="8"/>
            <color indexed="81"/>
            <rFont val="Tahoma"/>
            <family val="2"/>
          </rPr>
          <t xml:space="preserve">
</t>
        </r>
      </text>
    </comment>
    <comment ref="C141" authorId="1">
      <text>
        <r>
          <rPr>
            <b/>
            <sz val="8"/>
            <color indexed="81"/>
            <rFont val="Tahoma"/>
            <family val="2"/>
          </rPr>
          <t>Leon Michaelides:</t>
        </r>
        <r>
          <rPr>
            <sz val="8"/>
            <color indexed="81"/>
            <rFont val="Tahoma"/>
            <family val="2"/>
          </rPr>
          <t xml:space="preserve">
factor to apply to smooth depreciation of the take on carrying value of leased assets.  This is to depreciate them on a reducing balance method to similate a portfolio where leases would roll off over time.</t>
        </r>
      </text>
    </comment>
  </commentList>
</comments>
</file>

<file path=xl/comments16.xml><?xml version="1.0" encoding="utf-8"?>
<comments xmlns="http://schemas.openxmlformats.org/spreadsheetml/2006/main">
  <authors>
    <author>sancfa</author>
  </authors>
  <commentList>
    <comment ref="A1" authorId="0">
      <text>
        <r>
          <rPr>
            <b/>
            <sz val="8"/>
            <color indexed="81"/>
            <rFont val="Tahoma"/>
            <family val="2"/>
          </rPr>
          <t>卟䙄_x0001_＀＀䷧\啌啌坞当䕒呎䱁佟彐卌彅塅⡐㄰㈯〰ⰸ㄰㈯〰ⰸⰬ䌬䑁䀩䅃剟彔䕒呎䵟义䕟偘〨⼱〲㠰〬⼱〲㠰ⰬⰬ䅃⥄_x0018_＀＀_x0018_＀＀_x0008_＀＀_x0001_＀＀_x0001_＀＀豀碵꼝쐕䷧&amp;啌啌坞当义彔䅒䕔㕟䅙䝖〨⼱〲㠰ⰬⰬ䅃⥄_x0018_＀＀_x0018_＀＀_x0008_＀＀_x0001_＀＀_x0001_＀＀豀碵꼝쐕䷧_x000F_啌啌坞当佃也䵁책1＀＀_x0018_＀＀!＀＀_x0001_＀＀_x0008_＀＀啌啌䕌位⁎呁䱈呅䍉⁁义佃偒剏呁䑅찀䷧\啌啌坞当䕒呎䱁佟彐卌彅塅⡐㄰㈯〰ⰷ㄰㈯〰ⰷⰬ䌬䑁䀩䅃剟彔䕒呎䵟义䕟偘〨⼱〲㜰〬⼱〲㜰ⰬⰬ䅃⥄_x0018_＀＀_x0018_＀＀_x0008_＀＀_x0001_＀＀_x0001_＀＀豀碵꼝쐕_xDF52_仧_x0014_刣晥敲桳帣南䍟彏䅎䕍_x0014_＀＀_x0018_＀＀_x0004_＀＀_x0001_＀＀_x0008_＀＀乀A䷧&amp;啌啌坞当义彔䅒䕔㕟䅙䝖〨⼱〲㌰ⰬⰬ䅃⥄_x0018_＀＀_x0018_＀＀_x0008_＀＀_x0001_＀＀_x0001_＀＀豀碵꼝쐕䷧_x0018_啌啌坞当奆⡃⤰䍀彁奆⡃⤰_x0018_＀＀_x0018_＀＀_x0008_＀＀_x0001_＀＀_x0008_＀＀㄰㈯㄰1䷧&amp;啌啌坞当义彔䅒䕔㕟䅙䝖〨⼱〲㤰ⰬⰬ䅃⥄_x0018_＀＀_x0018_＀＀_x0008_＀＀_x0001_＀＀_x0001_＀＀豀碵꼝쐕䷧&amp;啌啌坞当义彔䅒䕔㕟䅙䝖〨⼱〲㐰ⰬⰬ䅃⥄_x0018_＀＀_x0018_＀＀_x0008_＀＀_x0001_＀＀_x0001_＀＀豀碵꼝쐕䷧\啌啌坞当䕒呎䱁佟彐卌彅塅⡐㄰㈯〰ⰶ㄰㈯〰ⰶⰬ䌬䑁䀩䅃剟彔䕒呎䵟义䕟偘〨⼱〲㘰〬⼱〲㘰ⰬⰬ䅃⥄_x0018_＀＀_x0018_＀＀_x0008_＀＀_x0001_＀＀_x0001_＀＀豀碵꼝쐕䷧&amp;啌啌坞当义彔䅒䕔㕟䅙䝖〨⼱〲〱ⰬⰬ䅃⥄_x0018_＀＀_x0018_＀＀_x0008_＀＀_x0001_＀＀_x0001_＀＀豀碵꼝쐕䷧0啌啌坞当䕌十彅佃䵍呉奟ㅒ〨⼱〲㌰〬⼱〲㌰ⰬⰬ䅃⥄_x0018_＀＀_x0018_＀＀_x0008_＀＀_x0001_＀＀_x0001_＀＀豀碵꼝쐕䷧0啌啌坞当䕌十彅佃䵍呉奟ㅒ〨⼱〲㐰〬⼱〲㐰ⰬⰬ䅃⥄_x0018_＀＀_x0018_＀＀_x0008_＀＀_x0001_＀＀_x0001_＀＀豀碵꼝쐕䷧0啌啌坞当䕌十彅佃䵍呉奟ㅒ〨⼱〲㔰〬⼱〲㔰ⰬⰬ䅃⥄_x0018_＀＀_x0018_＀＀_x0008_＀＀_x0001_＀＀_x0001_＀＀豀碵꼝쐕䷧0啌啌坞当䕌十彅佃䵍呉奟ㅒ〨⼱〲㘰〬⼱〲㘰ⰬⰬ䅃⥄_x0018_＀＀_x0018_＀＀_x0008_＀＀_x0001_＀＀_x0001_＀＀豀碵꼝쐕䷧0啌啌坞当䕌十彅佃䵍呉奟ㅒ〨⼱〲㜰〬⼱〲㜰ⰬⰬ䅃⥄_x0018_＀＀_x0018_＀＀_x0008_＀＀_x0001_＀＀_x0001_＀＀଻矪븻䀤䷧0啌啌坞当䕌十彅佃䵍呉㕟剙〨⼱〲㌰〬⼱〲㌰ⰬⰬ䅃⥄_x0018_＀＀_x0018_＀＀_x0008_＀＀_x0001_＀＀_x0001_＀＀豀碵꼝쐕䷧0啌啌坞当䕌十彅佃䵍呉奟ㅒ〨⼱〲㠰〬⼱〲㠰ⰬⰬ䅃⥄_x0018_＀＀_x0018_＀＀_x0008_＀＀_x0001_＀＀_x0001_＀＀㦧앿䀰䷧0啌啌坞当䕌十彅佃䵍呉㕟剙〨⼱〲㐰〬⼱〲㐰ⰬⰬ䅃⥄_x0018_＀＀_x0018_＀＀_x0008_＀＀_x0001_＀＀_x0001_＀＀豀碵꼝쐕䷧0啌啌坞当䕌十彅佃䵍呉奟ㅒ〨⼱〲㤰〬⼱〲㤰ⰬⰬ䅃⥄_x0018_＀＀_x0018_＀＀_x0008_＀＀_x0001_＀＀_x0001_＀＀막揝춚䀽䷧0啌啌坞当䕌十彅佃䵍呉㕟剙〨⼱〲㔰〬⼱〲㔰ⰬⰬ䅃⥄_x0018_＀＀_x0018_＀＀_x0008_＀＀_x0001_＀＀_x0001_＀＀豀碵꼝쐕䷧0啌啌坞当䕌十彅佃䵍呉㕟剙〨⼱〲㘰〬⼱〲㘰ⰬⰬ䅃⥄_x0018_＀＀_x0018_＀＀_x0008_＀＀_x0001_＀＀_x0001_＀＀豀碵꼝쐕䷧0啌啌坞当䕌十彅佃䵍呉㕟剙〨⼱〲㜰〬⼱〲㜰ⰬⰬ䅃⥄_x0018_＀＀_x0018_＀＀_x0008_＀＀_x0001_＀＀_x0001_＀＀豀碵꼝쐕䷧0啌啌坞当䕌十彅佃䵍呉㕟剙〨⼱〲㠰〬⼱〲㠰ⰬⰬ䅃⥄_x0018_＀＀_x0018_＀＀_x0008_＀＀_x0001_＀＀_x0001_＀＀Ꮻ知޿䁔䷧0啌啌坞当䕌十彅佃䵍呉㕟剙〨⼱〲㤰〬⼱〲㤰ⰬⰬ䅃⥄_x0018_＀＀_x0018_＀＀_x0008_＀＀_x0001_＀＀_x0001_＀＀懢⨏Ꟈ䁜䷧0啌啌坞当䕌十彅佃䵍呉奟ㅒ〨⼱〲〱〬⼱〲〱ⰬⰬ䅃⥄_x0018_＀＀_x0018_＀＀_x0008_＀＀_x0001_＀＀_x0001_＀＀锭⎷麜䀿䷧0啌啌坞当䕌十彅佃䵍呉奟ㅒ〨⼱〲ㄱ〬⼱〲ㄱⰬⰬ䅃⥄_x0018_＀＀_x0018_＀＀_x0008_＀＀_x0001_＀＀_x0001_＀＀牠좣罚䁂䷧\啌啌坞当䕒呎䱁佟彐卌彅塅⡐㄰㈯〰ⰵ㄰㈯〰ⰵⰬ䌬䑁䀩䅃剟彔䕒呎䵟义䕟偘〨⼱〲㔰〬⼱〲㔰ⰬⰬ䅃⥄_x0018_＀＀_x0018_＀＀_x0008_＀＀_x0001_＀＀_x0001_＀＀豀碵꼝쐕䷧0啌啌坞当䕌十彅佃䵍呉㕟剙〨⼱〲〱〬⼱〲〱ⰬⰬ䅃⥄_x0018_＀＀_x0018_＀＀_x0008_＀＀_x0001_＀＀_x0001_＀＀녆틜_xDE6A_䁐䷧0啌啌坞当䕌十彅佃䵍呉奟㉒〨⼱〲㌰〬⼱〲㌰ⰬⰬ䅃⥄_x0018_＀＀_x0018_＀＀_x0008_＀＀_x0001_＀＀_x0001_＀＀豀碵꼝쐕䷧0啌啌坞当䕌十彅佃䵍呉㕟剙〨⼱〲ㄱ〬⼱〲ㄱⰬⰬ䅃⥄_x0018_＀＀_x0018_＀＀_x0008_＀＀_x0001_＀＀_x0001_＀＀澨펙≥䁒䷧0啌啌坞当䕌十彅佃䵍呉奟㉒〨⼱〲㐰〬⼱〲㐰ⰬⰬ䅃⥄_x0018_＀＀_x0018_＀＀_x0008_＀＀_x0001_＀＀_x0001_＀＀豀碵꼝쐕䷧0啌啌坞当䕌十彅佃䵍呉奟㉒〨⼱〲㔰〬⼱〲㔰ⰬⰬ䅃⥄_x0018_＀＀_x0018_＀＀_x0008_＀＀_x0001_＀＀_x0001_＀＀豀碵꼝쐕䷧0啌啌坞当䕌十彅佃䵍呉奟㉒〨⼱〲㘰〬⼱〲㘰ⰬⰬ䅃⥄_x0018_＀＀_x0018_＀＀_x0008_＀＀_x0001_＀＀_x0001_＀＀豀碵꼝쐕䷧0啌啌坞当䕌十彅佃䵍呉奟㉒〨⼱〲㜰〬⼱〲㜰ⰬⰬ䅃⥄_x0018_＀＀_x0018_＀＀_x0008_＀＀_x0001_＀＀_x0001_＀＀甁⥽䀧_xDF53_仧_x001D_刣晥敲桳帣南䙟䍙〨䀩䅃䙟䍙〨착_x0014_＀＀_x0018_＀＀_x0004_＀＀_x0001_＀＀_x0008_＀＀乀A䷧0啌啌坞当䕌十彅佃䵍呉奟㉒〨⼱〲㠰〬⼱〲㠰ⰬⰬ䅃⥄_x0018_＀＀_x0018_＀＀_x0008_＀＀_x0001_＀＀_x0001_＀＀倅ȩ⃞䀴䷧0啌啌坞当䕌十彅佃䵍呉奟㉒〨⼱〲㤰〬⼱〲㤰ⰬⰬ䅃⥄_x0018_＀＀_x0018_＀＀_x0008_＀＀_x0001_＀＀_x0001_＀＀ඐꜷ䀾䷧0啌啌坞当䕌十彅佃䵍呉奟㉒〨⼱〲〱〬⼱〲〱ⰬⰬ䅃⥄_x0018_＀＀_x0018_＀＀_x0008_＀＀_x0001_＀＀_x0001_＀＀寀䄠䏱䀿䷧0啌啌坞当䕌十彅佃䵍呉奟㉒〨⼱〲ㄱ〬⼱〲ㄱⰬⰬ䅃⥄_x0018_＀＀_x0018_＀＀_x0008_＀＀_x0001_＀＀_x0001_＀＀ꏤᧅ⻃䁂䷧0啌啌坞当䕌十彅佃䵍呉奟㍒〨⼱〲㘰〬⼱〲㘰ⰬⰬ䅃⥄_x0018_＀＀_x0018_＀＀_x0008_＀＀_x0001_＀＀_x0001_＀＀豀碵꼝쐕䷧&amp;啌啌坞当义彔䅒䕔㕟䅙䝖〨⼱〲㔰ⰬⰬ䅃⥄_x0018_＀＀_x0018_＀＀_x0008_＀＀_x0001_＀＀_x0001_＀＀豀碵꼝쐕䷧0啌啌坞当䕌十彅佃䵍呉奟㍒〨⼱〲㜰〬⼱〲㜰ⰬⰬ䅃⥄_x0018_＀＀_x0018_＀＀_x0008_＀＀_x0001_＀＀_x0001_＀＀霧_xD8FC_嫯䀥䷧0啌啌坞当䕌十彅佃䵍呉奟㍒〨⼱〲㠰〬⼱〲㠰ⰬⰬ䅃⥄_x0018_＀＀_x0018_＀＀_x0008_＀＀_x0001_＀＀_x0001_＀＀翟㰒們䀳䷧0啌啌坞当䕌十彅佃䵍呉奟㍒〨⼱〲㤰〬⼱〲㤰ⰬⰬ䅃⥄_x0018_＀＀_x0018_＀＀_x0008_＀＀_x0001_＀＀_x0001_＀＀岉完㦮䀽䷧_x001C_啌啌䵞彗䅔彘䅒䕔丨坏Ⱜ∬偒⤢_x0018_＀＀_x0018_＀＀_x0008_＀＀_x0001_＀＀_x0001_＀＀濒ݟ꧎䁀䷧&amp;啌啌坞当义彔䅒䕔㕟䅙䝖〨⼱〲ㄱⰬⰬ䅃⥄_x0018_＀＀_x0018_＀＀_x0008_＀＀_x0001_＀＀_x0001_＀＀豀碵꼝쐕䷧0啌啌坞当䕌十彅佃䵍呉奟㍒〨⼱〲㌰〬⼱〲㌰ⰬⰬ䅃⥄_x0018_＀＀_x0018_＀＀_x0008_＀＀_x0001_＀＀_x0001_＀＀豀碵꼝쐕䷧0啌啌坞当䕌十彅佃䵍呉奟㍒〨⼱〲㐰〬⼱〲㐰ⰬⰬ䅃⥄_x0018_＀＀_x0018_＀＀_x0008_＀＀_x0001_＀＀_x0001_＀＀豀碵꼝쐕䷧0啌啌坞当䕌十彅佃䵍呉奟㍒〨⼱〲㔰〬⼱〲㔰ⰬⰬ䅃⥄_x0018_＀＀_x0018_＀＀_x0008_＀＀_x0001_＀＀_x0001_＀＀豀碵꼝쐕䷧\啌啌坞当䕒呎䱁佟彐卌彅塅⡐㄰㈯〰ⰴ㄰㈯〰ⰴⰬ䌬䑁䀩䅃剟彔䕒呎䵟义䕟偘〨⼱〲㐰〬⼱〲㐰ⰬⰬ䅃⥄_x0018_＀＀_x0018_＀＀_x0008_＀＀_x0001_＀＀_x0001_＀＀豀碵꼝쐕䷧\啌啌坞当䕒呎䱁佟彐卌彅塅⡐㄰㈯㄰ⰱ㄰㈯㄰ⰱⰬ䌬䑁䀩䅃剟彔䕒呎䵟义䕟偘〨⼱〲ㄱ〬⼱〲ㄱⰬⰬ䅃⥄_x0018_＀＀_x0018_＀＀_x0008_＀＀_x0001_＀＀_x0001_＀＀过ꍂ厅䁋䷧0啌啌坞当䕌十彅佃䵍呉奟㍒〨⼱〲〱〬⼱〲〱ⰬⰬ䅃⥄_x0018_＀＀_x0018_＀＀_x0008_＀＀_x0001_＀＀_x0001_＀＀䣔䃭䀿䷧0啌啌坞当䕌十彅佃䵍呉奟㍒〨⼱〲ㄱ〬⼱〲ㄱⰬⰬ䅃⥄_x0018_＀＀_x0018_＀＀_x0008_＀＀_x0001_＀＀_x0001_＀＀쿭_xDD45_䁁䷧0啌啌坞当䕌十彅佃䵍呉奟㑒〨⼱〲㌰〬⼱〲㌰ⰬⰬ䅃⥄_x0018_＀＀_x0018_＀＀_x0008_＀＀_x0001_＀＀_x0001_＀＀豀碵꼝쐕䷧0啌啌坞当䕌十彅佃䵍呉奟㑒〨⼱〲㐰〬⼱〲㐰ⰬⰬ䅃⥄_x0018_＀＀_x0018_＀＀_x0008_＀＀_x0001_＀＀_x0001_＀＀豀碵꼝쐕䷧0啌啌坞当䕌十彅佃䵍呉奟㑒〨⼱〲㔰〬⼱〲㔰ⰬⰬ䅃⥄_x0018_＀＀_x0018_＀＀_x0008_＀＀_x0001_＀＀_x0001_＀＀豀碵꼝쐕䷧0啌啌坞当䕌十彅佃䵍呉奟㑒〨⼱〲㘰〬⼱〲㘰ⰬⰬ䅃⥄_x0018_＀＀_x0018_＀＀_x0008_＀＀_x0001_＀＀_x0001_＀＀豀碵꼝쐕䷧0啌啌坞当䕌十彅佃䵍呉奟㑒〨⼱〲㜰〬⼱〲㜰ⰬⰬ䅃⥄_x0018_＀＀_x0018_＀＀_x0008_＀＀_x0001_＀＀_x0001_＀＀⮳丼椢䀡䷧0啌啌坞当䕌十彅佃䵍呉奟㑒〨⼱〲㠰〬⼱〲㠰ⰬⰬ䅃⥄_x0018_＀＀_x0018_＀＀_x0008_＀＀_x0001_＀＀_x0001_＀＀ᢅㅜ괫䀱䷧0啌啌坞当䕌十彅佃䵍呉奟㑒〨⼱〲㤰〬⼱〲㤰ⰬⰬ䅃⥄_x0018_＀＀_x0018_＀＀_x0008_＀＀_x0001_＀＀_x0001_＀＀✱䥛䀽䷧\啌啌坞当䕒呎䱁佟彐卌彅塅⡐㄰㈯〰ⰳ㄰㈯〰ⰳⰬ䌬䑁䀩䅃剟彔䕒呎䵟义䕟偘〨⼱〲㌰〬⼱〲㌰ⰬⰬ䅃⥄_x0018_＀＀_x0018_＀＀_x0008_＀＀_x0001_＀＀_x0001_＀＀豀碵꼝쐕䷧0啌啌坞当䕌十彅佃䵍呉奟㑒〨⼱〲〱〬⼱〲〱ⰬⰬ䅃⥄_x0018_＀＀_x0018_＀＀_x0008_＀＀_x0001_＀＀_x0001_＀＀৪㱋베䀾䷧0啌啌坞当䕌十彅佃䵍呉奟㑒〨⼱〲ㄱ〬⼱〲ㄱⰬⰬ䅃⥄_x0018_＀＀_x0018_＀＀_x0008_＀＀_x0001_＀＀_x0001_＀＀▁녗ꟸ䁁䷧_x0013_啌啌坞当卉彏佃䕄〨착_x0014_＀＀_x0018_＀＀_x0004_＀＀_x0001_＀＀_x0008_＀＀䅃D䷧0啌啌坞当䕌十彅佃䵍呉奟㕒〨⼱〲㌰〬⼱〲㌰ⰬⰬ䅃⥄_x0018_＀＀_x0018_＀＀_x0008_＀＀_x0001_＀＀_x0001_＀＀豀碵꼝쐕䷧&amp;啌啌坞当义彔䅒䕔㕟䅙䝖〨⼱〲㘰ⰬⰬ䅃⥄_x0018_＀＀_x0018_＀＀_x0008_＀＀_x0001_＀＀_x0001_＀＀豀碵꼝쐕䷧0啌啌坞当䕌十彅佃䵍呉奟㕒〨⼱〲㐰〬⼱〲㐰ⰬⰬ䅃⥄_x0018_＀＀_x0018_＀＀_x0008_＀＀_x0001_＀＀_x0001_＀＀豀碵꼝쐕䷧0啌啌坞当䕌十彅佃䵍呉奟㕒〨⼱〲㔰〬⼱〲㔰ⰬⰬ䅃⥄_x0018_＀＀_x0018_＀＀_x0008_＀＀_x0001_＀＀_x0001_＀＀豀碵꼝쐕䷧0啌啌坞当䕌十彅佃䵍呉奟㕒〨⼱〲㘰〬⼱〲㘰ⰬⰬ䅃⥄_x0018_＀＀_x0018_＀＀_x0008_＀＀_x0001_＀＀_x0001_＀＀豀碵꼝쐕䷧0啌啌坞当䕌十彅佃䵍呉奟㕒〨⼱〲㜰〬⼱〲㜰ⰬⰬ䅃⥄_x0018_＀＀_x0018_＀＀_x0008_＀＀_x0001_＀＀_x0001_＀＀먖㥫烲䁄䷧0啌啌坞当䕌十彅佃䵍呉奟㕒〨⼱〲㠰〬⼱〲㠰ⰬⰬ䅃⥄_x0018_＀＀_x0018_＀＀_x0008_＀＀_x0001_＀＀_x0001_＀＀Ꚃ鳊韓䀱䷧0啌啌坞当䕌十彅佃䵍呉奟㕒〨⼱〲㤰〬⼱〲㤰ⰬⰬ䅃⥄_x0018_＀＀_x0018_＀＀_x0008_＀＀_x0001_＀＀_x0001_＀＀霡䠀ῢ䀽䷧\啌啌坞当䕒呎䱁佟彐卌彅塅⡐㄰㈯㄰ⰰ㄰㈯㄰ⰰⰬ䌬䑁䀩䅃剟彔䕒呎䵟义䕟偘〨⼱〲〱〬⼱〲〱ⰬⰬ䅃⥄_x0018_＀＀_x0018_＀＀_x0008_＀＀_x0001_＀＀_x0001_＀＀≋䭞䬆䁇䷧0啌啌坞当䕌十彅佃䵍呉奟㕒〨⼱〲〱〬⼱〲〱ⰬⰬ䅃⥄_x0018_＀＀_x0018_＀＀_x0008_＀＀_x0001_＀＀_x0001_＀＀㘑봼Ꙓ䀽䷧0啌啌坞当䕌十彅佃䵍呉奟㕒〨⼱〲ㄱ〬⼱〲ㄱⰬⰬ䅃⥄_x0018_＀＀_x0018_＀＀_x0008_＀＀_x0001_＀＀_x0001_＀＀㏗掄➖䁀䷧(啌啌坞当义彔䅒䕔〨⼱〲㐰〬⼱〲㐰ⰬⰬ䅃⥄_x0018_＀＀_x0018_＀＀_x0008_＀＀_x0001_＀＀_x0001_＀＀豀碵꼝쐕䷧(啌啌坞当义彔䅒䕔〨⼱〲㔰〬⼱〲㔰ⰬⰬ䅃⥄_x0018_＀＀_x0018_＀＀_x0008_＀＀_x0001_＀＀_x0001_＀＀豀碵꼝쐕䷧&amp;啌啌坞当义彔䅒䕔㕟䅙䝖〨⼱〲㜰ⰬⰬ䅃⥄_x0018_＀＀_x0018_＀＀_x0008_＀＀_x0001_＀＀_x0001_＀＀豀碵꼝쐕䷧(啌啌坞当义彔䅒䕔〨⼱〲㘰〬⼱〲㘰ⰬⰬ䅃⥄_x0018_＀＀_x0018_＀＀_x0008_＀＀_x0001_＀＀_x0001_＀＀豀碵꼝쐕䷧(啌啌坞当义彔䅒䕔〨⼱〲㜰〬⼱〲㜰ⰬⰬ䅃⥄_x0018_＀＀_x0018_＀＀_x0008_＀＀_x0001_＀＀_x0001_＀＀豀碵꼝쐕䷧(啌啌坞当义彔䅒䕔〨⼱〲㠰〬⼱〲㠰ⰬⰬ䅃⥄_x0018_＀＀_x0018_＀＀_x0008_＀＀_x0001_＀＀_x0001_＀＀豀碵꼝쐕䷧(啌啌坞当义彔䅒䕔〨⼱〲㤰〬⼱〲㤰ⰬⰬ䅃⥄_x0018_＀＀_x0018_＀＀_x0008_＀＀_x0001_＀＀_x0001_＀＀豀碵꼝쐕䷧\啌啌坞当䕒呎䱁佟彐卌彅塅⡐㄰㈯〰ⰹ㄰㈯〰ⰹⰬ䌬䑁䀩䅃剟彔䕒呎䵟义䕟偘〨⼱〲㤰〬⼱〲㤰ⰬⰬ䅃⥄_x0018_＀＀_x0018_＀＀_x0008_＀＀_x0001_＀＀_x0001_＀＀豀碵꼝쐕䷧(啌啌坞当义彔䅒䕔〨⼱〲〱〬⼱〲〱ⰬⰬ䅃⥄_x0018_＀＀_x0018_＀＀_x0008_＀＀_x0001_＀＀_x0001_＀＀豀碵꼝쐕䷧(啌啌坞当义彔䅒䕔〨⼱〲ㄱ〬⼱〲ㄱⰬⰬ䅃⥄_x0018_＀＀_x0018_＀＀_x0008_＀＀_x0001_＀＀_x0001_＀＀豀碵꼝쐕_xDF53_仧_x0018_刣晥敲桳帣南䥟体䍟䑏⡅⤰_x0014_＀＀_x0018_＀＀_x0004_＀＀_x0001_＀＀_x0008_＀＀乀A</t>
        </r>
      </text>
    </comment>
    <comment ref="B1" authorId="0">
      <text>
        <r>
          <rPr>
            <b/>
            <sz val="8"/>
            <color indexed="81"/>
            <rFont val="Tahoma"/>
            <family val="2"/>
          </rPr>
          <t>4046</t>
        </r>
      </text>
    </comment>
  </commentList>
</comments>
</file>

<file path=xl/sharedStrings.xml><?xml version="1.0" encoding="utf-8"?>
<sst xmlns="http://schemas.openxmlformats.org/spreadsheetml/2006/main" count="6027" uniqueCount="1094">
  <si>
    <t>Operating Lease Module</t>
  </si>
  <si>
    <t>PRE-ECKARD</t>
  </si>
  <si>
    <t>LEASE RESET</t>
  </si>
  <si>
    <t>Adjustment to Income Statement</t>
  </si>
  <si>
    <t>Net Increase/(Decrease) to Operating Income</t>
  </si>
  <si>
    <t>FIXED ASSET SCHEDULE</t>
  </si>
  <si>
    <t>Beginning Carrying Value of Leased Assets</t>
  </si>
  <si>
    <t>Carying Value of Assets Held Under Operating Leases</t>
  </si>
  <si>
    <t>Ratio of carrying value to oustanding debt value for take on balance</t>
  </si>
  <si>
    <t>OPERATING LEASE DEBT SCHEDULE</t>
  </si>
  <si>
    <t>Beginning Balance of Implied Debt</t>
  </si>
  <si>
    <t>Ending Balance of Implied Debt</t>
  </si>
  <si>
    <t>Assets to Liabilities</t>
  </si>
  <si>
    <t>ASSUMPTIONS</t>
  </si>
  <si>
    <t>Leased EOP Gross Sq. Ft. (000s)</t>
  </si>
  <si>
    <t>Growth in Leased Sq. Ft.</t>
  </si>
  <si>
    <t>Leased Sq. Footage / Total Sq. Footage in Capacity (%)</t>
  </si>
  <si>
    <t>Implied Total Total Lease Life</t>
  </si>
  <si>
    <t>Implied Remaining Duration on Reported Lease Payements</t>
  </si>
  <si>
    <t>PV of incremental payments</t>
  </si>
  <si>
    <t>Depreciation Schedule</t>
  </si>
  <si>
    <t>Risk Free Rate (%)</t>
  </si>
  <si>
    <t>Total Units</t>
  </si>
  <si>
    <t>Goodwill / Intangible Assets</t>
  </si>
  <si>
    <t>/NA</t>
  </si>
  <si>
    <t>4. Qualified Pension Expense (% of Sales)</t>
  </si>
  <si>
    <t>5. Supplemental Pension Plan Expense (% of Sales)</t>
  </si>
  <si>
    <t>6. Depreciation &amp; Amortization  (% of Sales)</t>
  </si>
  <si>
    <t>7. Pre-opening Expense  (% of Sales)</t>
  </si>
  <si>
    <t xml:space="preserve">Total Operating Expenses  (% of Sales) </t>
  </si>
  <si>
    <t xml:space="preserve">8. Real Estate and Other (% of Sales) </t>
  </si>
  <si>
    <t>9. Operating Income  (% of Sales / % Change)</t>
  </si>
  <si>
    <t>10. Interest Expense (Income)  (% of Sales / % Change)</t>
  </si>
  <si>
    <t>12. Pretax Income (Loss) (% Margin / % Change)</t>
  </si>
  <si>
    <t>13. Income Taxes/(Credit) (% Tax Rate / % Change)</t>
  </si>
  <si>
    <t>14. Net Earnings (% Net Margin / % Change)</t>
  </si>
  <si>
    <t>15. Extraordinary/Discontinued Items (after-tax)</t>
  </si>
  <si>
    <t>16. Net Earnings (% Net Margin / % Change)</t>
  </si>
  <si>
    <t>17. EPS Before Extraordinary/Discontinued - Fully Diluted</t>
  </si>
  <si>
    <t>18. Adjusted Earnings Per Share (Ex Pension)</t>
  </si>
  <si>
    <t>19. Earnings Per Share - GAAP - Fully Diluted</t>
  </si>
  <si>
    <t>20. Average Shares Outstanding - Fully Diluted</t>
  </si>
  <si>
    <t>21. Basic Shares Outstanding</t>
  </si>
  <si>
    <t>22. Average Basic Shares Outstanding</t>
  </si>
  <si>
    <t>SG&amp;A Ratio (incl. suppl pension + D&amp;A)</t>
  </si>
  <si>
    <t>EBIT Margin (ex. qualified pension)</t>
  </si>
  <si>
    <t>This sheet contains Factset binary data for use with this workbook's =FDS codes.  Modifying the worksheet's contents may damage the workbook's =FDS functionality.</t>
  </si>
  <si>
    <t>Period</t>
  </si>
  <si>
    <t>LULU.O,mscalc:closePriceCurrencyCalc</t>
  </si>
  <si>
    <t>LULU.O,mscalc:sedolCodeCalc</t>
  </si>
  <si>
    <t>LULU.O,mscalc:targetPrice,,,,USD</t>
  </si>
  <si>
    <t>B23FN39</t>
  </si>
  <si>
    <t>Statutory Tax Rate</t>
  </si>
  <si>
    <t>LULU.O,mscalc:factsetIdCalc</t>
  </si>
  <si>
    <t>LULU</t>
  </si>
  <si>
    <t>Net Income Reported</t>
  </si>
  <si>
    <t>Balance Check</t>
  </si>
  <si>
    <t>Cash and Equivalents</t>
  </si>
  <si>
    <t>Inventories</t>
  </si>
  <si>
    <t>Prepaid Expenses and Other</t>
  </si>
  <si>
    <t>Net PP&amp;E</t>
  </si>
  <si>
    <t>Accounts Payable</t>
  </si>
  <si>
    <t>Accrued Liabilities</t>
  </si>
  <si>
    <t>Total Current Liabilities</t>
  </si>
  <si>
    <t>Other Liabilities</t>
  </si>
  <si>
    <t>Total Long-Term Liabilities</t>
  </si>
  <si>
    <t>Total Shareholders' Equity</t>
  </si>
  <si>
    <t>Receivables</t>
  </si>
  <si>
    <t>Total Current Assets</t>
  </si>
  <si>
    <t>Liabilities and Shareholders' Equity</t>
  </si>
  <si>
    <t>TOTAL LIABILITIES</t>
  </si>
  <si>
    <t>Avg. Retail Sales Per Store ($MM)</t>
  </si>
  <si>
    <t>1. Sales</t>
  </si>
  <si>
    <t>2. Cost of Goods Sold</t>
  </si>
  <si>
    <t>3. SG&amp;A Expense</t>
  </si>
  <si>
    <t>% Tax Rate</t>
  </si>
  <si>
    <t>% Net Margin</t>
  </si>
  <si>
    <t>Internet/Catalog/Other Sales ($MM)</t>
  </si>
  <si>
    <t>% Chg. from LY</t>
  </si>
  <si>
    <t>% Chg. Avg. Units</t>
  </si>
  <si>
    <t>CAGR</t>
  </si>
  <si>
    <t># Stores Open BOY</t>
  </si>
  <si>
    <t>+ New Store Openings</t>
  </si>
  <si>
    <t># Stores Open EOY</t>
  </si>
  <si>
    <t>Avg. # Open</t>
  </si>
  <si>
    <t>Comparable-Store Sales</t>
  </si>
  <si>
    <t>Operating Profit ($MM)</t>
  </si>
  <si>
    <t>($ millions except per share data)</t>
  </si>
  <si>
    <t>Avg. Store Size (Gross Sq. Ft.)</t>
  </si>
  <si>
    <t>Ending Gross Sq. Ft. (MM)</t>
  </si>
  <si>
    <t>(a) Projected sales figures exclude Internet sales.</t>
  </si>
  <si>
    <t>% Gross Margin</t>
  </si>
  <si>
    <t>% of Sales</t>
  </si>
  <si>
    <t>% Margin</t>
  </si>
  <si>
    <t>- Stores Closed</t>
  </si>
  <si>
    <t>(1)</t>
  </si>
  <si>
    <t>Total/Comp</t>
  </si>
  <si>
    <t>Non-Comp.</t>
  </si>
  <si>
    <t>Spread</t>
  </si>
  <si>
    <t>No. of Stores</t>
  </si>
  <si>
    <t>Space</t>
  </si>
  <si>
    <t>(1) - (2)</t>
  </si>
  <si>
    <t>Average</t>
  </si>
  <si>
    <t>Expansion</t>
  </si>
  <si>
    <t>Productivity (3)/(6)</t>
  </si>
  <si>
    <t>(2)</t>
  </si>
  <si>
    <t>(3)</t>
  </si>
  <si>
    <t>(4)</t>
  </si>
  <si>
    <t>(5)</t>
  </si>
  <si>
    <t>(6)</t>
  </si>
  <si>
    <t>(7)</t>
  </si>
  <si>
    <t>(9)</t>
  </si>
  <si>
    <t>1st Qtr</t>
  </si>
  <si>
    <t>2nd Qtr</t>
  </si>
  <si>
    <t>3rd Qtr</t>
  </si>
  <si>
    <t>4th Qtr</t>
  </si>
  <si>
    <t>Year</t>
  </si>
  <si>
    <t>Store</t>
  </si>
  <si>
    <t xml:space="preserve">Per Avg. </t>
  </si>
  <si>
    <t xml:space="preserve">Percent </t>
  </si>
  <si>
    <t>Change</t>
  </si>
  <si>
    <t>(8)</t>
  </si>
  <si>
    <t>(10)</t>
  </si>
  <si>
    <t>Square Footage</t>
  </si>
  <si>
    <t>(11)</t>
  </si>
  <si>
    <t>(12)</t>
  </si>
  <si>
    <t>(13)</t>
  </si>
  <si>
    <t>Productivity (3)/(13)</t>
  </si>
  <si>
    <t>(14)</t>
  </si>
  <si>
    <t>(15)</t>
  </si>
  <si>
    <t>(16)</t>
  </si>
  <si>
    <t>(17)</t>
  </si>
  <si>
    <t>Per Avg.</t>
  </si>
  <si>
    <t>Square Ft.</t>
  </si>
  <si>
    <t>Square Footage Analysis</t>
  </si>
  <si>
    <t>Store Analysis</t>
  </si>
  <si>
    <t>Sales (mm) (a)</t>
  </si>
  <si>
    <t>Sales (mm, except per foot data) (a)</t>
  </si>
  <si>
    <t xml:space="preserve">Internet </t>
  </si>
  <si>
    <t>Source: Company reports and Morgan Stanley estimates.</t>
  </si>
  <si>
    <t>Apr</t>
  </si>
  <si>
    <t>Jul</t>
  </si>
  <si>
    <t>Oct</t>
  </si>
  <si>
    <t>Jan</t>
  </si>
  <si>
    <t xml:space="preserve">  Year</t>
  </si>
  <si>
    <t>6 Mos.</t>
  </si>
  <si>
    <t>9 Mos.</t>
  </si>
  <si>
    <t>NA</t>
  </si>
  <si>
    <t>For the fiscal year ending January 31 of the following year</t>
  </si>
  <si>
    <t>($ in millions except per share data)</t>
  </si>
  <si>
    <t>1. Net Sales (Year-to-Year % Increase/Comps)</t>
  </si>
  <si>
    <t>ND</t>
  </si>
  <si>
    <t>Sales</t>
  </si>
  <si>
    <t>Total</t>
  </si>
  <si>
    <t>Comp-</t>
  </si>
  <si>
    <t>Stores</t>
  </si>
  <si>
    <t>%</t>
  </si>
  <si>
    <t>Avg. Gross Sq. Ft. (MM)</t>
  </si>
  <si>
    <t>1Q</t>
  </si>
  <si>
    <t>2Q</t>
  </si>
  <si>
    <t>3Q</t>
  </si>
  <si>
    <t>4Q</t>
  </si>
  <si>
    <t>Inventory (Y-o-Y % Change vs. % Sales Growth)</t>
  </si>
  <si>
    <t>Plus: Receivables and Other Current Assets (Y-o-Y % Change vs. % Sales Growth)</t>
  </si>
  <si>
    <t>Equals: "Operating" Working Capital (Y-o-Y % Change vs. % Sales Growth)</t>
  </si>
  <si>
    <t>Year-to-Year Dollar Change in Working Capital</t>
  </si>
  <si>
    <t>($ millions)</t>
  </si>
  <si>
    <t>Cash &amp; Equivalents</t>
  </si>
  <si>
    <t>Short-Term Debt</t>
  </si>
  <si>
    <t>Long-Term Debt</t>
  </si>
  <si>
    <t>Total Debt</t>
  </si>
  <si>
    <t>Net Debt (Total Debt Less Cash)</t>
  </si>
  <si>
    <t>Shareholders' Equity</t>
  </si>
  <si>
    <t>Total Capital</t>
  </si>
  <si>
    <t>Total Debt as % of Total Capital</t>
  </si>
  <si>
    <t>Net Debt as % of Total Capital</t>
  </si>
  <si>
    <t>Source: Company reports.</t>
  </si>
  <si>
    <t>% Change</t>
  </si>
  <si>
    <t>TOTAL ASSETS</t>
  </si>
  <si>
    <t>Inventory</t>
  </si>
  <si>
    <t>Cost of</t>
  </si>
  <si>
    <t>End of</t>
  </si>
  <si>
    <t>Prior</t>
  </si>
  <si>
    <t>Following</t>
  </si>
  <si>
    <t>Goods Sold</t>
  </si>
  <si>
    <t>Quarter</t>
  </si>
  <si>
    <t>Prior Year</t>
  </si>
  <si>
    <t>Assets</t>
  </si>
  <si>
    <t>x</t>
  </si>
  <si>
    <t>TOTAL LIABILITIES AND S/H EQUITY</t>
  </si>
  <si>
    <t>Open</t>
  </si>
  <si>
    <t>Y-o-Y</t>
  </si>
  <si>
    <t>At</t>
  </si>
  <si>
    <t>at End</t>
  </si>
  <si>
    <t>per</t>
  </si>
  <si>
    <t>of Quarter</t>
  </si>
  <si>
    <t>Sq. Ft.</t>
  </si>
  <si>
    <t>vs.</t>
  </si>
  <si>
    <t>Inventory vs.</t>
  </si>
  <si>
    <t>Quarterly</t>
  </si>
  <si>
    <t>Turnover Analysis</t>
  </si>
  <si>
    <t>Average (a)</t>
  </si>
  <si>
    <t>Quarter (b)</t>
  </si>
  <si>
    <t>on Hand</t>
  </si>
  <si>
    <t>Days Inventory</t>
  </si>
  <si>
    <t>Avg. (a)</t>
  </si>
  <si>
    <t>Qtr (b)</t>
  </si>
  <si>
    <t>Follow</t>
  </si>
  <si>
    <t>Preferred Stock</t>
  </si>
  <si>
    <t>Ratio calculations:</t>
  </si>
  <si>
    <t>COGS</t>
  </si>
  <si>
    <t>SG&amp;A</t>
  </si>
  <si>
    <t>Net Income</t>
  </si>
  <si>
    <t>Deferred Taxes</t>
  </si>
  <si>
    <t>Discontinued Operations</t>
  </si>
  <si>
    <t>Capital Expenditures</t>
  </si>
  <si>
    <t>Dividends Paid</t>
  </si>
  <si>
    <t>TOTAL OPERATING SOURCES</t>
  </si>
  <si>
    <t>Net Working Capital</t>
  </si>
  <si>
    <t>TOTAL OPERATING USES</t>
  </si>
  <si>
    <t>INTERNAL CASH GENERATION (FUNDS NEEDED)</t>
  </si>
  <si>
    <t>TOTAL EXTERNAL SOURCES</t>
  </si>
  <si>
    <t>Beginning Cash Balance</t>
  </si>
  <si>
    <t>Increase (Decrease) in Cash</t>
  </si>
  <si>
    <t>Increase (Decrease) in</t>
  </si>
  <si>
    <t>(Increase) Decrease in</t>
  </si>
  <si>
    <t>Ending Cash Balance</t>
  </si>
  <si>
    <t>Total External Sources &amp; Cash</t>
  </si>
  <si>
    <t>Capex / Sales</t>
  </si>
  <si>
    <t>Cash Flow Per Share</t>
  </si>
  <si>
    <t>Income Statement</t>
  </si>
  <si>
    <t>Total Sales</t>
  </si>
  <si>
    <t>Cost of Goods Sold</t>
  </si>
  <si>
    <t>Gross Profit</t>
  </si>
  <si>
    <t>SG&amp;A Expense</t>
  </si>
  <si>
    <t>Operating Income</t>
  </si>
  <si>
    <t>Pretax Income</t>
  </si>
  <si>
    <t>Taxes</t>
  </si>
  <si>
    <t>Net Income from Operations</t>
  </si>
  <si>
    <t>Extraordinary Gain/Loss</t>
  </si>
  <si>
    <t>Average Diluted Shares</t>
  </si>
  <si>
    <t>Average Basic Shares</t>
  </si>
  <si>
    <t>Operating EPS</t>
  </si>
  <si>
    <t>Reported EPS</t>
  </si>
  <si>
    <t>End of Period Shares</t>
  </si>
  <si>
    <t>EBITDA</t>
  </si>
  <si>
    <t>Margin Analysis</t>
  </si>
  <si>
    <t>Gross Margin</t>
  </si>
  <si>
    <t>Expense Ratio</t>
  </si>
  <si>
    <t>Operating Margin</t>
  </si>
  <si>
    <t>Pretax Margin</t>
  </si>
  <si>
    <t>Tax Rate</t>
  </si>
  <si>
    <t>Net Margin</t>
  </si>
  <si>
    <t>EBITDA Margin</t>
  </si>
  <si>
    <t>Year-Over-Year Growth</t>
  </si>
  <si>
    <t>Comparable Store Sales</t>
  </si>
  <si>
    <t>Quarterly Results and Estimates</t>
  </si>
  <si>
    <t>Annual Data (Year-end)</t>
  </si>
  <si>
    <t>Store Count</t>
  </si>
  <si>
    <t>Total Sq Ft (millions)</t>
  </si>
  <si>
    <t>Total Sq Ft Growth</t>
  </si>
  <si>
    <t>Avg Size</t>
  </si>
  <si>
    <t>USD</t>
  </si>
  <si>
    <t>Reverse Rent Payment</t>
  </si>
  <si>
    <t>Add Implied Depreciation Expense</t>
  </si>
  <si>
    <t>Add Estimated Interest Expense</t>
  </si>
  <si>
    <t>Net Increase/(Decrease) to Pre-tax Income</t>
  </si>
  <si>
    <t xml:space="preserve">Additions </t>
  </si>
  <si>
    <t>Current year charge</t>
  </si>
  <si>
    <t>Interest</t>
  </si>
  <si>
    <t>Repayment</t>
  </si>
  <si>
    <t>Debt Issuances (Reductions)</t>
  </si>
  <si>
    <t>Cumulative Adjustment To Equity</t>
  </si>
  <si>
    <t>Principal Paid</t>
  </si>
  <si>
    <t>Year over Year Adjustment in Equity</t>
  </si>
  <si>
    <t>Weighted average interest rate of lease portfolio</t>
  </si>
  <si>
    <t>Interest implicit in new leases signed</t>
  </si>
  <si>
    <t>Number of Units Leased</t>
  </si>
  <si>
    <t>Growth in Leased Units</t>
  </si>
  <si>
    <t>Leased Units / Total Units in Capacity (%)</t>
  </si>
  <si>
    <t>Capex per Unit</t>
  </si>
  <si>
    <t>% change in capex per unit</t>
  </si>
  <si>
    <t>Capital expenditure financed through operating leases</t>
  </si>
  <si>
    <t>Marginal Tax Rate</t>
  </si>
  <si>
    <t>Current Year Operating Lease Payments</t>
  </si>
  <si>
    <t>YOY % Change in Current Year Operating Lease Expense</t>
  </si>
  <si>
    <t>Total Reported Lease Commitments</t>
  </si>
  <si>
    <t>Growth in Aggregate Lease Obligations</t>
  </si>
  <si>
    <t>Cumulative Payments After Year 5</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</si>
  <si>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</si>
  <si>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</si>
  <si>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</si>
  <si>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</si>
  <si>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</si>
  <si>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</si>
  <si>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</si>
  <si>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</si>
  <si>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</si>
  <si>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</si>
  <si>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</si>
  <si>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</si>
  <si>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</si>
  <si>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</si>
  <si>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</si>
  <si>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</si>
  <si>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</si>
  <si>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</si>
  <si>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</si>
  <si>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</si>
  <si>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</si>
  <si>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</si>
  <si>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</si>
  <si>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</si>
  <si>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</si>
  <si>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</si>
  <si>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</si>
  <si>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</si>
  <si>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</si>
  <si>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</si>
  <si>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</si>
  <si>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</si>
  <si>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</si>
  <si>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Present Value of Incremental Lease Payments</t>
  </si>
  <si>
    <t>Increase in current year lease payments versus previous years expected</t>
  </si>
  <si>
    <t>Estimated additions to leased assets in period</t>
  </si>
  <si>
    <t>Depreciation schedule</t>
  </si>
  <si>
    <t>Assumed Average Lease Life</t>
  </si>
  <si>
    <t>Fade rate for depreciation of opening balance</t>
  </si>
  <si>
    <t>Depreciation of take on book value</t>
  </si>
  <si>
    <t>,mscalc:closePriceCurrencyCalc</t>
  </si>
  <si>
    <t>,mscalc:sedolCodeCalc</t>
  </si>
  <si>
    <t>,mscalc:targetPrice,,,,USD</t>
  </si>
  <si>
    <t>LULU.O,mscalc:targetPrice</t>
  </si>
  <si>
    <t>Inventory Turnover</t>
  </si>
  <si>
    <t>Payables / Inventory</t>
  </si>
  <si>
    <t>Debt to Total Capital</t>
  </si>
  <si>
    <t>Return on Equity</t>
  </si>
  <si>
    <t>LULU.O,mscalc:defaultCurrencyCalc</t>
  </si>
  <si>
    <t>Month</t>
  </si>
  <si>
    <t xml:space="preserve"> Feb</t>
  </si>
  <si>
    <t xml:space="preserve"> Mar</t>
  </si>
  <si>
    <t xml:space="preserve"> Apr</t>
  </si>
  <si>
    <t xml:space="preserve"> May</t>
  </si>
  <si>
    <t xml:space="preserve"> Jun</t>
  </si>
  <si>
    <t xml:space="preserve"> Jul</t>
  </si>
  <si>
    <t xml:space="preserve"> Aug</t>
  </si>
  <si>
    <t xml:space="preserve"> Sep</t>
  </si>
  <si>
    <t xml:space="preserve"> Oct</t>
  </si>
  <si>
    <t xml:space="preserve"> Nov</t>
  </si>
  <si>
    <t xml:space="preserve"> Dec</t>
  </si>
  <si>
    <t xml:space="preserve"> Jan</t>
  </si>
  <si>
    <t>Proforma for Eckerd as Discontinued Operations</t>
  </si>
  <si>
    <t>1996 - Pro Forma</t>
  </si>
  <si>
    <t>Factor</t>
  </si>
  <si>
    <t>2001R</t>
  </si>
  <si>
    <t>2002R</t>
  </si>
  <si>
    <t>J.C. Penney</t>
  </si>
  <si>
    <t xml:space="preserve"> </t>
  </si>
  <si>
    <t xml:space="preserve"> Internet</t>
  </si>
  <si>
    <t>Catalog +</t>
  </si>
  <si>
    <t>(Ex Internet)</t>
  </si>
  <si>
    <t>Growth</t>
  </si>
  <si>
    <t xml:space="preserve">11. Other Expense (Income) (% of Sales) </t>
  </si>
  <si>
    <t>2. Cost of Goods Sold (% Gross Margin / bps Change)</t>
  </si>
  <si>
    <t>3. Selling, General and Administrative Expense (% of Sales / bps Change)</t>
  </si>
  <si>
    <t>/NM)</t>
  </si>
  <si>
    <t>NM</t>
  </si>
  <si>
    <t>JCPenney stores and catalog inventories</t>
  </si>
  <si>
    <t>Eckerd drugstores inventories</t>
  </si>
  <si>
    <t>Less LIFO reserves</t>
  </si>
  <si>
    <t>Prepaid Pension</t>
  </si>
  <si>
    <t>Other Assets</t>
  </si>
  <si>
    <t>Assets of Discontinued Ops</t>
  </si>
  <si>
    <t>Current Long-Term Debt</t>
  </si>
  <si>
    <t>Deferred Taxes &amp; Other</t>
  </si>
  <si>
    <t>Liabilities of Discontinued Ops</t>
  </si>
  <si>
    <t>Guaranteed LESOP</t>
  </si>
  <si>
    <t xml:space="preserve">Common Stock </t>
  </si>
  <si>
    <t>Reinvested Earnings</t>
  </si>
  <si>
    <t>Accumulated other comprehensive (loss)</t>
  </si>
  <si>
    <t>Restructuring, Asset Impairments, and PVOL</t>
  </si>
  <si>
    <t>Depreciation and Amort.</t>
  </si>
  <si>
    <t>Real Estate (gains)</t>
  </si>
  <si>
    <t>Contributions to savings and profit sharing plans</t>
  </si>
  <si>
    <t>Pension contribution</t>
  </si>
  <si>
    <t>Deferred Stock Compensation</t>
  </si>
  <si>
    <t>Amortization of OID</t>
  </si>
  <si>
    <t>Disc. Ops. Deferred Taxes</t>
  </si>
  <si>
    <t>Business Acquisition and consolidation expenses</t>
  </si>
  <si>
    <t>Accounting Change</t>
  </si>
  <si>
    <t>Other</t>
  </si>
  <si>
    <t>Disposal of PP&amp;E</t>
  </si>
  <si>
    <t>Proceeds from Sale of Assets</t>
  </si>
  <si>
    <t>Other Investments</t>
  </si>
  <si>
    <t>Invest in Asset-Backed Secur.</t>
  </si>
  <si>
    <t>--</t>
  </si>
  <si>
    <t>Current Income Taxes Payable</t>
  </si>
  <si>
    <t>Change in S-T Debt</t>
  </si>
  <si>
    <t>Additions to L-T Debt</t>
  </si>
  <si>
    <t>Reduction of L-T Debt</t>
  </si>
  <si>
    <t>Common Stock Repurchased</t>
  </si>
  <si>
    <t>Proceeds from common stock issuance</t>
  </si>
  <si>
    <t>Preferred Stock Issued (Retired), Net</t>
  </si>
  <si>
    <t>1996A-Pro Forma</t>
  </si>
  <si>
    <t>4. Qualified Pension Expense</t>
  </si>
  <si>
    <t>5. Supplemental Pension Plan Expense</t>
  </si>
  <si>
    <t>6. Depreciation &amp; Amortization</t>
  </si>
  <si>
    <t xml:space="preserve">7. Pre-opening Expense  </t>
  </si>
  <si>
    <t>Total Operating Expenses</t>
  </si>
  <si>
    <t>8. Real Estate and Other</t>
  </si>
  <si>
    <t>% Growth</t>
  </si>
  <si>
    <t>% Increase / (% Decrease)</t>
  </si>
  <si>
    <t>Store Sales ($MM)</t>
  </si>
  <si>
    <t>Total Sales ($MM)</t>
  </si>
  <si>
    <t>Productivity Factor</t>
  </si>
  <si>
    <t>Y/Y ∆ bps</t>
  </si>
  <si>
    <t>Comp Store Sales Increase / (Decrease)</t>
  </si>
  <si>
    <t>% of Sales (before cost savings)</t>
  </si>
  <si>
    <t>% of Sales (after cost savings)</t>
  </si>
  <si>
    <t>Payable Turnover</t>
  </si>
  <si>
    <t>Net Debt/(Cash)</t>
  </si>
  <si>
    <t>Total Capitalization</t>
  </si>
  <si>
    <t>Net Operating Assets</t>
  </si>
  <si>
    <t>Debt/Equity</t>
  </si>
  <si>
    <t>Debt/Capitalization</t>
  </si>
  <si>
    <t>Net Debt/Capitalization</t>
  </si>
  <si>
    <t>Liquidity Position</t>
  </si>
  <si>
    <t>Operating Efficiency</t>
  </si>
  <si>
    <t>Days Inventory On Hand</t>
  </si>
  <si>
    <t xml:space="preserve"> Days Payable</t>
  </si>
  <si>
    <t>Other / Cash from Discontinued Ops</t>
  </si>
  <si>
    <t>Avg. Total Sales Per Store ($MM)</t>
  </si>
  <si>
    <t>Total Sales Per Avg Gross Sq Ft</t>
  </si>
  <si>
    <t>9. Operating Income</t>
  </si>
  <si>
    <t xml:space="preserve">10. Interest Expense </t>
  </si>
  <si>
    <t>11. Other Expense</t>
  </si>
  <si>
    <t>12. Pretax Income</t>
  </si>
  <si>
    <t>13. Income Taxes</t>
  </si>
  <si>
    <t>14. Net Earnings</t>
  </si>
  <si>
    <t>15. Extraordinary Items (after tax)</t>
  </si>
  <si>
    <t>Less: Accounts Payable &amp; Accrued Expenses (Y-o-Y % Change vs. % Sales Growth)</t>
  </si>
  <si>
    <t>Less: Deferred Taxes and Other Current Liabilities (Y-o-Y % Change vs. % Sales Growth)</t>
  </si>
  <si>
    <t>JC Penney &amp; Co., Inc.</t>
  </si>
  <si>
    <t>Interest Exp/(Inc)</t>
  </si>
  <si>
    <t>Other Exp/(Inc)</t>
  </si>
  <si>
    <t>Adjusted EPS</t>
  </si>
  <si>
    <t xml:space="preserve">NA </t>
  </si>
  <si>
    <t xml:space="preserve">NM </t>
  </si>
  <si>
    <t>J.C. Penney Co.</t>
  </si>
  <si>
    <t>JCP.N</t>
  </si>
  <si>
    <t>JCP.N,mscalc:closePriceCurrencyCalc</t>
  </si>
  <si>
    <t>JCP.N,mscalc:targetPrice,,,,USD</t>
  </si>
  <si>
    <t>22</t>
  </si>
  <si>
    <t>JCP.N,mscalc:sedolCodeCalc</t>
  </si>
  <si>
    <t>JCP.N,mscalc:targetPrice</t>
  </si>
  <si>
    <t>$Z$2</t>
  </si>
  <si>
    <t>2680303</t>
  </si>
  <si>
    <t>Real Estate and Other</t>
  </si>
  <si>
    <t>Operating Expenses</t>
  </si>
  <si>
    <t>Floorspace</t>
  </si>
  <si>
    <t>EPS for Consensus</t>
  </si>
  <si>
    <t>2012 Extra Week Impact</t>
  </si>
  <si>
    <t>Square Footage and Store Count</t>
  </si>
  <si>
    <t>Qtr</t>
  </si>
  <si>
    <t>Net Openings</t>
  </si>
  <si>
    <t>GROSS SQUARE FOOTAGE (in 000s)</t>
  </si>
  <si>
    <t>% chg.</t>
  </si>
  <si>
    <t>Openings</t>
  </si>
  <si>
    <t>Closings</t>
  </si>
  <si>
    <t>Realized</t>
  </si>
  <si>
    <t>Expense Saves</t>
  </si>
  <si>
    <t>Ex Saves</t>
  </si>
  <si>
    <t xml:space="preserve">SG&amp;A ex </t>
  </si>
  <si>
    <t>Saves / Sales</t>
  </si>
  <si>
    <t>change</t>
  </si>
  <si>
    <t>y/y bps</t>
  </si>
  <si>
    <t xml:space="preserve">Est. Exp </t>
  </si>
  <si>
    <t>Saves Run Rate</t>
  </si>
  <si>
    <t xml:space="preserve">Non-Comp. Space Productivity </t>
  </si>
  <si>
    <t>Cost Savings Realized</t>
  </si>
  <si>
    <t>Run Rate</t>
  </si>
  <si>
    <t>Bear</t>
  </si>
  <si>
    <t>2010A</t>
  </si>
  <si>
    <t>2011A</t>
  </si>
  <si>
    <t>Sales Growth</t>
  </si>
  <si>
    <t>Bull</t>
  </si>
  <si>
    <t>Depreciation &amp; Amortization</t>
  </si>
  <si>
    <t>Benefit Plans Income</t>
  </si>
  <si>
    <t>Pension Income / % of Qualified Pension Expense</t>
  </si>
  <si>
    <t>Income Tax Receivables</t>
  </si>
  <si>
    <t>Operating</t>
  </si>
  <si>
    <t>Margin</t>
  </si>
  <si>
    <t>.</t>
  </si>
  <si>
    <t>Earnings Per Share</t>
  </si>
  <si>
    <t>Inventory Growth</t>
  </si>
  <si>
    <t>Acquisitions / Dispositions</t>
  </si>
  <si>
    <t>17. Net Earnings (after extra items)</t>
  </si>
  <si>
    <t>18. Operating Earnings per Share</t>
  </si>
  <si>
    <t>19. Adjusted Earnings per Share (ex Pension)</t>
  </si>
  <si>
    <t>21. Average Shares Outstanding</t>
  </si>
  <si>
    <t>16. Adjusted Net Income (ex pension)</t>
  </si>
  <si>
    <t>Adj EBITDA Margin (ex pension)</t>
  </si>
  <si>
    <t>Adj Operating Margin</t>
  </si>
  <si>
    <t>2012 Expense Savings</t>
  </si>
  <si>
    <t>Productivity</t>
  </si>
  <si>
    <t>2013 Expense Savings</t>
  </si>
  <si>
    <t>Extra Week</t>
  </si>
  <si>
    <t>% Increase/(Decrease)</t>
  </si>
  <si>
    <t xml:space="preserve">Inventory Growth vs. Sales Growth </t>
  </si>
  <si>
    <t>Delta</t>
  </si>
  <si>
    <t>New EPS Estimate</t>
  </si>
  <si>
    <t>Prior EPS Estimate</t>
  </si>
  <si>
    <t>Adj EBITDA</t>
  </si>
  <si>
    <t>EBITDA Multiple</t>
  </si>
  <si>
    <t>M</t>
  </si>
  <si>
    <t>KSS</t>
  </si>
  <si>
    <t>JWN</t>
  </si>
  <si>
    <t>SKS</t>
  </si>
  <si>
    <t>5-yr Avg</t>
  </si>
  <si>
    <t>3-yr Avg</t>
  </si>
  <si>
    <t xml:space="preserve">  Dept Store Avg</t>
  </si>
  <si>
    <t>Multiple</t>
  </si>
  <si>
    <t>Discount Rate</t>
  </si>
  <si>
    <t>Years to Disct</t>
  </si>
  <si>
    <t>Implied EV</t>
  </si>
  <si>
    <t xml:space="preserve"> Net Debt</t>
  </si>
  <si>
    <t>Equity Value</t>
  </si>
  <si>
    <t>3Q12 Avg. Diluted Shares</t>
  </si>
  <si>
    <t>Per Share Value @ 6.0x  &amp; 11.5% rate</t>
  </si>
  <si>
    <t>Prior SG&amp;A / Sales</t>
  </si>
  <si>
    <t>New SG&amp;A / Sales</t>
  </si>
  <si>
    <t>FY12e</t>
  </si>
  <si>
    <t>FY13e</t>
  </si>
  <si>
    <t>FY14e</t>
  </si>
  <si>
    <t>FY15e</t>
  </si>
  <si>
    <t>FY16e</t>
  </si>
  <si>
    <t>FY17e</t>
  </si>
  <si>
    <t>SG&amp;A Exp New</t>
  </si>
  <si>
    <t>SG&amp;A Exp Old</t>
  </si>
  <si>
    <t>Total Payables / Inventory</t>
  </si>
  <si>
    <t>Merchandise Payables / Inventory</t>
  </si>
  <si>
    <t>Sephora Inside JCP</t>
  </si>
  <si>
    <t xml:space="preserve"> Days Accrued Expenses</t>
  </si>
  <si>
    <t>BASE CASE</t>
  </si>
  <si>
    <t>2004A</t>
  </si>
  <si>
    <t>2005A</t>
  </si>
  <si>
    <t>2006A</t>
  </si>
  <si>
    <t>2007A</t>
  </si>
  <si>
    <t>2008A</t>
  </si>
  <si>
    <t>2009A</t>
  </si>
  <si>
    <t>2012A</t>
  </si>
  <si>
    <t>2015E</t>
  </si>
  <si>
    <t>2016E</t>
  </si>
  <si>
    <t>2017E</t>
  </si>
  <si>
    <t>Interest and Other Exp/(Inc)</t>
  </si>
  <si>
    <t>Real Estate &amp; Other</t>
  </si>
  <si>
    <t>Other Expense</t>
  </si>
  <si>
    <t>BULL CASE</t>
  </si>
  <si>
    <t>Base Case Sales Comp Spread</t>
  </si>
  <si>
    <t>Bull Case Sales Comp Spread</t>
  </si>
  <si>
    <t>BEAR CASE</t>
  </si>
  <si>
    <t>Bear Case Sales Comp Spread</t>
  </si>
  <si>
    <t>INTERACTIVE</t>
  </si>
  <si>
    <t>Base</t>
  </si>
  <si>
    <t xml:space="preserve">Type "Bull / Base / Bear" here to toggle scenarios &gt;&gt; </t>
  </si>
  <si>
    <t>Net operating loss</t>
  </si>
  <si>
    <t>1Q13 Cash</t>
  </si>
  <si>
    <t>1Q13 Debt + Capital Leases</t>
  </si>
  <si>
    <t>Quarterly Cash Flow Statement</t>
  </si>
  <si>
    <t>1Q12</t>
  </si>
  <si>
    <t>2Q12</t>
  </si>
  <si>
    <t>3Q12</t>
  </si>
  <si>
    <t>4Q12</t>
  </si>
  <si>
    <t>Merchandise Accounts Payables</t>
  </si>
  <si>
    <t>Other accounts payable and accrued expenses</t>
  </si>
  <si>
    <t>FY12</t>
  </si>
  <si>
    <t>1Q13</t>
  </si>
  <si>
    <t>3Q13E</t>
  </si>
  <si>
    <t>4Q13E</t>
  </si>
  <si>
    <t>Carryback Benefit</t>
  </si>
  <si>
    <t>Inventory Growth (y/y)</t>
  </si>
  <si>
    <t>Sales Growth (y/y)</t>
  </si>
  <si>
    <t>Payables / Inventory Ratio</t>
  </si>
  <si>
    <t>Change in ST Debt</t>
  </si>
  <si>
    <t>Merchandise Accounts Payable</t>
  </si>
  <si>
    <t>Other A/P and Accrued Expenses</t>
  </si>
  <si>
    <t>Less: Other Accounts Payable &amp; Accrued Expenses (Y-o-Y % Change vs. % Sales Growth)</t>
  </si>
  <si>
    <t>Less: Merchandise Accounts Payable Y-o-Y % Change vs. % Sales Growth)</t>
  </si>
  <si>
    <t>Merchandise Payables to Inventory Ratio</t>
  </si>
  <si>
    <t>TTM SG&amp;A</t>
  </si>
  <si>
    <t>TTM COGS</t>
  </si>
  <si>
    <t>Days Other Payables and Accrued Expenses</t>
  </si>
  <si>
    <t>Other Payables and Accrued Expenses as % of TTM SG&amp;A</t>
  </si>
  <si>
    <t>Days Accrued Expenses and Other Payables</t>
  </si>
  <si>
    <t>Accrued Expenses and Other Payables / SG&amp;A</t>
  </si>
  <si>
    <t>Accrued Expenses/SG&amp;A</t>
  </si>
  <si>
    <t>Currency</t>
  </si>
  <si>
    <t>Current Stock Price</t>
  </si>
  <si>
    <t>Count</t>
  </si>
  <si>
    <t xml:space="preserve">8. Real Estate and other (% of Sales) </t>
  </si>
  <si>
    <t>Quarterly Balance Sheet</t>
  </si>
  <si>
    <t>Prepaid Expenses and Other Assets</t>
  </si>
  <si>
    <t>Payables Growth (y/y)</t>
  </si>
  <si>
    <t>4Q14E</t>
  </si>
  <si>
    <t>1Q14</t>
  </si>
  <si>
    <t>2Q13</t>
  </si>
  <si>
    <t>Year End Cash</t>
  </si>
  <si>
    <t xml:space="preserve">Year End LT Debt </t>
  </si>
  <si>
    <t>Diluted Shares</t>
  </si>
  <si>
    <t>Per Share Equity Value</t>
  </si>
  <si>
    <t>20. Weighted Avg Shares Outstanding - Fully Diluted</t>
  </si>
  <si>
    <t>2013A</t>
  </si>
  <si>
    <t>FY13</t>
  </si>
  <si>
    <t>Per Share Value</t>
  </si>
  <si>
    <t>Current FY1 (2014e)</t>
  </si>
  <si>
    <t>Current FY2 (2015e)</t>
  </si>
  <si>
    <t xml:space="preserve"> Mid-tier Avg</t>
  </si>
  <si>
    <t>2017 GM ↓ vs. '15-'17 Comp →</t>
  </si>
  <si>
    <t>2Q14</t>
  </si>
  <si>
    <t>3Q14</t>
  </si>
  <si>
    <t>1Q15</t>
  </si>
  <si>
    <t>2Q15E</t>
  </si>
  <si>
    <t>3Q15E</t>
  </si>
  <si>
    <t>4Q15E</t>
  </si>
  <si>
    <t>2018E</t>
  </si>
  <si>
    <t>Annual Sales Model, Fiscal 1989A-2018E</t>
  </si>
  <si>
    <t>Annual Earnings Model, Fiscal 2004A-2018E</t>
  </si>
  <si>
    <t>Operating Results Summary &amp; Financial Analysis, Fiscal 1989A-2018E</t>
  </si>
  <si>
    <t>FY14</t>
  </si>
  <si>
    <t>2019E</t>
  </si>
  <si>
    <t>2014A</t>
  </si>
  <si>
    <t>FY15E</t>
  </si>
  <si>
    <t>Metric</t>
  </si>
  <si>
    <t>D&amp;A</t>
  </si>
  <si>
    <t>Adj EBITDA (ex pension &amp; Other)</t>
  </si>
  <si>
    <t xml:space="preserve">Debt Balance </t>
  </si>
  <si>
    <t>Risk-Free Rate</t>
  </si>
  <si>
    <t>Cash Balance (2015E)</t>
  </si>
  <si>
    <t>Market Risk Premium</t>
  </si>
  <si>
    <t>Net Debt</t>
  </si>
  <si>
    <t>Equity Beta</t>
  </si>
  <si>
    <t>Cost of Debt (Pre-tax)</t>
  </si>
  <si>
    <t>Required Equity Return</t>
  </si>
  <si>
    <t>Cost of Debt (Post-tax @ 35%)</t>
  </si>
  <si>
    <t xml:space="preserve">Fully Diluted Shares </t>
  </si>
  <si>
    <t>Current Share Price</t>
  </si>
  <si>
    <t>Market Capitalization</t>
  </si>
  <si>
    <t>Market Enterprise Value</t>
  </si>
  <si>
    <t>WACC</t>
  </si>
  <si>
    <t>Sum of NPV Forecasted CFs</t>
  </si>
  <si>
    <t>NPV of Terminal Value</t>
  </si>
  <si>
    <t>Intrinsic Enterprise Value</t>
  </si>
  <si>
    <t>Less: Debt</t>
  </si>
  <si>
    <t>Plus: Cash</t>
  </si>
  <si>
    <t>Less: MV of Non-controlling Interest</t>
  </si>
  <si>
    <t>Plus: MV of Equity Investments</t>
  </si>
  <si>
    <t>Model</t>
  </si>
  <si>
    <t>Forecasts</t>
  </si>
  <si>
    <t>Revenue</t>
  </si>
  <si>
    <t>EBIT</t>
  </si>
  <si>
    <t>Operating Taxes</t>
  </si>
  <si>
    <t>NOPAT</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</si>
  <si>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</si>
  <si>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</si>
  <si>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</si>
  <si>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</si>
  <si>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</si>
  <si>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</si>
  <si>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</si>
  <si>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</si>
  <si>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</si>
  <si>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Terminal Value Growth Rate</t>
  </si>
  <si>
    <t>Current Equity Value per Share</t>
  </si>
  <si>
    <t>Implied 12 Month Price Target</t>
  </si>
  <si>
    <t>Stock Price</t>
  </si>
  <si>
    <t>Shares</t>
  </si>
  <si>
    <t>Debt</t>
  </si>
  <si>
    <t>Stock price</t>
  </si>
  <si>
    <t>Cash</t>
  </si>
  <si>
    <t>2016 EBITDA</t>
  </si>
  <si>
    <t>Implied</t>
  </si>
  <si>
    <t>EV/EBITDA</t>
  </si>
  <si>
    <t>Rating</t>
  </si>
  <si>
    <t>20. Reported Earnings per Share (GAAP)</t>
  </si>
  <si>
    <t>Adjusted Net Income</t>
  </si>
  <si>
    <t xml:space="preserve">Adjusted Net Income </t>
  </si>
  <si>
    <t>Sales / Avg Sq Ft (Store Only)</t>
  </si>
  <si>
    <t>Sales / Avg Sq Ft (Including eComm/Catalog)</t>
  </si>
  <si>
    <t>EBITDA (non-GAAP)</t>
  </si>
  <si>
    <t xml:space="preserve">18. Adjusted Earnings Per Share </t>
  </si>
  <si>
    <t>Multi-Year Stacks</t>
  </si>
  <si>
    <t>2 Year</t>
  </si>
  <si>
    <t>3 Year</t>
  </si>
  <si>
    <t>11-16E</t>
  </si>
  <si>
    <t>`</t>
  </si>
  <si>
    <t>2020E</t>
  </si>
  <si>
    <t xml:space="preserve">On 40 store closings should be down </t>
  </si>
  <si>
    <t>http://www.gapinc.com/content/attachments/gapinc/Comp-Sales/comp_sales_doc2014.pdf</t>
  </si>
  <si>
    <t xml:space="preserve">Capex </t>
  </si>
  <si>
    <t>Beg Cash</t>
  </si>
  <si>
    <t>WC</t>
  </si>
  <si>
    <t>Debt Paydown</t>
  </si>
  <si>
    <t>Implied Ending Cash</t>
  </si>
  <si>
    <t>Beg Cash + D&amp;A</t>
  </si>
  <si>
    <t>EBITDAR</t>
  </si>
  <si>
    <t>DC Sale</t>
  </si>
  <si>
    <t>net Income</t>
  </si>
  <si>
    <t>Cash Balance</t>
  </si>
  <si>
    <t>2022E</t>
  </si>
  <si>
    <t>2021E</t>
  </si>
  <si>
    <t>2019 Base</t>
  </si>
  <si>
    <t>Analysis of Space Productivity, 1989A-2018E</t>
  </si>
  <si>
    <t>Quarterly Operating Results and Financial Analysis, , Fiscal 1989A-2018E</t>
  </si>
  <si>
    <t>Rent</t>
  </si>
  <si>
    <t>EV</t>
  </si>
  <si>
    <t>2017e adj EBITDA</t>
  </si>
  <si>
    <t>EV/EBITDAR</t>
  </si>
  <si>
    <t>3</t>
  </si>
  <si>
    <t>2015A</t>
  </si>
  <si>
    <t>2016A</t>
  </si>
  <si>
    <t>2017A</t>
  </si>
  <si>
    <t>16E-22E</t>
  </si>
  <si>
    <t>Cost of Debt (Post-tax @ 21%)</t>
  </si>
  <si>
    <t>Quarterly Analysis of "Operating" Working Capital, 2001A-2017A</t>
  </si>
  <si>
    <t>Quarterly Analysis of Debt and Total Capital, 2001A-2017A</t>
  </si>
  <si>
    <t>Cash Flow Statement, Fiscal 1989A-2022E</t>
  </si>
  <si>
    <t>Balance Sheet, Fiscal 1989A-2022E</t>
  </si>
  <si>
    <t>Quarterly Analysis of Inventory Turnover, 2005A-2018E</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</si>
  <si>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</si>
  <si>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</si>
  <si>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</si>
  <si>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</si>
  <si>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</si>
  <si>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</si>
  <si>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</si>
  <si>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</si>
  <si>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</si>
  <si>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</si>
  <si>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09 Apr 2018</t>
  </si>
  <si>
    <t>Ticker: JCP.N</t>
  </si>
  <si>
    <t>Stock Rating: Equal-Weight</t>
  </si>
  <si>
    <t>Industry: Retail, Department Stores</t>
  </si>
  <si>
    <t>Industry View: Cautious</t>
  </si>
  <si>
    <t>Price as of 09 Apr 2018: 3.25</t>
  </si>
  <si>
    <t>Target Price: 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</si>
  <si>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</si>
  <si>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</si>
  <si>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</si>
  <si>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</si>
  <si>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J.C. Penney Co..</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</si>
  <si>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</si>
  <si>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</si>
  <si>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</si>
  <si>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</si>
  <si>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</si>
  <si>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</si>
  <si>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</si>
  <si>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</si>
  <si>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</si>
  <si>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</si>
  <si>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</si>
  <si>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</si>
  <si>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</si>
  <si>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</si>
  <si>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</si>
  <si>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</si>
  <si>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</si>
  <si>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</si>
  <si>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</si>
  <si>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</si>
  <si>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</si>
  <si>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</si>
  <si>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</si>
  <si>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</si>
  <si>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</si>
  <si>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</si>
  <si>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</si>
  <si>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</si>
  <si>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</si>
  <si>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</si>
  <si>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</si>
  <si>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</si>
  <si>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</si>
  <si>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</si>
  <si>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</si>
  <si>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</si>
  <si>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</si>
  <si>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</si>
  <si>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</si>
  <si>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</si>
  <si>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</si>
  <si>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</si>
  <si>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</si>
  <si>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</si>
  <si>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</si>
  <si>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</si>
  <si>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</si>
  <si>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</si>
  <si>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</si>
  <si>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</si>
  <si>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</si>
  <si>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</si>
  <si>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</si>
  <si>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</si>
  <si>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</si>
  <si>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</si>
  <si>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</si>
  <si>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</si>
  <si>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</si>
  <si>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</si>
  <si>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</si>
  <si>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</si>
  <si>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</si>
  <si>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</si>
  <si>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</si>
  <si>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</si>
  <si>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</si>
  <si>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</si>
  <si>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</si>
  <si>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</si>
  <si>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</si>
  <si>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</si>
  <si>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</si>
  <si>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</si>
  <si>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</si>
  <si>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</si>
  <si>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</si>
  <si>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</si>
  <si>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</si>
  <si>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</si>
  <si>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</si>
  <si>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</si>
  <si>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</si>
  <si>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</si>
  <si>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</si>
  <si>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</si>
  <si>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</si>
  <si>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</si>
  <si>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</si>
  <si>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</si>
  <si>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</si>
  <si>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</si>
  <si>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</si>
  <si>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</si>
  <si>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</si>
  <si>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</si>
  <si>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</si>
  <si>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</si>
  <si>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</si>
  <si>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</si>
  <si>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</si>
  <si>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</si>
  <si>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</si>
  <si>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</si>
  <si>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</si>
  <si>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</si>
  <si>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</si>
  <si>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</si>
  <si>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</si>
  <si>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</si>
  <si>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</si>
  <si>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</si>
  <si>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</si>
  <si>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</si>
  <si>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</si>
  <si>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</si>
  <si>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</si>
  <si>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</si>
  <si>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</si>
  <si>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</si>
  <si>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</si>
  <si>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</si>
  <si>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</si>
  <si>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</si>
  <si>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</si>
  <si>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</si>
  <si>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</si>
  <si>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</si>
  <si>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</si>
  <si>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</si>
  <si>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</si>
  <si>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</si>
  <si>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</si>
  <si>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</si>
  <si>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</si>
  <si>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</si>
  <si>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</si>
  <si>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</si>
  <si>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</si>
  <si>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</si>
  <si>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</si>
  <si>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</si>
  <si>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</si>
  <si>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</si>
  <si>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</si>
  <si>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</si>
  <si>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</si>
  <si>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</si>
  <si>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</si>
  <si>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</si>
  <si>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</si>
  <si>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</si>
  <si>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</si>
  <si>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</si>
  <si>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</si>
  <si>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</si>
  <si>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</si>
  <si>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</si>
  <si>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</si>
  <si>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</si>
  <si>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</si>
  <si>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</si>
  <si>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</si>
  <si>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</si>
  <si>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</si>
  <si>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</si>
  <si>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</si>
  <si>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</si>
  <si>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</si>
  <si>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</si>
  <si>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</si>
  <si>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</si>
  <si>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</si>
  <si>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</si>
  <si>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</si>
  <si>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J.C. Penney Co..</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</si>
  <si>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</si>
  <si>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</si>
  <si>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</si>
  <si>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</si>
  <si>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</si>
  <si>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</si>
  <si>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</si>
  <si>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</si>
  <si>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</si>
  <si>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</si>
  <si>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</si>
  <si>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</si>
  <si>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</si>
  <si>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</si>
  <si>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</si>
  <si>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</si>
  <si>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</si>
  <si>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</si>
  <si>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</si>
  <si>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</si>
  <si>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</si>
  <si>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</si>
  <si>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</si>
  <si>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</si>
  <si>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</si>
  <si>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</si>
  <si>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</si>
  <si>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</si>
  <si>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</si>
  <si>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</si>
  <si>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</si>
  <si>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</si>
  <si>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</si>
  <si>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</si>
  <si>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</si>
  <si>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</si>
  <si>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</si>
  <si>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</si>
  <si>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</si>
  <si>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</si>
  <si>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</si>
  <si>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</si>
  <si>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</si>
  <si>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</si>
  <si>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</si>
  <si>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</si>
  <si>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</si>
  <si>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</si>
  <si>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</si>
  <si>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</si>
  <si>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</si>
  <si>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</si>
  <si>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</si>
  <si>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</si>
  <si>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</si>
  <si>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</si>
  <si>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</si>
  <si>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</si>
  <si>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</si>
  <si>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</si>
  <si>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</si>
  <si>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</si>
  <si>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</si>
  <si>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</si>
  <si>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</si>
  <si>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</si>
  <si>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</si>
  <si>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</si>
  <si>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J.C. Penney Co..</t>
  </si>
  <si>
    <t>Within the last 12 months, Morgan Stanley has provided or is providing investment banking services to,</t>
  </si>
  <si>
    <t>or has an investment banking client relationship with, the following company: J.C. Penney Co..</t>
  </si>
  <si>
    <t>Within the last 12 months, Morgan Stanley has received compensation for products and services other than</t>
  </si>
  <si>
    <t>investment banking services from J.C. Penney Co..</t>
  </si>
  <si>
    <t>In the next 3 months, Morgan Stanley expects to receive or intends to seek compensation for investment</t>
  </si>
  <si>
    <t>banking services from J.C. Penney Co..</t>
  </si>
  <si>
    <t>As of March 29, 2018, Morgan Stanley beneficially owned 1% or more of a class of common equity</t>
  </si>
  <si>
    <t>securities of the following companies covered in Morgan Stanley Research: J.C. Penney Co..</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</si>
  <si>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</si>
  <si>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</si>
  <si>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</si>
  <si>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</si>
  <si>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</si>
  <si>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</si>
  <si>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</si>
  <si>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</si>
  <si>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</si>
  <si>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</si>
  <si>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</si>
  <si>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</si>
  <si>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</si>
  <si>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</si>
  <si>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</si>
  <si>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</si>
  <si>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</si>
  <si>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</si>
  <si>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</si>
  <si>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</si>
  <si>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</si>
  <si>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</si>
  <si>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</si>
  <si>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</si>
  <si>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</si>
  <si>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</si>
  <si>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</si>
  <si>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</si>
  <si>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</si>
  <si>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</si>
  <si>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</si>
  <si>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</si>
  <si>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</si>
  <si>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</si>
  <si>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</si>
  <si>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</si>
  <si>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</si>
  <si>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</si>
  <si>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</si>
  <si>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</si>
  <si>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</si>
  <si>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</si>
  <si>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</si>
  <si>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</si>
  <si>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</si>
  <si>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</si>
  <si>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</si>
  <si>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</si>
  <si>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</si>
  <si>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</si>
  <si>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</si>
  <si>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</si>
  <si>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</si>
  <si>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</si>
  <si>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</si>
  <si>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</si>
  <si>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</si>
  <si>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</si>
  <si>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</si>
  <si>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</si>
  <si>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</si>
  <si>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</si>
  <si>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</si>
  <si>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</si>
  <si>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</si>
  <si>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</si>
  <si>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</si>
  <si>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</si>
  <si>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</si>
  <si>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</si>
  <si>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</si>
  <si>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</si>
  <si>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Cautious</t>
  </si>
  <si>
    <t>Regular Update</t>
  </si>
  <si>
    <t>NorthAmerica</t>
  </si>
  <si>
    <t>edouardd</t>
  </si>
  <si>
    <t>L:\RETAIL\Greenberger\Companies\JCP\Model\JCP_Model.xlsm</t>
  </si>
  <si>
    <t>Please contact edouard.de.courreges@ms.com with any questions/concerns. Updated in accordance with the 10-K release. Thank you, Ed</t>
  </si>
  <si>
    <t>[BRO MSA]</t>
  </si>
  <si>
    <t>[PRODUCT MODEL]</t>
  </si>
  <si>
    <t>[EMAIL_ALERT YES]</t>
  </si>
  <si>
    <t>[DISCIPLINE Company]</t>
  </si>
  <si>
    <t>[SUPPRESSED NO]</t>
  </si>
  <si>
    <t>[DOCDAT 2018-04-09]</t>
  </si>
  <si>
    <t>[DOCTIME 12:49]</t>
  </si>
  <si>
    <t>[PSYM JCP.N(S&amp;P) (None)]</t>
  </si>
  <si>
    <t>[COU 1]</t>
  </si>
  <si>
    <t>[ANA ]</t>
  </si>
  <si>
    <t>[HL JCP.N Model]</t>
  </si>
  <si>
    <t>[IND RETSPC]</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</si>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</sst>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75">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_);\(#,##0.0\)"/>
    <numFmt numFmtId="165" formatCode="0.0"/>
    <numFmt numFmtId="166" formatCode="&quot;$&quot;#,##0.0"/>
    <numFmt numFmtId="167" formatCode="#,##0.0"/>
    <numFmt numFmtId="168" formatCode="&quot;$&quot;#,##0.00"/>
    <numFmt numFmtId="169" formatCode="\(0.0\)"/>
    <numFmt numFmtId="170" formatCode="0.000"/>
    <numFmt numFmtId="171" formatCode="\+0.0;\-0.0"/>
    <numFmt numFmtId="172" formatCode="&quot;$&quot;#,##0.0_);\(&quot;$&quot;#,##0.0\)"/>
    <numFmt numFmtId="173" formatCode="0.0_);\(0.0\)"/>
    <numFmt numFmtId="174" formatCode="_(* #,##0.0_);_(* \(#,##0.0\);_(* &quot;-&quot;??_);_(@_)"/>
    <numFmt numFmtId="175" formatCode="_(* #,##0_);_(* \(#,##0\);_(* &quot;-&quot;??_);_(@_)"/>
    <numFmt numFmtId="176" formatCode="General_)"/>
    <numFmt numFmtId="177" formatCode="0.0;\(0.0\)"/>
    <numFmt numFmtId="178" formatCode="0.0_);[Red]\(0.0\)"/>
    <numFmt numFmtId="179" formatCode="0.0%"/>
    <numFmt numFmtId="180" formatCode="_(&quot;$&quot;* #,##0.0_);_(&quot;$&quot;* \(#,##0.0\);_(&quot;$&quot;* &quot;-&quot;??_);_(@_)"/>
    <numFmt numFmtId="181" formatCode="_(* #,##0.000_);_(* \(#,##0.000\);_(* &quot;-&quot;??_);_(@_)"/>
    <numFmt numFmtId="182" formatCode="0.0%;\(0.0%\)"/>
    <numFmt numFmtId="184" formatCode="&quot;$&quot;#,##0"/>
    <numFmt numFmtId="185" formatCode="0_);\(0\)"/>
    <numFmt numFmtId="186" formatCode="#,##0;\(#,##0\)"/>
    <numFmt numFmtId="187" formatCode="#,##0.0;\(#,##0.0\)"/>
    <numFmt numFmtId="188" formatCode="\F###0\A"/>
    <numFmt numFmtId="189" formatCode="\F###0\E"/>
    <numFmt numFmtId="190" formatCode="###0"/>
    <numFmt numFmtId="191" formatCode="###0.00"/>
    <numFmt numFmtId="192" formatCode="0000&quot;A&quot;"/>
    <numFmt numFmtId="195" formatCode="0.0%_);\(0.0%\);&quot;–&quot;_)"/>
    <numFmt numFmtId="196" formatCode="General&quot;E&quot;"/>
    <numFmt numFmtId="197" formatCode="&quot;/&quot;\+0\);&quot;/&quot;\-0\)"/>
    <numFmt numFmtId="198" formatCode="&quot;/&quot;\+0.0\);&quot;/&quot;\-0.0\)"/>
    <numFmt numFmtId="199" formatCode="General&quot;A&quot;"/>
    <numFmt numFmtId="200" formatCode="00000;;&quot;--&quot;"/>
    <numFmt numFmtId="201" formatCode="#,##0_);\(#,##0\);&quot;--&quot;"/>
    <numFmt numFmtId="202" formatCode="&quot;$&quot;#,##0_);\(&quot;$&quot;#,##0\);&quot;--&quot;"/>
    <numFmt numFmtId="203" formatCode="0000&quot;E&quot;"/>
    <numFmt numFmtId="204" formatCode="0.0%_);\(0.0%\)"/>
    <numFmt numFmtId="205" formatCode="\ #,##0_);\(#,##0\)"/>
    <numFmt numFmtId="206" formatCode="0.0\x"/>
    <numFmt numFmtId="207" formatCode="#,##0_);\(#,##0\);\-\-_);@_)"/>
    <numFmt numFmtId="208" formatCode="&quot;$&quot;#,##0.0_);\(&quot;$&quot;#,##0.0\);&quot;--&quot;"/>
    <numFmt numFmtId="209" formatCode="&quot;/&quot;0.0;&quot;/&quot;\(0.0\)"/>
    <numFmt numFmtId="210" formatCode="_-* #,##0.0_-;\-* #,##0.0_-;_-* &quot;-&quot;??_-;_-@_-"/>
    <numFmt numFmtId="211" formatCode="0.00000%"/>
    <numFmt numFmtId="212" formatCode="&quot;/&quot;0;&quot;/&quot;\(0\)"/>
    <numFmt numFmtId="213" formatCode="\+0.00;\-0.00"/>
    <numFmt numFmtId="214" formatCode="&quot;$&quot;0.0_)"/>
    <numFmt numFmtId="215" formatCode="0.0\x_)"/>
    <numFmt numFmtId="217" formatCode="\+0;\-0"/>
    <numFmt numFmtId="220" formatCode="0\ &quot;bps&quot;"/>
    <numFmt numFmtId="223" formatCode="0&quot; bps&quot;;\(0\)&quot; bps&quot;"/>
    <numFmt numFmtId="224" formatCode="\(0.000\)"/>
    <numFmt numFmtId="225" formatCode="\+0\ &quot;bps&quot;"/>
    <numFmt numFmtId="227" formatCode="_(&quot;$&quot;* #,##0.0_);_(&quot;$&quot;* \(#,##0.0\);_(&quot;$&quot;* &quot;-&quot;?_);_(@_)"/>
    <numFmt numFmtId="234" formatCode="\(0.00\)"/>
    <numFmt numFmtId="235" formatCode="#.0#&quot;x&quot;"/>
    <numFmt numFmtId="236" formatCode="_(&quot;$&quot;* #,##0_);_(&quot;$&quot;* \(#,##0\);_(&quot;$&quot;* &quot;-&quot;??_);_(@_)"/>
    <numFmt numFmtId="237" formatCode="0.00%_);\(0.00%\)"/>
    <numFmt numFmtId="238" formatCode="&quot;$&quot;#,##0.000_);\(&quot;$&quot;#,##0.000\)"/>
    <numFmt numFmtId="239" formatCode="&quot;$&quot;0_)"/>
    <numFmt numFmtId="240" formatCode="0%_);\(0%\)"/>
    <numFmt numFmtId="241" formatCode="0\x"/>
    <numFmt numFmtId="242" formatCode="####&quot;E&quot;"/>
    <numFmt numFmtId="244" formatCode="#,##0.0000_);\(#,##0.0000\)"/>
    <numFmt numFmtId="246" formatCode="&quot;/&quot;0.00;&quot;/&quot;\(0.00\)"/>
    <numFmt numFmtId="252" formatCode="_(* #,##0.00000000_);_(* \(#,##0.00000000\);_(* &quot;-&quot;??_);_(@_)"/>
    <numFmt numFmtId="254" formatCode="_(* #,##0.0000000000_);_(* \(#,##0.0000000000\);_(* &quot;-&quot;??_);_(@_)"/>
    <numFmt numFmtId="257" formatCode="_(* #,##0.00000000000_);_(* \(#,##0.00000000000\);_(* &quot;-&quot;??_);_(@_)"/>
    <numFmt numFmtId="263" formatCode="mm/dd/yy\ hh:mm"/>
  </numFmts>
  <fonts count="129">
    <font>
      <sz val="10"/>
      <name val="Arial"/>
    </font>
    <font>
      <sz val="10"/>
      <name val="Arial"/>
      <family val="2"/>
    </font>
    <font>
      <b/>
      <sz val="10"/>
      <name val="Arial"/>
      <family val="2"/>
    </font>
    <font>
      <sz val="10"/>
      <name val="MS Sans Serif"/>
      <family val="2"/>
    </font>
    <font>
      <b/>
      <sz val="10"/>
      <color indexed="8"/>
      <name val="Times New Roman"/>
      <family val="1"/>
    </font>
    <font>
      <sz val="10"/>
      <name val="Courier"/>
      <family val="3"/>
    </font>
    <font>
      <sz val="9"/>
      <name val="Times New Roman"/>
      <family val="1"/>
    </font>
    <font>
      <sz val="10"/>
      <name val="Arial"/>
      <family val="2"/>
    </font>
    <font>
      <sz val="10"/>
      <color indexed="8"/>
      <name val="Times New Roman"/>
      <family val="1"/>
    </font>
    <font>
      <i/>
      <sz val="8"/>
      <name val="Times New Roman"/>
      <family val="1"/>
    </font>
    <font>
      <sz val="8"/>
      <name val="Arial"/>
      <family val="2"/>
    </font>
    <font>
      <i/>
      <sz val="8"/>
      <name val="Arial"/>
      <family val="2"/>
    </font>
    <font>
      <sz val="8"/>
      <name val="Arial"/>
      <family val="2"/>
    </font>
    <font>
      <b/>
      <sz val="8"/>
      <name val="Arial"/>
      <family val="2"/>
    </font>
    <font>
      <b/>
      <sz val="8"/>
      <color indexed="12"/>
      <name val="Arial"/>
      <family val="2"/>
    </font>
    <font>
      <b/>
      <u/>
      <sz val="8"/>
      <name val="Arial"/>
      <family val="2"/>
    </font>
    <font>
      <sz val="8"/>
      <color indexed="12"/>
      <name val="Arial"/>
      <family val="2"/>
    </font>
    <font>
      <sz val="8"/>
      <color indexed="81"/>
      <name val="Tahoma"/>
      <family val="2"/>
    </font>
    <font>
      <b/>
      <sz val="8"/>
      <color indexed="81"/>
      <name val="Tahoma"/>
      <family val="2"/>
    </font>
    <font>
      <sz val="8"/>
      <color indexed="12"/>
      <name val="Arial"/>
      <family val="2"/>
    </font>
    <font>
      <sz val="10"/>
      <name val="Helv"/>
    </font>
    <font>
      <sz val="8"/>
      <color indexed="10"/>
      <name val="Arial"/>
      <family val="2"/>
    </font>
    <font>
      <b/>
      <sz val="9"/>
      <name val="Arial"/>
      <family val="2"/>
    </font>
    <font>
      <sz val="10"/>
      <color indexed="12"/>
      <name val="Arial"/>
      <family val="2"/>
    </font>
    <font>
      <sz val="8"/>
      <color indexed="22"/>
      <name val="Arial"/>
      <family val="2"/>
    </font>
    <font>
      <sz val="9"/>
      <name val="Times New Roman"/>
      <family val="1"/>
    </font>
    <font>
      <i/>
      <sz val="10"/>
      <name val="Arial"/>
      <family val="2"/>
    </font>
    <font>
      <u/>
      <sz val="8"/>
      <color indexed="81"/>
      <name val="Tahoma"/>
      <family val="2"/>
    </font>
    <font>
      <sz val="8"/>
      <color indexed="17"/>
      <name val="Arial"/>
      <family val="2"/>
    </font>
    <font>
      <sz val="8"/>
      <color indexed="8"/>
      <name val="Arial"/>
      <family val="2"/>
    </font>
    <font>
      <b/>
      <sz val="8"/>
      <color indexed="12"/>
      <name val="Arial"/>
      <family val="2"/>
    </font>
    <font>
      <sz val="8"/>
      <color indexed="17"/>
      <name val="Arial"/>
      <family val="2"/>
    </font>
    <font>
      <b/>
      <i/>
      <sz val="8"/>
      <color indexed="12"/>
      <name val="Tahoma"/>
      <family val="2"/>
    </font>
    <font>
      <b/>
      <sz val="8"/>
      <color indexed="17"/>
      <name val="Arial"/>
      <family val="2"/>
    </font>
    <font>
      <b/>
      <sz val="8"/>
      <color indexed="12"/>
      <name val="Tahoma"/>
      <family val="2"/>
    </font>
    <font>
      <b/>
      <u/>
      <sz val="8"/>
      <color indexed="81"/>
      <name val="Tahoma"/>
      <family val="2"/>
    </font>
    <font>
      <i/>
      <sz val="8"/>
      <color indexed="81"/>
      <name val="Tahoma"/>
      <family val="2"/>
    </font>
    <font>
      <sz val="8"/>
      <color indexed="10"/>
      <name val="Arial"/>
      <family val="2"/>
    </font>
    <font>
      <b/>
      <u/>
      <sz val="8"/>
      <color indexed="12"/>
      <name val="Tahoma"/>
      <family val="2"/>
    </font>
    <font>
      <sz val="8"/>
      <color indexed="12"/>
      <name val="Tahoma"/>
      <family val="2"/>
    </font>
    <font>
      <i/>
      <sz val="8"/>
      <color indexed="17"/>
      <name val="Arial"/>
      <family val="2"/>
    </font>
    <font>
      <sz val="8"/>
      <name val="Times New Roman"/>
      <family val="1"/>
    </font>
    <font>
      <b/>
      <sz val="8"/>
      <color indexed="10"/>
      <name val="Arial"/>
      <family val="2"/>
    </font>
    <font>
      <b/>
      <sz val="8"/>
      <name val="Arial"/>
      <family val="2"/>
    </font>
    <font>
      <b/>
      <sz val="8"/>
      <color indexed="53"/>
      <name val="Arial"/>
      <family val="2"/>
    </font>
    <font>
      <b/>
      <i/>
      <sz val="8"/>
      <color indexed="12"/>
      <name val="Arial"/>
      <family val="2"/>
    </font>
    <font>
      <sz val="8"/>
      <color indexed="53"/>
      <name val="Arial"/>
      <family val="2"/>
    </font>
    <font>
      <sz val="8"/>
      <color indexed="55"/>
      <name val="Arial"/>
      <family val="2"/>
    </font>
    <font>
      <b/>
      <i/>
      <sz val="8"/>
      <color indexed="57"/>
      <name val="Arial"/>
      <family val="2"/>
    </font>
    <font>
      <i/>
      <sz val="8"/>
      <name val="Arial"/>
      <family val="2"/>
    </font>
    <font>
      <b/>
      <i/>
      <sz val="8"/>
      <name val="Arial"/>
      <family val="2"/>
    </font>
    <font>
      <sz val="10"/>
      <color indexed="9"/>
      <name val="Arial"/>
      <family val="2"/>
    </font>
    <font>
      <b/>
      <sz val="9"/>
      <color indexed="12"/>
      <name val="Arial"/>
      <family val="2"/>
    </font>
    <font>
      <sz val="9"/>
      <color indexed="12"/>
      <name val="Arial"/>
      <family val="2"/>
    </font>
    <font>
      <b/>
      <sz val="10"/>
      <color indexed="9"/>
      <name val="Arial"/>
      <family val="2"/>
    </font>
    <font>
      <b/>
      <u/>
      <sz val="8"/>
      <name val="Arial"/>
      <family val="2"/>
    </font>
    <font>
      <sz val="10"/>
      <color indexed="17"/>
      <name val="Arial"/>
      <family val="2"/>
    </font>
    <font>
      <i/>
      <sz val="7"/>
      <name val="Arial"/>
      <family val="2"/>
    </font>
    <font>
      <sz val="10"/>
      <color indexed="8"/>
      <name val="Arial"/>
      <family val="2"/>
    </font>
    <font>
      <sz val="10"/>
      <color indexed="21"/>
      <name val="Arial"/>
      <family val="2"/>
    </font>
    <font>
      <sz val="9"/>
      <name val="Arial"/>
      <family val="2"/>
    </font>
    <font>
      <b/>
      <sz val="9"/>
      <color indexed="17"/>
      <name val="Arial"/>
      <family val="2"/>
    </font>
    <font>
      <sz val="11"/>
      <name val="Arial"/>
      <family val="2"/>
    </font>
    <font>
      <b/>
      <sz val="11"/>
      <name val="Arial"/>
      <family val="2"/>
    </font>
    <font>
      <sz val="10"/>
      <color indexed="12"/>
      <name val="Arial"/>
      <family val="2"/>
    </font>
    <font>
      <b/>
      <sz val="10"/>
      <color indexed="12"/>
      <name val="Arial"/>
      <family val="2"/>
    </font>
    <font>
      <b/>
      <sz val="11"/>
      <name val="Arial"/>
      <family val="2"/>
    </font>
    <font>
      <i/>
      <sz val="11"/>
      <name val="Arial"/>
      <family val="2"/>
    </font>
    <font>
      <b/>
      <u/>
      <sz val="10"/>
      <name val="Arial"/>
      <family val="2"/>
    </font>
    <font>
      <b/>
      <i/>
      <sz val="10"/>
      <name val="Arial"/>
      <family val="2"/>
    </font>
    <font>
      <b/>
      <sz val="10"/>
      <color indexed="10"/>
      <name val="Arial"/>
      <family val="2"/>
    </font>
    <font>
      <sz val="10"/>
      <color indexed="8"/>
      <name val="MS Sans Serif"/>
      <family val="2"/>
    </font>
    <font>
      <sz val="10"/>
      <color indexed="10"/>
      <name val="Arial"/>
      <family val="2"/>
    </font>
    <font>
      <b/>
      <sz val="9"/>
      <color indexed="81"/>
      <name val="Tahoma"/>
      <family val="2"/>
    </font>
    <font>
      <sz val="9"/>
      <color indexed="81"/>
      <name val="Tahoma"/>
      <family val="2"/>
    </font>
    <font>
      <b/>
      <sz val="10"/>
      <color indexed="8"/>
      <name val="Arial"/>
      <family val="2"/>
    </font>
    <font>
      <i/>
      <sz val="10"/>
      <color indexed="17"/>
      <name val="Arial"/>
      <family val="2"/>
    </font>
    <font>
      <b/>
      <sz val="10"/>
      <color indexed="17"/>
      <name val="Arial"/>
      <family val="2"/>
    </font>
    <font>
      <b/>
      <i/>
      <sz val="10"/>
      <color indexed="62"/>
      <name val="Arial"/>
      <family val="2"/>
    </font>
    <font>
      <sz val="10"/>
      <name val="Calibri"/>
      <family val="2"/>
    </font>
    <font>
      <sz val="10"/>
      <color indexed="23"/>
      <name val="Arial"/>
      <family val="2"/>
    </font>
    <font>
      <sz val="10"/>
      <color indexed="55"/>
      <name val="Arial"/>
      <family val="2"/>
    </font>
    <font>
      <b/>
      <u/>
      <sz val="10"/>
      <color indexed="23"/>
      <name val="Arial"/>
      <family val="2"/>
    </font>
    <font>
      <b/>
      <sz val="10"/>
      <color indexed="62"/>
      <name val="Arial"/>
      <family val="2"/>
    </font>
    <font>
      <b/>
      <u/>
      <sz val="10"/>
      <color indexed="12"/>
      <name val="Arial"/>
      <family val="2"/>
    </font>
    <font>
      <sz val="10"/>
      <color indexed="19"/>
      <name val="Arial"/>
      <family val="2"/>
    </font>
    <font>
      <b/>
      <i/>
      <sz val="10"/>
      <color indexed="12"/>
      <name val="Arial"/>
      <family val="2"/>
    </font>
    <font>
      <b/>
      <i/>
      <sz val="10"/>
      <color indexed="17"/>
      <name val="Arial"/>
      <family val="2"/>
    </font>
    <font>
      <b/>
      <sz val="10"/>
      <color indexed="22"/>
      <name val="Arial"/>
      <family val="2"/>
    </font>
    <font>
      <b/>
      <u/>
      <sz val="10"/>
      <name val="CIR Trade Gothic Cn"/>
    </font>
    <font>
      <i/>
      <sz val="10"/>
      <color indexed="21"/>
      <name val="Arial"/>
      <family val="2"/>
    </font>
    <font>
      <b/>
      <sz val="10"/>
      <color indexed="57"/>
      <name val="Arial"/>
      <family val="2"/>
    </font>
    <font>
      <u/>
      <sz val="10"/>
      <name val="Arial"/>
      <family val="2"/>
    </font>
    <font>
      <b/>
      <sz val="10"/>
      <color indexed="21"/>
      <name val="Arial"/>
      <family val="2"/>
    </font>
    <font>
      <sz val="12"/>
      <name val="Times New Roman"/>
      <family val="1"/>
    </font>
    <font>
      <b/>
      <i/>
      <sz val="9"/>
      <color indexed="62"/>
      <name val="Arial"/>
      <family val="2"/>
    </font>
    <font>
      <sz val="11"/>
      <color theme="1"/>
      <name val="Calibri"/>
      <family val="2"/>
      <scheme val="minor"/>
    </font>
    <font>
      <b/>
      <sz val="10"/>
      <color rgb="FFFF0000"/>
      <name val="Arial"/>
      <family val="2"/>
    </font>
    <font>
      <sz val="10"/>
      <color rgb="FFFF0000"/>
      <name val="Arial"/>
      <family val="2"/>
    </font>
    <font>
      <b/>
      <sz val="10"/>
      <color theme="0"/>
      <name val="Arial"/>
      <family val="2"/>
    </font>
    <font>
      <sz val="10"/>
      <color theme="1"/>
      <name val="Arial"/>
      <family val="2"/>
    </font>
    <font>
      <b/>
      <sz val="10"/>
      <color theme="1"/>
      <name val="Arial"/>
      <family val="2"/>
    </font>
    <font>
      <i/>
      <sz val="10"/>
      <color theme="1"/>
      <name val="Arial"/>
      <family val="2"/>
    </font>
    <font>
      <b/>
      <i/>
      <sz val="10"/>
      <color theme="3"/>
      <name val="Arial"/>
      <family val="2"/>
    </font>
    <font>
      <i/>
      <sz val="10"/>
      <color theme="1" tint="0.499984740745262"/>
      <name val="Arial"/>
      <family val="2"/>
    </font>
    <font>
      <i/>
      <sz val="10"/>
      <color theme="4" tint="0.79998168889431442"/>
      <name val="Arial"/>
      <family val="2"/>
    </font>
    <font>
      <i/>
      <sz val="10"/>
      <color theme="0"/>
      <name val="Arial"/>
      <family val="2"/>
    </font>
    <font>
      <i/>
      <sz val="8"/>
      <color theme="0" tint="-0.34998626667073579"/>
      <name val="Arial"/>
      <family val="2"/>
    </font>
    <font>
      <sz val="8"/>
      <color theme="1"/>
      <name val="Arial"/>
      <family val="2"/>
    </font>
    <font>
      <sz val="11"/>
      <color theme="1"/>
      <name val="Arial"/>
      <family val="2"/>
    </font>
    <font>
      <sz val="10"/>
      <color theme="0"/>
      <name val="Arial"/>
      <family val="2"/>
    </font>
    <font>
      <b/>
      <sz val="11"/>
      <color theme="0"/>
      <name val="Arial"/>
      <family val="2"/>
    </font>
    <font>
      <b/>
      <sz val="10"/>
      <color rgb="FF0000FF"/>
      <name val="Arial"/>
      <family val="2"/>
    </font>
    <font>
      <sz val="8"/>
      <color rgb="FF008000"/>
      <name val="Arial"/>
      <family val="2"/>
    </font>
    <font>
      <sz val="10"/>
      <color rgb="FF008000"/>
      <name val="Arial"/>
      <family val="2"/>
    </font>
    <font>
      <b/>
      <i/>
      <sz val="10"/>
      <color rgb="FF0000FF"/>
      <name val="Arial"/>
      <family val="2"/>
    </font>
    <font>
      <sz val="8"/>
      <color rgb="FF0000FF"/>
      <name val="Arial"/>
      <family val="2"/>
    </font>
    <font>
      <b/>
      <sz val="8"/>
      <color rgb="FF0000FF"/>
      <name val="Arial"/>
      <family val="2"/>
    </font>
    <font>
      <sz val="10"/>
      <color rgb="FF0000FF"/>
      <name val="Arial"/>
      <family val="2"/>
    </font>
    <font>
      <b/>
      <sz val="10"/>
      <color rgb="FF008000"/>
      <name val="Arial"/>
      <family val="2"/>
    </font>
    <font>
      <b/>
      <sz val="10"/>
      <color rgb="FF000000"/>
      <name val="Arial"/>
      <family val="2"/>
    </font>
    <font>
      <i/>
      <sz val="10"/>
      <color rgb="FF000000"/>
      <name val="Arial"/>
      <family val="2"/>
    </font>
    <font>
      <b/>
      <i/>
      <sz val="10"/>
      <color rgb="FF008000"/>
      <name val="Arial"/>
      <family val="2"/>
    </font>
    <font>
      <sz val="10"/>
      <color rgb="FF000000"/>
      <name val="Arial"/>
      <family val="2"/>
    </font>
    <font>
      <b/>
      <u/>
      <sz val="10"/>
      <color rgb="FF008000"/>
      <name val="Arial"/>
      <family val="2"/>
    </font>
    <font>
      <b/>
      <sz val="9"/>
      <color rgb="FF008000"/>
      <name val="Arial"/>
      <family val="2"/>
    </font>
    <font>
      <i/>
      <sz val="10"/>
      <color rgb="FF008000"/>
      <name val="Arial"/>
      <family val="2"/>
    </font>
    <font>
      <b/>
      <sz val="8"/>
      <color rgb="FF008000"/>
      <name val="Arial"/>
      <family val="2"/>
    </font>
    <font>
      <b/>
      <sz val="12"/>
      <color rgb="FF000080"/>
      <name val="Arial"/>
      <family val="2"/>
    </font>
  </fonts>
  <fills count="19">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13"/>
        <bgColor indexed="64"/>
      </patternFill>
    </fill>
    <fill>
      <patternFill patternType="solid">
        <fgColor indexed="53"/>
        <bgColor indexed="64"/>
      </patternFill>
    </fill>
    <fill>
      <patternFill patternType="solid">
        <fgColor indexed="44"/>
        <bgColor indexed="64"/>
      </patternFill>
    </fill>
    <fill>
      <patternFill patternType="solid">
        <fgColor indexed="47"/>
        <bgColor indexed="64"/>
      </patternFill>
    </fill>
    <fill>
      <patternFill patternType="solid">
        <fgColor indexed="65"/>
        <bgColor indexed="64"/>
      </patternFill>
    </fill>
    <fill>
      <patternFill patternType="solid">
        <fgColor indexed="41"/>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43">
    <border>
      <left/>
      <right/>
      <top/>
      <bottom/>
      <diagonal/>
    </border>
    <border>
      <left style="thin">
        <color indexed="64"/>
      </left>
      <right/>
      <top/>
      <bottom/>
      <diagonal/>
    </border>
    <border>
      <left/>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diagonal/>
    </border>
    <border>
      <left/>
      <right/>
      <top/>
      <bottom style="thin">
        <color indexed="8"/>
      </bottom>
      <diagonal/>
    </border>
    <border>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thin">
        <color theme="3"/>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indexed="64"/>
      </bottom>
      <diagonal/>
    </border>
    <border>
      <left/>
      <right style="thin">
        <color theme="3"/>
      </right>
      <top/>
      <bottom style="thin">
        <color indexed="64"/>
      </bottom>
      <diagonal/>
    </border>
    <border>
      <left style="thin">
        <color theme="3"/>
      </left>
      <right/>
      <top/>
      <bottom style="thin">
        <color theme="3"/>
      </bottom>
      <diagonal/>
    </border>
    <border>
      <left/>
      <right style="thin">
        <color theme="3"/>
      </right>
      <top/>
      <bottom style="thin">
        <color theme="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6">
    <xf numFmtId="0" fontId="0" fillId="0" borderId="0"/>
    <xf numFmtId="0" fontId="1" fillId="0" borderId="0"/>
    <xf numFmtId="0" fontId="1" fillId="0" borderId="0"/>
    <xf numFmtId="0" fontId="7" fillId="0" borderId="0" applyNumberFormat="0" applyFont="0" applyFill="0" applyBorder="0" applyAlignment="0" applyProtection="0"/>
    <xf numFmtId="0" fontId="7" fillId="0" borderId="0" applyFill="0" applyAlignment="0">
      <protection locked="0"/>
    </xf>
    <xf numFmtId="0" fontId="1" fillId="0" borderId="0"/>
    <xf numFmtId="0" fontId="1" fillId="2" borderId="0" applyNumberFormat="0" applyFont="0" applyBorder="0" applyAlignment="0" applyProtection="0"/>
    <xf numFmtId="0" fontId="3" fillId="0" borderId="0"/>
    <xf numFmtId="0" fontId="3" fillId="0" borderId="0"/>
    <xf numFmtId="0" fontId="4" fillId="0" borderId="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0" fontId="7" fillId="0" borderId="0"/>
    <xf numFmtId="0" fontId="7" fillId="0" borderId="0"/>
    <xf numFmtId="37" fontId="7" fillId="0" borderId="0" applyFill="0" applyBorder="0" applyAlignment="0" applyProtection="0"/>
    <xf numFmtId="0" fontId="20" fillId="0" borderId="0"/>
    <xf numFmtId="0" fontId="1" fillId="0" borderId="0"/>
    <xf numFmtId="0" fontId="1" fillId="0" borderId="0"/>
    <xf numFmtId="0" fontId="25" fillId="0" borderId="0"/>
    <xf numFmtId="176" fontId="5" fillId="0" borderId="0"/>
    <xf numFmtId="0" fontId="10" fillId="0" borderId="0"/>
    <xf numFmtId="0" fontId="1" fillId="0" borderId="0"/>
    <xf numFmtId="164" fontId="5" fillId="0" borderId="0"/>
    <xf numFmtId="176" fontId="5" fillId="0" borderId="0"/>
    <xf numFmtId="37" fontId="5" fillId="0" borderId="0"/>
    <xf numFmtId="37" fontId="5" fillId="0" borderId="0"/>
    <xf numFmtId="0" fontId="1" fillId="0" borderId="0"/>
    <xf numFmtId="176" fontId="5" fillId="0" borderId="0"/>
    <xf numFmtId="0" fontId="1" fillId="0" borderId="0"/>
    <xf numFmtId="176" fontId="5" fillId="0" borderId="0"/>
    <xf numFmtId="37" fontId="5" fillId="0" borderId="0"/>
    <xf numFmtId="0" fontId="6" fillId="0" borderId="0">
      <alignment vertical="center"/>
    </xf>
    <xf numFmtId="9" fontId="1" fillId="0" borderId="0" applyFont="0" applyFill="0" applyBorder="0" applyAlignment="0" applyProtection="0"/>
    <xf numFmtId="9" fontId="96" fillId="0" borderId="0" applyFont="0" applyFill="0" applyBorder="0" applyAlignment="0" applyProtection="0"/>
    <xf numFmtId="9" fontId="7" fillId="0" borderId="0" applyFont="0" applyFill="0" applyBorder="0" applyAlignment="0" applyProtection="0"/>
    <xf numFmtId="0" fontId="7" fillId="2" borderId="0" applyNumberFormat="0" applyFont="0" applyBorder="0" applyAlignment="0" applyProtection="0"/>
    <xf numFmtId="0" fontId="8" fillId="0" borderId="0"/>
    <xf numFmtId="0" fontId="8" fillId="0" borderId="10">
      <alignment horizontal="centerContinuous"/>
    </xf>
    <xf numFmtId="0" fontId="9" fillId="0" borderId="10"/>
    <xf numFmtId="0" fontId="5" fillId="0" borderId="0"/>
  </cellStyleXfs>
  <cellXfs count="1619">
    <xf numFmtId="0" fontId="0" fillId="0" borderId="0" xfId="0"/>
    <xf numFmtId="0" fontId="1" fillId="0" borderId="0" xfId="1"/>
    <xf numFmtId="0" fontId="7" fillId="0" borderId="0" xfId="0" applyFont="1"/>
    <xf numFmtId="0" fontId="7" fillId="0" borderId="2" xfId="0" applyFont="1" applyBorder="1"/>
    <xf numFmtId="49" fontId="0" fillId="0" borderId="0" xfId="0" applyNumberFormat="1"/>
    <xf numFmtId="0" fontId="10" fillId="0" borderId="0" xfId="32" applyFont="1"/>
    <xf numFmtId="0" fontId="0" fillId="0" borderId="0" xfId="0" applyBorder="1"/>
    <xf numFmtId="37" fontId="0" fillId="0" borderId="0" xfId="0" applyNumberFormat="1"/>
    <xf numFmtId="0" fontId="26" fillId="0" borderId="0" xfId="0" applyFont="1"/>
    <xf numFmtId="179" fontId="19" fillId="0" borderId="0" xfId="38" applyNumberFormat="1" applyFont="1" applyAlignment="1">
      <alignment horizontal="right"/>
    </xf>
    <xf numFmtId="0" fontId="10" fillId="0" borderId="0" xfId="24" applyFont="1" applyAlignment="1">
      <alignment horizontal="right"/>
    </xf>
    <xf numFmtId="0" fontId="10" fillId="0" borderId="0" xfId="32" applyFont="1" applyAlignment="1">
      <alignment horizontal="right"/>
    </xf>
    <xf numFmtId="0" fontId="13" fillId="4" borderId="14" xfId="24" applyFont="1" applyFill="1" applyBorder="1" applyAlignment="1">
      <alignment horizontal="centerContinuous"/>
    </xf>
    <xf numFmtId="0" fontId="13" fillId="4" borderId="4" xfId="24" applyFont="1" applyFill="1" applyBorder="1" applyAlignment="1">
      <alignment horizontal="centerContinuous"/>
    </xf>
    <xf numFmtId="0" fontId="13" fillId="4" borderId="4" xfId="32" applyFont="1" applyFill="1" applyBorder="1" applyAlignment="1">
      <alignment horizontal="centerContinuous"/>
    </xf>
    <xf numFmtId="0" fontId="13" fillId="4" borderId="5" xfId="32" applyFont="1" applyFill="1" applyBorder="1" applyAlignment="1">
      <alignment horizontal="centerContinuous"/>
    </xf>
    <xf numFmtId="0" fontId="13" fillId="6" borderId="5" xfId="32" applyFont="1" applyFill="1" applyBorder="1" applyAlignment="1">
      <alignment horizontal="centerContinuous"/>
    </xf>
    <xf numFmtId="179" fontId="10" fillId="0" borderId="0" xfId="38" applyNumberFormat="1" applyFont="1" applyAlignment="1">
      <alignment horizontal="right"/>
    </xf>
    <xf numFmtId="188" fontId="43" fillId="0" borderId="0" xfId="22" applyNumberFormat="1" applyFont="1" applyBorder="1" applyAlignment="1">
      <alignment horizontal="right"/>
    </xf>
    <xf numFmtId="189" fontId="30" fillId="0" borderId="0" xfId="24" applyNumberFormat="1" applyFont="1" applyBorder="1" applyAlignment="1">
      <alignment horizontal="right"/>
    </xf>
    <xf numFmtId="0" fontId="10" fillId="0" borderId="0" xfId="32" applyFont="1" applyFill="1" applyBorder="1" applyAlignment="1">
      <alignment horizontal="right"/>
    </xf>
    <xf numFmtId="0" fontId="10" fillId="0" borderId="0" xfId="32" applyFont="1" applyFill="1" applyBorder="1"/>
    <xf numFmtId="184" fontId="10" fillId="0" borderId="0" xfId="32" applyNumberFormat="1" applyFont="1" applyAlignment="1">
      <alignment horizontal="right"/>
    </xf>
    <xf numFmtId="186" fontId="42" fillId="0" borderId="0" xfId="13" applyNumberFormat="1" applyFont="1" applyFill="1" applyBorder="1" applyAlignment="1">
      <alignment horizontal="left"/>
    </xf>
    <xf numFmtId="0" fontId="21" fillId="0" borderId="0" xfId="32" applyFont="1" applyFill="1" applyBorder="1" applyAlignment="1">
      <alignment horizontal="right"/>
    </xf>
    <xf numFmtId="0" fontId="21" fillId="0" borderId="0" xfId="32" applyFont="1" applyFill="1" applyBorder="1"/>
    <xf numFmtId="186" fontId="12" fillId="0" borderId="0" xfId="13" applyNumberFormat="1" applyFont="1" applyFill="1" applyAlignment="1">
      <alignment horizontal="right"/>
    </xf>
    <xf numFmtId="186" fontId="12" fillId="0" borderId="2" xfId="13" applyNumberFormat="1" applyFont="1" applyFill="1" applyBorder="1" applyAlignment="1">
      <alignment horizontal="right"/>
    </xf>
    <xf numFmtId="186" fontId="12" fillId="0" borderId="0" xfId="13" applyNumberFormat="1" applyFont="1" applyFill="1" applyBorder="1" applyAlignment="1">
      <alignment horizontal="right"/>
    </xf>
    <xf numFmtId="0" fontId="13" fillId="0" borderId="0" xfId="26" applyFont="1" applyFill="1"/>
    <xf numFmtId="186" fontId="10" fillId="0" borderId="0" xfId="32" applyNumberFormat="1" applyFont="1" applyFill="1" applyAlignment="1">
      <alignment horizontal="right"/>
    </xf>
    <xf numFmtId="186" fontId="10" fillId="0" borderId="0" xfId="32" applyNumberFormat="1" applyFont="1"/>
    <xf numFmtId="186" fontId="10" fillId="0" borderId="2" xfId="32" applyNumberFormat="1" applyFont="1" applyFill="1" applyBorder="1" applyAlignment="1">
      <alignment horizontal="right"/>
    </xf>
    <xf numFmtId="0" fontId="13" fillId="0" borderId="0" xfId="32" applyFont="1" applyFill="1"/>
    <xf numFmtId="186" fontId="13" fillId="0" borderId="0" xfId="32" applyNumberFormat="1" applyFont="1" applyAlignment="1">
      <alignment horizontal="right"/>
    </xf>
    <xf numFmtId="0" fontId="12" fillId="0" borderId="0" xfId="32" applyFont="1" applyFill="1"/>
    <xf numFmtId="9" fontId="13" fillId="3" borderId="0" xfId="38" applyNumberFormat="1" applyFont="1" applyFill="1" applyAlignment="1">
      <alignment horizontal="right"/>
    </xf>
    <xf numFmtId="186" fontId="12" fillId="0" borderId="0" xfId="32" applyNumberFormat="1" applyFont="1" applyAlignment="1">
      <alignment horizontal="right"/>
    </xf>
    <xf numFmtId="186" fontId="12" fillId="0" borderId="0" xfId="32" applyNumberFormat="1" applyFont="1" applyFill="1" applyAlignment="1">
      <alignment horizontal="right"/>
    </xf>
    <xf numFmtId="186" fontId="12" fillId="0" borderId="2" xfId="32" applyNumberFormat="1" applyFont="1" applyFill="1" applyBorder="1" applyAlignment="1">
      <alignment horizontal="right"/>
    </xf>
    <xf numFmtId="186" fontId="13" fillId="0" borderId="0" xfId="32" applyNumberFormat="1" applyFont="1" applyFill="1" applyAlignment="1">
      <alignment horizontal="right"/>
    </xf>
    <xf numFmtId="186" fontId="44" fillId="0" borderId="0" xfId="32" applyNumberFormat="1" applyFont="1" applyAlignment="1">
      <alignment horizontal="right"/>
    </xf>
    <xf numFmtId="0" fontId="13" fillId="0" borderId="0" xfId="32" applyFont="1"/>
    <xf numFmtId="9" fontId="12" fillId="0" borderId="0" xfId="38" applyFont="1" applyFill="1" applyAlignment="1">
      <alignment horizontal="right"/>
    </xf>
    <xf numFmtId="0" fontId="12" fillId="0" borderId="0" xfId="32" applyFont="1"/>
    <xf numFmtId="186" fontId="43" fillId="0" borderId="0" xfId="32" applyNumberFormat="1" applyFont="1" applyFill="1" applyAlignment="1">
      <alignment horizontal="right"/>
    </xf>
    <xf numFmtId="0" fontId="11" fillId="0" borderId="0" xfId="26" applyFont="1" applyAlignment="1">
      <alignment horizontal="left" indent="1"/>
    </xf>
    <xf numFmtId="0" fontId="11" fillId="0" borderId="0" xfId="32" applyFont="1"/>
    <xf numFmtId="179" fontId="45" fillId="0" borderId="11" xfId="32" applyNumberFormat="1" applyFont="1" applyFill="1" applyBorder="1" applyAlignment="1">
      <alignment horizontal="right"/>
    </xf>
    <xf numFmtId="179" fontId="45" fillId="0" borderId="0" xfId="32" applyNumberFormat="1" applyFont="1" applyFill="1" applyBorder="1" applyAlignment="1">
      <alignment horizontal="right"/>
    </xf>
    <xf numFmtId="179" fontId="45" fillId="0" borderId="2" xfId="27" applyNumberFormat="1" applyFont="1" applyFill="1" applyBorder="1" applyAlignment="1">
      <alignment horizontal="right"/>
    </xf>
    <xf numFmtId="179" fontId="40" fillId="0" borderId="2" xfId="32" applyNumberFormat="1" applyFont="1" applyFill="1" applyBorder="1" applyAlignment="1">
      <alignment horizontal="right"/>
    </xf>
    <xf numFmtId="179" fontId="10" fillId="0" borderId="0" xfId="38" applyNumberFormat="1" applyFont="1" applyFill="1" applyAlignment="1">
      <alignment horizontal="right"/>
    </xf>
    <xf numFmtId="175" fontId="10" fillId="0" borderId="0" xfId="10" applyNumberFormat="1" applyFont="1" applyFill="1" applyAlignment="1">
      <alignment horizontal="right"/>
    </xf>
    <xf numFmtId="0" fontId="13" fillId="0" borderId="0" xfId="32" applyFont="1" applyBorder="1"/>
    <xf numFmtId="186" fontId="16" fillId="3" borderId="0" xfId="13" applyNumberFormat="1" applyFont="1" applyFill="1" applyAlignment="1">
      <alignment horizontal="right"/>
    </xf>
    <xf numFmtId="186" fontId="10" fillId="0" borderId="0" xfId="13" applyNumberFormat="1" applyFont="1" applyFill="1" applyAlignment="1">
      <alignment horizontal="right"/>
    </xf>
    <xf numFmtId="0" fontId="10" fillId="0" borderId="0" xfId="32" applyFont="1" applyBorder="1"/>
    <xf numFmtId="179" fontId="12" fillId="0" borderId="0" xfId="38" applyNumberFormat="1" applyFont="1" applyFill="1" applyBorder="1" applyAlignment="1">
      <alignment horizontal="right"/>
    </xf>
    <xf numFmtId="9" fontId="12" fillId="0" borderId="0" xfId="38" applyNumberFormat="1" applyFont="1" applyFill="1" applyBorder="1" applyAlignment="1">
      <alignment horizontal="right"/>
    </xf>
    <xf numFmtId="9" fontId="19" fillId="3" borderId="0" xfId="38" applyNumberFormat="1" applyFont="1" applyFill="1" applyBorder="1" applyAlignment="1">
      <alignment horizontal="right"/>
    </xf>
    <xf numFmtId="188" fontId="12" fillId="0" borderId="0" xfId="22" applyNumberFormat="1" applyFont="1" applyBorder="1" applyAlignment="1">
      <alignment horizontal="right"/>
    </xf>
    <xf numFmtId="189" fontId="19" fillId="0" borderId="0" xfId="24" applyNumberFormat="1" applyFont="1" applyBorder="1" applyAlignment="1">
      <alignment horizontal="right"/>
    </xf>
    <xf numFmtId="186" fontId="12" fillId="0" borderId="0" xfId="24" applyNumberFormat="1" applyFont="1" applyBorder="1" applyAlignment="1">
      <alignment horizontal="right"/>
    </xf>
    <xf numFmtId="179" fontId="12" fillId="0" borderId="0" xfId="38" applyNumberFormat="1" applyFont="1" applyBorder="1" applyAlignment="1">
      <alignment horizontal="right"/>
    </xf>
    <xf numFmtId="186" fontId="12" fillId="0" borderId="0" xfId="24" applyNumberFormat="1" applyFont="1" applyFill="1" applyBorder="1" applyAlignment="1">
      <alignment horizontal="right"/>
    </xf>
    <xf numFmtId="0" fontId="13" fillId="7" borderId="0" xfId="32" applyFont="1" applyFill="1" applyBorder="1"/>
    <xf numFmtId="9" fontId="45" fillId="3" borderId="7" xfId="38" applyFont="1" applyFill="1" applyBorder="1" applyAlignment="1">
      <alignment horizontal="right"/>
    </xf>
    <xf numFmtId="188" fontId="12" fillId="0" borderId="0" xfId="22" applyNumberFormat="1" applyFont="1" applyFill="1" applyBorder="1" applyAlignment="1">
      <alignment horizontal="right"/>
    </xf>
    <xf numFmtId="189" fontId="19" fillId="0" borderId="0" xfId="24" applyNumberFormat="1" applyFont="1" applyFill="1" applyBorder="1" applyAlignment="1">
      <alignment horizontal="right"/>
    </xf>
    <xf numFmtId="179" fontId="19" fillId="3" borderId="0" xfId="38" applyNumberFormat="1" applyFont="1" applyFill="1" applyBorder="1" applyAlignment="1">
      <alignment horizontal="right"/>
    </xf>
    <xf numFmtId="186" fontId="46" fillId="0" borderId="0" xfId="24" applyNumberFormat="1" applyFont="1" applyFill="1" applyBorder="1" applyAlignment="1">
      <alignment horizontal="right"/>
    </xf>
    <xf numFmtId="211" fontId="46" fillId="0" borderId="0" xfId="38" applyNumberFormat="1" applyFont="1" applyFill="1" applyBorder="1" applyAlignment="1">
      <alignment horizontal="right"/>
    </xf>
    <xf numFmtId="186" fontId="12" fillId="0" borderId="0" xfId="13" applyNumberFormat="1" applyFont="1" applyBorder="1" applyAlignment="1">
      <alignment horizontal="right"/>
    </xf>
    <xf numFmtId="0" fontId="11" fillId="0" borderId="0" xfId="32" applyFont="1" applyAlignment="1">
      <alignment horizontal="left" indent="2"/>
    </xf>
    <xf numFmtId="9" fontId="10" fillId="0" borderId="0" xfId="38" applyNumberFormat="1" applyFont="1" applyAlignment="1">
      <alignment horizontal="right"/>
    </xf>
    <xf numFmtId="186" fontId="19" fillId="3" borderId="0" xfId="13" applyNumberFormat="1" applyFont="1" applyFill="1" applyAlignment="1">
      <alignment horizontal="right"/>
    </xf>
    <xf numFmtId="186" fontId="19" fillId="6" borderId="0" xfId="15" applyNumberFormat="1" applyFont="1" applyFill="1" applyAlignment="1">
      <alignment horizontal="right"/>
    </xf>
    <xf numFmtId="186" fontId="10" fillId="0" borderId="0" xfId="13" applyNumberFormat="1" applyFont="1" applyAlignment="1">
      <alignment horizontal="right"/>
    </xf>
    <xf numFmtId="9" fontId="10" fillId="0" borderId="0" xfId="38" applyFont="1" applyAlignment="1">
      <alignment horizontal="right"/>
    </xf>
    <xf numFmtId="175" fontId="21" fillId="0" borderId="0" xfId="13" applyNumberFormat="1" applyFont="1" applyFill="1" applyBorder="1" applyAlignment="1">
      <alignment horizontal="right"/>
    </xf>
    <xf numFmtId="186" fontId="14" fillId="0" borderId="11" xfId="13" applyNumberFormat="1" applyFont="1" applyFill="1" applyBorder="1" applyAlignment="1">
      <alignment horizontal="right"/>
    </xf>
    <xf numFmtId="186" fontId="19" fillId="0" borderId="0" xfId="24" applyNumberFormat="1" applyFont="1" applyBorder="1" applyAlignment="1">
      <alignment horizontal="right"/>
    </xf>
    <xf numFmtId="186" fontId="14" fillId="3" borderId="2" xfId="13" applyNumberFormat="1" applyFont="1" applyFill="1" applyBorder="1" applyAlignment="1">
      <alignment horizontal="right"/>
    </xf>
    <xf numFmtId="186" fontId="16" fillId="0" borderId="0" xfId="13" applyNumberFormat="1" applyFont="1" applyBorder="1" applyAlignment="1">
      <alignment horizontal="right"/>
    </xf>
    <xf numFmtId="9" fontId="16" fillId="0" borderId="0" xfId="38" applyFont="1" applyBorder="1" applyAlignment="1">
      <alignment horizontal="right"/>
    </xf>
    <xf numFmtId="186" fontId="16" fillId="7" borderId="7" xfId="13" applyNumberFormat="1" applyFont="1" applyFill="1" applyBorder="1" applyAlignment="1">
      <alignment horizontal="right"/>
    </xf>
    <xf numFmtId="186" fontId="10" fillId="0" borderId="0" xfId="13" applyNumberFormat="1" applyFont="1" applyFill="1" applyBorder="1" applyAlignment="1">
      <alignment horizontal="right"/>
    </xf>
    <xf numFmtId="186" fontId="16" fillId="7" borderId="0" xfId="13" applyNumberFormat="1" applyFont="1" applyFill="1" applyAlignment="1">
      <alignment horizontal="right"/>
    </xf>
    <xf numFmtId="0" fontId="10" fillId="0" borderId="0" xfId="32" applyFont="1" applyFill="1" applyAlignment="1">
      <alignment vertical="justify" textRotation="90" readingOrder="2"/>
    </xf>
    <xf numFmtId="184" fontId="10" fillId="0" borderId="0" xfId="32" applyNumberFormat="1" applyFont="1"/>
    <xf numFmtId="184" fontId="21" fillId="0" borderId="0" xfId="13" applyNumberFormat="1" applyFont="1" applyFill="1" applyBorder="1" applyAlignment="1">
      <alignment horizontal="right"/>
    </xf>
    <xf numFmtId="184" fontId="21" fillId="0" borderId="0" xfId="32" applyNumberFormat="1" applyFont="1" applyFill="1" applyBorder="1"/>
    <xf numFmtId="186" fontId="15" fillId="0" borderId="6" xfId="13" applyNumberFormat="1" applyFont="1" applyFill="1" applyBorder="1" applyAlignment="1">
      <alignment horizontal="left" indent="1"/>
    </xf>
    <xf numFmtId="186" fontId="10" fillId="0" borderId="11" xfId="13" applyNumberFormat="1" applyFont="1" applyFill="1" applyBorder="1" applyAlignment="1">
      <alignment horizontal="right"/>
    </xf>
    <xf numFmtId="186" fontId="37" fillId="0" borderId="11" xfId="13" applyNumberFormat="1" applyFont="1" applyFill="1" applyBorder="1" applyAlignment="1">
      <alignment horizontal="right"/>
    </xf>
    <xf numFmtId="165" fontId="10" fillId="0" borderId="0" xfId="32" applyNumberFormat="1" applyFont="1" applyFill="1"/>
    <xf numFmtId="187" fontId="10" fillId="8" borderId="15" xfId="13" applyNumberFormat="1" applyFont="1" applyFill="1" applyBorder="1" applyAlignment="1">
      <alignment horizontal="right"/>
    </xf>
    <xf numFmtId="187" fontId="10" fillId="0" borderId="0" xfId="13" applyNumberFormat="1" applyFont="1" applyFill="1" applyBorder="1" applyAlignment="1">
      <alignment horizontal="right"/>
    </xf>
    <xf numFmtId="187" fontId="10" fillId="6" borderId="11" xfId="13" applyNumberFormat="1" applyFont="1" applyFill="1" applyBorder="1" applyAlignment="1">
      <alignment horizontal="right"/>
    </xf>
    <xf numFmtId="187" fontId="10" fillId="6" borderId="0" xfId="13" applyNumberFormat="1" applyFont="1" applyFill="1" applyBorder="1" applyAlignment="1">
      <alignment horizontal="right"/>
    </xf>
    <xf numFmtId="186" fontId="10" fillId="0" borderId="0" xfId="13" applyNumberFormat="1" applyFont="1" applyBorder="1" applyAlignment="1">
      <alignment horizontal="right"/>
    </xf>
    <xf numFmtId="186" fontId="10" fillId="0" borderId="14" xfId="13" applyNumberFormat="1" applyFont="1" applyBorder="1" applyAlignment="1">
      <alignment horizontal="right"/>
    </xf>
    <xf numFmtId="186" fontId="10" fillId="0" borderId="4" xfId="13" applyNumberFormat="1" applyFont="1" applyBorder="1" applyAlignment="1">
      <alignment horizontal="right"/>
    </xf>
    <xf numFmtId="186" fontId="10" fillId="0" borderId="0" xfId="32" applyNumberFormat="1" applyFont="1" applyAlignment="1">
      <alignment horizontal="right"/>
    </xf>
    <xf numFmtId="190" fontId="43" fillId="0" borderId="0" xfId="22" applyNumberFormat="1" applyFont="1" applyBorder="1" applyAlignment="1">
      <alignment horizontal="right"/>
    </xf>
    <xf numFmtId="189" fontId="42" fillId="0" borderId="0" xfId="24" applyNumberFormat="1" applyFont="1" applyBorder="1" applyAlignment="1">
      <alignment horizontal="right"/>
    </xf>
    <xf numFmtId="186" fontId="10" fillId="3" borderId="0" xfId="32" applyNumberFormat="1" applyFont="1" applyFill="1"/>
    <xf numFmtId="186" fontId="14" fillId="3" borderId="0" xfId="32" applyNumberFormat="1" applyFont="1" applyFill="1"/>
    <xf numFmtId="191" fontId="43" fillId="0" borderId="0" xfId="22" applyNumberFormat="1" applyFont="1" applyBorder="1" applyAlignment="1">
      <alignment horizontal="right"/>
    </xf>
    <xf numFmtId="0" fontId="21" fillId="0" borderId="0" xfId="32" applyFont="1"/>
    <xf numFmtId="165" fontId="13" fillId="0" borderId="0" xfId="32" applyNumberFormat="1" applyFont="1" applyAlignment="1">
      <alignment horizontal="right"/>
    </xf>
    <xf numFmtId="187" fontId="13" fillId="0" borderId="0" xfId="32" applyNumberFormat="1" applyFont="1" applyAlignment="1">
      <alignment horizontal="right"/>
    </xf>
    <xf numFmtId="187" fontId="10" fillId="0" borderId="0" xfId="32" applyNumberFormat="1" applyFont="1" applyAlignment="1">
      <alignment horizontal="right"/>
    </xf>
    <xf numFmtId="187" fontId="12" fillId="0" borderId="0" xfId="32" applyNumberFormat="1" applyFont="1" applyAlignment="1">
      <alignment horizontal="right"/>
    </xf>
    <xf numFmtId="187" fontId="12" fillId="0" borderId="0" xfId="32" applyNumberFormat="1" applyFont="1" applyFill="1" applyAlignment="1">
      <alignment horizontal="right"/>
    </xf>
    <xf numFmtId="187" fontId="21" fillId="0" borderId="0" xfId="32" applyNumberFormat="1" applyFont="1" applyFill="1" applyAlignment="1">
      <alignment horizontal="right"/>
    </xf>
    <xf numFmtId="186" fontId="10" fillId="0" borderId="0" xfId="32" applyNumberFormat="1" applyFont="1" applyBorder="1"/>
    <xf numFmtId="187" fontId="10" fillId="0" borderId="0" xfId="32" applyNumberFormat="1" applyFont="1" applyBorder="1" applyAlignment="1">
      <alignment horizontal="right"/>
    </xf>
    <xf numFmtId="165" fontId="10" fillId="0" borderId="11" xfId="32" applyNumberFormat="1" applyFont="1" applyBorder="1" applyAlignment="1">
      <alignment horizontal="right"/>
    </xf>
    <xf numFmtId="0" fontId="47" fillId="0" borderId="0" xfId="32" applyFont="1" applyFill="1" applyBorder="1" applyAlignment="1">
      <alignment horizontal="right"/>
    </xf>
    <xf numFmtId="185" fontId="13" fillId="0" borderId="0" xfId="26" applyNumberFormat="1" applyFont="1" applyBorder="1" applyAlignment="1" applyProtection="1">
      <alignment horizontal="left"/>
    </xf>
    <xf numFmtId="0" fontId="13" fillId="0" borderId="0" xfId="26" applyFont="1" applyFill="1" applyBorder="1"/>
    <xf numFmtId="179" fontId="45" fillId="0" borderId="6" xfId="32" applyNumberFormat="1" applyFont="1" applyFill="1" applyBorder="1" applyAlignment="1">
      <alignment horizontal="right"/>
    </xf>
    <xf numFmtId="179" fontId="45" fillId="0" borderId="1" xfId="32" applyNumberFormat="1" applyFont="1" applyFill="1" applyBorder="1" applyAlignment="1">
      <alignment horizontal="right"/>
    </xf>
    <xf numFmtId="179" fontId="45" fillId="0" borderId="16" xfId="27" applyNumberFormat="1" applyFont="1" applyFill="1" applyBorder="1" applyAlignment="1">
      <alignment horizontal="right"/>
    </xf>
    <xf numFmtId="174" fontId="45" fillId="0" borderId="0" xfId="26" applyNumberFormat="1" applyFont="1" applyBorder="1"/>
    <xf numFmtId="210" fontId="45" fillId="0" borderId="0" xfId="10" applyNumberFormat="1" applyFont="1" applyBorder="1"/>
    <xf numFmtId="210" fontId="48" fillId="5" borderId="0" xfId="14" applyNumberFormat="1" applyFont="1" applyFill="1" applyBorder="1" applyAlignment="1">
      <alignment horizontal="right"/>
    </xf>
    <xf numFmtId="179" fontId="45" fillId="0" borderId="17" xfId="32" applyNumberFormat="1" applyFont="1" applyFill="1" applyBorder="1" applyAlignment="1">
      <alignment horizontal="right"/>
    </xf>
    <xf numFmtId="179" fontId="40" fillId="0" borderId="18" xfId="32" applyNumberFormat="1" applyFont="1" applyFill="1" applyBorder="1" applyAlignment="1">
      <alignment horizontal="right"/>
    </xf>
    <xf numFmtId="186" fontId="33" fillId="0" borderId="0" xfId="13" applyNumberFormat="1" applyFont="1" applyFill="1" applyAlignment="1">
      <alignment horizontal="right"/>
    </xf>
    <xf numFmtId="0" fontId="12" fillId="0" borderId="0" xfId="32" applyNumberFormat="1" applyFont="1" applyAlignment="1">
      <alignment horizontal="right"/>
    </xf>
    <xf numFmtId="0" fontId="44" fillId="0" borderId="0" xfId="32" applyNumberFormat="1" applyFont="1" applyAlignment="1">
      <alignment horizontal="right"/>
    </xf>
    <xf numFmtId="0" fontId="13" fillId="0" borderId="2" xfId="0" applyFont="1" applyBorder="1"/>
    <xf numFmtId="0" fontId="13" fillId="0" borderId="0" xfId="0" applyFont="1" applyFill="1"/>
    <xf numFmtId="0" fontId="7" fillId="0" borderId="0" xfId="0" applyFont="1" applyFill="1"/>
    <xf numFmtId="199" fontId="10" fillId="0" borderId="0" xfId="32" applyNumberFormat="1" applyFont="1"/>
    <xf numFmtId="199" fontId="43" fillId="0" borderId="2" xfId="22" applyNumberFormat="1" applyFont="1" applyBorder="1" applyAlignment="1">
      <alignment horizontal="right"/>
    </xf>
    <xf numFmtId="196" fontId="30" fillId="0" borderId="2" xfId="24" applyNumberFormat="1" applyFont="1" applyBorder="1" applyAlignment="1">
      <alignment horizontal="right"/>
    </xf>
    <xf numFmtId="199" fontId="13" fillId="0" borderId="2" xfId="24" applyNumberFormat="1" applyFont="1" applyBorder="1"/>
    <xf numFmtId="0" fontId="13" fillId="0" borderId="0" xfId="24" applyFont="1" applyBorder="1"/>
    <xf numFmtId="185" fontId="13" fillId="0" borderId="0" xfId="26" applyNumberFormat="1" applyFont="1" applyFill="1" applyBorder="1"/>
    <xf numFmtId="0" fontId="12" fillId="0" borderId="0" xfId="26" applyFont="1" applyFill="1"/>
    <xf numFmtId="185" fontId="12" fillId="0" borderId="0" xfId="26" applyNumberFormat="1" applyFont="1" applyFill="1" applyBorder="1" applyAlignment="1" applyProtection="1">
      <alignment horizontal="left"/>
    </xf>
    <xf numFmtId="0" fontId="12" fillId="0" borderId="0" xfId="26" applyFont="1" applyFill="1" applyAlignment="1">
      <alignment horizontal="left"/>
    </xf>
    <xf numFmtId="0" fontId="12" fillId="0" borderId="0" xfId="32" applyFont="1" applyFill="1" applyAlignment="1">
      <alignment horizontal="left" indent="1"/>
    </xf>
    <xf numFmtId="0" fontId="12" fillId="0" borderId="0" xfId="26" applyFont="1" applyFill="1" applyAlignment="1">
      <alignment horizontal="left" indent="1"/>
    </xf>
    <xf numFmtId="0" fontId="12" fillId="0" borderId="0" xfId="26" applyFont="1" applyFill="1" applyAlignment="1">
      <alignment horizontal="left" indent="2"/>
    </xf>
    <xf numFmtId="0" fontId="13" fillId="0" borderId="0" xfId="26" applyFont="1"/>
    <xf numFmtId="0" fontId="13" fillId="0" borderId="0" xfId="32" applyFont="1" applyAlignment="1">
      <alignment horizontal="left" indent="1"/>
    </xf>
    <xf numFmtId="0" fontId="12" fillId="0" borderId="0" xfId="32" applyFont="1" applyBorder="1"/>
    <xf numFmtId="0" fontId="12" fillId="0" borderId="0" xfId="32" applyFont="1" applyBorder="1" applyAlignment="1">
      <alignment horizontal="left" indent="1"/>
    </xf>
    <xf numFmtId="0" fontId="12" fillId="7" borderId="0" xfId="32" applyFont="1" applyFill="1"/>
    <xf numFmtId="179" fontId="12" fillId="0" borderId="0" xfId="38" applyNumberFormat="1" applyFont="1" applyAlignment="1">
      <alignment horizontal="right"/>
    </xf>
    <xf numFmtId="0" fontId="12" fillId="0" borderId="0" xfId="32" applyFont="1" applyBorder="1" applyAlignment="1">
      <alignment horizontal="left"/>
    </xf>
    <xf numFmtId="185" fontId="12" fillId="7" borderId="0" xfId="26" applyNumberFormat="1" applyFont="1" applyFill="1" applyBorder="1" applyAlignment="1" applyProtection="1">
      <alignment horizontal="left"/>
    </xf>
    <xf numFmtId="185" fontId="12" fillId="0" borderId="0" xfId="26" applyNumberFormat="1" applyFont="1" applyBorder="1" applyAlignment="1" applyProtection="1">
      <alignment horizontal="left"/>
    </xf>
    <xf numFmtId="175" fontId="12" fillId="0" borderId="0" xfId="13" applyNumberFormat="1" applyFont="1" applyFill="1"/>
    <xf numFmtId="185" fontId="12" fillId="0" borderId="2" xfId="26" applyNumberFormat="1" applyFont="1" applyBorder="1" applyAlignment="1" applyProtection="1">
      <alignment horizontal="left"/>
    </xf>
    <xf numFmtId="0" fontId="43" fillId="6" borderId="14" xfId="32" applyFont="1" applyFill="1" applyBorder="1" applyAlignment="1">
      <alignment horizontal="centerContinuous"/>
    </xf>
    <xf numFmtId="184" fontId="10" fillId="0" borderId="0" xfId="13" applyNumberFormat="1" applyFont="1" applyBorder="1" applyAlignment="1">
      <alignment horizontal="right"/>
    </xf>
    <xf numFmtId="186" fontId="10" fillId="0" borderId="2" xfId="13" applyNumberFormat="1" applyFont="1" applyFill="1" applyBorder="1" applyAlignment="1">
      <alignment horizontal="right"/>
    </xf>
    <xf numFmtId="186" fontId="43" fillId="0" borderId="0" xfId="32" applyNumberFormat="1" applyFont="1" applyAlignment="1">
      <alignment horizontal="right"/>
    </xf>
    <xf numFmtId="9" fontId="43" fillId="3" borderId="0" xfId="38" applyNumberFormat="1" applyFont="1" applyFill="1" applyAlignment="1">
      <alignment horizontal="right"/>
    </xf>
    <xf numFmtId="9" fontId="10" fillId="0" borderId="0" xfId="38" applyFont="1" applyFill="1" applyAlignment="1">
      <alignment horizontal="right"/>
    </xf>
    <xf numFmtId="0" fontId="49" fillId="0" borderId="0" xfId="32" applyFont="1"/>
    <xf numFmtId="179" fontId="50" fillId="6" borderId="11" xfId="27" applyNumberFormat="1" applyFont="1" applyFill="1" applyBorder="1" applyAlignment="1">
      <alignment horizontal="right"/>
    </xf>
    <xf numFmtId="174" fontId="50" fillId="0" borderId="0" xfId="26" applyNumberFormat="1" applyFont="1" applyBorder="1"/>
    <xf numFmtId="179" fontId="50" fillId="0" borderId="2" xfId="27" applyNumberFormat="1" applyFont="1" applyFill="1" applyBorder="1" applyAlignment="1">
      <alignment horizontal="right"/>
    </xf>
    <xf numFmtId="186" fontId="10" fillId="3" borderId="0" xfId="13" applyNumberFormat="1" applyFont="1" applyFill="1" applyAlignment="1">
      <alignment horizontal="right"/>
    </xf>
    <xf numFmtId="179" fontId="10" fillId="0" borderId="0" xfId="38" applyNumberFormat="1" applyFont="1" applyFill="1" applyBorder="1" applyAlignment="1">
      <alignment horizontal="right"/>
    </xf>
    <xf numFmtId="9" fontId="10" fillId="0" borderId="0" xfId="38" applyNumberFormat="1" applyFont="1" applyFill="1" applyBorder="1" applyAlignment="1">
      <alignment horizontal="right"/>
    </xf>
    <xf numFmtId="189" fontId="10" fillId="0" borderId="0" xfId="24" applyNumberFormat="1" applyFont="1" applyBorder="1" applyAlignment="1">
      <alignment horizontal="right"/>
    </xf>
    <xf numFmtId="186" fontId="10" fillId="0" borderId="0" xfId="24" applyNumberFormat="1" applyFont="1" applyBorder="1" applyAlignment="1">
      <alignment horizontal="right"/>
    </xf>
    <xf numFmtId="179" fontId="10" fillId="0" borderId="0" xfId="38" applyNumberFormat="1" applyFont="1" applyBorder="1" applyAlignment="1">
      <alignment horizontal="right"/>
    </xf>
    <xf numFmtId="186" fontId="10" fillId="0" borderId="0" xfId="24" applyNumberFormat="1" applyFont="1" applyFill="1" applyBorder="1" applyAlignment="1">
      <alignment horizontal="right"/>
    </xf>
    <xf numFmtId="189" fontId="10" fillId="0" borderId="0" xfId="24" applyNumberFormat="1" applyFont="1" applyFill="1" applyBorder="1" applyAlignment="1">
      <alignment horizontal="right"/>
    </xf>
    <xf numFmtId="186" fontId="10" fillId="6" borderId="0" xfId="15" applyNumberFormat="1" applyFont="1" applyFill="1" applyAlignment="1">
      <alignment horizontal="right"/>
    </xf>
    <xf numFmtId="186" fontId="43" fillId="0" borderId="11" xfId="13" applyNumberFormat="1" applyFont="1" applyFill="1" applyBorder="1" applyAlignment="1">
      <alignment horizontal="right"/>
    </xf>
    <xf numFmtId="186" fontId="43" fillId="3" borderId="2" xfId="13" applyNumberFormat="1" applyFont="1" applyFill="1" applyBorder="1" applyAlignment="1">
      <alignment horizontal="right"/>
    </xf>
    <xf numFmtId="9" fontId="10" fillId="0" borderId="0" xfId="38" applyFont="1" applyBorder="1" applyAlignment="1">
      <alignment horizontal="right"/>
    </xf>
    <xf numFmtId="186" fontId="10" fillId="7" borderId="7" xfId="13" applyNumberFormat="1" applyFont="1" applyFill="1" applyBorder="1" applyAlignment="1">
      <alignment horizontal="right"/>
    </xf>
    <xf numFmtId="186" fontId="10" fillId="7" borderId="0" xfId="13" applyNumberFormat="1" applyFont="1" applyFill="1" applyAlignment="1">
      <alignment horizontal="right"/>
    </xf>
    <xf numFmtId="165" fontId="43" fillId="0" borderId="0" xfId="32" applyNumberFormat="1" applyFont="1" applyFill="1" applyAlignment="1">
      <alignment horizontal="right"/>
    </xf>
    <xf numFmtId="195" fontId="7" fillId="0" borderId="0" xfId="0" applyNumberFormat="1" applyFont="1"/>
    <xf numFmtId="0" fontId="7" fillId="0" borderId="2" xfId="0" applyFont="1" applyFill="1" applyBorder="1"/>
    <xf numFmtId="0" fontId="56" fillId="0" borderId="0" xfId="0" applyFont="1"/>
    <xf numFmtId="7" fontId="0" fillId="0" borderId="0" xfId="0" applyNumberFormat="1"/>
    <xf numFmtId="0" fontId="62" fillId="0" borderId="0" xfId="0" applyFont="1"/>
    <xf numFmtId="0" fontId="2" fillId="0" borderId="0" xfId="0" applyFont="1"/>
    <xf numFmtId="0" fontId="2" fillId="0" borderId="0" xfId="0" applyFont="1" applyFill="1"/>
    <xf numFmtId="5" fontId="0" fillId="0" borderId="0" xfId="0" applyNumberFormat="1"/>
    <xf numFmtId="0" fontId="2" fillId="0" borderId="0" xfId="0" applyFont="1" applyAlignment="1">
      <alignment horizontal="center"/>
    </xf>
    <xf numFmtId="0" fontId="26" fillId="0" borderId="0" xfId="0" applyFont="1" applyAlignment="1">
      <alignment horizontal="center"/>
    </xf>
    <xf numFmtId="195" fontId="2" fillId="0" borderId="0" xfId="0" applyNumberFormat="1" applyFont="1"/>
    <xf numFmtId="195" fontId="7" fillId="0" borderId="0" xfId="0" applyNumberFormat="1" applyFont="1" applyFill="1"/>
    <xf numFmtId="0" fontId="0" fillId="0" borderId="0" xfId="0" applyAlignment="1">
      <alignment horizontal="centerContinuous"/>
    </xf>
    <xf numFmtId="0" fontId="2" fillId="0" borderId="0" xfId="0" applyFont="1" applyAlignment="1">
      <alignment horizontal="centerContinuous"/>
    </xf>
    <xf numFmtId="195" fontId="7" fillId="0" borderId="0" xfId="0" applyNumberFormat="1" applyFont="1" applyAlignment="1">
      <alignment horizontal="center"/>
    </xf>
    <xf numFmtId="0" fontId="0" fillId="0" borderId="0" xfId="0" applyAlignment="1">
      <alignment horizontal="center"/>
    </xf>
    <xf numFmtId="0" fontId="66" fillId="0" borderId="2" xfId="0" applyFont="1" applyBorder="1" applyAlignment="1">
      <alignment horizontal="centerContinuous"/>
    </xf>
    <xf numFmtId="0" fontId="66" fillId="0" borderId="0" xfId="0" applyFont="1" applyAlignment="1">
      <alignment horizontal="centerContinuous"/>
    </xf>
    <xf numFmtId="0" fontId="62" fillId="0" borderId="0" xfId="0" applyFont="1" applyAlignment="1">
      <alignment horizontal="centerContinuous"/>
    </xf>
    <xf numFmtId="195" fontId="62" fillId="0" borderId="0" xfId="0" applyNumberFormat="1" applyFont="1" applyAlignment="1">
      <alignment horizontal="center"/>
    </xf>
    <xf numFmtId="0" fontId="62" fillId="0" borderId="0" xfId="0" applyFont="1" applyAlignment="1">
      <alignment horizontal="center"/>
    </xf>
    <xf numFmtId="0" fontId="67" fillId="0" borderId="0" xfId="0" applyFont="1"/>
    <xf numFmtId="225" fontId="67" fillId="0" borderId="0" xfId="0" applyNumberFormat="1" applyFont="1" applyAlignment="1">
      <alignment horizontal="center"/>
    </xf>
    <xf numFmtId="0" fontId="67" fillId="0" borderId="0" xfId="0" applyFont="1" applyAlignment="1">
      <alignment horizontal="center"/>
    </xf>
    <xf numFmtId="220" fontId="67" fillId="0" borderId="0" xfId="0" applyNumberFormat="1" applyFont="1" applyAlignment="1">
      <alignment horizontal="center"/>
    </xf>
    <xf numFmtId="7" fontId="62" fillId="0" borderId="0" xfId="0" applyNumberFormat="1" applyFont="1" applyAlignment="1">
      <alignment horizontal="center"/>
    </xf>
    <xf numFmtId="168" fontId="67" fillId="0" borderId="0" xfId="0" applyNumberFormat="1" applyFont="1" applyAlignment="1">
      <alignment horizontal="center"/>
    </xf>
    <xf numFmtId="0" fontId="63" fillId="0" borderId="12" xfId="0" applyFont="1" applyBorder="1"/>
    <xf numFmtId="7" fontId="63" fillId="0" borderId="8" xfId="0" applyNumberFormat="1" applyFont="1" applyBorder="1" applyAlignment="1">
      <alignment horizontal="center"/>
    </xf>
    <xf numFmtId="0" fontId="63" fillId="0" borderId="8" xfId="0" applyFont="1" applyBorder="1" applyAlignment="1">
      <alignment horizontal="center"/>
    </xf>
    <xf numFmtId="7" fontId="63" fillId="0" borderId="13" xfId="0" applyNumberFormat="1" applyFont="1" applyBorder="1" applyAlignment="1">
      <alignment horizontal="center"/>
    </xf>
    <xf numFmtId="0" fontId="68" fillId="0" borderId="0" xfId="0" applyFont="1"/>
    <xf numFmtId="195" fontId="63" fillId="0" borderId="8" xfId="0" applyNumberFormat="1" applyFont="1" applyBorder="1" applyAlignment="1">
      <alignment horizontal="center"/>
    </xf>
    <xf numFmtId="195" fontId="63" fillId="0" borderId="13" xfId="0" applyNumberFormat="1" applyFont="1" applyBorder="1" applyAlignment="1">
      <alignment horizontal="center"/>
    </xf>
    <xf numFmtId="206" fontId="0" fillId="0" borderId="0" xfId="0" applyNumberFormat="1"/>
    <xf numFmtId="0" fontId="69" fillId="0" borderId="0" xfId="0" applyFont="1"/>
    <xf numFmtId="206" fontId="69" fillId="0" borderId="0" xfId="0" applyNumberFormat="1" applyFont="1"/>
    <xf numFmtId="179" fontId="64" fillId="0" borderId="0" xfId="0" applyNumberFormat="1" applyFont="1"/>
    <xf numFmtId="0" fontId="64" fillId="0" borderId="0" xfId="0" applyFont="1"/>
    <xf numFmtId="0" fontId="64" fillId="0" borderId="0" xfId="0" applyFont="1" applyBorder="1"/>
    <xf numFmtId="37" fontId="26" fillId="0" borderId="0" xfId="0" applyNumberFormat="1" applyFont="1"/>
    <xf numFmtId="206" fontId="70" fillId="0" borderId="12" xfId="0" applyNumberFormat="1" applyFont="1" applyBorder="1"/>
    <xf numFmtId="0" fontId="2" fillId="0" borderId="8" xfId="0" applyFont="1" applyBorder="1"/>
    <xf numFmtId="0" fontId="69" fillId="0" borderId="12" xfId="0" applyFont="1" applyBorder="1"/>
    <xf numFmtId="2" fontId="2" fillId="0" borderId="8" xfId="0" applyNumberFormat="1" applyFont="1" applyBorder="1"/>
    <xf numFmtId="2" fontId="2" fillId="0" borderId="13" xfId="0" applyNumberFormat="1" applyFont="1" applyBorder="1"/>
    <xf numFmtId="206" fontId="70" fillId="0" borderId="0" xfId="0" applyNumberFormat="1" applyFont="1" applyBorder="1"/>
    <xf numFmtId="37" fontId="26" fillId="0" borderId="0" xfId="0" applyNumberFormat="1" applyFont="1" applyBorder="1"/>
    <xf numFmtId="2" fontId="2" fillId="0" borderId="0" xfId="0" applyNumberFormat="1" applyFont="1" applyBorder="1"/>
    <xf numFmtId="37" fontId="65" fillId="0" borderId="0" xfId="0" applyNumberFormat="1" applyFont="1"/>
    <xf numFmtId="225" fontId="26" fillId="0" borderId="0" xfId="0" applyNumberFormat="1" applyFont="1"/>
    <xf numFmtId="179" fontId="14" fillId="0" borderId="0" xfId="38" applyNumberFormat="1" applyFont="1" applyAlignment="1">
      <alignment horizontal="right"/>
    </xf>
    <xf numFmtId="186" fontId="13" fillId="0" borderId="0" xfId="13" applyNumberFormat="1" applyFont="1" applyBorder="1" applyAlignment="1">
      <alignment horizontal="right"/>
    </xf>
    <xf numFmtId="186" fontId="19" fillId="0" borderId="11" xfId="13" applyNumberFormat="1" applyFont="1" applyFill="1" applyBorder="1" applyAlignment="1">
      <alignment horizontal="right"/>
    </xf>
    <xf numFmtId="186" fontId="19" fillId="3" borderId="2" xfId="13" applyNumberFormat="1" applyFont="1" applyFill="1" applyBorder="1" applyAlignment="1">
      <alignment horizontal="right"/>
    </xf>
    <xf numFmtId="0" fontId="69" fillId="0" borderId="0" xfId="0" applyFont="1" applyBorder="1"/>
    <xf numFmtId="37" fontId="7" fillId="0" borderId="0" xfId="0" applyNumberFormat="1" applyFont="1"/>
    <xf numFmtId="37" fontId="69" fillId="0" borderId="0" xfId="0" applyNumberFormat="1" applyFont="1"/>
    <xf numFmtId="202" fontId="7" fillId="0" borderId="0" xfId="0" applyNumberFormat="1" applyFont="1"/>
    <xf numFmtId="201" fontId="7" fillId="0" borderId="0" xfId="0" applyNumberFormat="1" applyFont="1"/>
    <xf numFmtId="206" fontId="70" fillId="0" borderId="19" xfId="0" applyNumberFormat="1" applyFont="1" applyBorder="1"/>
    <xf numFmtId="179" fontId="0" fillId="0" borderId="0" xfId="38" applyNumberFormat="1" applyFont="1"/>
    <xf numFmtId="0" fontId="2" fillId="0" borderId="2" xfId="0" applyFont="1" applyBorder="1"/>
    <xf numFmtId="202" fontId="2" fillId="0" borderId="0" xfId="0" applyNumberFormat="1" applyFont="1"/>
    <xf numFmtId="37" fontId="64" fillId="0" borderId="0" xfId="0" applyNumberFormat="1" applyFont="1"/>
    <xf numFmtId="0" fontId="97" fillId="11" borderId="0" xfId="0" applyFont="1" applyFill="1" applyBorder="1"/>
    <xf numFmtId="0" fontId="98" fillId="11" borderId="0" xfId="0" applyFont="1" applyFill="1" applyBorder="1"/>
    <xf numFmtId="235" fontId="2" fillId="0" borderId="12" xfId="0" applyNumberFormat="1" applyFont="1" applyBorder="1" applyAlignment="1">
      <alignment horizontal="center"/>
    </xf>
    <xf numFmtId="235" fontId="2" fillId="0" borderId="8" xfId="0" applyNumberFormat="1" applyFont="1" applyBorder="1" applyAlignment="1">
      <alignment horizontal="center"/>
    </xf>
    <xf numFmtId="235" fontId="2" fillId="0" borderId="8" xfId="0" applyNumberFormat="1" applyFont="1" applyFill="1" applyBorder="1" applyAlignment="1">
      <alignment horizontal="center"/>
    </xf>
    <xf numFmtId="235" fontId="2" fillId="0" borderId="13" xfId="0" applyNumberFormat="1" applyFont="1" applyFill="1" applyBorder="1" applyAlignment="1">
      <alignment horizontal="center"/>
    </xf>
    <xf numFmtId="179" fontId="2" fillId="0" borderId="23" xfId="0" applyNumberFormat="1" applyFont="1" applyBorder="1" applyAlignment="1">
      <alignment horizontal="center"/>
    </xf>
    <xf numFmtId="179" fontId="2" fillId="0" borderId="25" xfId="0" applyNumberFormat="1" applyFont="1" applyBorder="1" applyAlignment="1">
      <alignment horizontal="center"/>
    </xf>
    <xf numFmtId="180" fontId="0" fillId="0" borderId="23" xfId="16" applyNumberFormat="1" applyFont="1" applyBorder="1" applyAlignment="1">
      <alignment vertical="center"/>
    </xf>
    <xf numFmtId="180" fontId="0" fillId="0" borderId="0" xfId="16" applyNumberFormat="1" applyFont="1" applyBorder="1" applyAlignment="1">
      <alignment vertical="center"/>
    </xf>
    <xf numFmtId="180" fontId="0" fillId="0" borderId="24" xfId="16" applyNumberFormat="1" applyFont="1" applyBorder="1" applyAlignment="1">
      <alignment vertical="center"/>
    </xf>
    <xf numFmtId="180" fontId="0" fillId="0" borderId="25" xfId="16" applyNumberFormat="1" applyFont="1" applyBorder="1" applyAlignment="1">
      <alignment vertical="center"/>
    </xf>
    <xf numFmtId="180" fontId="0" fillId="0" borderId="3" xfId="16" applyNumberFormat="1" applyFont="1" applyBorder="1" applyAlignment="1">
      <alignment vertical="center"/>
    </xf>
    <xf numFmtId="180" fontId="0" fillId="0" borderId="21" xfId="16" applyNumberFormat="1" applyFont="1" applyBorder="1" applyAlignment="1">
      <alignment vertical="center"/>
    </xf>
    <xf numFmtId="44" fontId="99" fillId="12" borderId="19" xfId="0" applyNumberFormat="1" applyFont="1" applyFill="1" applyBorder="1"/>
    <xf numFmtId="0" fontId="63" fillId="0" borderId="2" xfId="0" applyFont="1" applyBorder="1" applyAlignment="1">
      <alignment horizontal="centerContinuous" wrapText="1"/>
    </xf>
    <xf numFmtId="0" fontId="63" fillId="0" borderId="0" xfId="0" applyFont="1" applyAlignment="1">
      <alignment horizontal="centerContinuous"/>
    </xf>
    <xf numFmtId="180" fontId="0" fillId="0" borderId="19" xfId="16" applyNumberFormat="1" applyFont="1" applyBorder="1" applyAlignment="1">
      <alignment vertical="center"/>
    </xf>
    <xf numFmtId="5" fontId="7" fillId="0" borderId="0" xfId="0" applyNumberFormat="1" applyFont="1"/>
    <xf numFmtId="0" fontId="7" fillId="0" borderId="4" xfId="0" applyFont="1" applyBorder="1"/>
    <xf numFmtId="9" fontId="7" fillId="0" borderId="0" xfId="0" applyNumberFormat="1" applyFont="1"/>
    <xf numFmtId="179" fontId="7" fillId="0" borderId="0" xfId="38" applyNumberFormat="1" applyFont="1"/>
    <xf numFmtId="37" fontId="26" fillId="0" borderId="0" xfId="30" applyFont="1" applyAlignment="1" applyProtection="1">
      <alignment horizontal="left"/>
    </xf>
    <xf numFmtId="199" fontId="68" fillId="0" borderId="0" xfId="0" applyNumberFormat="1" applyFont="1" applyAlignment="1">
      <alignment horizontal="center"/>
    </xf>
    <xf numFmtId="0" fontId="68" fillId="0" borderId="0" xfId="0" applyFont="1" applyFill="1"/>
    <xf numFmtId="0" fontId="72" fillId="0" borderId="0" xfId="0" applyFont="1"/>
    <xf numFmtId="202" fontId="7" fillId="0" borderId="0" xfId="0" applyNumberFormat="1" applyFont="1" applyFill="1"/>
    <xf numFmtId="199" fontId="68" fillId="0" borderId="0" xfId="0" applyNumberFormat="1" applyFont="1" applyFill="1" applyAlignment="1">
      <alignment horizontal="center"/>
    </xf>
    <xf numFmtId="5" fontId="7" fillId="0" borderId="0" xfId="0" applyNumberFormat="1" applyFont="1" applyFill="1"/>
    <xf numFmtId="202" fontId="58" fillId="0" borderId="0" xfId="16" applyNumberFormat="1" applyFont="1" applyFill="1" applyAlignment="1">
      <alignment horizontal="right"/>
    </xf>
    <xf numFmtId="201" fontId="23" fillId="0" borderId="0" xfId="16" applyNumberFormat="1" applyFont="1" applyFill="1" applyAlignment="1">
      <alignment horizontal="right"/>
    </xf>
    <xf numFmtId="201" fontId="23" fillId="0" borderId="0" xfId="16" applyNumberFormat="1" applyFont="1" applyFill="1"/>
    <xf numFmtId="201" fontId="56" fillId="0" borderId="0" xfId="10" applyNumberFormat="1" applyFont="1" applyFill="1" applyAlignment="1">
      <alignment horizontal="right"/>
    </xf>
    <xf numFmtId="201" fontId="65" fillId="0" borderId="0" xfId="10" applyNumberFormat="1" applyFont="1" applyFill="1" applyAlignment="1">
      <alignment horizontal="right"/>
    </xf>
    <xf numFmtId="201" fontId="23" fillId="0" borderId="2" xfId="10" applyNumberFormat="1" applyFont="1" applyFill="1" applyBorder="1" applyAlignment="1">
      <alignment horizontal="right"/>
    </xf>
    <xf numFmtId="202" fontId="7" fillId="0" borderId="0" xfId="0" applyNumberFormat="1" applyFont="1" applyFill="1" applyAlignment="1">
      <alignment horizontal="right"/>
    </xf>
    <xf numFmtId="201" fontId="7" fillId="0" borderId="0" xfId="0" applyNumberFormat="1" applyFont="1" applyFill="1" applyAlignment="1">
      <alignment horizontal="right"/>
    </xf>
    <xf numFmtId="202" fontId="56" fillId="0" borderId="0" xfId="10" applyNumberFormat="1" applyFont="1" applyFill="1" applyAlignment="1">
      <alignment horizontal="right"/>
    </xf>
    <xf numFmtId="201" fontId="56" fillId="0" borderId="0" xfId="16" applyNumberFormat="1" applyFont="1" applyFill="1" applyAlignment="1">
      <alignment horizontal="right"/>
    </xf>
    <xf numFmtId="201" fontId="7" fillId="0" borderId="0" xfId="10" applyNumberFormat="1" applyFont="1" applyFill="1" applyAlignment="1">
      <alignment horizontal="right"/>
    </xf>
    <xf numFmtId="201" fontId="56" fillId="0" borderId="0" xfId="10" applyNumberFormat="1" applyFont="1" applyFill="1" applyBorder="1" applyAlignment="1">
      <alignment horizontal="right"/>
    </xf>
    <xf numFmtId="201" fontId="23" fillId="0" borderId="0" xfId="10" applyNumberFormat="1" applyFont="1" applyFill="1" applyAlignment="1">
      <alignment horizontal="right"/>
    </xf>
    <xf numFmtId="201" fontId="56" fillId="0" borderId="2" xfId="10" applyNumberFormat="1" applyFont="1" applyFill="1" applyBorder="1" applyAlignment="1">
      <alignment horizontal="right"/>
    </xf>
    <xf numFmtId="201" fontId="23" fillId="0" borderId="0" xfId="10" applyNumberFormat="1" applyFont="1" applyFill="1" applyBorder="1" applyAlignment="1">
      <alignment horizontal="right"/>
    </xf>
    <xf numFmtId="180" fontId="7" fillId="0" borderId="0" xfId="0" applyNumberFormat="1" applyFont="1" applyFill="1"/>
    <xf numFmtId="202" fontId="2" fillId="0" borderId="4" xfId="0" applyNumberFormat="1" applyFont="1" applyFill="1" applyBorder="1" applyAlignment="1">
      <alignment horizontal="right"/>
    </xf>
    <xf numFmtId="202" fontId="59" fillId="0" borderId="0" xfId="16" applyNumberFormat="1" applyFont="1" applyFill="1" applyAlignment="1">
      <alignment horizontal="right"/>
    </xf>
    <xf numFmtId="201" fontId="65" fillId="0" borderId="0" xfId="16" applyNumberFormat="1" applyFont="1" applyFill="1" applyAlignment="1">
      <alignment horizontal="right"/>
    </xf>
    <xf numFmtId="207" fontId="65" fillId="0" borderId="0" xfId="0" applyNumberFormat="1" applyFont="1" applyFill="1"/>
    <xf numFmtId="207" fontId="23" fillId="0" borderId="0" xfId="0" applyNumberFormat="1" applyFont="1" applyFill="1"/>
    <xf numFmtId="202" fontId="23" fillId="0" borderId="0" xfId="10" applyNumberFormat="1" applyFont="1" applyFill="1" applyAlignment="1">
      <alignment horizontal="right"/>
    </xf>
    <xf numFmtId="202" fontId="7" fillId="0" borderId="0" xfId="10" applyNumberFormat="1" applyFont="1" applyFill="1" applyAlignment="1">
      <alignment horizontal="right"/>
    </xf>
    <xf numFmtId="202" fontId="72" fillId="0" borderId="0" xfId="0" applyNumberFormat="1" applyFont="1" applyFill="1" applyAlignment="1">
      <alignment horizontal="right"/>
    </xf>
    <xf numFmtId="201" fontId="7" fillId="0" borderId="0" xfId="10" applyNumberFormat="1" applyFont="1" applyFill="1" applyBorder="1" applyAlignment="1">
      <alignment horizontal="right"/>
    </xf>
    <xf numFmtId="5" fontId="2" fillId="0" borderId="0" xfId="0" applyNumberFormat="1" applyFont="1"/>
    <xf numFmtId="202" fontId="75" fillId="0" borderId="0" xfId="16" applyNumberFormat="1" applyFont="1" applyFill="1" applyAlignment="1">
      <alignment horizontal="right"/>
    </xf>
    <xf numFmtId="201" fontId="65" fillId="0" borderId="0" xfId="16" applyNumberFormat="1" applyFont="1" applyFill="1"/>
    <xf numFmtId="201" fontId="77" fillId="0" borderId="0" xfId="10" applyNumberFormat="1" applyFont="1" applyFill="1" applyAlignment="1">
      <alignment horizontal="right"/>
    </xf>
    <xf numFmtId="201" fontId="2" fillId="0" borderId="0" xfId="10" applyNumberFormat="1" applyFont="1" applyFill="1" applyAlignment="1">
      <alignment horizontal="right"/>
    </xf>
    <xf numFmtId="202" fontId="7" fillId="0" borderId="11" xfId="0" applyNumberFormat="1" applyFont="1" applyFill="1" applyBorder="1" applyAlignment="1">
      <alignment horizontal="right"/>
    </xf>
    <xf numFmtId="202" fontId="2" fillId="0" borderId="11" xfId="0" applyNumberFormat="1" applyFont="1" applyFill="1" applyBorder="1" applyAlignment="1">
      <alignment horizontal="right"/>
    </xf>
    <xf numFmtId="201" fontId="77" fillId="0" borderId="0" xfId="16" applyNumberFormat="1" applyFont="1" applyFill="1" applyAlignment="1">
      <alignment horizontal="right"/>
    </xf>
    <xf numFmtId="201" fontId="77" fillId="0" borderId="0" xfId="10" applyNumberFormat="1" applyFont="1" applyFill="1" applyBorder="1" applyAlignment="1">
      <alignment horizontal="right"/>
    </xf>
    <xf numFmtId="201" fontId="58" fillId="0" borderId="0" xfId="10" applyNumberFormat="1" applyFont="1" applyFill="1" applyAlignment="1">
      <alignment horizontal="right"/>
    </xf>
    <xf numFmtId="201" fontId="7" fillId="0" borderId="2" xfId="10" applyNumberFormat="1" applyFont="1" applyFill="1" applyBorder="1" applyAlignment="1">
      <alignment horizontal="right"/>
    </xf>
    <xf numFmtId="201" fontId="77" fillId="0" borderId="2" xfId="10" applyNumberFormat="1" applyFont="1" applyFill="1" applyBorder="1" applyAlignment="1">
      <alignment horizontal="right"/>
    </xf>
    <xf numFmtId="202" fontId="2" fillId="0" borderId="0" xfId="0" applyNumberFormat="1" applyFont="1" applyFill="1" applyAlignment="1">
      <alignment horizontal="right"/>
    </xf>
    <xf numFmtId="180" fontId="2" fillId="0" borderId="0" xfId="0" applyNumberFormat="1" applyFont="1" applyFill="1"/>
    <xf numFmtId="201" fontId="2" fillId="0" borderId="0" xfId="0" applyNumberFormat="1" applyFont="1" applyFill="1" applyAlignment="1">
      <alignment horizontal="right"/>
    </xf>
    <xf numFmtId="202" fontId="7" fillId="0" borderId="4" xfId="0" applyNumberFormat="1" applyFont="1" applyFill="1" applyBorder="1" applyAlignment="1">
      <alignment horizontal="right"/>
    </xf>
    <xf numFmtId="201" fontId="93" fillId="0" borderId="0" xfId="16" applyNumberFormat="1" applyFont="1" applyFill="1" applyAlignment="1">
      <alignment horizontal="right"/>
    </xf>
    <xf numFmtId="202" fontId="7" fillId="0" borderId="0" xfId="16" applyNumberFormat="1" applyFont="1" applyFill="1" applyAlignment="1">
      <alignment horizontal="right"/>
    </xf>
    <xf numFmtId="201" fontId="59" fillId="0" borderId="0" xfId="16" applyNumberFormat="1" applyFont="1" applyFill="1" applyAlignment="1">
      <alignment horizontal="right"/>
    </xf>
    <xf numFmtId="202" fontId="59" fillId="0" borderId="0" xfId="10" applyNumberFormat="1" applyFont="1" applyFill="1" applyAlignment="1">
      <alignment horizontal="right"/>
    </xf>
    <xf numFmtId="202" fontId="2" fillId="0" borderId="0" xfId="10" applyNumberFormat="1" applyFont="1" applyFill="1" applyAlignment="1">
      <alignment horizontal="right"/>
    </xf>
    <xf numFmtId="202" fontId="70" fillId="0" borderId="0" xfId="0" applyNumberFormat="1" applyFont="1" applyFill="1" applyAlignment="1">
      <alignment horizontal="right"/>
    </xf>
    <xf numFmtId="9" fontId="2" fillId="0" borderId="0" xfId="0" applyNumberFormat="1" applyFont="1"/>
    <xf numFmtId="0" fontId="7" fillId="0" borderId="3" xfId="0" applyFont="1" applyBorder="1"/>
    <xf numFmtId="0" fontId="2" fillId="0" borderId="3" xfId="0" applyFont="1" applyBorder="1"/>
    <xf numFmtId="4" fontId="7" fillId="0" borderId="0" xfId="0" applyNumberFormat="1" applyFont="1"/>
    <xf numFmtId="199" fontId="68" fillId="0" borderId="2" xfId="0" applyNumberFormat="1" applyFont="1" applyBorder="1" applyAlignment="1">
      <alignment horizontal="center"/>
    </xf>
    <xf numFmtId="199" fontId="92" fillId="0" borderId="2" xfId="0" applyNumberFormat="1" applyFont="1" applyBorder="1" applyAlignment="1">
      <alignment horizontal="center"/>
    </xf>
    <xf numFmtId="202" fontId="7" fillId="0" borderId="11" xfId="0" applyNumberFormat="1" applyFont="1" applyBorder="1"/>
    <xf numFmtId="202" fontId="2" fillId="0" borderId="11" xfId="0" applyNumberFormat="1" applyFont="1" applyBorder="1"/>
    <xf numFmtId="202" fontId="77" fillId="0" borderId="0" xfId="10" applyNumberFormat="1" applyFont="1" applyFill="1" applyAlignment="1">
      <alignment horizontal="right"/>
    </xf>
    <xf numFmtId="202" fontId="56" fillId="0" borderId="11" xfId="0" applyNumberFormat="1" applyFont="1" applyBorder="1"/>
    <xf numFmtId="202" fontId="72" fillId="0" borderId="0" xfId="0" applyNumberFormat="1" applyFont="1"/>
    <xf numFmtId="202" fontId="70" fillId="0" borderId="0" xfId="0" applyNumberFormat="1" applyFont="1"/>
    <xf numFmtId="0" fontId="7" fillId="0" borderId="0" xfId="0" applyNumberFormat="1" applyFont="1"/>
    <xf numFmtId="199" fontId="92" fillId="0" borderId="0" xfId="0" applyNumberFormat="1" applyFont="1" applyFill="1" applyAlignment="1">
      <alignment horizontal="center"/>
    </xf>
    <xf numFmtId="0" fontId="7" fillId="0" borderId="3" xfId="0" applyFont="1" applyFill="1" applyBorder="1"/>
    <xf numFmtId="4" fontId="7" fillId="0" borderId="0" xfId="0" applyNumberFormat="1" applyFont="1" applyFill="1"/>
    <xf numFmtId="199" fontId="92" fillId="0" borderId="2" xfId="0" applyNumberFormat="1" applyFont="1" applyFill="1" applyBorder="1" applyAlignment="1">
      <alignment horizontal="center"/>
    </xf>
    <xf numFmtId="202" fontId="7" fillId="0" borderId="11" xfId="0" applyNumberFormat="1" applyFont="1" applyFill="1" applyBorder="1"/>
    <xf numFmtId="202" fontId="56" fillId="0" borderId="11" xfId="0" applyNumberFormat="1" applyFont="1" applyFill="1" applyBorder="1"/>
    <xf numFmtId="202" fontId="72" fillId="0" borderId="0" xfId="0" applyNumberFormat="1" applyFont="1" applyFill="1"/>
    <xf numFmtId="0" fontId="2" fillId="0" borderId="2" xfId="0" applyFont="1" applyFill="1" applyBorder="1"/>
    <xf numFmtId="202" fontId="2" fillId="0" borderId="0" xfId="0" applyNumberFormat="1" applyFont="1" applyFill="1"/>
    <xf numFmtId="5" fontId="2" fillId="0" borderId="0" xfId="0" applyNumberFormat="1" applyFont="1" applyFill="1"/>
    <xf numFmtId="9" fontId="2" fillId="0" borderId="0" xfId="0" applyNumberFormat="1" applyFont="1" applyFill="1"/>
    <xf numFmtId="0" fontId="2" fillId="0" borderId="3" xfId="0" applyFont="1" applyFill="1" applyBorder="1"/>
    <xf numFmtId="199" fontId="68" fillId="0" borderId="2" xfId="0" applyNumberFormat="1" applyFont="1" applyFill="1" applyBorder="1" applyAlignment="1">
      <alignment horizontal="center"/>
    </xf>
    <xf numFmtId="202" fontId="2" fillId="0" borderId="11" xfId="0" applyNumberFormat="1" applyFont="1" applyFill="1" applyBorder="1"/>
    <xf numFmtId="202" fontId="70" fillId="0" borderId="0" xfId="0" applyNumberFormat="1" applyFont="1" applyFill="1"/>
    <xf numFmtId="195" fontId="2" fillId="0" borderId="0" xfId="0" applyNumberFormat="1" applyFont="1" applyFill="1"/>
    <xf numFmtId="199" fontId="92" fillId="0" borderId="0" xfId="0" applyNumberFormat="1" applyFont="1" applyAlignment="1">
      <alignment horizontal="center"/>
    </xf>
    <xf numFmtId="201" fontId="23" fillId="0" borderId="0" xfId="17" applyNumberFormat="1" applyFont="1" applyFill="1"/>
    <xf numFmtId="201" fontId="56" fillId="0" borderId="0" xfId="17" applyNumberFormat="1" applyFont="1" applyFill="1" applyAlignment="1">
      <alignment horizontal="right"/>
    </xf>
    <xf numFmtId="202" fontId="23" fillId="0" borderId="0" xfId="17" applyNumberFormat="1" applyFont="1" applyFill="1" applyAlignment="1">
      <alignment horizontal="right"/>
    </xf>
    <xf numFmtId="202" fontId="59" fillId="0" borderId="0" xfId="17" applyNumberFormat="1" applyFont="1" applyFill="1" applyAlignment="1">
      <alignment horizontal="right"/>
    </xf>
    <xf numFmtId="195" fontId="23" fillId="10" borderId="0" xfId="0" applyNumberFormat="1" applyFont="1" applyFill="1"/>
    <xf numFmtId="201" fontId="23" fillId="10" borderId="0" xfId="10" applyNumberFormat="1" applyFont="1" applyFill="1" applyAlignment="1">
      <alignment horizontal="right"/>
    </xf>
    <xf numFmtId="202" fontId="75" fillId="0" borderId="0" xfId="17" applyNumberFormat="1" applyFont="1" applyFill="1" applyAlignment="1">
      <alignment horizontal="right"/>
    </xf>
    <xf numFmtId="201" fontId="65" fillId="0" borderId="0" xfId="17" applyNumberFormat="1" applyFont="1" applyFill="1"/>
    <xf numFmtId="201" fontId="77" fillId="0" borderId="0" xfId="17" applyNumberFormat="1" applyFont="1" applyFill="1" applyAlignment="1">
      <alignment horizontal="right"/>
    </xf>
    <xf numFmtId="202" fontId="2" fillId="0" borderId="0" xfId="17" applyNumberFormat="1" applyFont="1" applyFill="1" applyAlignment="1">
      <alignment horizontal="right"/>
    </xf>
    <xf numFmtId="201" fontId="65" fillId="0" borderId="2" xfId="10" applyNumberFormat="1" applyFont="1" applyFill="1" applyBorder="1" applyAlignment="1">
      <alignment horizontal="right"/>
    </xf>
    <xf numFmtId="201" fontId="2" fillId="0" borderId="0" xfId="10" applyNumberFormat="1" applyFont="1" applyFill="1" applyBorder="1" applyAlignment="1">
      <alignment horizontal="right"/>
    </xf>
    <xf numFmtId="0" fontId="7" fillId="13" borderId="0" xfId="0" applyFont="1" applyFill="1"/>
    <xf numFmtId="0" fontId="7" fillId="13" borderId="2" xfId="0" applyFont="1" applyFill="1" applyBorder="1"/>
    <xf numFmtId="202" fontId="7" fillId="13" borderId="0" xfId="0" applyNumberFormat="1" applyFont="1" applyFill="1"/>
    <xf numFmtId="5" fontId="7" fillId="13" borderId="0" xfId="0" applyNumberFormat="1" applyFont="1" applyFill="1"/>
    <xf numFmtId="199" fontId="68" fillId="13" borderId="0" xfId="0" applyNumberFormat="1" applyFont="1" applyFill="1" applyAlignment="1">
      <alignment horizontal="center"/>
    </xf>
    <xf numFmtId="202" fontId="58" fillId="13" borderId="0" xfId="16" applyNumberFormat="1" applyFont="1" applyFill="1" applyAlignment="1">
      <alignment horizontal="right"/>
    </xf>
    <xf numFmtId="201" fontId="23" fillId="13" borderId="0" xfId="16" applyNumberFormat="1" applyFont="1" applyFill="1"/>
    <xf numFmtId="201" fontId="56" fillId="13" borderId="0" xfId="10" applyNumberFormat="1" applyFont="1" applyFill="1" applyAlignment="1">
      <alignment horizontal="right"/>
    </xf>
    <xf numFmtId="202" fontId="7" fillId="13" borderId="11" xfId="0" applyNumberFormat="1" applyFont="1" applyFill="1" applyBorder="1" applyAlignment="1">
      <alignment horizontal="right"/>
    </xf>
    <xf numFmtId="201" fontId="56" fillId="13" borderId="0" xfId="10" applyNumberFormat="1" applyFont="1" applyFill="1" applyBorder="1" applyAlignment="1">
      <alignment horizontal="right"/>
    </xf>
    <xf numFmtId="201" fontId="56" fillId="13" borderId="2" xfId="10" applyNumberFormat="1" applyFont="1" applyFill="1" applyBorder="1" applyAlignment="1">
      <alignment horizontal="right"/>
    </xf>
    <xf numFmtId="202" fontId="7" fillId="13" borderId="0" xfId="0" applyNumberFormat="1" applyFont="1" applyFill="1" applyAlignment="1">
      <alignment horizontal="right"/>
    </xf>
    <xf numFmtId="180" fontId="7" fillId="13" borderId="0" xfId="0" applyNumberFormat="1" applyFont="1" applyFill="1"/>
    <xf numFmtId="201" fontId="7" fillId="13" borderId="0" xfId="0" applyNumberFormat="1" applyFont="1" applyFill="1" applyAlignment="1">
      <alignment horizontal="right"/>
    </xf>
    <xf numFmtId="202" fontId="7" fillId="13" borderId="4" xfId="0" applyNumberFormat="1" applyFont="1" applyFill="1" applyBorder="1" applyAlignment="1">
      <alignment horizontal="right"/>
    </xf>
    <xf numFmtId="202" fontId="59" fillId="13" borderId="0" xfId="16" applyNumberFormat="1" applyFont="1" applyFill="1" applyAlignment="1">
      <alignment horizontal="right"/>
    </xf>
    <xf numFmtId="202" fontId="7" fillId="13" borderId="0" xfId="10" applyNumberFormat="1" applyFont="1" applyFill="1" applyAlignment="1">
      <alignment horizontal="right"/>
    </xf>
    <xf numFmtId="202" fontId="72" fillId="13" borderId="0" xfId="0" applyNumberFormat="1" applyFont="1" applyFill="1" applyAlignment="1">
      <alignment horizontal="right"/>
    </xf>
    <xf numFmtId="9" fontId="7" fillId="13" borderId="0" xfId="0" applyNumberFormat="1" applyFont="1" applyFill="1"/>
    <xf numFmtId="0" fontId="7" fillId="13" borderId="3" xfId="0" applyFont="1" applyFill="1" applyBorder="1"/>
    <xf numFmtId="199" fontId="68" fillId="13" borderId="2" xfId="0" applyNumberFormat="1" applyFont="1" applyFill="1" applyBorder="1" applyAlignment="1">
      <alignment horizontal="center"/>
    </xf>
    <xf numFmtId="202" fontId="56" fillId="13" borderId="0" xfId="10" applyNumberFormat="1" applyFont="1" applyFill="1" applyAlignment="1">
      <alignment horizontal="right"/>
    </xf>
    <xf numFmtId="202" fontId="7" fillId="13" borderId="11" xfId="0" applyNumberFormat="1" applyFont="1" applyFill="1" applyBorder="1"/>
    <xf numFmtId="201" fontId="65" fillId="13" borderId="0" xfId="10" applyNumberFormat="1" applyFont="1" applyFill="1" applyAlignment="1">
      <alignment horizontal="right"/>
    </xf>
    <xf numFmtId="202" fontId="56" fillId="13" borderId="11" xfId="0" applyNumberFormat="1" applyFont="1" applyFill="1" applyBorder="1"/>
    <xf numFmtId="202" fontId="72" fillId="13" borderId="0" xfId="0" applyNumberFormat="1" applyFont="1" applyFill="1"/>
    <xf numFmtId="195" fontId="7" fillId="13" borderId="0" xfId="0" applyNumberFormat="1" applyFont="1" applyFill="1"/>
    <xf numFmtId="201" fontId="7" fillId="13" borderId="0" xfId="10" applyNumberFormat="1" applyFont="1" applyFill="1" applyAlignment="1">
      <alignment horizontal="right"/>
    </xf>
    <xf numFmtId="0" fontId="0" fillId="12" borderId="0" xfId="0" applyFill="1" applyBorder="1"/>
    <xf numFmtId="0" fontId="0" fillId="12" borderId="0" xfId="0" applyFill="1"/>
    <xf numFmtId="0" fontId="7" fillId="12" borderId="0" xfId="0" applyFont="1" applyFill="1"/>
    <xf numFmtId="206" fontId="70" fillId="12" borderId="19" xfId="0" applyNumberFormat="1" applyFont="1" applyFill="1" applyBorder="1"/>
    <xf numFmtId="0" fontId="2" fillId="12" borderId="0" xfId="0" applyFont="1" applyFill="1" applyBorder="1"/>
    <xf numFmtId="206" fontId="70" fillId="12" borderId="0" xfId="0" applyNumberFormat="1" applyFont="1" applyFill="1" applyBorder="1"/>
    <xf numFmtId="0" fontId="64" fillId="12" borderId="0" xfId="0" applyFont="1" applyFill="1" applyBorder="1"/>
    <xf numFmtId="37" fontId="26" fillId="12" borderId="0" xfId="0" applyNumberFormat="1" applyFont="1" applyFill="1" applyBorder="1"/>
    <xf numFmtId="0" fontId="99" fillId="14" borderId="0" xfId="0" applyFont="1" applyFill="1"/>
    <xf numFmtId="0" fontId="69" fillId="12" borderId="0" xfId="0" applyFont="1" applyFill="1" applyBorder="1"/>
    <xf numFmtId="0" fontId="23" fillId="12" borderId="0" xfId="0" applyFont="1" applyFill="1" applyBorder="1"/>
    <xf numFmtId="179" fontId="23" fillId="12" borderId="19" xfId="0" applyNumberFormat="1" applyFont="1" applyFill="1" applyBorder="1"/>
    <xf numFmtId="0" fontId="2" fillId="12" borderId="0" xfId="0" applyFont="1" applyFill="1" applyBorder="1" applyAlignment="1"/>
    <xf numFmtId="37" fontId="26" fillId="12" borderId="0" xfId="0" applyNumberFormat="1" applyFont="1" applyFill="1" applyBorder="1" applyAlignment="1"/>
    <xf numFmtId="165" fontId="7" fillId="12" borderId="0" xfId="0" applyNumberFormat="1" applyFont="1" applyFill="1" applyBorder="1" applyAlignment="1"/>
    <xf numFmtId="206" fontId="7" fillId="12" borderId="0" xfId="0" applyNumberFormat="1" applyFont="1" applyFill="1" applyBorder="1" applyAlignment="1"/>
    <xf numFmtId="0" fontId="69" fillId="12" borderId="0" xfId="0" applyFont="1" applyFill="1"/>
    <xf numFmtId="0" fontId="69" fillId="15" borderId="14" xfId="0" applyFont="1" applyFill="1" applyBorder="1"/>
    <xf numFmtId="44" fontId="69" fillId="15" borderId="4" xfId="16" applyNumberFormat="1" applyFont="1" applyFill="1" applyBorder="1"/>
    <xf numFmtId="44" fontId="69" fillId="15" borderId="4" xfId="16" applyNumberFormat="1" applyFont="1" applyFill="1" applyBorder="1" applyAlignment="1"/>
    <xf numFmtId="44" fontId="69" fillId="15" borderId="5" xfId="16" applyNumberFormat="1" applyFont="1" applyFill="1" applyBorder="1" applyAlignment="1"/>
    <xf numFmtId="0" fontId="66" fillId="12" borderId="0" xfId="0" applyFont="1" applyFill="1" applyBorder="1" applyAlignment="1">
      <alignment horizontal="centerContinuous"/>
    </xf>
    <xf numFmtId="195" fontId="63" fillId="12" borderId="0" xfId="0" applyNumberFormat="1" applyFont="1" applyFill="1" applyBorder="1" applyAlignment="1">
      <alignment horizontal="center"/>
    </xf>
    <xf numFmtId="7" fontId="63" fillId="12" borderId="0" xfId="0" applyNumberFormat="1" applyFont="1" applyFill="1" applyBorder="1" applyAlignment="1">
      <alignment horizontal="center"/>
    </xf>
    <xf numFmtId="2" fontId="2" fillId="12" borderId="0" xfId="0" applyNumberFormat="1" applyFont="1" applyFill="1" applyBorder="1"/>
    <xf numFmtId="0" fontId="62" fillId="12" borderId="0" xfId="0" applyFont="1" applyFill="1" applyBorder="1"/>
    <xf numFmtId="0" fontId="62" fillId="12" borderId="0" xfId="0" applyFont="1" applyFill="1" applyBorder="1" applyAlignment="1">
      <alignment horizontal="centerContinuous"/>
    </xf>
    <xf numFmtId="195" fontId="62" fillId="12" borderId="0" xfId="0" applyNumberFormat="1" applyFont="1" applyFill="1" applyBorder="1" applyAlignment="1">
      <alignment horizontal="center"/>
    </xf>
    <xf numFmtId="0" fontId="62" fillId="12" borderId="0" xfId="0" applyFont="1" applyFill="1" applyBorder="1" applyAlignment="1">
      <alignment horizontal="center"/>
    </xf>
    <xf numFmtId="220" fontId="67" fillId="12" borderId="0" xfId="0" applyNumberFormat="1" applyFont="1" applyFill="1" applyBorder="1" applyAlignment="1">
      <alignment horizontal="center"/>
    </xf>
    <xf numFmtId="168" fontId="67" fillId="12" borderId="0" xfId="0" applyNumberFormat="1" applyFont="1" applyFill="1" applyBorder="1" applyAlignment="1">
      <alignment horizontal="center"/>
    </xf>
    <xf numFmtId="37" fontId="65" fillId="12" borderId="0" xfId="0" applyNumberFormat="1" applyFont="1" applyFill="1" applyBorder="1"/>
    <xf numFmtId="179" fontId="64" fillId="12" borderId="0" xfId="0" applyNumberFormat="1" applyFont="1" applyFill="1" applyBorder="1"/>
    <xf numFmtId="37" fontId="0" fillId="12" borderId="0" xfId="0" applyNumberFormat="1" applyFill="1" applyBorder="1"/>
    <xf numFmtId="37" fontId="69" fillId="12" borderId="0" xfId="0" applyNumberFormat="1" applyFont="1" applyFill="1" applyBorder="1" applyAlignment="1"/>
    <xf numFmtId="0" fontId="7" fillId="12" borderId="0" xfId="0" applyFont="1" applyFill="1" applyBorder="1" applyAlignment="1"/>
    <xf numFmtId="37" fontId="7" fillId="12" borderId="0" xfId="0" applyNumberFormat="1" applyFont="1" applyFill="1" applyBorder="1" applyAlignment="1"/>
    <xf numFmtId="179" fontId="7" fillId="12" borderId="0" xfId="0" applyNumberFormat="1" applyFont="1" applyFill="1" applyBorder="1" applyAlignment="1"/>
    <xf numFmtId="0" fontId="23" fillId="12" borderId="0" xfId="0" applyFont="1" applyFill="1" applyBorder="1" applyAlignment="1"/>
    <xf numFmtId="37" fontId="7" fillId="12" borderId="0" xfId="0" applyNumberFormat="1" applyFont="1" applyFill="1" applyBorder="1"/>
    <xf numFmtId="179" fontId="7" fillId="13" borderId="0" xfId="38" applyNumberFormat="1" applyFont="1" applyFill="1"/>
    <xf numFmtId="0" fontId="60" fillId="12" borderId="0" xfId="0" applyFont="1" applyFill="1"/>
    <xf numFmtId="0" fontId="60" fillId="12" borderId="2" xfId="0" applyFont="1" applyFill="1" applyBorder="1"/>
    <xf numFmtId="175" fontId="100" fillId="0" borderId="0" xfId="12" applyNumberFormat="1" applyFont="1"/>
    <xf numFmtId="0" fontId="7" fillId="0" borderId="0" xfId="18" applyFont="1"/>
    <xf numFmtId="175" fontId="100" fillId="0" borderId="2" xfId="12" applyNumberFormat="1" applyFont="1" applyBorder="1"/>
    <xf numFmtId="175" fontId="101" fillId="0" borderId="0" xfId="12" applyNumberFormat="1" applyFont="1"/>
    <xf numFmtId="175" fontId="102" fillId="0" borderId="0" xfId="12" applyNumberFormat="1" applyFont="1"/>
    <xf numFmtId="179" fontId="102" fillId="0" borderId="0" xfId="40" applyNumberFormat="1" applyFont="1"/>
    <xf numFmtId="175" fontId="102" fillId="0" borderId="0" xfId="12" applyNumberFormat="1" applyFont="1" applyAlignment="1">
      <alignment horizontal="center"/>
    </xf>
    <xf numFmtId="179" fontId="100" fillId="0" borderId="0" xfId="40" applyNumberFormat="1" applyFont="1"/>
    <xf numFmtId="44" fontId="100" fillId="0" borderId="0" xfId="17" applyFont="1"/>
    <xf numFmtId="9" fontId="100" fillId="0" borderId="0" xfId="40" applyFont="1"/>
    <xf numFmtId="9" fontId="102" fillId="0" borderId="0" xfId="40" applyFont="1" applyAlignment="1">
      <alignment horizontal="center"/>
    </xf>
    <xf numFmtId="175" fontId="101" fillId="16" borderId="14" xfId="12" applyNumberFormat="1" applyFont="1" applyFill="1" applyBorder="1"/>
    <xf numFmtId="175" fontId="101" fillId="16" borderId="4" xfId="12" applyNumberFormat="1" applyFont="1" applyFill="1" applyBorder="1" applyAlignment="1">
      <alignment horizontal="center"/>
    </xf>
    <xf numFmtId="175" fontId="100" fillId="0" borderId="0" xfId="12" applyNumberFormat="1" applyFont="1" applyBorder="1"/>
    <xf numFmtId="175" fontId="100" fillId="0" borderId="2" xfId="12" applyNumberFormat="1" applyFont="1" applyBorder="1" applyAlignment="1">
      <alignment horizontal="center"/>
    </xf>
    <xf numFmtId="44" fontId="101" fillId="18" borderId="5" xfId="17" applyFont="1" applyFill="1" applyBorder="1"/>
    <xf numFmtId="9" fontId="7" fillId="0" borderId="0" xfId="40" applyFont="1"/>
    <xf numFmtId="175" fontId="100" fillId="12" borderId="0" xfId="12" applyNumberFormat="1" applyFont="1" applyFill="1"/>
    <xf numFmtId="0" fontId="7" fillId="12" borderId="0" xfId="18" applyFont="1" applyFill="1"/>
    <xf numFmtId="175" fontId="100" fillId="12" borderId="2" xfId="12" applyNumberFormat="1" applyFont="1" applyFill="1" applyBorder="1"/>
    <xf numFmtId="9" fontId="100" fillId="12" borderId="0" xfId="40" applyFont="1" applyFill="1"/>
    <xf numFmtId="175" fontId="101" fillId="12" borderId="14" xfId="12" applyNumberFormat="1" applyFont="1" applyFill="1" applyBorder="1"/>
    <xf numFmtId="175" fontId="101" fillId="12" borderId="4" xfId="12" applyNumberFormat="1" applyFont="1" applyFill="1" applyBorder="1" applyAlignment="1">
      <alignment horizontal="center"/>
    </xf>
    <xf numFmtId="179" fontId="101" fillId="12" borderId="5" xfId="40" applyNumberFormat="1" applyFont="1" applyFill="1" applyBorder="1"/>
    <xf numFmtId="175" fontId="100" fillId="12" borderId="0" xfId="12" applyNumberFormat="1" applyFont="1" applyFill="1" applyBorder="1"/>
    <xf numFmtId="175" fontId="100" fillId="0" borderId="0" xfId="12" applyNumberFormat="1" applyFont="1" applyFill="1" applyBorder="1"/>
    <xf numFmtId="175" fontId="101" fillId="0" borderId="0" xfId="12" applyNumberFormat="1" applyFont="1" applyFill="1" applyBorder="1"/>
    <xf numFmtId="175" fontId="100" fillId="0" borderId="0" xfId="12" applyNumberFormat="1" applyFont="1" applyFill="1" applyBorder="1" applyAlignment="1">
      <alignment horizontal="center"/>
    </xf>
    <xf numFmtId="44" fontId="101" fillId="0" borderId="0" xfId="17" applyFont="1" applyFill="1" applyBorder="1"/>
    <xf numFmtId="9" fontId="7" fillId="0" borderId="0" xfId="40" applyFont="1" applyFill="1" applyBorder="1"/>
    <xf numFmtId="175" fontId="100" fillId="12" borderId="6" xfId="12" applyNumberFormat="1" applyFont="1" applyFill="1" applyBorder="1"/>
    <xf numFmtId="175" fontId="100" fillId="12" borderId="11" xfId="12" applyNumberFormat="1" applyFont="1" applyFill="1" applyBorder="1"/>
    <xf numFmtId="0" fontId="7" fillId="12" borderId="11" xfId="18" applyFont="1" applyFill="1" applyBorder="1"/>
    <xf numFmtId="179" fontId="7" fillId="12" borderId="17" xfId="40" applyNumberFormat="1" applyFont="1" applyFill="1" applyBorder="1" applyAlignment="1">
      <alignment horizontal="right"/>
    </xf>
    <xf numFmtId="175" fontId="100" fillId="12" borderId="1" xfId="12" applyNumberFormat="1" applyFont="1" applyFill="1" applyBorder="1"/>
    <xf numFmtId="0" fontId="7" fillId="12" borderId="0" xfId="18" applyFont="1" applyFill="1" applyBorder="1"/>
    <xf numFmtId="179" fontId="7" fillId="12" borderId="15" xfId="40" applyNumberFormat="1" applyFont="1" applyFill="1" applyBorder="1" applyAlignment="1">
      <alignment horizontal="right"/>
    </xf>
    <xf numFmtId="175" fontId="101" fillId="12" borderId="1" xfId="12" applyNumberFormat="1" applyFont="1" applyFill="1" applyBorder="1"/>
    <xf numFmtId="175" fontId="101" fillId="12" borderId="0" xfId="12" applyNumberFormat="1" applyFont="1" applyFill="1" applyBorder="1"/>
    <xf numFmtId="2" fontId="7" fillId="12" borderId="15" xfId="18" applyNumberFormat="1" applyFont="1" applyFill="1" applyBorder="1" applyAlignment="1">
      <alignment horizontal="right"/>
    </xf>
    <xf numFmtId="175" fontId="102" fillId="12" borderId="1" xfId="12" applyNumberFormat="1" applyFont="1" applyFill="1" applyBorder="1"/>
    <xf numFmtId="179" fontId="102" fillId="11" borderId="0" xfId="40" applyNumberFormat="1" applyFont="1" applyFill="1" applyBorder="1"/>
    <xf numFmtId="179" fontId="102" fillId="12" borderId="0" xfId="40" applyNumberFormat="1" applyFont="1" applyFill="1" applyBorder="1"/>
    <xf numFmtId="175" fontId="100" fillId="12" borderId="15" xfId="12" applyNumberFormat="1" applyFont="1" applyFill="1" applyBorder="1"/>
    <xf numFmtId="175" fontId="102" fillId="12" borderId="0" xfId="12" applyNumberFormat="1" applyFont="1" applyFill="1" applyBorder="1" applyAlignment="1">
      <alignment horizontal="center"/>
    </xf>
    <xf numFmtId="179" fontId="100" fillId="12" borderId="0" xfId="40" applyNumberFormat="1" applyFont="1" applyFill="1" applyBorder="1"/>
    <xf numFmtId="179" fontId="100" fillId="12" borderId="15" xfId="40" applyNumberFormat="1" applyFont="1" applyFill="1" applyBorder="1"/>
    <xf numFmtId="44" fontId="100" fillId="12" borderId="0" xfId="17" applyFont="1" applyFill="1" applyBorder="1"/>
    <xf numFmtId="9" fontId="100" fillId="12" borderId="0" xfId="40" applyFont="1" applyFill="1" applyBorder="1"/>
    <xf numFmtId="9" fontId="102" fillId="12" borderId="0" xfId="40" applyFont="1" applyFill="1" applyBorder="1" applyAlignment="1">
      <alignment horizontal="center"/>
    </xf>
    <xf numFmtId="175" fontId="100" fillId="12" borderId="16" xfId="12" applyNumberFormat="1" applyFont="1" applyFill="1" applyBorder="1"/>
    <xf numFmtId="175" fontId="100" fillId="12" borderId="18" xfId="12" applyNumberFormat="1" applyFont="1" applyFill="1" applyBorder="1"/>
    <xf numFmtId="0" fontId="99" fillId="14" borderId="6" xfId="0" applyFont="1" applyFill="1" applyBorder="1"/>
    <xf numFmtId="0" fontId="2" fillId="12" borderId="4" xfId="0" applyFont="1" applyFill="1" applyBorder="1" applyAlignment="1">
      <alignment horizontal="centerContinuous"/>
    </xf>
    <xf numFmtId="0" fontId="2" fillId="12" borderId="11" xfId="0" applyFont="1" applyFill="1" applyBorder="1" applyAlignment="1">
      <alignment horizontal="centerContinuous"/>
    </xf>
    <xf numFmtId="0" fontId="99" fillId="14" borderId="4" xfId="0" applyFont="1" applyFill="1" applyBorder="1" applyAlignment="1">
      <alignment horizontal="center" vertical="top"/>
    </xf>
    <xf numFmtId="0" fontId="2" fillId="12" borderId="11" xfId="0" applyFont="1" applyFill="1" applyBorder="1" applyAlignment="1">
      <alignment horizontal="right"/>
    </xf>
    <xf numFmtId="0" fontId="69" fillId="12" borderId="1" xfId="0" applyFont="1" applyFill="1" applyBorder="1"/>
    <xf numFmtId="37" fontId="69" fillId="12" borderId="0" xfId="0" applyNumberFormat="1" applyFont="1" applyFill="1" applyBorder="1"/>
    <xf numFmtId="0" fontId="69" fillId="12" borderId="0" xfId="0" applyFont="1" applyFill="1" applyBorder="1" applyAlignment="1"/>
    <xf numFmtId="37" fontId="69" fillId="12" borderId="15" xfId="0" applyNumberFormat="1" applyFont="1" applyFill="1" applyBorder="1" applyAlignment="1"/>
    <xf numFmtId="0" fontId="7" fillId="12" borderId="1" xfId="0" applyFont="1" applyFill="1" applyBorder="1"/>
    <xf numFmtId="206" fontId="7" fillId="12" borderId="15" xfId="0" applyNumberFormat="1" applyFont="1" applyFill="1" applyBorder="1" applyAlignment="1"/>
    <xf numFmtId="0" fontId="26" fillId="12" borderId="1" xfId="0" applyFont="1" applyFill="1" applyBorder="1"/>
    <xf numFmtId="0" fontId="26" fillId="12" borderId="0" xfId="0" applyFont="1" applyFill="1" applyBorder="1"/>
    <xf numFmtId="0" fontId="26" fillId="12" borderId="0" xfId="0" applyFont="1" applyFill="1" applyBorder="1" applyAlignment="1"/>
    <xf numFmtId="37" fontId="26" fillId="12" borderId="15" xfId="0" applyNumberFormat="1" applyFont="1" applyFill="1" applyBorder="1" applyAlignment="1"/>
    <xf numFmtId="0" fontId="7" fillId="12" borderId="15" xfId="0" applyFont="1" applyFill="1" applyBorder="1" applyAlignment="1"/>
    <xf numFmtId="0" fontId="7" fillId="12" borderId="0" xfId="0" applyFont="1" applyFill="1" applyBorder="1"/>
    <xf numFmtId="37" fontId="7" fillId="12" borderId="15" xfId="0" applyNumberFormat="1" applyFont="1" applyFill="1" applyBorder="1" applyAlignment="1"/>
    <xf numFmtId="165" fontId="7" fillId="12" borderId="0" xfId="0" applyNumberFormat="1" applyFont="1" applyFill="1" applyBorder="1"/>
    <xf numFmtId="165" fontId="7" fillId="12" borderId="15" xfId="0" applyNumberFormat="1" applyFont="1" applyFill="1" applyBorder="1" applyAlignment="1"/>
    <xf numFmtId="179" fontId="23" fillId="12" borderId="0" xfId="0" applyNumberFormat="1" applyFont="1" applyFill="1" applyBorder="1"/>
    <xf numFmtId="179" fontId="23" fillId="12" borderId="0" xfId="0" applyNumberFormat="1" applyFont="1" applyFill="1" applyBorder="1" applyAlignment="1"/>
    <xf numFmtId="179" fontId="7" fillId="12" borderId="15" xfId="0" applyNumberFormat="1" applyFont="1" applyFill="1" applyBorder="1" applyAlignment="1"/>
    <xf numFmtId="1" fontId="7" fillId="12" borderId="0" xfId="0" applyNumberFormat="1" applyFont="1" applyFill="1" applyBorder="1" applyAlignment="1"/>
    <xf numFmtId="1" fontId="7" fillId="12" borderId="15" xfId="0" applyNumberFormat="1" applyFont="1" applyFill="1" applyBorder="1" applyAlignment="1"/>
    <xf numFmtId="0" fontId="0" fillId="12" borderId="0" xfId="0" applyFill="1" applyBorder="1" applyAlignment="1"/>
    <xf numFmtId="0" fontId="100" fillId="0" borderId="0" xfId="18" applyFont="1"/>
    <xf numFmtId="0" fontId="101" fillId="0" borderId="2" xfId="18" applyFont="1" applyBorder="1"/>
    <xf numFmtId="0" fontId="2" fillId="0" borderId="0" xfId="18" applyFont="1"/>
    <xf numFmtId="17" fontId="2" fillId="0" borderId="0" xfId="18" applyNumberFormat="1" applyFont="1"/>
    <xf numFmtId="0" fontId="101" fillId="0" borderId="0" xfId="18" applyFont="1"/>
    <xf numFmtId="17" fontId="2" fillId="16" borderId="0" xfId="18" applyNumberFormat="1" applyFont="1" applyFill="1"/>
    <xf numFmtId="175" fontId="7" fillId="0" borderId="0" xfId="12" applyNumberFormat="1" applyFont="1"/>
    <xf numFmtId="175" fontId="7" fillId="16" borderId="0" xfId="12" applyNumberFormat="1" applyFont="1" applyFill="1"/>
    <xf numFmtId="179" fontId="7" fillId="0" borderId="0" xfId="40" applyNumberFormat="1" applyFont="1"/>
    <xf numFmtId="179" fontId="103" fillId="16" borderId="0" xfId="40" applyNumberFormat="1" applyFont="1" applyFill="1"/>
    <xf numFmtId="179" fontId="100" fillId="0" borderId="0" xfId="18" applyNumberFormat="1" applyFont="1"/>
    <xf numFmtId="0" fontId="102" fillId="0" borderId="0" xfId="18" applyFont="1"/>
    <xf numFmtId="9" fontId="7" fillId="0" borderId="0" xfId="39" applyFont="1"/>
    <xf numFmtId="9" fontId="103" fillId="16" borderId="0" xfId="40" applyNumberFormat="1" applyFont="1" applyFill="1"/>
    <xf numFmtId="0" fontId="26" fillId="0" borderId="0" xfId="18" applyFont="1"/>
    <xf numFmtId="175" fontId="7" fillId="0" borderId="2" xfId="12" applyNumberFormat="1" applyFont="1" applyBorder="1"/>
    <xf numFmtId="175" fontId="7" fillId="16" borderId="2" xfId="12" applyNumberFormat="1" applyFont="1" applyFill="1" applyBorder="1"/>
    <xf numFmtId="175" fontId="7" fillId="0" borderId="0" xfId="18" applyNumberFormat="1" applyFont="1"/>
    <xf numFmtId="175" fontId="7" fillId="16" borderId="0" xfId="18" applyNumberFormat="1" applyFont="1" applyFill="1"/>
    <xf numFmtId="9" fontId="104" fillId="0" borderId="0" xfId="40" applyFont="1"/>
    <xf numFmtId="179" fontId="104" fillId="0" borderId="0" xfId="40" applyNumberFormat="1" applyFont="1"/>
    <xf numFmtId="179" fontId="105" fillId="16" borderId="0" xfId="40" applyNumberFormat="1" applyFont="1" applyFill="1"/>
    <xf numFmtId="0" fontId="104" fillId="0" borderId="0" xfId="18" applyFont="1"/>
    <xf numFmtId="0" fontId="7" fillId="16" borderId="0" xfId="18" applyFont="1" applyFill="1"/>
    <xf numFmtId="175" fontId="100" fillId="0" borderId="0" xfId="12" quotePrefix="1" applyNumberFormat="1" applyFont="1"/>
    <xf numFmtId="179" fontId="7" fillId="16" borderId="0" xfId="40" applyNumberFormat="1" applyFont="1" applyFill="1"/>
    <xf numFmtId="175" fontId="7" fillId="16" borderId="0" xfId="12" quotePrefix="1" applyNumberFormat="1" applyFont="1" applyFill="1"/>
    <xf numFmtId="9" fontId="106" fillId="0" borderId="0" xfId="40" applyFont="1"/>
    <xf numFmtId="9" fontId="105" fillId="16" borderId="0" xfId="40" applyFont="1" applyFill="1"/>
    <xf numFmtId="0" fontId="7" fillId="0" borderId="2" xfId="18" applyFont="1" applyBorder="1"/>
    <xf numFmtId="0" fontId="7" fillId="16" borderId="2" xfId="18" applyFont="1" applyFill="1" applyBorder="1"/>
    <xf numFmtId="175" fontId="2" fillId="0" borderId="0" xfId="18" applyNumberFormat="1" applyFont="1"/>
    <xf numFmtId="175" fontId="2" fillId="16" borderId="0" xfId="18" applyNumberFormat="1" applyFont="1" applyFill="1"/>
    <xf numFmtId="9" fontId="105" fillId="12" borderId="0" xfId="40" applyFont="1" applyFill="1"/>
    <xf numFmtId="0" fontId="106" fillId="0" borderId="0" xfId="18" applyFont="1"/>
    <xf numFmtId="175" fontId="107" fillId="0" borderId="0" xfId="12" applyNumberFormat="1" applyFont="1" applyAlignment="1">
      <alignment horizontal="center"/>
    </xf>
    <xf numFmtId="0" fontId="11" fillId="0" borderId="0" xfId="18" applyFont="1" applyAlignment="1">
      <alignment horizontal="right"/>
    </xf>
    <xf numFmtId="0" fontId="107" fillId="0" borderId="0" xfId="18" applyFont="1" applyAlignment="1">
      <alignment horizontal="center"/>
    </xf>
    <xf numFmtId="43" fontId="108" fillId="0" borderId="0" xfId="12" applyNumberFormat="1" applyFont="1" applyAlignment="1">
      <alignment horizontal="right"/>
    </xf>
    <xf numFmtId="175" fontId="7" fillId="16" borderId="4" xfId="12" applyNumberFormat="1" applyFont="1" applyFill="1" applyBorder="1"/>
    <xf numFmtId="175" fontId="7" fillId="16" borderId="5" xfId="12" applyNumberFormat="1" applyFont="1" applyFill="1" applyBorder="1"/>
    <xf numFmtId="175" fontId="100" fillId="16" borderId="14" xfId="12" applyNumberFormat="1" applyFont="1" applyFill="1" applyBorder="1"/>
    <xf numFmtId="0" fontId="7" fillId="16" borderId="4" xfId="18" applyFont="1" applyFill="1" applyBorder="1"/>
    <xf numFmtId="179" fontId="7" fillId="0" borderId="0" xfId="18" applyNumberFormat="1" applyFont="1"/>
    <xf numFmtId="179" fontId="101" fillId="16" borderId="5" xfId="40" applyNumberFormat="1" applyFont="1" applyFill="1" applyBorder="1" applyAlignment="1">
      <alignment horizontal="right"/>
    </xf>
    <xf numFmtId="175" fontId="100" fillId="0" borderId="6" xfId="12" applyNumberFormat="1" applyFont="1" applyBorder="1"/>
    <xf numFmtId="175" fontId="100" fillId="0" borderId="11" xfId="12" applyNumberFormat="1" applyFont="1" applyBorder="1"/>
    <xf numFmtId="0" fontId="7" fillId="0" borderId="11" xfId="18" applyFont="1" applyBorder="1"/>
    <xf numFmtId="175" fontId="100" fillId="0" borderId="1" xfId="12" applyNumberFormat="1" applyFont="1" applyBorder="1"/>
    <xf numFmtId="0" fontId="7" fillId="0" borderId="0" xfId="18" applyFont="1" applyBorder="1"/>
    <xf numFmtId="175" fontId="101" fillId="0" borderId="0" xfId="12" applyNumberFormat="1" applyFont="1" applyBorder="1"/>
    <xf numFmtId="175" fontId="100" fillId="0" borderId="15" xfId="12" applyNumberFormat="1" applyFont="1" applyBorder="1" applyAlignment="1">
      <alignment horizontal="right"/>
    </xf>
    <xf numFmtId="0" fontId="26" fillId="12" borderId="16" xfId="0" applyFont="1" applyFill="1" applyBorder="1"/>
    <xf numFmtId="180" fontId="26" fillId="12" borderId="2" xfId="16" applyNumberFormat="1" applyFont="1" applyFill="1" applyBorder="1"/>
    <xf numFmtId="180" fontId="26" fillId="12" borderId="2" xfId="16" applyNumberFormat="1" applyFont="1" applyFill="1" applyBorder="1" applyAlignment="1"/>
    <xf numFmtId="168" fontId="26" fillId="12" borderId="2" xfId="16" applyNumberFormat="1" applyFont="1" applyFill="1" applyBorder="1" applyAlignment="1"/>
    <xf numFmtId="168" fontId="26" fillId="12" borderId="18" xfId="16" applyNumberFormat="1" applyFont="1" applyFill="1" applyBorder="1" applyAlignment="1"/>
    <xf numFmtId="0" fontId="0" fillId="0" borderId="0" xfId="0" applyBorder="1" applyAlignment="1">
      <alignment horizontal="center"/>
    </xf>
    <xf numFmtId="0" fontId="0" fillId="0" borderId="0" xfId="0" applyFill="1" applyBorder="1" applyAlignment="1">
      <alignment horizontal="center"/>
    </xf>
    <xf numFmtId="165" fontId="0" fillId="0" borderId="0" xfId="0" applyNumberFormat="1" applyAlignment="1">
      <alignment horizontal="center"/>
    </xf>
    <xf numFmtId="165" fontId="0" fillId="0" borderId="0" xfId="38" applyNumberFormat="1" applyFont="1" applyAlignment="1">
      <alignment horizontal="center"/>
    </xf>
    <xf numFmtId="0" fontId="109" fillId="12" borderId="0" xfId="0" applyFont="1" applyFill="1"/>
    <xf numFmtId="7" fontId="7" fillId="12" borderId="0" xfId="0" applyNumberFormat="1" applyFont="1" applyFill="1"/>
    <xf numFmtId="2" fontId="2" fillId="12" borderId="0" xfId="38" applyNumberFormat="1" applyFont="1" applyFill="1" applyBorder="1" applyAlignment="1">
      <alignment horizontal="right"/>
    </xf>
    <xf numFmtId="179" fontId="7" fillId="12" borderId="0" xfId="38" applyNumberFormat="1" applyFont="1" applyFill="1" applyBorder="1"/>
    <xf numFmtId="0" fontId="2" fillId="12" borderId="0" xfId="0" applyFont="1" applyFill="1"/>
    <xf numFmtId="37" fontId="2" fillId="12" borderId="2" xfId="30" applyFont="1" applyFill="1" applyBorder="1" applyAlignment="1" applyProtection="1">
      <alignment horizontal="left"/>
    </xf>
    <xf numFmtId="0" fontId="7" fillId="12" borderId="2" xfId="0" applyFont="1" applyFill="1" applyBorder="1"/>
    <xf numFmtId="37" fontId="26" fillId="12" borderId="0" xfId="30" applyFont="1" applyFill="1" applyAlignment="1" applyProtection="1">
      <alignment horizontal="left"/>
    </xf>
    <xf numFmtId="165" fontId="7" fillId="12" borderId="0" xfId="0" applyNumberFormat="1" applyFont="1" applyFill="1"/>
    <xf numFmtId="179" fontId="7" fillId="12" borderId="0" xfId="38" applyNumberFormat="1" applyFont="1" applyFill="1"/>
    <xf numFmtId="0" fontId="7" fillId="12" borderId="6" xfId="0" applyFont="1" applyFill="1" applyBorder="1"/>
    <xf numFmtId="201" fontId="7" fillId="12" borderId="0" xfId="16" applyNumberFormat="1" applyFont="1" applyFill="1" applyBorder="1" applyAlignment="1">
      <alignment horizontal="right"/>
    </xf>
    <xf numFmtId="201" fontId="7" fillId="12" borderId="0" xfId="0" applyNumberFormat="1" applyFont="1" applyFill="1"/>
    <xf numFmtId="5" fontId="7" fillId="12" borderId="0" xfId="0" applyNumberFormat="1" applyFont="1" applyFill="1"/>
    <xf numFmtId="0" fontId="2" fillId="12" borderId="0" xfId="0" applyFont="1" applyFill="1" applyAlignment="1">
      <alignment horizontal="centerContinuous"/>
    </xf>
    <xf numFmtId="0" fontId="7" fillId="12" borderId="0" xfId="0" applyFont="1" applyFill="1" applyAlignment="1">
      <alignment horizontal="centerContinuous"/>
    </xf>
    <xf numFmtId="237" fontId="7" fillId="12" borderId="0" xfId="38" applyNumberFormat="1" applyFont="1" applyFill="1" applyBorder="1" applyAlignment="1">
      <alignment horizontal="right"/>
    </xf>
    <xf numFmtId="37" fontId="7" fillId="12" borderId="0" xfId="0" applyNumberFormat="1" applyFont="1" applyFill="1" applyAlignment="1">
      <alignment horizontal="center"/>
    </xf>
    <xf numFmtId="37" fontId="7" fillId="12" borderId="0" xfId="0" applyNumberFormat="1" applyFont="1" applyFill="1" applyAlignment="1">
      <alignment horizontal="centerContinuous"/>
    </xf>
    <xf numFmtId="192" fontId="7" fillId="12" borderId="0" xfId="0" applyNumberFormat="1" applyFont="1" applyFill="1"/>
    <xf numFmtId="203" fontId="7" fillId="12" borderId="0" xfId="0" applyNumberFormat="1" applyFont="1" applyFill="1"/>
    <xf numFmtId="203" fontId="7" fillId="12" borderId="0" xfId="0" applyNumberFormat="1" applyFont="1" applyFill="1" applyBorder="1"/>
    <xf numFmtId="192" fontId="7" fillId="12" borderId="1" xfId="0" applyNumberFormat="1" applyFont="1" applyFill="1" applyBorder="1"/>
    <xf numFmtId="0" fontId="7" fillId="12" borderId="11" xfId="0" applyFont="1" applyFill="1" applyBorder="1"/>
    <xf numFmtId="192" fontId="2" fillId="12" borderId="4" xfId="0" applyNumberFormat="1" applyFont="1" applyFill="1" applyBorder="1" applyAlignment="1">
      <alignment horizontal="centerContinuous"/>
    </xf>
    <xf numFmtId="192" fontId="2" fillId="12" borderId="6" xfId="0" applyNumberFormat="1" applyFont="1" applyFill="1" applyBorder="1" applyAlignment="1">
      <alignment horizontal="center"/>
    </xf>
    <xf numFmtId="192" fontId="2" fillId="12" borderId="11" xfId="0" applyNumberFormat="1" applyFont="1" applyFill="1" applyBorder="1" applyAlignment="1">
      <alignment horizontal="center"/>
    </xf>
    <xf numFmtId="0" fontId="68" fillId="12" borderId="1" xfId="0" applyFont="1" applyFill="1" applyBorder="1"/>
    <xf numFmtId="0" fontId="68" fillId="12" borderId="0" xfId="0" applyFont="1" applyFill="1" applyBorder="1" applyAlignment="1">
      <alignment horizontal="center"/>
    </xf>
    <xf numFmtId="0" fontId="84" fillId="12" borderId="0" xfId="0" applyFont="1" applyFill="1" applyBorder="1" applyAlignment="1">
      <alignment horizontal="center"/>
    </xf>
    <xf numFmtId="0" fontId="68" fillId="12" borderId="1" xfId="0" applyFont="1" applyFill="1" applyBorder="1" applyAlignment="1">
      <alignment horizontal="center"/>
    </xf>
    <xf numFmtId="5" fontId="7" fillId="12" borderId="0" xfId="16" applyNumberFormat="1" applyFont="1" applyFill="1" applyBorder="1"/>
    <xf numFmtId="180" fontId="7" fillId="12" borderId="0" xfId="16" applyNumberFormat="1" applyFont="1" applyFill="1" applyBorder="1"/>
    <xf numFmtId="5" fontId="7" fillId="12" borderId="1" xfId="16" applyNumberFormat="1" applyFont="1" applyFill="1" applyBorder="1"/>
    <xf numFmtId="43" fontId="7" fillId="12" borderId="0" xfId="0" applyNumberFormat="1" applyFont="1" applyFill="1"/>
    <xf numFmtId="43" fontId="7" fillId="12" borderId="1" xfId="10" applyFont="1" applyFill="1" applyBorder="1"/>
    <xf numFmtId="43" fontId="7" fillId="12" borderId="0" xfId="10" applyFont="1" applyFill="1" applyBorder="1"/>
    <xf numFmtId="37" fontId="7" fillId="12" borderId="0" xfId="16" applyNumberFormat="1" applyFont="1" applyFill="1" applyBorder="1"/>
    <xf numFmtId="37" fontId="7" fillId="12" borderId="1" xfId="16" applyNumberFormat="1" applyFont="1" applyFill="1" applyBorder="1"/>
    <xf numFmtId="201" fontId="7" fillId="12" borderId="1" xfId="0" applyNumberFormat="1" applyFont="1" applyFill="1" applyBorder="1"/>
    <xf numFmtId="201" fontId="7" fillId="12" borderId="0" xfId="0" applyNumberFormat="1" applyFont="1" applyFill="1" applyBorder="1"/>
    <xf numFmtId="201" fontId="7" fillId="12" borderId="0" xfId="16" applyNumberFormat="1" applyFont="1" applyFill="1" applyBorder="1"/>
    <xf numFmtId="201" fontId="7" fillId="12" borderId="1" xfId="10" applyNumberFormat="1" applyFont="1" applyFill="1" applyBorder="1"/>
    <xf numFmtId="201" fontId="7" fillId="12" borderId="0" xfId="10" applyNumberFormat="1" applyFont="1" applyFill="1" applyBorder="1"/>
    <xf numFmtId="201" fontId="7" fillId="12" borderId="0" xfId="0" applyNumberFormat="1" applyFont="1" applyFill="1" applyBorder="1" applyAlignment="1">
      <alignment horizontal="right"/>
    </xf>
    <xf numFmtId="201" fontId="7" fillId="12" borderId="1" xfId="10" applyNumberFormat="1" applyFont="1" applyFill="1" applyBorder="1" applyAlignment="1">
      <alignment horizontal="right"/>
    </xf>
    <xf numFmtId="201" fontId="7" fillId="12" borderId="0" xfId="10" applyNumberFormat="1" applyFont="1" applyFill="1" applyBorder="1" applyAlignment="1">
      <alignment horizontal="right"/>
    </xf>
    <xf numFmtId="201" fontId="7" fillId="12" borderId="0" xfId="0" applyNumberFormat="1" applyFont="1" applyFill="1" applyAlignment="1">
      <alignment horizontal="right"/>
    </xf>
    <xf numFmtId="201" fontId="7" fillId="12" borderId="1" xfId="0" applyNumberFormat="1" applyFont="1" applyFill="1" applyBorder="1" applyAlignment="1">
      <alignment horizontal="left" indent="1"/>
    </xf>
    <xf numFmtId="201" fontId="23" fillId="12" borderId="0" xfId="10" applyNumberFormat="1" applyFont="1" applyFill="1" applyBorder="1"/>
    <xf numFmtId="180" fontId="7" fillId="12" borderId="0" xfId="0" applyNumberFormat="1" applyFont="1" applyFill="1" applyBorder="1"/>
    <xf numFmtId="43" fontId="72" fillId="12" borderId="1" xfId="10" applyFont="1" applyFill="1" applyBorder="1"/>
    <xf numFmtId="37" fontId="7" fillId="12" borderId="6" xfId="0" applyNumberFormat="1" applyFont="1" applyFill="1" applyBorder="1"/>
    <xf numFmtId="7" fontId="7" fillId="12" borderId="11" xfId="10" applyNumberFormat="1" applyFont="1" applyFill="1" applyBorder="1" applyAlignment="1">
      <alignment horizontal="right"/>
    </xf>
    <xf numFmtId="44" fontId="7" fillId="12" borderId="11" xfId="16" applyFont="1" applyFill="1" applyBorder="1"/>
    <xf numFmtId="7" fontId="7" fillId="12" borderId="17" xfId="10" applyNumberFormat="1" applyFont="1" applyFill="1" applyBorder="1" applyAlignment="1">
      <alignment horizontal="right"/>
    </xf>
    <xf numFmtId="7" fontId="7" fillId="12" borderId="6" xfId="10" applyNumberFormat="1" applyFont="1" applyFill="1" applyBorder="1" applyAlignment="1">
      <alignment horizontal="right"/>
    </xf>
    <xf numFmtId="37" fontId="7" fillId="12" borderId="16" xfId="0" applyNumberFormat="1" applyFont="1" applyFill="1" applyBorder="1"/>
    <xf numFmtId="7" fontId="7" fillId="12" borderId="2" xfId="10" applyNumberFormat="1" applyFont="1" applyFill="1" applyBorder="1" applyAlignment="1">
      <alignment horizontal="right"/>
    </xf>
    <xf numFmtId="44" fontId="7" fillId="12" borderId="2" xfId="16" applyFont="1" applyFill="1" applyBorder="1"/>
    <xf numFmtId="7" fontId="7" fillId="12" borderId="18" xfId="10" applyNumberFormat="1" applyFont="1" applyFill="1" applyBorder="1" applyAlignment="1">
      <alignment horizontal="right"/>
    </xf>
    <xf numFmtId="7" fontId="7" fillId="12" borderId="16" xfId="10" applyNumberFormat="1" applyFont="1" applyFill="1" applyBorder="1" applyAlignment="1">
      <alignment horizontal="right"/>
    </xf>
    <xf numFmtId="37" fontId="7" fillId="12" borderId="1" xfId="0" applyNumberFormat="1" applyFont="1" applyFill="1" applyBorder="1"/>
    <xf numFmtId="7" fontId="7" fillId="12" borderId="0" xfId="10" applyNumberFormat="1" applyFont="1" applyFill="1" applyBorder="1" applyAlignment="1">
      <alignment horizontal="right"/>
    </xf>
    <xf numFmtId="44" fontId="7" fillId="12" borderId="0" xfId="16" applyFont="1" applyFill="1" applyBorder="1"/>
    <xf numFmtId="7" fontId="7" fillId="12" borderId="1" xfId="10" applyNumberFormat="1" applyFont="1" applyFill="1" applyBorder="1" applyAlignment="1">
      <alignment horizontal="right"/>
    </xf>
    <xf numFmtId="7" fontId="7" fillId="12" borderId="1" xfId="0" applyNumberFormat="1" applyFont="1" applyFill="1" applyBorder="1"/>
    <xf numFmtId="174" fontId="7" fillId="12" borderId="0" xfId="10" applyNumberFormat="1" applyFont="1" applyFill="1" applyBorder="1"/>
    <xf numFmtId="174" fontId="7" fillId="12" borderId="1" xfId="10" applyNumberFormat="1" applyFont="1" applyFill="1" applyBorder="1"/>
    <xf numFmtId="174" fontId="7" fillId="12" borderId="0" xfId="10" applyNumberFormat="1" applyFont="1" applyFill="1" applyBorder="1" applyAlignment="1">
      <alignment horizontal="right"/>
    </xf>
    <xf numFmtId="174" fontId="72" fillId="12" borderId="0" xfId="0" applyNumberFormat="1" applyFont="1" applyFill="1" applyBorder="1" applyAlignment="1">
      <alignment horizontal="right"/>
    </xf>
    <xf numFmtId="37" fontId="7" fillId="12" borderId="0" xfId="16" applyNumberFormat="1" applyFont="1" applyFill="1" applyBorder="1" applyAlignment="1">
      <alignment horizontal="right"/>
    </xf>
    <xf numFmtId="174" fontId="7" fillId="12" borderId="1" xfId="10" applyNumberFormat="1" applyFont="1" applyFill="1" applyBorder="1" applyAlignment="1">
      <alignment horizontal="right"/>
    </xf>
    <xf numFmtId="37" fontId="7" fillId="12" borderId="1" xfId="16" applyNumberFormat="1" applyFont="1" applyFill="1" applyBorder="1" applyAlignment="1">
      <alignment horizontal="right"/>
    </xf>
    <xf numFmtId="0" fontId="7" fillId="12" borderId="1" xfId="0" applyFont="1" applyFill="1" applyBorder="1" applyAlignment="1">
      <alignment horizontal="left" indent="1"/>
    </xf>
    <xf numFmtId="195" fontId="7" fillId="12" borderId="0" xfId="0" applyNumberFormat="1" applyFont="1" applyFill="1" applyBorder="1"/>
    <xf numFmtId="204" fontId="7" fillId="12" borderId="0" xfId="0" applyNumberFormat="1" applyFont="1" applyFill="1" applyBorder="1"/>
    <xf numFmtId="204" fontId="7" fillId="12" borderId="0" xfId="38" applyNumberFormat="1" applyFont="1" applyFill="1" applyBorder="1" applyAlignment="1">
      <alignment horizontal="right"/>
    </xf>
    <xf numFmtId="204" fontId="7" fillId="12" borderId="0" xfId="38" applyNumberFormat="1" applyFont="1" applyFill="1" applyBorder="1"/>
    <xf numFmtId="204" fontId="7" fillId="12" borderId="1" xfId="38" applyNumberFormat="1" applyFont="1" applyFill="1" applyBorder="1" applyAlignment="1">
      <alignment horizontal="right"/>
    </xf>
    <xf numFmtId="204" fontId="7" fillId="12" borderId="15" xfId="38" applyNumberFormat="1" applyFont="1" applyFill="1" applyBorder="1" applyAlignment="1">
      <alignment horizontal="right"/>
    </xf>
    <xf numFmtId="204" fontId="7" fillId="12" borderId="0" xfId="0" applyNumberFormat="1" applyFont="1" applyFill="1"/>
    <xf numFmtId="10" fontId="7" fillId="12" borderId="0" xfId="0" applyNumberFormat="1" applyFont="1" applyFill="1" applyBorder="1"/>
    <xf numFmtId="204" fontId="23" fillId="12" borderId="0" xfId="38" applyNumberFormat="1" applyFont="1" applyFill="1" applyBorder="1" applyAlignment="1">
      <alignment horizontal="right"/>
    </xf>
    <xf numFmtId="0" fontId="7" fillId="12" borderId="16" xfId="0" applyFont="1" applyFill="1" applyBorder="1"/>
    <xf numFmtId="204" fontId="7" fillId="12" borderId="2" xfId="38" applyNumberFormat="1" applyFont="1" applyFill="1" applyBorder="1" applyAlignment="1">
      <alignment horizontal="right"/>
    </xf>
    <xf numFmtId="179" fontId="7" fillId="12" borderId="2" xfId="38" applyNumberFormat="1" applyFont="1" applyFill="1" applyBorder="1"/>
    <xf numFmtId="204" fontId="7" fillId="12" borderId="16" xfId="38" applyNumberFormat="1" applyFont="1" applyFill="1" applyBorder="1" applyAlignment="1">
      <alignment horizontal="right"/>
    </xf>
    <xf numFmtId="0" fontId="68" fillId="12" borderId="6" xfId="0" applyFont="1" applyFill="1" applyBorder="1"/>
    <xf numFmtId="0" fontId="68" fillId="12" borderId="11" xfId="0" applyFont="1" applyFill="1" applyBorder="1" applyAlignment="1">
      <alignment horizontal="center"/>
    </xf>
    <xf numFmtId="199" fontId="68" fillId="12" borderId="11" xfId="0" applyNumberFormat="1" applyFont="1" applyFill="1" applyBorder="1" applyAlignment="1">
      <alignment horizontal="center"/>
    </xf>
    <xf numFmtId="196" fontId="68" fillId="12" borderId="17" xfId="0" applyNumberFormat="1" applyFont="1" applyFill="1" applyBorder="1" applyAlignment="1">
      <alignment horizontal="center"/>
    </xf>
    <xf numFmtId="192" fontId="68" fillId="12" borderId="11" xfId="0" applyNumberFormat="1" applyFont="1" applyFill="1" applyBorder="1" applyAlignment="1">
      <alignment horizontal="center"/>
    </xf>
    <xf numFmtId="196" fontId="68" fillId="12" borderId="11" xfId="0" applyNumberFormat="1" applyFont="1" applyFill="1" applyBorder="1" applyAlignment="1">
      <alignment horizontal="center"/>
    </xf>
    <xf numFmtId="43" fontId="7" fillId="12" borderId="0" xfId="0" applyNumberFormat="1" applyFont="1" applyFill="1" applyBorder="1"/>
    <xf numFmtId="215" fontId="7" fillId="12" borderId="0" xfId="0" applyNumberFormat="1" applyFont="1" applyFill="1" applyBorder="1"/>
    <xf numFmtId="175" fontId="7" fillId="12" borderId="0" xfId="10" applyNumberFormat="1" applyFont="1" applyFill="1" applyBorder="1"/>
    <xf numFmtId="204" fontId="7" fillId="12" borderId="15" xfId="38" applyNumberFormat="1" applyFont="1" applyFill="1" applyBorder="1"/>
    <xf numFmtId="204" fontId="7" fillId="12" borderId="2" xfId="0" applyNumberFormat="1" applyFont="1" applyFill="1" applyBorder="1"/>
    <xf numFmtId="204" fontId="7" fillId="12" borderId="2" xfId="38" applyNumberFormat="1" applyFont="1" applyFill="1" applyBorder="1"/>
    <xf numFmtId="195" fontId="7" fillId="12" borderId="0" xfId="0" applyNumberFormat="1" applyFont="1" applyFill="1"/>
    <xf numFmtId="0" fontId="7" fillId="12" borderId="0" xfId="34" applyFont="1" applyFill="1"/>
    <xf numFmtId="175" fontId="7" fillId="12" borderId="0" xfId="0" applyNumberFormat="1" applyFont="1" applyFill="1"/>
    <xf numFmtId="175" fontId="7" fillId="12" borderId="0" xfId="0" applyNumberFormat="1" applyFont="1" applyFill="1" applyBorder="1"/>
    <xf numFmtId="164" fontId="7" fillId="12" borderId="0" xfId="0" applyNumberFormat="1" applyFont="1" applyFill="1"/>
    <xf numFmtId="164" fontId="7" fillId="12" borderId="0" xfId="0" applyNumberFormat="1" applyFont="1" applyFill="1" applyBorder="1"/>
    <xf numFmtId="0" fontId="7" fillId="12" borderId="0" xfId="0" applyFont="1" applyFill="1" applyAlignment="1">
      <alignment horizontal="right"/>
    </xf>
    <xf numFmtId="0" fontId="7" fillId="12" borderId="0" xfId="0" applyFont="1" applyFill="1" applyAlignment="1">
      <alignment horizontal="center"/>
    </xf>
    <xf numFmtId="0" fontId="2" fillId="12" borderId="2" xfId="0" applyFont="1" applyFill="1" applyBorder="1"/>
    <xf numFmtId="0" fontId="26" fillId="12" borderId="0" xfId="0" applyFont="1" applyFill="1"/>
    <xf numFmtId="37" fontId="2" fillId="13" borderId="16" xfId="0" applyNumberFormat="1" applyFont="1" applyFill="1" applyBorder="1"/>
    <xf numFmtId="0" fontId="2" fillId="13" borderId="2" xfId="0" applyFont="1" applyFill="1" applyBorder="1"/>
    <xf numFmtId="7" fontId="2" fillId="13" borderId="2" xfId="10" applyNumberFormat="1" applyFont="1" applyFill="1" applyBorder="1" applyAlignment="1">
      <alignment horizontal="right"/>
    </xf>
    <xf numFmtId="44" fontId="2" fillId="13" borderId="2" xfId="16" applyFont="1" applyFill="1" applyBorder="1"/>
    <xf numFmtId="7" fontId="2" fillId="13" borderId="18" xfId="10" applyNumberFormat="1" applyFont="1" applyFill="1" applyBorder="1" applyAlignment="1">
      <alignment horizontal="right"/>
    </xf>
    <xf numFmtId="7" fontId="2" fillId="13" borderId="16" xfId="10" applyNumberFormat="1" applyFont="1" applyFill="1" applyBorder="1" applyAlignment="1">
      <alignment horizontal="right"/>
    </xf>
    <xf numFmtId="179" fontId="0" fillId="0" borderId="0" xfId="38" applyNumberFormat="1" applyFont="1" applyBorder="1"/>
    <xf numFmtId="5" fontId="56" fillId="12" borderId="0" xfId="0" applyNumberFormat="1" applyFont="1" applyFill="1"/>
    <xf numFmtId="7" fontId="2" fillId="12" borderId="2" xfId="10" applyNumberFormat="1" applyFont="1" applyFill="1" applyBorder="1" applyAlignment="1">
      <alignment horizontal="right"/>
    </xf>
    <xf numFmtId="239" fontId="7" fillId="12" borderId="2" xfId="16" applyNumberFormat="1" applyFont="1" applyFill="1" applyBorder="1"/>
    <xf numFmtId="214" fontId="7" fillId="12" borderId="0" xfId="16" applyNumberFormat="1" applyFont="1" applyFill="1" applyBorder="1"/>
    <xf numFmtId="239" fontId="7" fillId="12" borderId="0" xfId="16" applyNumberFormat="1" applyFont="1" applyFill="1" applyBorder="1"/>
    <xf numFmtId="201" fontId="7" fillId="12" borderId="0" xfId="0" applyNumberFormat="1" applyFont="1" applyFill="1" applyAlignment="1">
      <alignment horizontal="centerContinuous"/>
    </xf>
    <xf numFmtId="179" fontId="7" fillId="12" borderId="0" xfId="38" applyNumberFormat="1" applyFont="1" applyFill="1" applyAlignment="1">
      <alignment horizontal="centerContinuous"/>
    </xf>
    <xf numFmtId="2" fontId="7" fillId="12" borderId="0" xfId="38" applyNumberFormat="1" applyFont="1" applyFill="1"/>
    <xf numFmtId="2" fontId="7" fillId="12" borderId="0" xfId="0" applyNumberFormat="1" applyFont="1" applyFill="1"/>
    <xf numFmtId="9" fontId="7" fillId="12" borderId="0" xfId="38" applyNumberFormat="1" applyFont="1" applyFill="1"/>
    <xf numFmtId="10" fontId="7" fillId="12" borderId="0" xfId="0" applyNumberFormat="1" applyFont="1" applyFill="1"/>
    <xf numFmtId="37" fontId="7" fillId="12" borderId="0" xfId="0" applyNumberFormat="1" applyFont="1" applyFill="1"/>
    <xf numFmtId="0" fontId="110" fillId="12" borderId="0" xfId="0" applyFont="1" applyFill="1" applyAlignment="1">
      <alignment horizontal="center"/>
    </xf>
    <xf numFmtId="168" fontId="7" fillId="12" borderId="0" xfId="0" applyNumberFormat="1" applyFont="1" applyFill="1"/>
    <xf numFmtId="9" fontId="7" fillId="12" borderId="0" xfId="0" applyNumberFormat="1" applyFont="1" applyFill="1"/>
    <xf numFmtId="0" fontId="111" fillId="14" borderId="2" xfId="0" applyFont="1" applyFill="1" applyBorder="1" applyAlignment="1">
      <alignment horizontal="center"/>
    </xf>
    <xf numFmtId="176" fontId="2" fillId="12" borderId="0" xfId="33" applyFont="1" applyFill="1"/>
    <xf numFmtId="7" fontId="7" fillId="12" borderId="2" xfId="0" applyNumberFormat="1" applyFont="1" applyFill="1" applyBorder="1"/>
    <xf numFmtId="176" fontId="7" fillId="12" borderId="0" xfId="29" applyFont="1" applyFill="1"/>
    <xf numFmtId="176" fontId="2" fillId="12" borderId="14" xfId="29" applyFont="1" applyFill="1" applyBorder="1" applyAlignment="1">
      <alignment horizontal="centerContinuous"/>
    </xf>
    <xf numFmtId="176" fontId="2" fillId="12" borderId="4" xfId="29" applyFont="1" applyFill="1" applyBorder="1" applyAlignment="1">
      <alignment horizontal="centerContinuous"/>
    </xf>
    <xf numFmtId="176" fontId="2" fillId="12" borderId="5" xfId="29" applyFont="1" applyFill="1" applyBorder="1" applyAlignment="1">
      <alignment horizontal="centerContinuous"/>
    </xf>
    <xf numFmtId="176" fontId="7" fillId="12" borderId="0" xfId="25" applyFont="1" applyFill="1"/>
    <xf numFmtId="37" fontId="2" fillId="12" borderId="4" xfId="29" applyNumberFormat="1" applyFont="1" applyFill="1" applyBorder="1" applyAlignment="1">
      <alignment horizontal="centerContinuous"/>
    </xf>
    <xf numFmtId="176" fontId="2" fillId="12" borderId="4" xfId="25" applyFont="1" applyFill="1" applyBorder="1" applyAlignment="1">
      <alignment horizontal="centerContinuous"/>
    </xf>
    <xf numFmtId="176" fontId="2" fillId="12" borderId="5" xfId="25" applyFont="1" applyFill="1" applyBorder="1" applyAlignment="1">
      <alignment horizontal="centerContinuous"/>
    </xf>
    <xf numFmtId="176" fontId="2" fillId="12" borderId="0" xfId="29" applyFont="1" applyFill="1"/>
    <xf numFmtId="176" fontId="2" fillId="12" borderId="2" xfId="29" applyFont="1" applyFill="1" applyBorder="1"/>
    <xf numFmtId="176" fontId="2" fillId="12" borderId="2" xfId="29" applyFont="1" applyFill="1" applyBorder="1" applyAlignment="1" applyProtection="1">
      <alignment horizontal="center"/>
    </xf>
    <xf numFmtId="176" fontId="2" fillId="12" borderId="0" xfId="29" applyFont="1" applyFill="1" applyAlignment="1" applyProtection="1">
      <alignment horizontal="center"/>
    </xf>
    <xf numFmtId="37" fontId="2" fillId="12" borderId="11" xfId="29" applyNumberFormat="1" applyFont="1" applyFill="1" applyBorder="1" applyAlignment="1" applyProtection="1">
      <alignment horizontal="centerContinuous"/>
    </xf>
    <xf numFmtId="176" fontId="51" fillId="12" borderId="0" xfId="29" applyFont="1" applyFill="1" applyBorder="1" applyAlignment="1">
      <alignment horizontal="centerContinuous"/>
    </xf>
    <xf numFmtId="176" fontId="2" fillId="12" borderId="2" xfId="29" applyFont="1" applyFill="1" applyBorder="1" applyAlignment="1" applyProtection="1">
      <alignment horizontal="centerContinuous" wrapText="1"/>
    </xf>
    <xf numFmtId="176" fontId="2" fillId="12" borderId="2" xfId="29" applyFont="1" applyFill="1" applyBorder="1" applyAlignment="1">
      <alignment horizontal="centerContinuous" wrapText="1"/>
    </xf>
    <xf numFmtId="37" fontId="2" fillId="12" borderId="2" xfId="31" applyFont="1" applyFill="1" applyBorder="1" applyAlignment="1">
      <alignment horizontal="center"/>
    </xf>
    <xf numFmtId="176" fontId="2" fillId="12" borderId="2" xfId="25" applyFont="1" applyFill="1" applyBorder="1"/>
    <xf numFmtId="176" fontId="2" fillId="12" borderId="0" xfId="25" applyFont="1" applyFill="1"/>
    <xf numFmtId="37" fontId="7" fillId="12" borderId="0" xfId="31" applyFont="1" applyFill="1"/>
    <xf numFmtId="176" fontId="2" fillId="12" borderId="2" xfId="29" applyFont="1" applyFill="1" applyBorder="1" applyAlignment="1" applyProtection="1">
      <alignment horizontal="centerContinuous"/>
    </xf>
    <xf numFmtId="176" fontId="2" fillId="12" borderId="2" xfId="29" applyFont="1" applyFill="1" applyBorder="1" applyAlignment="1">
      <alignment horizontal="centerContinuous"/>
    </xf>
    <xf numFmtId="176" fontId="2" fillId="12" borderId="0" xfId="29" applyFont="1" applyFill="1" applyBorder="1" applyAlignment="1"/>
    <xf numFmtId="37" fontId="2" fillId="12" borderId="0" xfId="29" applyNumberFormat="1" applyFont="1" applyFill="1" applyBorder="1" applyAlignment="1" applyProtection="1">
      <alignment horizontal="centerContinuous"/>
    </xf>
    <xf numFmtId="176" fontId="2" fillId="12" borderId="0" xfId="29" applyFont="1" applyFill="1" applyBorder="1" applyAlignment="1" applyProtection="1">
      <alignment horizontal="center"/>
    </xf>
    <xf numFmtId="176" fontId="2" fillId="12" borderId="0" xfId="25" applyFont="1" applyFill="1" applyAlignment="1">
      <alignment horizontal="center"/>
    </xf>
    <xf numFmtId="176" fontId="2" fillId="12" borderId="0" xfId="25" applyFont="1" applyFill="1" applyBorder="1" applyAlignment="1">
      <alignment horizontal="center"/>
    </xf>
    <xf numFmtId="176" fontId="2" fillId="12" borderId="0" xfId="29" applyFont="1" applyFill="1" applyAlignment="1" applyProtection="1">
      <alignment horizontal="left"/>
    </xf>
    <xf numFmtId="37" fontId="2" fillId="12" borderId="0" xfId="31" applyFont="1" applyFill="1" applyAlignment="1">
      <alignment horizontal="center"/>
    </xf>
    <xf numFmtId="0" fontId="2" fillId="12" borderId="0" xfId="0" applyFont="1" applyFill="1" applyAlignment="1">
      <alignment horizontal="center"/>
    </xf>
    <xf numFmtId="176" fontId="68" fillId="12" borderId="0" xfId="29" applyFont="1" applyFill="1"/>
    <xf numFmtId="176" fontId="2" fillId="12" borderId="4" xfId="29" applyFont="1" applyFill="1" applyBorder="1" applyAlignment="1" applyProtection="1">
      <alignment horizontal="center"/>
    </xf>
    <xf numFmtId="37" fontId="2" fillId="12" borderId="2" xfId="29" applyNumberFormat="1" applyFont="1" applyFill="1" applyBorder="1" applyAlignment="1" applyProtection="1">
      <alignment horizontal="centerContinuous"/>
    </xf>
    <xf numFmtId="176" fontId="2" fillId="12" borderId="2" xfId="25" applyFont="1" applyFill="1" applyBorder="1" applyAlignment="1">
      <alignment horizontal="center"/>
    </xf>
    <xf numFmtId="176" fontId="68" fillId="12" borderId="0" xfId="25" applyFont="1" applyFill="1"/>
    <xf numFmtId="0" fontId="2" fillId="12" borderId="0" xfId="0" applyFont="1" applyFill="1" applyAlignment="1">
      <alignment horizontal="right"/>
    </xf>
    <xf numFmtId="176" fontId="51" fillId="12" borderId="2" xfId="29" applyFont="1" applyFill="1" applyBorder="1" applyAlignment="1">
      <alignment horizontal="centerContinuous"/>
    </xf>
    <xf numFmtId="176" fontId="58" fillId="12" borderId="2" xfId="25" applyFont="1" applyFill="1" applyBorder="1"/>
    <xf numFmtId="176" fontId="7" fillId="12" borderId="2" xfId="25" applyFont="1" applyFill="1" applyBorder="1"/>
    <xf numFmtId="0" fontId="2" fillId="12" borderId="2" xfId="0" applyFont="1" applyFill="1" applyBorder="1" applyAlignment="1">
      <alignment horizontal="center"/>
    </xf>
    <xf numFmtId="0" fontId="68" fillId="12" borderId="0" xfId="0" applyFont="1" applyFill="1" applyAlignment="1">
      <alignment horizontal="left"/>
    </xf>
    <xf numFmtId="1" fontId="23" fillId="12" borderId="0" xfId="0" applyNumberFormat="1" applyFont="1" applyFill="1"/>
    <xf numFmtId="177" fontId="7" fillId="12" borderId="0" xfId="0" applyNumberFormat="1" applyFont="1" applyFill="1"/>
    <xf numFmtId="173" fontId="7" fillId="12" borderId="0" xfId="0" applyNumberFormat="1" applyFont="1" applyFill="1"/>
    <xf numFmtId="1" fontId="7" fillId="12" borderId="0" xfId="0" applyNumberFormat="1" applyFont="1" applyFill="1"/>
    <xf numFmtId="3" fontId="7" fillId="12" borderId="0" xfId="0" applyNumberFormat="1" applyFont="1" applyFill="1"/>
    <xf numFmtId="166" fontId="7" fillId="12" borderId="0" xfId="0" applyNumberFormat="1" applyFont="1" applyFill="1"/>
    <xf numFmtId="178" fontId="7" fillId="12" borderId="0" xfId="0" applyNumberFormat="1" applyFont="1" applyFill="1"/>
    <xf numFmtId="170" fontId="7" fillId="12" borderId="0" xfId="0" applyNumberFormat="1" applyFont="1" applyFill="1"/>
    <xf numFmtId="166" fontId="23" fillId="12" borderId="0" xfId="0" applyNumberFormat="1" applyFont="1" applyFill="1"/>
    <xf numFmtId="165" fontId="23" fillId="12" borderId="0" xfId="0" applyNumberFormat="1" applyFont="1" applyFill="1"/>
    <xf numFmtId="177" fontId="7" fillId="12" borderId="2" xfId="0" applyNumberFormat="1" applyFont="1" applyFill="1" applyBorder="1"/>
    <xf numFmtId="173" fontId="7" fillId="12" borderId="2" xfId="0" applyNumberFormat="1" applyFont="1" applyFill="1" applyBorder="1"/>
    <xf numFmtId="175" fontId="23" fillId="12" borderId="0" xfId="10" applyNumberFormat="1" applyFont="1" applyFill="1"/>
    <xf numFmtId="1" fontId="7" fillId="12" borderId="2" xfId="0" applyNumberFormat="1" applyFont="1" applyFill="1" applyBorder="1"/>
    <xf numFmtId="3" fontId="7" fillId="12" borderId="2" xfId="0" applyNumberFormat="1" applyFont="1" applyFill="1" applyBorder="1"/>
    <xf numFmtId="37" fontId="7" fillId="12" borderId="2" xfId="0" applyNumberFormat="1" applyFont="1" applyFill="1" applyBorder="1"/>
    <xf numFmtId="165" fontId="7" fillId="12" borderId="2" xfId="0" applyNumberFormat="1" applyFont="1" applyFill="1" applyBorder="1"/>
    <xf numFmtId="178" fontId="7" fillId="12" borderId="2" xfId="0" applyNumberFormat="1" applyFont="1" applyFill="1" applyBorder="1"/>
    <xf numFmtId="170" fontId="7" fillId="12" borderId="2" xfId="0" applyNumberFormat="1" applyFont="1" applyFill="1" applyBorder="1"/>
    <xf numFmtId="165" fontId="23" fillId="12" borderId="2" xfId="0" applyNumberFormat="1" applyFont="1" applyFill="1" applyBorder="1"/>
    <xf numFmtId="0" fontId="7" fillId="12" borderId="0" xfId="0" applyFont="1" applyFill="1" applyAlignment="1">
      <alignment horizontal="left" indent="1"/>
    </xf>
    <xf numFmtId="3" fontId="23" fillId="12" borderId="0" xfId="0" applyNumberFormat="1" applyFont="1" applyFill="1" applyAlignment="1">
      <alignment horizontal="right"/>
    </xf>
    <xf numFmtId="1" fontId="56" fillId="12" borderId="0" xfId="0" applyNumberFormat="1" applyFont="1" applyFill="1"/>
    <xf numFmtId="167" fontId="7" fillId="12" borderId="0" xfId="0" applyNumberFormat="1" applyFont="1" applyFill="1"/>
    <xf numFmtId="167" fontId="7" fillId="12" borderId="2" xfId="0" applyNumberFormat="1" applyFont="1" applyFill="1" applyBorder="1"/>
    <xf numFmtId="5" fontId="23" fillId="12" borderId="0" xfId="0" applyNumberFormat="1" applyFont="1" applyFill="1"/>
    <xf numFmtId="37" fontId="23" fillId="12" borderId="0" xfId="0" applyNumberFormat="1" applyFont="1" applyFill="1"/>
    <xf numFmtId="37" fontId="23" fillId="12" borderId="2" xfId="0" applyNumberFormat="1" applyFont="1" applyFill="1" applyBorder="1"/>
    <xf numFmtId="0" fontId="23" fillId="12" borderId="0" xfId="0" applyFont="1" applyFill="1"/>
    <xf numFmtId="177" fontId="23" fillId="12" borderId="0" xfId="0" applyNumberFormat="1" applyFont="1" applyFill="1" applyAlignment="1">
      <alignment horizontal="right"/>
    </xf>
    <xf numFmtId="0" fontId="23" fillId="12" borderId="2" xfId="0" applyFont="1" applyFill="1" applyBorder="1" applyAlignment="1">
      <alignment horizontal="right"/>
    </xf>
    <xf numFmtId="1" fontId="23" fillId="12" borderId="0" xfId="0" applyNumberFormat="1" applyFont="1" applyFill="1" applyAlignment="1">
      <alignment horizontal="right"/>
    </xf>
    <xf numFmtId="0" fontId="85" fillId="12" borderId="0" xfId="0" applyFont="1" applyFill="1"/>
    <xf numFmtId="175" fontId="85" fillId="12" borderId="0" xfId="0" applyNumberFormat="1" applyFont="1" applyFill="1"/>
    <xf numFmtId="166" fontId="7" fillId="12" borderId="0" xfId="0" applyNumberFormat="1" applyFont="1" applyFill="1" applyBorder="1"/>
    <xf numFmtId="166" fontId="7" fillId="12" borderId="2" xfId="0" applyNumberFormat="1" applyFont="1" applyFill="1" applyBorder="1"/>
    <xf numFmtId="175" fontId="7" fillId="12" borderId="0" xfId="10" applyNumberFormat="1" applyFont="1" applyFill="1"/>
    <xf numFmtId="175" fontId="56" fillId="12" borderId="0" xfId="10" applyNumberFormat="1" applyFont="1" applyFill="1"/>
    <xf numFmtId="43" fontId="7" fillId="12" borderId="0" xfId="10" applyFont="1" applyFill="1"/>
    <xf numFmtId="177" fontId="56" fillId="12" borderId="0" xfId="0" applyNumberFormat="1" applyFont="1" applyFill="1"/>
    <xf numFmtId="165" fontId="23" fillId="12" borderId="0" xfId="0" applyNumberFormat="1" applyFont="1" applyFill="1" applyBorder="1"/>
    <xf numFmtId="166" fontId="23" fillId="12" borderId="0" xfId="0" applyNumberFormat="1" applyFont="1" applyFill="1" applyBorder="1"/>
    <xf numFmtId="3" fontId="7" fillId="12" borderId="2" xfId="0" applyNumberFormat="1" applyFont="1" applyFill="1" applyBorder="1" applyAlignment="1">
      <alignment horizontal="right"/>
    </xf>
    <xf numFmtId="175" fontId="65" fillId="12" borderId="0" xfId="10" applyNumberFormat="1" applyFont="1" applyFill="1"/>
    <xf numFmtId="195" fontId="65" fillId="12" borderId="0" xfId="0" applyNumberFormat="1" applyFont="1" applyFill="1"/>
    <xf numFmtId="9" fontId="23" fillId="12" borderId="0" xfId="38" applyFont="1" applyFill="1"/>
    <xf numFmtId="37" fontId="65" fillId="12" borderId="0" xfId="0" applyNumberFormat="1" applyFont="1" applyFill="1"/>
    <xf numFmtId="37" fontId="26" fillId="12" borderId="0" xfId="31" applyFont="1" applyFill="1"/>
    <xf numFmtId="7" fontId="2" fillId="12" borderId="0" xfId="0" applyNumberFormat="1" applyFont="1" applyFill="1"/>
    <xf numFmtId="177" fontId="65" fillId="12" borderId="0" xfId="0" applyNumberFormat="1" applyFont="1" applyFill="1" applyBorder="1"/>
    <xf numFmtId="39" fontId="7" fillId="12" borderId="0" xfId="0" applyNumberFormat="1" applyFont="1" applyFill="1"/>
    <xf numFmtId="0" fontId="26" fillId="12" borderId="0" xfId="0" applyFont="1" applyFill="1" applyAlignment="1">
      <alignment horizontal="center"/>
    </xf>
    <xf numFmtId="7" fontId="7" fillId="12" borderId="0" xfId="0" applyNumberFormat="1" applyFont="1" applyFill="1" applyBorder="1"/>
    <xf numFmtId="176" fontId="2" fillId="12" borderId="12" xfId="33" applyFont="1" applyFill="1" applyBorder="1" applyAlignment="1">
      <alignment horizontal="centerContinuous"/>
    </xf>
    <xf numFmtId="176" fontId="7" fillId="12" borderId="12" xfId="33" applyFont="1" applyFill="1" applyBorder="1" applyAlignment="1">
      <alignment horizontal="centerContinuous"/>
    </xf>
    <xf numFmtId="176" fontId="7" fillId="12" borderId="19" xfId="33" applyFont="1" applyFill="1" applyBorder="1" applyAlignment="1">
      <alignment horizontal="centerContinuous"/>
    </xf>
    <xf numFmtId="181" fontId="7" fillId="12" borderId="0" xfId="10" applyNumberFormat="1" applyFont="1" applyFill="1"/>
    <xf numFmtId="192" fontId="2" fillId="12" borderId="2" xfId="0" applyNumberFormat="1" applyFont="1" applyFill="1" applyBorder="1" applyAlignment="1">
      <alignment horizontal="centerContinuous"/>
    </xf>
    <xf numFmtId="0" fontId="2" fillId="12" borderId="2" xfId="0" applyFont="1" applyFill="1" applyBorder="1" applyAlignment="1">
      <alignment horizontal="centerContinuous"/>
    </xf>
    <xf numFmtId="0" fontId="65" fillId="12" borderId="2" xfId="0" applyFont="1" applyFill="1" applyBorder="1" applyAlignment="1">
      <alignment horizontal="centerContinuous"/>
    </xf>
    <xf numFmtId="196" fontId="65" fillId="12" borderId="2" xfId="0" applyNumberFormat="1" applyFont="1" applyFill="1" applyBorder="1" applyAlignment="1">
      <alignment horizontal="centerContinuous"/>
    </xf>
    <xf numFmtId="0" fontId="65" fillId="12" borderId="0" xfId="0" applyFont="1" applyFill="1" applyBorder="1" applyAlignment="1">
      <alignment horizontal="centerContinuous"/>
    </xf>
    <xf numFmtId="37" fontId="54" fillId="12" borderId="0" xfId="0" applyNumberFormat="1" applyFont="1" applyFill="1"/>
    <xf numFmtId="37" fontId="68" fillId="12" borderId="0" xfId="30" applyFont="1" applyFill="1" applyAlignment="1" applyProtection="1">
      <alignment horizontal="center"/>
    </xf>
    <xf numFmtId="37" fontId="2" fillId="12" borderId="0" xfId="0" applyNumberFormat="1" applyFont="1" applyFill="1"/>
    <xf numFmtId="37" fontId="7" fillId="12" borderId="0" xfId="30" applyFont="1" applyFill="1" applyAlignment="1" applyProtection="1">
      <alignment horizontal="left"/>
    </xf>
    <xf numFmtId="5" fontId="7" fillId="12" borderId="0" xfId="0" applyNumberFormat="1" applyFont="1" applyFill="1" applyAlignment="1">
      <alignment horizontal="right"/>
    </xf>
    <xf numFmtId="177" fontId="26" fillId="12" borderId="0" xfId="0" applyNumberFormat="1" applyFont="1" applyFill="1" applyAlignment="1">
      <alignment horizontal="right"/>
    </xf>
    <xf numFmtId="209" fontId="26" fillId="12" borderId="0" xfId="0" applyNumberFormat="1" applyFont="1" applyFill="1" applyAlignment="1">
      <alignment horizontal="left"/>
    </xf>
    <xf numFmtId="209" fontId="7" fillId="12" borderId="0" xfId="0" applyNumberFormat="1" applyFont="1" applyFill="1"/>
    <xf numFmtId="37" fontId="7" fillId="12" borderId="0" xfId="0" applyNumberFormat="1" applyFont="1" applyFill="1" applyAlignment="1">
      <alignment horizontal="right"/>
    </xf>
    <xf numFmtId="37" fontId="56" fillId="12" borderId="0" xfId="0" applyNumberFormat="1" applyFont="1" applyFill="1" applyAlignment="1">
      <alignment horizontal="right"/>
    </xf>
    <xf numFmtId="195" fontId="7" fillId="12" borderId="0" xfId="0" applyNumberFormat="1" applyFont="1" applyFill="1" applyAlignment="1">
      <alignment horizontal="left"/>
    </xf>
    <xf numFmtId="37" fontId="7" fillId="12" borderId="2" xfId="0" applyNumberFormat="1" applyFont="1" applyFill="1" applyBorder="1" applyAlignment="1">
      <alignment horizontal="right"/>
    </xf>
    <xf numFmtId="37" fontId="7" fillId="12" borderId="0" xfId="30" applyFont="1" applyFill="1" applyBorder="1" applyAlignment="1" applyProtection="1">
      <alignment horizontal="left"/>
    </xf>
    <xf numFmtId="37" fontId="7" fillId="12" borderId="0" xfId="0" applyNumberFormat="1" applyFont="1" applyFill="1" applyBorder="1" applyAlignment="1">
      <alignment horizontal="right"/>
    </xf>
    <xf numFmtId="177" fontId="26" fillId="12" borderId="0" xfId="0" applyNumberFormat="1" applyFont="1" applyFill="1" applyBorder="1" applyAlignment="1">
      <alignment horizontal="right"/>
    </xf>
    <xf numFmtId="209" fontId="26" fillId="12" borderId="0" xfId="0" applyNumberFormat="1" applyFont="1" applyFill="1" applyBorder="1" applyAlignment="1">
      <alignment horizontal="left"/>
    </xf>
    <xf numFmtId="0" fontId="26" fillId="12" borderId="0" xfId="0" applyFont="1" applyFill="1" applyBorder="1" applyAlignment="1">
      <alignment horizontal="center"/>
    </xf>
    <xf numFmtId="37" fontId="77" fillId="12" borderId="0" xfId="0" applyNumberFormat="1" applyFont="1" applyFill="1" applyAlignment="1">
      <alignment horizontal="right"/>
    </xf>
    <xf numFmtId="177" fontId="87" fillId="12" borderId="0" xfId="0" applyNumberFormat="1" applyFont="1" applyFill="1" applyAlignment="1">
      <alignment horizontal="right"/>
    </xf>
    <xf numFmtId="209" fontId="87" fillId="12" borderId="0" xfId="0" applyNumberFormat="1" applyFont="1" applyFill="1" applyAlignment="1">
      <alignment horizontal="left"/>
    </xf>
    <xf numFmtId="0" fontId="2" fillId="12" borderId="0" xfId="0" applyFont="1" applyFill="1" applyBorder="1" applyAlignment="1">
      <alignment horizontal="left"/>
    </xf>
    <xf numFmtId="37" fontId="56" fillId="12" borderId="0" xfId="0" applyNumberFormat="1" applyFont="1" applyFill="1" applyBorder="1" applyAlignment="1">
      <alignment horizontal="right"/>
    </xf>
    <xf numFmtId="212" fontId="7" fillId="12" borderId="0" xfId="0" applyNumberFormat="1" applyFont="1" applyFill="1"/>
    <xf numFmtId="165" fontId="26" fillId="12" borderId="0" xfId="0" applyNumberFormat="1" applyFont="1" applyFill="1"/>
    <xf numFmtId="212" fontId="26" fillId="12" borderId="0" xfId="0" applyNumberFormat="1" applyFont="1" applyFill="1" applyAlignment="1">
      <alignment horizontal="left"/>
    </xf>
    <xf numFmtId="37" fontId="56" fillId="12" borderId="0" xfId="0" applyNumberFormat="1" applyFont="1" applyFill="1"/>
    <xf numFmtId="165" fontId="26" fillId="12" borderId="0" xfId="0" applyNumberFormat="1" applyFont="1" applyFill="1" applyBorder="1"/>
    <xf numFmtId="223" fontId="23" fillId="12" borderId="0" xfId="0" applyNumberFormat="1" applyFont="1" applyFill="1" applyBorder="1"/>
    <xf numFmtId="2" fontId="26" fillId="12" borderId="0" xfId="0" applyNumberFormat="1" applyFont="1" applyFill="1" applyAlignment="1">
      <alignment horizontal="left"/>
    </xf>
    <xf numFmtId="37" fontId="56" fillId="12" borderId="2" xfId="0" applyNumberFormat="1" applyFont="1" applyFill="1" applyBorder="1"/>
    <xf numFmtId="184" fontId="7" fillId="12" borderId="0" xfId="0" applyNumberFormat="1" applyFont="1" applyFill="1"/>
    <xf numFmtId="0" fontId="26" fillId="12" borderId="22" xfId="0" applyFont="1" applyFill="1" applyBorder="1" applyAlignment="1">
      <alignment horizontal="center"/>
    </xf>
    <xf numFmtId="0" fontId="26" fillId="12" borderId="9" xfId="0" applyFont="1" applyFill="1" applyBorder="1" applyAlignment="1">
      <alignment horizontal="center"/>
    </xf>
    <xf numFmtId="0" fontId="26" fillId="12" borderId="20" xfId="0" applyFont="1" applyFill="1" applyBorder="1" applyAlignment="1">
      <alignment horizontal="center"/>
    </xf>
    <xf numFmtId="0" fontId="26" fillId="12" borderId="23" xfId="0" applyFont="1" applyFill="1" applyBorder="1" applyAlignment="1">
      <alignment horizontal="center"/>
    </xf>
    <xf numFmtId="0" fontId="26" fillId="12" borderId="24" xfId="0" applyFont="1" applyFill="1" applyBorder="1" applyAlignment="1">
      <alignment horizontal="center"/>
    </xf>
    <xf numFmtId="212" fontId="26" fillId="12" borderId="23" xfId="0" applyNumberFormat="1" applyFont="1" applyFill="1" applyBorder="1" applyAlignment="1">
      <alignment horizontal="left"/>
    </xf>
    <xf numFmtId="37" fontId="56" fillId="12" borderId="0" xfId="0" applyNumberFormat="1" applyFont="1" applyFill="1" applyBorder="1" applyAlignment="1">
      <alignment horizontal="center"/>
    </xf>
    <xf numFmtId="37" fontId="7" fillId="12" borderId="0" xfId="0" applyNumberFormat="1" applyFont="1" applyFill="1" applyBorder="1" applyAlignment="1">
      <alignment horizontal="center"/>
    </xf>
    <xf numFmtId="195" fontId="7" fillId="12" borderId="0" xfId="0" applyNumberFormat="1" applyFont="1" applyFill="1" applyBorder="1" applyAlignment="1">
      <alignment horizontal="center"/>
    </xf>
    <xf numFmtId="165" fontId="26" fillId="12" borderId="0" xfId="0" applyNumberFormat="1" applyFont="1" applyFill="1" applyBorder="1" applyAlignment="1">
      <alignment horizontal="center"/>
    </xf>
    <xf numFmtId="1" fontId="26" fillId="12" borderId="24" xfId="0" applyNumberFormat="1" applyFont="1" applyFill="1" applyBorder="1" applyAlignment="1">
      <alignment horizontal="center"/>
    </xf>
    <xf numFmtId="9" fontId="7" fillId="12" borderId="0" xfId="38" applyFont="1" applyFill="1"/>
    <xf numFmtId="179" fontId="86" fillId="12" borderId="0" xfId="38" applyNumberFormat="1" applyFont="1" applyFill="1"/>
    <xf numFmtId="37" fontId="65" fillId="12" borderId="25" xfId="0" applyNumberFormat="1" applyFont="1" applyFill="1" applyBorder="1" applyAlignment="1">
      <alignment horizontal="center"/>
    </xf>
    <xf numFmtId="37" fontId="56" fillId="12" borderId="3" xfId="0" applyNumberFormat="1" applyFont="1" applyFill="1" applyBorder="1" applyAlignment="1">
      <alignment horizontal="center"/>
    </xf>
    <xf numFmtId="37" fontId="7" fillId="12" borderId="3" xfId="0" applyNumberFormat="1" applyFont="1" applyFill="1" applyBorder="1" applyAlignment="1">
      <alignment horizontal="center"/>
    </xf>
    <xf numFmtId="195" fontId="7" fillId="12" borderId="3" xfId="0" applyNumberFormat="1" applyFont="1" applyFill="1" applyBorder="1" applyAlignment="1">
      <alignment horizontal="center"/>
    </xf>
    <xf numFmtId="165" fontId="26" fillId="12" borderId="3" xfId="0" applyNumberFormat="1" applyFont="1" applyFill="1" applyBorder="1" applyAlignment="1">
      <alignment horizontal="center"/>
    </xf>
    <xf numFmtId="1" fontId="26" fillId="12" borderId="21" xfId="0" applyNumberFormat="1" applyFont="1" applyFill="1" applyBorder="1" applyAlignment="1">
      <alignment horizontal="center"/>
    </xf>
    <xf numFmtId="195" fontId="26" fillId="12" borderId="0" xfId="0" applyNumberFormat="1" applyFont="1" applyFill="1" applyAlignment="1">
      <alignment horizontal="center"/>
    </xf>
    <xf numFmtId="169" fontId="26" fillId="12" borderId="0" xfId="0" applyNumberFormat="1" applyFont="1" applyFill="1" applyBorder="1" applyAlignment="1">
      <alignment horizontal="right"/>
    </xf>
    <xf numFmtId="169" fontId="26" fillId="12" borderId="0" xfId="0" applyNumberFormat="1" applyFont="1" applyFill="1" applyBorder="1" applyAlignment="1">
      <alignment horizontal="left"/>
    </xf>
    <xf numFmtId="169" fontId="26" fillId="12" borderId="0" xfId="0" applyNumberFormat="1" applyFont="1" applyFill="1" applyAlignment="1">
      <alignment horizontal="right"/>
    </xf>
    <xf numFmtId="169" fontId="26" fillId="12" borderId="0" xfId="0" applyNumberFormat="1" applyFont="1" applyFill="1" applyAlignment="1">
      <alignment horizontal="left"/>
    </xf>
    <xf numFmtId="212" fontId="26" fillId="12" borderId="25" xfId="0" applyNumberFormat="1" applyFont="1" applyFill="1" applyBorder="1" applyAlignment="1">
      <alignment horizontal="left"/>
    </xf>
    <xf numFmtId="37" fontId="65" fillId="12" borderId="3" xfId="0" applyNumberFormat="1" applyFont="1" applyFill="1" applyBorder="1" applyAlignment="1">
      <alignment horizontal="center"/>
    </xf>
    <xf numFmtId="195" fontId="65" fillId="12" borderId="3" xfId="0" applyNumberFormat="1" applyFont="1" applyFill="1" applyBorder="1" applyAlignment="1">
      <alignment horizontal="center"/>
    </xf>
    <xf numFmtId="165" fontId="86" fillId="12" borderId="3" xfId="0" applyNumberFormat="1" applyFont="1" applyFill="1" applyBorder="1" applyAlignment="1">
      <alignment horizontal="center"/>
    </xf>
    <xf numFmtId="177" fontId="26" fillId="12" borderId="0" xfId="0" applyNumberFormat="1" applyFont="1" applyFill="1" applyAlignment="1">
      <alignment horizontal="center"/>
    </xf>
    <xf numFmtId="10" fontId="26" fillId="12" borderId="0" xfId="38" applyNumberFormat="1" applyFont="1" applyFill="1" applyAlignment="1">
      <alignment horizontal="left"/>
    </xf>
    <xf numFmtId="37" fontId="23" fillId="12" borderId="0" xfId="0" applyNumberFormat="1" applyFont="1" applyFill="1" applyBorder="1"/>
    <xf numFmtId="164" fontId="26" fillId="12" borderId="0" xfId="0" applyNumberFormat="1" applyFont="1" applyFill="1"/>
    <xf numFmtId="197" fontId="7" fillId="12" borderId="0" xfId="0" applyNumberFormat="1" applyFont="1" applyFill="1" applyAlignment="1">
      <alignment horizontal="left"/>
    </xf>
    <xf numFmtId="198" fontId="7" fillId="12" borderId="0" xfId="0" applyNumberFormat="1" applyFont="1" applyFill="1" applyAlignment="1">
      <alignment horizontal="left"/>
    </xf>
    <xf numFmtId="37" fontId="88" fillId="12" borderId="0" xfId="0" applyNumberFormat="1" applyFont="1" applyFill="1"/>
    <xf numFmtId="37" fontId="89" fillId="12" borderId="0" xfId="0" applyNumberFormat="1" applyFont="1" applyFill="1" applyAlignment="1">
      <alignment horizontal="centerContinuous"/>
    </xf>
    <xf numFmtId="5" fontId="58" fillId="12" borderId="0" xfId="0" applyNumberFormat="1" applyFont="1" applyFill="1"/>
    <xf numFmtId="37" fontId="58" fillId="12" borderId="0" xfId="0" applyNumberFormat="1" applyFont="1" applyFill="1"/>
    <xf numFmtId="37" fontId="58" fillId="12" borderId="2" xfId="0" applyNumberFormat="1" applyFont="1" applyFill="1" applyBorder="1"/>
    <xf numFmtId="169" fontId="26" fillId="12" borderId="0" xfId="0" quotePrefix="1" applyNumberFormat="1" applyFont="1" applyFill="1" applyBorder="1" applyAlignment="1">
      <alignment horizontal="left"/>
    </xf>
    <xf numFmtId="169" fontId="26" fillId="12" borderId="0" xfId="0" quotePrefix="1" applyNumberFormat="1" applyFont="1" applyFill="1" applyAlignment="1">
      <alignment horizontal="left"/>
    </xf>
    <xf numFmtId="171" fontId="26" fillId="12" borderId="0" xfId="0" applyNumberFormat="1" applyFont="1" applyFill="1" applyAlignment="1">
      <alignment horizontal="right"/>
    </xf>
    <xf numFmtId="0" fontId="7" fillId="12" borderId="0" xfId="0" applyFont="1" applyFill="1" applyBorder="1" applyAlignment="1">
      <alignment horizontal="centerContinuous"/>
    </xf>
    <xf numFmtId="0" fontId="7" fillId="12" borderId="0" xfId="0" applyFont="1" applyFill="1" applyBorder="1" applyAlignment="1">
      <alignment horizontal="center"/>
    </xf>
    <xf numFmtId="169" fontId="7" fillId="12" borderId="0" xfId="0" applyNumberFormat="1" applyFont="1" applyFill="1"/>
    <xf numFmtId="37" fontId="2" fillId="12" borderId="0" xfId="0" applyNumberFormat="1" applyFont="1" applyFill="1" applyBorder="1"/>
    <xf numFmtId="209" fontId="26" fillId="12" borderId="0" xfId="0" quotePrefix="1" applyNumberFormat="1" applyFont="1" applyFill="1" applyAlignment="1">
      <alignment horizontal="left"/>
    </xf>
    <xf numFmtId="213" fontId="69" fillId="12" borderId="0" xfId="0" applyNumberFormat="1" applyFont="1" applyFill="1" applyAlignment="1">
      <alignment horizontal="right"/>
    </xf>
    <xf numFmtId="172" fontId="7" fillId="12" borderId="0" xfId="0" applyNumberFormat="1" applyFont="1" applyFill="1"/>
    <xf numFmtId="238" fontId="7" fillId="12" borderId="0" xfId="0" applyNumberFormat="1" applyFont="1" applyFill="1"/>
    <xf numFmtId="165" fontId="56" fillId="12" borderId="0" xfId="10" applyNumberFormat="1" applyFont="1" applyFill="1" applyBorder="1" applyAlignment="1">
      <alignment horizontal="right"/>
    </xf>
    <xf numFmtId="0" fontId="56" fillId="12" borderId="0" xfId="0" applyFont="1" applyFill="1"/>
    <xf numFmtId="169" fontId="76" fillId="12" borderId="0" xfId="0" applyNumberFormat="1" applyFont="1" applyFill="1"/>
    <xf numFmtId="169" fontId="76" fillId="12" borderId="0" xfId="0" applyNumberFormat="1" applyFont="1" applyFill="1" applyAlignment="1">
      <alignment horizontal="right"/>
    </xf>
    <xf numFmtId="169" fontId="56" fillId="12" borderId="0" xfId="0" applyNumberFormat="1" applyFont="1" applyFill="1"/>
    <xf numFmtId="169" fontId="56" fillId="12" borderId="0" xfId="0" applyNumberFormat="1" applyFont="1" applyFill="1" applyAlignment="1">
      <alignment horizontal="right"/>
    </xf>
    <xf numFmtId="171" fontId="76" fillId="12" borderId="0" xfId="0" applyNumberFormat="1" applyFont="1" applyFill="1" applyAlignment="1">
      <alignment horizontal="right"/>
    </xf>
    <xf numFmtId="169" fontId="7" fillId="12" borderId="0" xfId="0" applyNumberFormat="1" applyFont="1" applyFill="1" applyAlignment="1">
      <alignment horizontal="right"/>
    </xf>
    <xf numFmtId="169" fontId="26" fillId="12" borderId="0" xfId="0" applyNumberFormat="1" applyFont="1" applyFill="1"/>
    <xf numFmtId="224" fontId="26" fillId="12" borderId="0" xfId="0" applyNumberFormat="1" applyFont="1" applyFill="1" applyAlignment="1">
      <alignment horizontal="right"/>
    </xf>
    <xf numFmtId="39" fontId="65" fillId="12" borderId="0" xfId="0" applyNumberFormat="1" applyFont="1" applyFill="1"/>
    <xf numFmtId="39" fontId="7" fillId="12" borderId="2" xfId="0" applyNumberFormat="1" applyFont="1" applyFill="1" applyBorder="1"/>
    <xf numFmtId="171" fontId="26" fillId="12" borderId="0" xfId="0" applyNumberFormat="1" applyFont="1" applyFill="1" applyBorder="1" applyAlignment="1">
      <alignment horizontal="right"/>
    </xf>
    <xf numFmtId="7" fontId="59" fillId="12" borderId="0" xfId="0" applyNumberFormat="1" applyFont="1" applyFill="1"/>
    <xf numFmtId="5" fontId="7" fillId="12" borderId="0" xfId="0" applyNumberFormat="1" applyFont="1" applyFill="1" applyBorder="1"/>
    <xf numFmtId="164" fontId="26" fillId="12" borderId="0" xfId="0" applyNumberFormat="1" applyFont="1" applyFill="1" applyBorder="1"/>
    <xf numFmtId="0" fontId="51" fillId="12" borderId="0" xfId="0" applyFont="1" applyFill="1"/>
    <xf numFmtId="37" fontId="56" fillId="12" borderId="0" xfId="10" applyNumberFormat="1" applyFont="1" applyFill="1" applyBorder="1" applyAlignment="1">
      <alignment horizontal="right"/>
    </xf>
    <xf numFmtId="37" fontId="56" fillId="12" borderId="2" xfId="10" applyNumberFormat="1" applyFont="1" applyFill="1" applyBorder="1" applyAlignment="1">
      <alignment horizontal="right"/>
    </xf>
    <xf numFmtId="165" fontId="59" fillId="12" borderId="2" xfId="10" applyNumberFormat="1" applyFont="1" applyFill="1" applyBorder="1" applyAlignment="1">
      <alignment horizontal="right"/>
    </xf>
    <xf numFmtId="37" fontId="56" fillId="12" borderId="0" xfId="10" applyNumberFormat="1" applyFont="1" applyFill="1"/>
    <xf numFmtId="165" fontId="7" fillId="12" borderId="0" xfId="10" applyNumberFormat="1" applyFont="1" applyFill="1"/>
    <xf numFmtId="224" fontId="7" fillId="12" borderId="0" xfId="0" applyNumberFormat="1" applyFont="1" applyFill="1"/>
    <xf numFmtId="0" fontId="69" fillId="12" borderId="0" xfId="0" applyFont="1" applyFill="1" applyAlignment="1">
      <alignment horizontal="center"/>
    </xf>
    <xf numFmtId="169" fontId="69" fillId="12" borderId="0" xfId="0" applyNumberFormat="1" applyFont="1" applyFill="1" applyAlignment="1">
      <alignment horizontal="center"/>
    </xf>
    <xf numFmtId="37" fontId="59" fillId="12" borderId="0" xfId="10" applyNumberFormat="1" applyFont="1" applyFill="1" applyBorder="1" applyAlignment="1">
      <alignment horizontal="right"/>
    </xf>
    <xf numFmtId="169" fontId="90" fillId="12" borderId="0" xfId="0" applyNumberFormat="1" applyFont="1" applyFill="1"/>
    <xf numFmtId="169" fontId="90" fillId="12" borderId="0" xfId="0" applyNumberFormat="1" applyFont="1" applyFill="1" applyAlignment="1">
      <alignment horizontal="right"/>
    </xf>
    <xf numFmtId="0" fontId="59" fillId="12" borderId="0" xfId="0" applyFont="1" applyFill="1"/>
    <xf numFmtId="169" fontId="59" fillId="12" borderId="0" xfId="0" applyNumberFormat="1" applyFont="1" applyFill="1"/>
    <xf numFmtId="169" fontId="59" fillId="12" borderId="0" xfId="0" applyNumberFormat="1" applyFont="1" applyFill="1" applyAlignment="1">
      <alignment horizontal="right"/>
    </xf>
    <xf numFmtId="184" fontId="77" fillId="12" borderId="0" xfId="0" applyNumberFormat="1" applyFont="1" applyFill="1" applyBorder="1" applyAlignment="1">
      <alignment horizontal="center"/>
    </xf>
    <xf numFmtId="169" fontId="90" fillId="12" borderId="0" xfId="0" applyNumberFormat="1" applyFont="1" applyFill="1" applyBorder="1"/>
    <xf numFmtId="169" fontId="90" fillId="12" borderId="0" xfId="0" applyNumberFormat="1" applyFont="1" applyFill="1" applyBorder="1" applyAlignment="1">
      <alignment horizontal="right"/>
    </xf>
    <xf numFmtId="0" fontId="59" fillId="12" borderId="0" xfId="0" applyFont="1" applyFill="1" applyBorder="1"/>
    <xf numFmtId="169" fontId="59" fillId="12" borderId="0" xfId="0" applyNumberFormat="1" applyFont="1" applyFill="1" applyBorder="1"/>
    <xf numFmtId="169" fontId="59" fillId="12" borderId="0" xfId="0" applyNumberFormat="1" applyFont="1" applyFill="1" applyBorder="1" applyAlignment="1">
      <alignment horizontal="right"/>
    </xf>
    <xf numFmtId="169" fontId="56" fillId="12" borderId="0" xfId="0" applyNumberFormat="1" applyFont="1" applyFill="1" applyBorder="1" applyAlignment="1">
      <alignment horizontal="right"/>
    </xf>
    <xf numFmtId="0" fontId="56" fillId="12" borderId="0" xfId="0" applyFont="1" applyFill="1" applyBorder="1"/>
    <xf numFmtId="169" fontId="56" fillId="12" borderId="0" xfId="0" applyNumberFormat="1" applyFont="1" applyFill="1" applyBorder="1"/>
    <xf numFmtId="37" fontId="59" fillId="12" borderId="0" xfId="10" applyNumberFormat="1" applyFont="1" applyFill="1" applyBorder="1"/>
    <xf numFmtId="37" fontId="59" fillId="12" borderId="0" xfId="10" applyNumberFormat="1" applyFont="1" applyFill="1"/>
    <xf numFmtId="171" fontId="90" fillId="12" borderId="0" xfId="0" applyNumberFormat="1" applyFont="1" applyFill="1" applyAlignment="1">
      <alignment horizontal="right"/>
    </xf>
    <xf numFmtId="169" fontId="26" fillId="12" borderId="0" xfId="0" applyNumberFormat="1" applyFont="1" applyFill="1" applyBorder="1"/>
    <xf numFmtId="169" fontId="7" fillId="12" borderId="0" xfId="0" applyNumberFormat="1" applyFont="1" applyFill="1" applyBorder="1"/>
    <xf numFmtId="169" fontId="7" fillId="12" borderId="0" xfId="0" applyNumberFormat="1" applyFont="1" applyFill="1" applyBorder="1" applyAlignment="1">
      <alignment horizontal="right"/>
    </xf>
    <xf numFmtId="165" fontId="7" fillId="12" borderId="0" xfId="10" applyNumberFormat="1" applyFont="1" applyFill="1" applyBorder="1" applyAlignment="1">
      <alignment horizontal="right"/>
    </xf>
    <xf numFmtId="165" fontId="2" fillId="12" borderId="0" xfId="10" applyNumberFormat="1" applyFont="1" applyFill="1" applyBorder="1" applyAlignment="1">
      <alignment horizontal="right"/>
    </xf>
    <xf numFmtId="165" fontId="7" fillId="12" borderId="2" xfId="10" applyNumberFormat="1" applyFont="1" applyFill="1" applyBorder="1" applyAlignment="1">
      <alignment horizontal="right"/>
    </xf>
    <xf numFmtId="37" fontId="56" fillId="12" borderId="0" xfId="10" applyNumberFormat="1" applyFont="1" applyFill="1" applyBorder="1"/>
    <xf numFmtId="165" fontId="56" fillId="12" borderId="0" xfId="10" applyNumberFormat="1" applyFont="1" applyFill="1"/>
    <xf numFmtId="165" fontId="91" fillId="12" borderId="0" xfId="10" applyNumberFormat="1" applyFont="1" applyFill="1"/>
    <xf numFmtId="37" fontId="100" fillId="12" borderId="0" xfId="0" applyNumberFormat="1" applyFont="1" applyFill="1" applyAlignment="1">
      <alignment horizontal="right"/>
    </xf>
    <xf numFmtId="0" fontId="7" fillId="12" borderId="14" xfId="0" applyFont="1" applyFill="1" applyBorder="1"/>
    <xf numFmtId="0" fontId="2" fillId="12" borderId="4" xfId="0" applyFont="1" applyFill="1" applyBorder="1" applyAlignment="1">
      <alignment horizontal="center"/>
    </xf>
    <xf numFmtId="0" fontId="7" fillId="12" borderId="4" xfId="0" applyFont="1" applyFill="1" applyBorder="1"/>
    <xf numFmtId="0" fontId="7" fillId="12" borderId="5" xfId="0" applyFont="1" applyFill="1" applyBorder="1"/>
    <xf numFmtId="199" fontId="2" fillId="12" borderId="2" xfId="0" applyNumberFormat="1" applyFont="1" applyFill="1" applyBorder="1" applyAlignment="1">
      <alignment horizontal="center"/>
    </xf>
    <xf numFmtId="196" fontId="2" fillId="12" borderId="2" xfId="0" applyNumberFormat="1" applyFont="1" applyFill="1" applyBorder="1" applyAlignment="1">
      <alignment horizontal="center"/>
    </xf>
    <xf numFmtId="0" fontId="2" fillId="12" borderId="14" xfId="0" applyFont="1" applyFill="1" applyBorder="1" applyAlignment="1">
      <alignment horizontal="center"/>
    </xf>
    <xf numFmtId="0" fontId="7" fillId="12" borderId="17" xfId="0" applyFont="1" applyFill="1" applyBorder="1"/>
    <xf numFmtId="5" fontId="7" fillId="12" borderId="0" xfId="33" applyNumberFormat="1" applyFont="1" applyFill="1" applyAlignment="1" applyProtection="1">
      <alignment horizontal="right"/>
    </xf>
    <xf numFmtId="5" fontId="65" fillId="12" borderId="0" xfId="33" applyNumberFormat="1" applyFont="1" applyFill="1" applyAlignment="1" applyProtection="1">
      <alignment horizontal="right"/>
    </xf>
    <xf numFmtId="165" fontId="7" fillId="12" borderId="1" xfId="0" applyNumberFormat="1" applyFont="1" applyFill="1" applyBorder="1"/>
    <xf numFmtId="0" fontId="7" fillId="12" borderId="15" xfId="0" applyFont="1" applyFill="1" applyBorder="1"/>
    <xf numFmtId="204" fontId="7" fillId="12" borderId="0" xfId="38" applyNumberFormat="1" applyFont="1" applyFill="1"/>
    <xf numFmtId="204" fontId="65" fillId="12" borderId="0" xfId="38" applyNumberFormat="1" applyFont="1" applyFill="1"/>
    <xf numFmtId="172" fontId="65" fillId="12" borderId="0" xfId="33" applyNumberFormat="1" applyFont="1" applyFill="1" applyAlignment="1" applyProtection="1">
      <alignment horizontal="right"/>
    </xf>
    <xf numFmtId="172" fontId="7" fillId="12" borderId="1" xfId="0" applyNumberFormat="1" applyFont="1" applyFill="1" applyBorder="1"/>
    <xf numFmtId="0" fontId="7" fillId="12" borderId="0" xfId="0" quotePrefix="1" applyFont="1" applyFill="1"/>
    <xf numFmtId="37" fontId="65" fillId="12" borderId="0" xfId="0" applyNumberFormat="1" applyFont="1" applyFill="1" applyAlignment="1" applyProtection="1">
      <alignment horizontal="right"/>
    </xf>
    <xf numFmtId="176" fontId="7" fillId="12" borderId="0" xfId="35" applyNumberFormat="1" applyFont="1" applyFill="1" applyAlignment="1" applyProtection="1">
      <alignment horizontal="left"/>
    </xf>
    <xf numFmtId="176" fontId="7" fillId="12" borderId="0" xfId="35" applyNumberFormat="1" applyFont="1" applyFill="1" applyAlignment="1" applyProtection="1">
      <alignment horizontal="left" indent="1"/>
    </xf>
    <xf numFmtId="176" fontId="7" fillId="12" borderId="0" xfId="35" applyFont="1" applyFill="1"/>
    <xf numFmtId="165" fontId="65" fillId="12" borderId="0" xfId="0" applyNumberFormat="1" applyFont="1" applyFill="1"/>
    <xf numFmtId="165" fontId="56" fillId="12" borderId="0" xfId="0" applyNumberFormat="1" applyFont="1" applyFill="1"/>
    <xf numFmtId="166" fontId="7" fillId="12" borderId="0" xfId="16" applyNumberFormat="1" applyFont="1" applyFill="1"/>
    <xf numFmtId="182" fontId="7" fillId="12" borderId="0" xfId="0" quotePrefix="1" applyNumberFormat="1" applyFont="1" applyFill="1" applyAlignment="1" applyProtection="1">
      <alignment horizontal="right"/>
    </xf>
    <xf numFmtId="182" fontId="65" fillId="12" borderId="0" xfId="0" quotePrefix="1" applyNumberFormat="1" applyFont="1" applyFill="1" applyBorder="1" applyAlignment="1" applyProtection="1">
      <alignment horizontal="right"/>
    </xf>
    <xf numFmtId="9" fontId="65" fillId="12" borderId="0" xfId="38" applyNumberFormat="1" applyFont="1" applyFill="1"/>
    <xf numFmtId="179" fontId="65" fillId="12" borderId="0" xfId="38" applyNumberFormat="1" applyFont="1" applyFill="1"/>
    <xf numFmtId="9" fontId="23" fillId="12" borderId="0" xfId="38" applyNumberFormat="1" applyFont="1" applyFill="1"/>
    <xf numFmtId="37" fontId="7" fillId="12" borderId="0" xfId="10" applyNumberFormat="1" applyFont="1" applyFill="1"/>
    <xf numFmtId="37" fontId="7" fillId="12" borderId="0" xfId="10" applyNumberFormat="1" applyFont="1" applyFill="1" applyAlignment="1">
      <alignment horizontal="right"/>
    </xf>
    <xf numFmtId="37" fontId="2" fillId="12" borderId="19" xfId="0" applyNumberFormat="1" applyFont="1" applyFill="1" applyBorder="1"/>
    <xf numFmtId="184" fontId="7" fillId="12" borderId="0" xfId="16" applyNumberFormat="1" applyFont="1" applyFill="1"/>
    <xf numFmtId="165" fontId="7" fillId="12" borderId="1" xfId="0" applyNumberFormat="1" applyFont="1" applyFill="1" applyBorder="1" applyAlignment="1">
      <alignment horizontal="right"/>
    </xf>
    <xf numFmtId="165" fontId="7" fillId="12" borderId="0" xfId="0" applyNumberFormat="1" applyFont="1" applyFill="1" applyBorder="1" applyAlignment="1">
      <alignment horizontal="right"/>
    </xf>
    <xf numFmtId="0" fontId="7" fillId="12" borderId="18" xfId="0" applyFont="1" applyFill="1" applyBorder="1"/>
    <xf numFmtId="37" fontId="2" fillId="12" borderId="0" xfId="30" applyFont="1" applyFill="1" applyBorder="1" applyAlignment="1" applyProtection="1">
      <alignment horizontal="left"/>
    </xf>
    <xf numFmtId="0" fontId="26" fillId="12" borderId="0" xfId="21" applyFont="1" applyFill="1" applyBorder="1"/>
    <xf numFmtId="192" fontId="2" fillId="12" borderId="0" xfId="0" applyNumberFormat="1" applyFont="1" applyFill="1" applyBorder="1" applyAlignment="1">
      <alignment horizontal="center"/>
    </xf>
    <xf numFmtId="192" fontId="2" fillId="12" borderId="2" xfId="0" applyNumberFormat="1" applyFont="1" applyFill="1" applyBorder="1" applyAlignment="1">
      <alignment horizontal="center"/>
    </xf>
    <xf numFmtId="203" fontId="2" fillId="12" borderId="2" xfId="0" applyNumberFormat="1" applyFont="1" applyFill="1" applyBorder="1" applyAlignment="1">
      <alignment horizontal="center"/>
    </xf>
    <xf numFmtId="5" fontId="7" fillId="12" borderId="0" xfId="10" applyNumberFormat="1" applyFont="1" applyFill="1" applyBorder="1"/>
    <xf numFmtId="5" fontId="7" fillId="12" borderId="0" xfId="10" applyNumberFormat="1" applyFont="1" applyFill="1"/>
    <xf numFmtId="0" fontId="7" fillId="12" borderId="0" xfId="0" applyFont="1" applyFill="1" applyBorder="1" applyAlignment="1">
      <alignment horizontal="left" indent="1"/>
    </xf>
    <xf numFmtId="204" fontId="7" fillId="12" borderId="0" xfId="0" applyNumberFormat="1" applyFont="1" applyFill="1" applyBorder="1" applyAlignment="1">
      <alignment horizontal="right"/>
    </xf>
    <xf numFmtId="179" fontId="7" fillId="12" borderId="0" xfId="0" applyNumberFormat="1" applyFont="1" applyFill="1" applyBorder="1"/>
    <xf numFmtId="179" fontId="65" fillId="12" borderId="0" xfId="0" applyNumberFormat="1" applyFont="1" applyFill="1" applyBorder="1"/>
    <xf numFmtId="37" fontId="26" fillId="12" borderId="0" xfId="0" applyNumberFormat="1" applyFont="1" applyFill="1" applyBorder="1" applyAlignment="1" applyProtection="1">
      <alignment horizontal="right"/>
    </xf>
    <xf numFmtId="37" fontId="2" fillId="12" borderId="0" xfId="16" applyNumberFormat="1" applyFont="1" applyFill="1" applyBorder="1"/>
    <xf numFmtId="2" fontId="65" fillId="12" borderId="0" xfId="0" applyNumberFormat="1" applyFont="1" applyFill="1" applyBorder="1"/>
    <xf numFmtId="195" fontId="7" fillId="12" borderId="0" xfId="16" applyNumberFormat="1" applyFont="1" applyFill="1" applyBorder="1"/>
    <xf numFmtId="195" fontId="7" fillId="12" borderId="0" xfId="16" applyNumberFormat="1" applyFont="1" applyFill="1"/>
    <xf numFmtId="195" fontId="65" fillId="12" borderId="0" xfId="16" applyNumberFormat="1" applyFont="1" applyFill="1"/>
    <xf numFmtId="204" fontId="7" fillId="12" borderId="0" xfId="0" applyNumberFormat="1" applyFont="1" applyFill="1" applyAlignment="1">
      <alignment horizontal="right"/>
    </xf>
    <xf numFmtId="179" fontId="7" fillId="12" borderId="0" xfId="0" applyNumberFormat="1" applyFont="1" applyFill="1"/>
    <xf numFmtId="37" fontId="26" fillId="12" borderId="0" xfId="0" applyNumberFormat="1" applyFont="1" applyFill="1" applyAlignment="1" applyProtection="1">
      <alignment horizontal="right"/>
    </xf>
    <xf numFmtId="37" fontId="7" fillId="12" borderId="0" xfId="16" applyNumberFormat="1" applyFont="1" applyFill="1"/>
    <xf numFmtId="5" fontId="65" fillId="12" borderId="0" xfId="0" applyNumberFormat="1" applyFont="1" applyFill="1" applyBorder="1" applyProtection="1"/>
    <xf numFmtId="5" fontId="77" fillId="12" borderId="0" xfId="0" applyNumberFormat="1" applyFont="1" applyFill="1" applyBorder="1" applyProtection="1"/>
    <xf numFmtId="0" fontId="2" fillId="12" borderId="0" xfId="0" applyFont="1" applyFill="1" applyBorder="1" applyAlignment="1">
      <alignment horizontal="left" indent="1"/>
    </xf>
    <xf numFmtId="195" fontId="2" fillId="12" borderId="0" xfId="0" applyNumberFormat="1" applyFont="1" applyFill="1" applyBorder="1" applyProtection="1"/>
    <xf numFmtId="195" fontId="2" fillId="12" borderId="8" xfId="0" applyNumberFormat="1" applyFont="1" applyFill="1" applyBorder="1" applyProtection="1"/>
    <xf numFmtId="0" fontId="7" fillId="12" borderId="0" xfId="0" applyFont="1" applyFill="1" applyBorder="1" applyAlignment="1">
      <alignment horizontal="left"/>
    </xf>
    <xf numFmtId="37" fontId="23" fillId="12" borderId="0" xfId="16" applyNumberFormat="1" applyFont="1" applyFill="1" applyBorder="1"/>
    <xf numFmtId="37" fontId="65" fillId="12" borderId="0" xfId="0" applyNumberFormat="1" applyFont="1" applyFill="1" applyAlignment="1">
      <alignment horizontal="right"/>
    </xf>
    <xf numFmtId="179" fontId="23" fillId="12" borderId="0" xfId="38" applyNumberFormat="1" applyFont="1" applyFill="1"/>
    <xf numFmtId="37" fontId="2" fillId="12" borderId="0" xfId="16" applyNumberFormat="1" applyFont="1" applyFill="1"/>
    <xf numFmtId="204" fontId="65" fillId="12" borderId="0" xfId="0" applyNumberFormat="1" applyFont="1" applyFill="1" applyAlignment="1">
      <alignment horizontal="right"/>
    </xf>
    <xf numFmtId="205" fontId="65" fillId="12" borderId="0" xfId="0" applyNumberFormat="1" applyFont="1" applyFill="1" applyBorder="1" applyAlignment="1" applyProtection="1">
      <alignment horizontal="right"/>
    </xf>
    <xf numFmtId="195" fontId="2" fillId="12" borderId="20" xfId="0" applyNumberFormat="1" applyFont="1" applyFill="1" applyBorder="1" applyProtection="1"/>
    <xf numFmtId="0" fontId="7" fillId="12" borderId="0" xfId="10" applyNumberFormat="1" applyFont="1" applyFill="1" applyBorder="1"/>
    <xf numFmtId="0" fontId="7" fillId="12" borderId="0" xfId="10" applyNumberFormat="1" applyFont="1" applyFill="1"/>
    <xf numFmtId="204" fontId="7" fillId="12" borderId="0" xfId="10" applyNumberFormat="1" applyFont="1" applyFill="1"/>
    <xf numFmtId="37" fontId="2" fillId="12" borderId="19" xfId="10" applyNumberFormat="1" applyFont="1" applyFill="1" applyBorder="1"/>
    <xf numFmtId="37" fontId="2" fillId="12" borderId="0" xfId="10" applyNumberFormat="1" applyFont="1" applyFill="1" applyBorder="1"/>
    <xf numFmtId="6" fontId="7" fillId="12" borderId="0" xfId="0" applyNumberFormat="1" applyFont="1" applyFill="1"/>
    <xf numFmtId="0" fontId="23" fillId="12" borderId="0" xfId="10" applyNumberFormat="1" applyFont="1" applyFill="1"/>
    <xf numFmtId="37" fontId="56" fillId="12" borderId="0" xfId="16" applyNumberFormat="1" applyFont="1" applyFill="1"/>
    <xf numFmtId="0" fontId="7" fillId="12" borderId="1" xfId="0" applyFont="1" applyFill="1" applyBorder="1" applyAlignment="1">
      <alignment horizontal="right"/>
    </xf>
    <xf numFmtId="37" fontId="7" fillId="12" borderId="0" xfId="10" applyNumberFormat="1" applyFont="1" applyFill="1" applyBorder="1"/>
    <xf numFmtId="39" fontId="7" fillId="12" borderId="0" xfId="10" applyNumberFormat="1" applyFont="1" applyFill="1"/>
    <xf numFmtId="43" fontId="7" fillId="12" borderId="0" xfId="10" applyFont="1" applyFill="1" applyBorder="1" applyAlignment="1">
      <alignment horizontal="center"/>
    </xf>
    <xf numFmtId="7" fontId="7" fillId="12" borderId="0" xfId="16" applyNumberFormat="1" applyFont="1" applyFill="1" applyBorder="1"/>
    <xf numFmtId="7" fontId="7" fillId="12" borderId="0" xfId="16" applyNumberFormat="1" applyFont="1" applyFill="1"/>
    <xf numFmtId="7" fontId="65" fillId="12" borderId="0" xfId="16" applyNumberFormat="1" applyFont="1" applyFill="1"/>
    <xf numFmtId="0" fontId="7" fillId="12" borderId="0" xfId="0" applyFont="1" applyFill="1" applyBorder="1" applyAlignment="1">
      <alignment horizontal="right"/>
    </xf>
    <xf numFmtId="7" fontId="26" fillId="12" borderId="0" xfId="0" applyNumberFormat="1" applyFont="1" applyFill="1" applyBorder="1" applyProtection="1"/>
    <xf numFmtId="7" fontId="78" fillId="12" borderId="0" xfId="0" applyNumberFormat="1" applyFont="1" applyFill="1" applyBorder="1" applyProtection="1"/>
    <xf numFmtId="7" fontId="56" fillId="12" borderId="0" xfId="16" applyNumberFormat="1" applyFont="1" applyFill="1"/>
    <xf numFmtId="174" fontId="7" fillId="12" borderId="0" xfId="10" applyNumberFormat="1" applyFont="1" applyFill="1"/>
    <xf numFmtId="174" fontId="65" fillId="12" borderId="0" xfId="10" applyNumberFormat="1" applyFont="1" applyFill="1"/>
    <xf numFmtId="165" fontId="7" fillId="12" borderId="16" xfId="0" applyNumberFormat="1" applyFont="1" applyFill="1" applyBorder="1"/>
    <xf numFmtId="184" fontId="77" fillId="12" borderId="12" xfId="0" applyNumberFormat="1" applyFont="1" applyFill="1" applyBorder="1"/>
    <xf numFmtId="184" fontId="77" fillId="12" borderId="0" xfId="0" applyNumberFormat="1" applyFont="1" applyFill="1" applyBorder="1"/>
    <xf numFmtId="0" fontId="7" fillId="12" borderId="0" xfId="34" applyFont="1" applyFill="1" applyBorder="1"/>
    <xf numFmtId="0" fontId="79" fillId="12" borderId="0" xfId="0" applyFont="1" applyFill="1"/>
    <xf numFmtId="7" fontId="2" fillId="12" borderId="19" xfId="0" applyNumberFormat="1" applyFont="1" applyFill="1" applyBorder="1" applyAlignment="1">
      <alignment horizontal="center" wrapText="1"/>
    </xf>
    <xf numFmtId="9" fontId="2" fillId="12" borderId="8" xfId="0" applyNumberFormat="1" applyFont="1" applyFill="1" applyBorder="1" applyAlignment="1">
      <alignment horizontal="center"/>
    </xf>
    <xf numFmtId="9" fontId="2" fillId="12" borderId="13" xfId="0" applyNumberFormat="1" applyFont="1" applyFill="1" applyBorder="1" applyAlignment="1">
      <alignment horizontal="center"/>
    </xf>
    <xf numFmtId="179" fontId="2" fillId="12" borderId="26" xfId="0" applyNumberFormat="1" applyFont="1" applyFill="1" applyBorder="1" applyAlignment="1">
      <alignment horizontal="center"/>
    </xf>
    <xf numFmtId="44" fontId="7" fillId="12" borderId="24" xfId="16" applyFont="1" applyFill="1" applyBorder="1"/>
    <xf numFmtId="236" fontId="7" fillId="12" borderId="0" xfId="16" applyNumberFormat="1" applyFont="1" applyFill="1" applyBorder="1"/>
    <xf numFmtId="236" fontId="7" fillId="12" borderId="24" xfId="16" applyNumberFormat="1" applyFont="1" applyFill="1" applyBorder="1"/>
    <xf numFmtId="179" fontId="2" fillId="12" borderId="28" xfId="0" applyNumberFormat="1" applyFont="1" applyFill="1" applyBorder="1" applyAlignment="1">
      <alignment horizontal="center"/>
    </xf>
    <xf numFmtId="44" fontId="7" fillId="12" borderId="3" xfId="16" applyFont="1" applyFill="1" applyBorder="1"/>
    <xf numFmtId="44" fontId="7" fillId="12" borderId="21" xfId="16" applyFont="1" applyFill="1" applyBorder="1"/>
    <xf numFmtId="236" fontId="7" fillId="12" borderId="3" xfId="16" applyNumberFormat="1" applyFont="1" applyFill="1" applyBorder="1"/>
    <xf numFmtId="236" fontId="7" fillId="12" borderId="21" xfId="16" applyNumberFormat="1" applyFont="1" applyFill="1" applyBorder="1"/>
    <xf numFmtId="44" fontId="7" fillId="12" borderId="0" xfId="16" applyNumberFormat="1" applyFont="1" applyFill="1"/>
    <xf numFmtId="196" fontId="99" fillId="14" borderId="0" xfId="0" applyNumberFormat="1" applyFont="1" applyFill="1" applyBorder="1" applyAlignment="1">
      <alignment horizontal="centerContinuous"/>
    </xf>
    <xf numFmtId="0" fontId="99" fillId="14" borderId="0" xfId="0" applyFont="1" applyFill="1" applyBorder="1" applyAlignment="1">
      <alignment horizontal="centerContinuous"/>
    </xf>
    <xf numFmtId="181" fontId="7" fillId="12" borderId="29" xfId="11" applyNumberFormat="1" applyFont="1" applyFill="1" applyBorder="1"/>
    <xf numFmtId="0" fontId="7" fillId="12" borderId="30" xfId="0" applyFont="1" applyFill="1" applyBorder="1"/>
    <xf numFmtId="179" fontId="7" fillId="12" borderId="31" xfId="40" applyNumberFormat="1" applyFont="1" applyFill="1" applyBorder="1"/>
    <xf numFmtId="0" fontId="7" fillId="12" borderId="32" xfId="0" applyFont="1" applyFill="1" applyBorder="1" applyAlignment="1">
      <alignment horizontal="centerContinuous"/>
    </xf>
    <xf numFmtId="181" fontId="2" fillId="12" borderId="31" xfId="0" applyNumberFormat="1" applyFont="1" applyFill="1" applyBorder="1" applyAlignment="1">
      <alignment horizontal="right"/>
    </xf>
    <xf numFmtId="0" fontId="2" fillId="12" borderId="32" xfId="0" applyFont="1" applyFill="1" applyBorder="1" applyAlignment="1">
      <alignment horizontal="right"/>
    </xf>
    <xf numFmtId="43" fontId="7" fillId="12" borderId="31" xfId="0" applyNumberFormat="1" applyFont="1" applyFill="1" applyBorder="1" applyAlignment="1">
      <alignment horizontal="right"/>
    </xf>
    <xf numFmtId="43" fontId="7" fillId="12" borderId="32" xfId="0" applyNumberFormat="1" applyFont="1" applyFill="1" applyBorder="1" applyAlignment="1">
      <alignment horizontal="right"/>
    </xf>
    <xf numFmtId="43" fontId="7" fillId="12" borderId="33" xfId="0" applyNumberFormat="1" applyFont="1" applyFill="1" applyBorder="1" applyAlignment="1">
      <alignment horizontal="right"/>
    </xf>
    <xf numFmtId="43" fontId="7" fillId="12" borderId="34" xfId="0" applyNumberFormat="1" applyFont="1" applyFill="1" applyBorder="1" applyAlignment="1">
      <alignment horizontal="right"/>
    </xf>
    <xf numFmtId="43" fontId="7" fillId="15" borderId="31" xfId="0" applyNumberFormat="1" applyFont="1" applyFill="1" applyBorder="1" applyAlignment="1">
      <alignment horizontal="right"/>
    </xf>
    <xf numFmtId="43" fontId="7" fillId="15" borderId="32" xfId="0" applyNumberFormat="1" applyFont="1" applyFill="1" applyBorder="1" applyAlignment="1">
      <alignment horizontal="right"/>
    </xf>
    <xf numFmtId="179" fontId="7" fillId="12" borderId="31" xfId="40" applyNumberFormat="1" applyFont="1" applyFill="1" applyBorder="1" applyAlignment="1">
      <alignment horizontal="right"/>
    </xf>
    <xf numFmtId="0" fontId="7" fillId="12" borderId="32" xfId="0" applyFont="1" applyFill="1" applyBorder="1" applyAlignment="1">
      <alignment horizontal="right"/>
    </xf>
    <xf numFmtId="0" fontId="7" fillId="12" borderId="31" xfId="0" applyFont="1" applyFill="1" applyBorder="1" applyAlignment="1">
      <alignment horizontal="right"/>
    </xf>
    <xf numFmtId="0" fontId="0" fillId="12" borderId="31" xfId="0" applyFill="1" applyBorder="1"/>
    <xf numFmtId="0" fontId="0" fillId="12" borderId="32" xfId="0" applyFill="1" applyBorder="1"/>
    <xf numFmtId="37" fontId="2" fillId="12" borderId="31" xfId="0" applyNumberFormat="1" applyFont="1" applyFill="1" applyBorder="1" applyAlignment="1">
      <alignment horizontal="right"/>
    </xf>
    <xf numFmtId="0" fontId="2" fillId="12" borderId="31" xfId="0" applyFont="1" applyFill="1" applyBorder="1" applyAlignment="1">
      <alignment horizontal="right"/>
    </xf>
    <xf numFmtId="165" fontId="7" fillId="12" borderId="35" xfId="0" applyNumberFormat="1" applyFont="1" applyFill="1" applyBorder="1"/>
    <xf numFmtId="165" fontId="7" fillId="12" borderId="36" xfId="0" applyNumberFormat="1" applyFont="1" applyFill="1" applyBorder="1"/>
    <xf numFmtId="179" fontId="7" fillId="12" borderId="31" xfId="0" applyNumberFormat="1" applyFont="1" applyFill="1" applyBorder="1" applyAlignment="1">
      <alignment horizontal="right"/>
    </xf>
    <xf numFmtId="179" fontId="7" fillId="12" borderId="32" xfId="0" applyNumberFormat="1" applyFont="1" applyFill="1" applyBorder="1" applyAlignment="1">
      <alignment horizontal="right"/>
    </xf>
    <xf numFmtId="195" fontId="23" fillId="12" borderId="0" xfId="16" applyNumberFormat="1" applyFont="1" applyFill="1"/>
    <xf numFmtId="43" fontId="2" fillId="12" borderId="0" xfId="16" applyNumberFormat="1" applyFont="1" applyFill="1"/>
    <xf numFmtId="199" fontId="68" fillId="12" borderId="0" xfId="0" applyNumberFormat="1" applyFont="1" applyFill="1" applyAlignment="1">
      <alignment horizontal="center"/>
    </xf>
    <xf numFmtId="196" fontId="68" fillId="12" borderId="0" xfId="0" applyNumberFormat="1" applyFont="1" applyFill="1" applyAlignment="1">
      <alignment horizontal="center"/>
    </xf>
    <xf numFmtId="0" fontId="68" fillId="12" borderId="0" xfId="0" applyFont="1" applyFill="1"/>
    <xf numFmtId="5" fontId="7" fillId="12" borderId="0" xfId="16" applyNumberFormat="1" applyFont="1" applyFill="1"/>
    <xf numFmtId="5" fontId="23" fillId="12" borderId="0" xfId="16" applyNumberFormat="1" applyFont="1" applyFill="1"/>
    <xf numFmtId="37" fontId="65" fillId="12" borderId="0" xfId="16" applyNumberFormat="1" applyFont="1" applyFill="1"/>
    <xf numFmtId="0" fontId="7" fillId="12" borderId="0" xfId="0" applyFont="1" applyFill="1" applyAlignment="1"/>
    <xf numFmtId="200" fontId="56" fillId="12" borderId="0" xfId="16" applyNumberFormat="1" applyFont="1" applyFill="1"/>
    <xf numFmtId="0" fontId="65" fillId="12" borderId="0" xfId="0" applyFont="1" applyFill="1"/>
    <xf numFmtId="37" fontId="56" fillId="12" borderId="2" xfId="16" applyNumberFormat="1" applyFont="1" applyFill="1" applyBorder="1"/>
    <xf numFmtId="37" fontId="65" fillId="12" borderId="0" xfId="16" applyNumberFormat="1" applyFont="1" applyFill="1" applyBorder="1"/>
    <xf numFmtId="5" fontId="56" fillId="12" borderId="0" xfId="16" applyNumberFormat="1" applyFont="1" applyFill="1"/>
    <xf numFmtId="5" fontId="65" fillId="12" borderId="0" xfId="16" applyNumberFormat="1" applyFont="1" applyFill="1"/>
    <xf numFmtId="200" fontId="23" fillId="12" borderId="0" xfId="16" applyNumberFormat="1" applyFont="1" applyFill="1"/>
    <xf numFmtId="5" fontId="7" fillId="12" borderId="4" xfId="16" applyNumberFormat="1" applyFont="1" applyFill="1" applyBorder="1"/>
    <xf numFmtId="174" fontId="23" fillId="12" borderId="0" xfId="0" applyNumberFormat="1" applyFont="1" applyFill="1"/>
    <xf numFmtId="174" fontId="56" fillId="12" borderId="0" xfId="10" applyNumberFormat="1" applyFont="1" applyFill="1"/>
    <xf numFmtId="200" fontId="56" fillId="12" borderId="2" xfId="16" applyNumberFormat="1" applyFont="1" applyFill="1" applyBorder="1"/>
    <xf numFmtId="200" fontId="23" fillId="12" borderId="2" xfId="16" applyNumberFormat="1" applyFont="1" applyFill="1" applyBorder="1"/>
    <xf numFmtId="200" fontId="23" fillId="12" borderId="0" xfId="16" applyNumberFormat="1" applyFont="1" applyFill="1" applyBorder="1"/>
    <xf numFmtId="180" fontId="23" fillId="12" borderId="0" xfId="0" applyNumberFormat="1" applyFont="1" applyFill="1"/>
    <xf numFmtId="37" fontId="7" fillId="12" borderId="2" xfId="16" applyNumberFormat="1" applyFont="1" applyFill="1" applyBorder="1"/>
    <xf numFmtId="0" fontId="72" fillId="12" borderId="0" xfId="0" applyFont="1" applyFill="1"/>
    <xf numFmtId="0" fontId="26" fillId="12" borderId="0" xfId="0" applyFont="1" applyFill="1" applyAlignment="1">
      <alignment horizontal="left"/>
    </xf>
    <xf numFmtId="0" fontId="7" fillId="12" borderId="0" xfId="0" applyFont="1" applyFill="1" applyAlignment="1">
      <alignment horizontal="left"/>
    </xf>
    <xf numFmtId="176" fontId="7" fillId="12" borderId="0" xfId="0" applyNumberFormat="1" applyFont="1" applyFill="1" applyAlignment="1" applyProtection="1">
      <alignment horizontal="left"/>
    </xf>
    <xf numFmtId="176" fontId="26" fillId="12" borderId="0" xfId="0" applyNumberFormat="1" applyFont="1" applyFill="1" applyAlignment="1" applyProtection="1">
      <alignment horizontal="left"/>
    </xf>
    <xf numFmtId="9" fontId="26" fillId="12" borderId="0" xfId="38" applyFont="1" applyFill="1"/>
    <xf numFmtId="206" fontId="7" fillId="12" borderId="0" xfId="0" applyNumberFormat="1" applyFont="1" applyFill="1"/>
    <xf numFmtId="38" fontId="7" fillId="12" borderId="0" xfId="0" applyNumberFormat="1" applyFont="1" applyFill="1"/>
    <xf numFmtId="38" fontId="7" fillId="12" borderId="0" xfId="0" applyNumberFormat="1" applyFont="1" applyFill="1" applyBorder="1"/>
    <xf numFmtId="38" fontId="7" fillId="12" borderId="0" xfId="0" quotePrefix="1" applyNumberFormat="1" applyFont="1" applyFill="1" applyBorder="1"/>
    <xf numFmtId="9" fontId="65" fillId="12" borderId="0" xfId="0" applyNumberFormat="1" applyFont="1" applyFill="1"/>
    <xf numFmtId="0" fontId="23" fillId="12" borderId="0" xfId="0" applyFont="1" applyFill="1" applyAlignment="1">
      <alignment horizontal="right"/>
    </xf>
    <xf numFmtId="195" fontId="7" fillId="12" borderId="0" xfId="0" applyNumberFormat="1" applyFont="1" applyFill="1" applyAlignment="1">
      <alignment horizontal="right"/>
    </xf>
    <xf numFmtId="0" fontId="68" fillId="12" borderId="0" xfId="0" applyFont="1" applyFill="1" applyAlignment="1">
      <alignment horizontal="centerContinuous"/>
    </xf>
    <xf numFmtId="175" fontId="2" fillId="12" borderId="0" xfId="0" applyNumberFormat="1" applyFont="1" applyFill="1" applyAlignment="1">
      <alignment horizontal="centerContinuous"/>
    </xf>
    <xf numFmtId="174" fontId="26" fillId="12" borderId="0" xfId="10" applyNumberFormat="1" applyFont="1" applyFill="1" applyAlignment="1">
      <alignment horizontal="right"/>
    </xf>
    <xf numFmtId="209" fontId="7" fillId="12" borderId="0" xfId="10" applyNumberFormat="1" applyFont="1" applyFill="1" applyAlignment="1">
      <alignment horizontal="left"/>
    </xf>
    <xf numFmtId="174" fontId="72" fillId="12" borderId="0" xfId="0" applyNumberFormat="1" applyFont="1" applyFill="1"/>
    <xf numFmtId="175" fontId="2" fillId="12" borderId="0" xfId="10" applyNumberFormat="1" applyFont="1" applyFill="1"/>
    <xf numFmtId="175" fontId="7" fillId="12" borderId="0" xfId="38" applyNumberFormat="1" applyFont="1" applyFill="1"/>
    <xf numFmtId="0" fontId="56" fillId="12" borderId="0" xfId="0" applyFont="1" applyFill="1" applyAlignment="1">
      <alignment horizontal="centerContinuous"/>
    </xf>
    <xf numFmtId="175" fontId="77" fillId="12" borderId="0" xfId="0" applyNumberFormat="1" applyFont="1" applyFill="1" applyAlignment="1">
      <alignment horizontal="centerContinuous"/>
    </xf>
    <xf numFmtId="175" fontId="56" fillId="12" borderId="0" xfId="0" applyNumberFormat="1" applyFont="1" applyFill="1" applyAlignment="1">
      <alignment horizontal="centerContinuous"/>
    </xf>
    <xf numFmtId="175" fontId="2" fillId="12" borderId="0" xfId="0" applyNumberFormat="1" applyFont="1" applyFill="1"/>
    <xf numFmtId="175" fontId="7" fillId="12" borderId="0" xfId="10" applyNumberFormat="1" applyFont="1" applyFill="1" applyAlignment="1">
      <alignment horizontal="right"/>
    </xf>
    <xf numFmtId="195" fontId="7" fillId="12" borderId="0" xfId="10" applyNumberFormat="1" applyFont="1" applyFill="1" applyAlignment="1">
      <alignment horizontal="right"/>
    </xf>
    <xf numFmtId="175" fontId="56" fillId="12" borderId="0" xfId="10" applyNumberFormat="1" applyFont="1" applyFill="1" applyAlignment="1">
      <alignment horizontal="right"/>
    </xf>
    <xf numFmtId="174" fontId="69" fillId="12" borderId="0" xfId="10" applyNumberFormat="1" applyFont="1" applyFill="1" applyAlignment="1">
      <alignment horizontal="right"/>
    </xf>
    <xf numFmtId="164" fontId="26" fillId="12" borderId="0" xfId="28" applyFont="1" applyFill="1" applyBorder="1" applyAlignment="1">
      <alignment horizontal="left"/>
    </xf>
    <xf numFmtId="37" fontId="7" fillId="12" borderId="0" xfId="36" applyFont="1" applyFill="1"/>
    <xf numFmtId="37" fontId="7" fillId="12" borderId="2" xfId="36" applyFont="1" applyFill="1" applyBorder="1"/>
    <xf numFmtId="37" fontId="7" fillId="12" borderId="2" xfId="36" applyFont="1" applyFill="1" applyBorder="1" applyAlignment="1">
      <alignment horizontal="center"/>
    </xf>
    <xf numFmtId="37" fontId="2" fillId="12" borderId="2" xfId="36" applyFont="1" applyFill="1" applyBorder="1" applyAlignment="1">
      <alignment horizontal="center"/>
    </xf>
    <xf numFmtId="37" fontId="2" fillId="12" borderId="0" xfId="36" applyFont="1" applyFill="1" applyAlignment="1">
      <alignment horizontal="center"/>
    </xf>
    <xf numFmtId="37" fontId="2" fillId="12" borderId="0" xfId="36" applyFont="1" applyFill="1" applyAlignment="1">
      <alignment horizontal="centerContinuous"/>
    </xf>
    <xf numFmtId="37" fontId="2" fillId="12" borderId="0" xfId="36" applyFont="1" applyFill="1"/>
    <xf numFmtId="37" fontId="2" fillId="12" borderId="2" xfId="36" applyFont="1" applyFill="1" applyBorder="1"/>
    <xf numFmtId="37" fontId="2" fillId="12" borderId="2" xfId="36" applyFont="1" applyFill="1" applyBorder="1" applyAlignment="1" applyProtection="1">
      <alignment horizontal="center"/>
    </xf>
    <xf numFmtId="37" fontId="2" fillId="12" borderId="2" xfId="36" applyFont="1" applyFill="1" applyBorder="1" applyAlignment="1">
      <alignment horizontal="centerContinuous"/>
    </xf>
    <xf numFmtId="37" fontId="2" fillId="12" borderId="0" xfId="36" applyFont="1" applyFill="1" applyAlignment="1" applyProtection="1">
      <alignment horizontal="center"/>
    </xf>
    <xf numFmtId="37" fontId="2" fillId="12" borderId="0" xfId="36" applyFont="1" applyFill="1" applyBorder="1" applyAlignment="1">
      <alignment horizontal="centerContinuous"/>
    </xf>
    <xf numFmtId="181" fontId="7" fillId="12" borderId="0" xfId="10" applyNumberFormat="1" applyFont="1" applyFill="1" applyBorder="1"/>
    <xf numFmtId="192" fontId="68" fillId="12" borderId="0" xfId="0" applyNumberFormat="1" applyFont="1" applyFill="1"/>
    <xf numFmtId="178" fontId="7" fillId="12" borderId="0" xfId="0" applyNumberFormat="1" applyFont="1" applyFill="1" applyBorder="1"/>
    <xf numFmtId="178" fontId="7" fillId="12" borderId="0" xfId="0" applyNumberFormat="1" applyFont="1" applyFill="1" applyAlignment="1">
      <alignment horizontal="right"/>
    </xf>
    <xf numFmtId="174" fontId="7" fillId="12" borderId="2" xfId="10" applyNumberFormat="1" applyFont="1" applyFill="1" applyBorder="1"/>
    <xf numFmtId="43" fontId="7" fillId="12" borderId="14" xfId="10" applyFont="1" applyFill="1" applyBorder="1"/>
    <xf numFmtId="0" fontId="84" fillId="12" borderId="0" xfId="0" applyFont="1" applyFill="1"/>
    <xf numFmtId="43" fontId="7" fillId="12" borderId="0" xfId="10" applyFont="1" applyFill="1" applyAlignment="1">
      <alignment horizontal="right"/>
    </xf>
    <xf numFmtId="0" fontId="84" fillId="12" borderId="0" xfId="0" applyFont="1" applyFill="1" applyAlignment="1">
      <alignment horizontal="centerContinuous"/>
    </xf>
    <xf numFmtId="175" fontId="56" fillId="12" borderId="0" xfId="0" applyNumberFormat="1" applyFont="1" applyFill="1"/>
    <xf numFmtId="182" fontId="7" fillId="12" borderId="0" xfId="38" applyNumberFormat="1" applyFont="1" applyFill="1"/>
    <xf numFmtId="182" fontId="7" fillId="12" borderId="0" xfId="0" applyNumberFormat="1" applyFont="1" applyFill="1"/>
    <xf numFmtId="202" fontId="7" fillId="12" borderId="0" xfId="0" applyNumberFormat="1" applyFont="1" applyFill="1"/>
    <xf numFmtId="202" fontId="2" fillId="12" borderId="0" xfId="0" applyNumberFormat="1" applyFont="1" applyFill="1"/>
    <xf numFmtId="5" fontId="2" fillId="12" borderId="0" xfId="0" applyNumberFormat="1" applyFont="1" applyFill="1"/>
    <xf numFmtId="202" fontId="58" fillId="12" borderId="0" xfId="16" applyNumberFormat="1" applyFont="1" applyFill="1" applyAlignment="1">
      <alignment horizontal="right"/>
    </xf>
    <xf numFmtId="202" fontId="23" fillId="12" borderId="0" xfId="16" applyNumberFormat="1" applyFont="1" applyFill="1" applyAlignment="1">
      <alignment horizontal="right"/>
    </xf>
    <xf numFmtId="202" fontId="75" fillId="12" borderId="0" xfId="16" applyNumberFormat="1" applyFont="1" applyFill="1" applyAlignment="1">
      <alignment horizontal="right"/>
    </xf>
    <xf numFmtId="201" fontId="23" fillId="12" borderId="0" xfId="16" applyNumberFormat="1" applyFont="1" applyFill="1" applyAlignment="1">
      <alignment horizontal="right"/>
    </xf>
    <xf numFmtId="201" fontId="23" fillId="12" borderId="0" xfId="16" applyNumberFormat="1" applyFont="1" applyFill="1"/>
    <xf numFmtId="201" fontId="65" fillId="12" borderId="0" xfId="16" applyNumberFormat="1" applyFont="1" applyFill="1"/>
    <xf numFmtId="201" fontId="56" fillId="12" borderId="0" xfId="10" applyNumberFormat="1" applyFont="1" applyFill="1" applyAlignment="1">
      <alignment horizontal="right"/>
    </xf>
    <xf numFmtId="201" fontId="65" fillId="12" borderId="0" xfId="10" applyNumberFormat="1" applyFont="1" applyFill="1" applyAlignment="1">
      <alignment horizontal="right"/>
    </xf>
    <xf numFmtId="201" fontId="65" fillId="12" borderId="0" xfId="10" applyNumberFormat="1" applyFont="1" applyFill="1"/>
    <xf numFmtId="201" fontId="23" fillId="12" borderId="2" xfId="10" applyNumberFormat="1" applyFont="1" applyFill="1" applyBorder="1" applyAlignment="1">
      <alignment horizontal="right"/>
    </xf>
    <xf numFmtId="201" fontId="65" fillId="12" borderId="2" xfId="10" applyNumberFormat="1" applyFont="1" applyFill="1" applyBorder="1"/>
    <xf numFmtId="202" fontId="7" fillId="12" borderId="0" xfId="0" applyNumberFormat="1" applyFont="1" applyFill="1" applyAlignment="1">
      <alignment horizontal="right"/>
    </xf>
    <xf numFmtId="202" fontId="2" fillId="12" borderId="0" xfId="0" applyNumberFormat="1" applyFont="1" applyFill="1" applyAlignment="1">
      <alignment horizontal="right"/>
    </xf>
    <xf numFmtId="202" fontId="56" fillId="12" borderId="0" xfId="10" applyNumberFormat="1" applyFont="1" applyFill="1" applyAlignment="1">
      <alignment horizontal="right"/>
    </xf>
    <xf numFmtId="201" fontId="56" fillId="12" borderId="0" xfId="0" applyNumberFormat="1" applyFont="1" applyFill="1" applyAlignment="1">
      <alignment horizontal="right"/>
    </xf>
    <xf numFmtId="201" fontId="56" fillId="12" borderId="0" xfId="16" applyNumberFormat="1" applyFont="1" applyFill="1" applyAlignment="1">
      <alignment horizontal="right"/>
    </xf>
    <xf numFmtId="201" fontId="7" fillId="12" borderId="0" xfId="16" applyNumberFormat="1" applyFont="1" applyFill="1" applyAlignment="1">
      <alignment horizontal="right"/>
    </xf>
    <xf numFmtId="201" fontId="2" fillId="12" borderId="0" xfId="16" applyNumberFormat="1" applyFont="1" applyFill="1" applyAlignment="1">
      <alignment horizontal="right"/>
    </xf>
    <xf numFmtId="201" fontId="56" fillId="12" borderId="0" xfId="16" applyNumberFormat="1" applyFont="1" applyFill="1" applyBorder="1" applyAlignment="1">
      <alignment horizontal="right"/>
    </xf>
    <xf numFmtId="201" fontId="7" fillId="12" borderId="0" xfId="10" applyNumberFormat="1" applyFont="1" applyFill="1" applyAlignment="1">
      <alignment horizontal="right"/>
    </xf>
    <xf numFmtId="201" fontId="2" fillId="12" borderId="0" xfId="10" applyNumberFormat="1" applyFont="1" applyFill="1" applyAlignment="1">
      <alignment horizontal="right"/>
    </xf>
    <xf numFmtId="201" fontId="56" fillId="12" borderId="0" xfId="10" applyNumberFormat="1" applyFont="1" applyFill="1" applyBorder="1" applyAlignment="1">
      <alignment horizontal="right"/>
    </xf>
    <xf numFmtId="201" fontId="23" fillId="12" borderId="0" xfId="10" applyNumberFormat="1" applyFont="1" applyFill="1" applyAlignment="1">
      <alignment horizontal="right"/>
    </xf>
    <xf numFmtId="201" fontId="2" fillId="12" borderId="0" xfId="16" applyNumberFormat="1" applyFont="1" applyFill="1" applyBorder="1" applyAlignment="1">
      <alignment horizontal="right"/>
    </xf>
    <xf numFmtId="201" fontId="56" fillId="12" borderId="2" xfId="10" applyNumberFormat="1" applyFont="1" applyFill="1" applyBorder="1" applyAlignment="1">
      <alignment horizontal="right"/>
    </xf>
    <xf numFmtId="201" fontId="65" fillId="12" borderId="2" xfId="10" applyNumberFormat="1" applyFont="1" applyFill="1" applyBorder="1" applyAlignment="1">
      <alignment horizontal="right"/>
    </xf>
    <xf numFmtId="201" fontId="23" fillId="12" borderId="0" xfId="10" applyNumberFormat="1" applyFont="1" applyFill="1" applyBorder="1" applyAlignment="1">
      <alignment horizontal="right"/>
    </xf>
    <xf numFmtId="180" fontId="7" fillId="12" borderId="0" xfId="0" applyNumberFormat="1" applyFont="1" applyFill="1"/>
    <xf numFmtId="180" fontId="2" fillId="12" borderId="0" xfId="0" applyNumberFormat="1" applyFont="1" applyFill="1"/>
    <xf numFmtId="201" fontId="2" fillId="12" borderId="0" xfId="0" applyNumberFormat="1" applyFont="1" applyFill="1" applyAlignment="1">
      <alignment horizontal="right"/>
    </xf>
    <xf numFmtId="0" fontId="2" fillId="12" borderId="4" xfId="0" applyFont="1" applyFill="1" applyBorder="1"/>
    <xf numFmtId="202" fontId="2" fillId="12" borderId="4" xfId="0" applyNumberFormat="1" applyFont="1" applyFill="1" applyBorder="1" applyAlignment="1">
      <alignment horizontal="right"/>
    </xf>
    <xf numFmtId="202" fontId="7" fillId="12" borderId="0" xfId="0" applyNumberFormat="1" applyFont="1" applyFill="1" applyBorder="1" applyAlignment="1">
      <alignment horizontal="right"/>
    </xf>
    <xf numFmtId="202" fontId="56" fillId="12" borderId="0" xfId="16" applyNumberFormat="1" applyFont="1" applyFill="1" applyAlignment="1">
      <alignment horizontal="right"/>
    </xf>
    <xf numFmtId="207" fontId="23" fillId="12" borderId="0" xfId="0" applyNumberFormat="1" applyFont="1" applyFill="1"/>
    <xf numFmtId="202" fontId="23" fillId="12" borderId="0" xfId="10" applyNumberFormat="1" applyFont="1" applyFill="1" applyAlignment="1">
      <alignment horizontal="right"/>
    </xf>
    <xf numFmtId="202" fontId="7" fillId="12" borderId="0" xfId="10" applyNumberFormat="1" applyFont="1" applyFill="1" applyAlignment="1">
      <alignment horizontal="right"/>
    </xf>
    <xf numFmtId="202" fontId="2" fillId="12" borderId="0" xfId="10" applyNumberFormat="1" applyFont="1" applyFill="1" applyAlignment="1">
      <alignment horizontal="right"/>
    </xf>
    <xf numFmtId="202" fontId="72" fillId="12" borderId="0" xfId="0" applyNumberFormat="1" applyFont="1" applyFill="1" applyAlignment="1">
      <alignment horizontal="right"/>
    </xf>
    <xf numFmtId="202" fontId="70" fillId="12" borderId="0" xfId="0" applyNumberFormat="1" applyFont="1" applyFill="1" applyAlignment="1">
      <alignment horizontal="right"/>
    </xf>
    <xf numFmtId="181" fontId="7" fillId="12" borderId="0" xfId="0" applyNumberFormat="1" applyFont="1" applyFill="1"/>
    <xf numFmtId="195" fontId="2" fillId="12" borderId="0" xfId="10" applyNumberFormat="1" applyFont="1" applyFill="1" applyAlignment="1">
      <alignment horizontal="right"/>
    </xf>
    <xf numFmtId="208" fontId="7" fillId="12" borderId="0" xfId="10" applyNumberFormat="1" applyFont="1" applyFill="1" applyAlignment="1">
      <alignment horizontal="right"/>
    </xf>
    <xf numFmtId="208" fontId="2" fillId="12" borderId="0" xfId="10" applyNumberFormat="1" applyFont="1" applyFill="1" applyAlignment="1">
      <alignment horizontal="right"/>
    </xf>
    <xf numFmtId="0" fontId="13" fillId="12" borderId="0" xfId="0" applyFont="1" applyFill="1" applyBorder="1" applyAlignment="1">
      <alignment horizontal="left"/>
    </xf>
    <xf numFmtId="0" fontId="10" fillId="12" borderId="0" xfId="0" applyFont="1" applyFill="1" applyBorder="1"/>
    <xf numFmtId="0" fontId="13" fillId="12" borderId="0" xfId="0" applyFont="1" applyFill="1"/>
    <xf numFmtId="37" fontId="13" fillId="12" borderId="2" xfId="30" applyFont="1" applyFill="1" applyBorder="1" applyAlignment="1" applyProtection="1">
      <alignment horizontal="left"/>
    </xf>
    <xf numFmtId="37" fontId="43" fillId="12" borderId="2" xfId="30" applyFont="1" applyFill="1" applyBorder="1" applyAlignment="1" applyProtection="1">
      <alignment horizontal="left"/>
    </xf>
    <xf numFmtId="176" fontId="7" fillId="12" borderId="2" xfId="33" applyFont="1" applyFill="1" applyBorder="1"/>
    <xf numFmtId="199" fontId="55" fillId="12" borderId="0" xfId="33" applyNumberFormat="1" applyFont="1" applyFill="1" applyBorder="1" applyAlignment="1">
      <alignment horizontal="left"/>
    </xf>
    <xf numFmtId="176" fontId="13" fillId="12" borderId="0" xfId="33" applyFont="1" applyFill="1"/>
    <xf numFmtId="176" fontId="13" fillId="12" borderId="0" xfId="33" applyFont="1" applyFill="1" applyAlignment="1">
      <alignment horizontal="center"/>
    </xf>
    <xf numFmtId="176" fontId="13" fillId="12" borderId="0" xfId="33" applyFont="1" applyFill="1" applyBorder="1"/>
    <xf numFmtId="176" fontId="55" fillId="12" borderId="0" xfId="33" applyFont="1" applyFill="1" applyBorder="1" applyAlignment="1" applyProtection="1">
      <alignment horizontal="left"/>
    </xf>
    <xf numFmtId="176" fontId="15" fillId="12" borderId="0" xfId="33" applyFont="1" applyFill="1" applyBorder="1"/>
    <xf numFmtId="199" fontId="43" fillId="12" borderId="7" xfId="33" applyNumberFormat="1" applyFont="1" applyFill="1" applyBorder="1" applyAlignment="1">
      <alignment horizontal="centerContinuous"/>
    </xf>
    <xf numFmtId="0" fontId="57" fillId="12" borderId="0" xfId="0" applyFont="1" applyFill="1" applyAlignment="1">
      <alignment horizontal="left"/>
    </xf>
    <xf numFmtId="199" fontId="43" fillId="12" borderId="0" xfId="33" applyNumberFormat="1" applyFont="1" applyFill="1" applyBorder="1" applyAlignment="1">
      <alignment horizontal="centerContinuous"/>
    </xf>
    <xf numFmtId="176" fontId="15" fillId="12" borderId="0" xfId="33" applyFont="1" applyFill="1" applyAlignment="1">
      <alignment horizontal="center"/>
    </xf>
    <xf numFmtId="199" fontId="12" fillId="12" borderId="0" xfId="33" applyNumberFormat="1" applyFont="1" applyFill="1" applyBorder="1" applyAlignment="1">
      <alignment horizontal="left"/>
    </xf>
    <xf numFmtId="175" fontId="31" fillId="12" borderId="0" xfId="10" applyNumberFormat="1" applyFont="1" applyFill="1" applyProtection="1"/>
    <xf numFmtId="176" fontId="12" fillId="12" borderId="0" xfId="33" applyFont="1" applyFill="1"/>
    <xf numFmtId="176" fontId="12" fillId="12" borderId="0" xfId="33" applyFont="1" applyFill="1" applyAlignment="1">
      <alignment horizontal="center"/>
    </xf>
    <xf numFmtId="176" fontId="12" fillId="12" borderId="0" xfId="33" applyFont="1" applyFill="1" applyBorder="1"/>
    <xf numFmtId="176" fontId="12" fillId="12" borderId="0" xfId="33" applyFont="1" applyFill="1" applyAlignment="1">
      <alignment horizontal="right"/>
    </xf>
    <xf numFmtId="176" fontId="10" fillId="12" borderId="0" xfId="33" applyFont="1" applyFill="1" applyAlignment="1" applyProtection="1">
      <alignment horizontal="left"/>
    </xf>
    <xf numFmtId="164" fontId="12" fillId="12" borderId="0" xfId="33" applyNumberFormat="1" applyFont="1" applyFill="1" applyBorder="1" applyAlignment="1">
      <alignment horizontal="right"/>
    </xf>
    <xf numFmtId="164" fontId="12" fillId="12" borderId="0" xfId="33" applyNumberFormat="1" applyFont="1" applyFill="1" applyBorder="1" applyAlignment="1" applyProtection="1">
      <alignment horizontal="right"/>
    </xf>
    <xf numFmtId="217" fontId="29" fillId="12" borderId="0" xfId="10" applyNumberFormat="1" applyFont="1" applyFill="1" applyBorder="1" applyAlignment="1" applyProtection="1">
      <alignment horizontal="right"/>
    </xf>
    <xf numFmtId="176" fontId="12" fillId="12" borderId="0" xfId="33" applyFont="1" applyFill="1" applyBorder="1" applyProtection="1"/>
    <xf numFmtId="176" fontId="10" fillId="12" borderId="0" xfId="33" applyFont="1" applyFill="1" applyBorder="1" applyAlignment="1" applyProtection="1">
      <alignment horizontal="left"/>
    </xf>
    <xf numFmtId="176" fontId="19" fillId="12" borderId="0" xfId="33" applyFont="1" applyFill="1" applyBorder="1" applyAlignment="1" applyProtection="1">
      <alignment horizontal="left"/>
    </xf>
    <xf numFmtId="5" fontId="19" fillId="12" borderId="0" xfId="33" applyNumberFormat="1" applyFont="1" applyFill="1" applyBorder="1" applyAlignment="1" applyProtection="1">
      <alignment horizontal="right"/>
    </xf>
    <xf numFmtId="176" fontId="12" fillId="12" borderId="0" xfId="33" applyFont="1" applyFill="1" applyBorder="1" applyAlignment="1">
      <alignment horizontal="center"/>
    </xf>
    <xf numFmtId="172" fontId="12" fillId="12" borderId="0" xfId="33" applyNumberFormat="1" applyFont="1" applyFill="1" applyBorder="1" applyProtection="1"/>
    <xf numFmtId="5" fontId="12" fillId="12" borderId="0" xfId="33" applyNumberFormat="1" applyFont="1" applyFill="1" applyBorder="1" applyAlignment="1" applyProtection="1">
      <alignment horizontal="right"/>
    </xf>
    <xf numFmtId="176" fontId="12" fillId="12" borderId="0" xfId="33" applyFont="1" applyFill="1" applyBorder="1" applyAlignment="1">
      <alignment horizontal="right"/>
    </xf>
    <xf numFmtId="175" fontId="19" fillId="12" borderId="0" xfId="10" applyNumberFormat="1" applyFont="1" applyFill="1" applyProtection="1"/>
    <xf numFmtId="175" fontId="11" fillId="12" borderId="0" xfId="10" applyNumberFormat="1" applyFont="1" applyFill="1" applyBorder="1" applyAlignment="1">
      <alignment horizontal="center"/>
    </xf>
    <xf numFmtId="176" fontId="11" fillId="12" borderId="0" xfId="33" applyFont="1" applyFill="1" applyBorder="1"/>
    <xf numFmtId="43" fontId="11" fillId="12" borderId="0" xfId="10" applyFont="1" applyFill="1" applyProtection="1"/>
    <xf numFmtId="217" fontId="31" fillId="12" borderId="0" xfId="10" applyNumberFormat="1" applyFont="1" applyFill="1" applyBorder="1" applyAlignment="1" applyProtection="1">
      <alignment horizontal="right"/>
    </xf>
    <xf numFmtId="217" fontId="28" fillId="12" borderId="0" xfId="10" applyNumberFormat="1" applyFont="1" applyFill="1" applyBorder="1" applyAlignment="1" applyProtection="1">
      <alignment horizontal="right"/>
    </xf>
    <xf numFmtId="217" fontId="14" fillId="12" borderId="0" xfId="10" applyNumberFormat="1" applyFont="1" applyFill="1" applyBorder="1" applyAlignment="1" applyProtection="1">
      <alignment horizontal="right"/>
    </xf>
    <xf numFmtId="196" fontId="55" fillId="12" borderId="0" xfId="33" applyNumberFormat="1" applyFont="1" applyFill="1" applyBorder="1" applyAlignment="1">
      <alignment horizontal="left"/>
    </xf>
    <xf numFmtId="199" fontId="43" fillId="12" borderId="14" xfId="33" applyNumberFormat="1" applyFont="1" applyFill="1" applyBorder="1" applyAlignment="1">
      <alignment horizontal="centerContinuous"/>
    </xf>
    <xf numFmtId="0" fontId="0" fillId="12" borderId="4" xfId="0" applyFill="1" applyBorder="1" applyAlignment="1">
      <alignment horizontal="centerContinuous"/>
    </xf>
    <xf numFmtId="199" fontId="43" fillId="12" borderId="4" xfId="33" applyNumberFormat="1" applyFont="1" applyFill="1" applyBorder="1" applyAlignment="1">
      <alignment horizontal="centerContinuous"/>
    </xf>
    <xf numFmtId="176" fontId="55" fillId="12" borderId="4" xfId="33" applyFont="1" applyFill="1" applyBorder="1" applyAlignment="1">
      <alignment horizontal="centerContinuous"/>
    </xf>
    <xf numFmtId="176" fontId="55" fillId="12" borderId="5" xfId="33" applyFont="1" applyFill="1" applyBorder="1" applyAlignment="1" applyProtection="1">
      <alignment horizontal="centerContinuous"/>
    </xf>
    <xf numFmtId="176" fontId="43" fillId="12" borderId="0" xfId="33" applyFont="1" applyFill="1" applyAlignment="1">
      <alignment horizontal="left"/>
    </xf>
    <xf numFmtId="0" fontId="0" fillId="12" borderId="0" xfId="0" applyFill="1" applyBorder="1" applyAlignment="1">
      <alignment horizontal="centerContinuous"/>
    </xf>
    <xf numFmtId="176" fontId="55" fillId="12" borderId="0" xfId="33" applyFont="1" applyFill="1" applyBorder="1" applyAlignment="1">
      <alignment horizontal="centerContinuous"/>
    </xf>
    <xf numFmtId="176" fontId="55" fillId="12" borderId="0" xfId="33" applyFont="1" applyFill="1" applyBorder="1" applyAlignment="1" applyProtection="1">
      <alignment horizontal="centerContinuous"/>
    </xf>
    <xf numFmtId="176" fontId="12" fillId="12" borderId="0" xfId="33" applyFont="1" applyFill="1" applyBorder="1" applyAlignment="1" applyProtection="1">
      <alignment horizontal="left"/>
    </xf>
    <xf numFmtId="175" fontId="12" fillId="12" borderId="0" xfId="10" applyNumberFormat="1" applyFont="1" applyFill="1" applyProtection="1"/>
    <xf numFmtId="0" fontId="1" fillId="12" borderId="0" xfId="0" applyFont="1" applyFill="1"/>
    <xf numFmtId="0" fontId="68" fillId="12" borderId="15" xfId="0" applyFont="1" applyFill="1" applyBorder="1" applyAlignment="1">
      <alignment horizontal="center"/>
    </xf>
    <xf numFmtId="5" fontId="7" fillId="12" borderId="15" xfId="16" applyNumberFormat="1" applyFont="1" applyFill="1" applyBorder="1"/>
    <xf numFmtId="43" fontId="7" fillId="12" borderId="15" xfId="10" applyFont="1" applyFill="1" applyBorder="1"/>
    <xf numFmtId="37" fontId="7" fillId="12" borderId="15" xfId="16" applyNumberFormat="1" applyFont="1" applyFill="1" applyBorder="1"/>
    <xf numFmtId="201" fontId="7" fillId="12" borderId="15" xfId="10" applyNumberFormat="1" applyFont="1" applyFill="1" applyBorder="1"/>
    <xf numFmtId="7" fontId="7" fillId="12" borderId="15" xfId="10" applyNumberFormat="1" applyFont="1" applyFill="1" applyBorder="1" applyAlignment="1">
      <alignment horizontal="right"/>
    </xf>
    <xf numFmtId="174" fontId="7" fillId="12" borderId="15" xfId="10" applyNumberFormat="1" applyFont="1" applyFill="1" applyBorder="1"/>
    <xf numFmtId="174" fontId="72" fillId="12" borderId="15" xfId="0" applyNumberFormat="1" applyFont="1" applyFill="1" applyBorder="1" applyAlignment="1">
      <alignment horizontal="right"/>
    </xf>
    <xf numFmtId="37" fontId="7" fillId="12" borderId="15" xfId="16" applyNumberFormat="1" applyFont="1" applyFill="1" applyBorder="1" applyAlignment="1">
      <alignment horizontal="right"/>
    </xf>
    <xf numFmtId="204" fontId="7" fillId="12" borderId="15" xfId="0" applyNumberFormat="1" applyFont="1" applyFill="1" applyBorder="1"/>
    <xf numFmtId="204" fontId="7" fillId="12" borderId="18" xfId="38" applyNumberFormat="1" applyFont="1" applyFill="1" applyBorder="1" applyAlignment="1">
      <alignment horizontal="right"/>
    </xf>
    <xf numFmtId="175" fontId="7" fillId="12" borderId="15" xfId="10" applyNumberFormat="1" applyFont="1" applyFill="1" applyBorder="1"/>
    <xf numFmtId="239" fontId="7" fillId="12" borderId="15" xfId="16" applyNumberFormat="1" applyFont="1" applyFill="1" applyBorder="1"/>
    <xf numFmtId="239" fontId="7" fillId="12" borderId="18" xfId="16" applyNumberFormat="1" applyFont="1" applyFill="1" applyBorder="1"/>
    <xf numFmtId="39" fontId="7" fillId="12" borderId="0" xfId="0" applyNumberFormat="1" applyFont="1" applyFill="1" applyBorder="1"/>
    <xf numFmtId="5" fontId="114" fillId="12" borderId="0" xfId="0" applyNumberFormat="1" applyFont="1" applyFill="1"/>
    <xf numFmtId="179" fontId="7" fillId="12" borderId="0" xfId="38" applyNumberFormat="1" applyFont="1" applyFill="1" applyAlignment="1">
      <alignment horizontal="left"/>
    </xf>
    <xf numFmtId="0" fontId="66" fillId="12" borderId="0" xfId="0" applyFont="1" applyFill="1" applyAlignment="1">
      <alignment horizontal="centerContinuous"/>
    </xf>
    <xf numFmtId="0" fontId="62" fillId="12" borderId="0" xfId="0" applyFont="1" applyFill="1"/>
    <xf numFmtId="195" fontId="63" fillId="12" borderId="8" xfId="0" applyNumberFormat="1" applyFont="1" applyFill="1" applyBorder="1" applyAlignment="1">
      <alignment horizontal="center"/>
    </xf>
    <xf numFmtId="0" fontId="62" fillId="12" borderId="0" xfId="0" applyFont="1" applyFill="1" applyAlignment="1">
      <alignment horizontal="centerContinuous"/>
    </xf>
    <xf numFmtId="195" fontId="62" fillId="12" borderId="0" xfId="0" applyNumberFormat="1" applyFont="1" applyFill="1" applyAlignment="1">
      <alignment horizontal="center"/>
    </xf>
    <xf numFmtId="0" fontId="62" fillId="12" borderId="0" xfId="0" applyFont="1" applyFill="1" applyAlignment="1">
      <alignment horizontal="center"/>
    </xf>
    <xf numFmtId="0" fontId="67" fillId="12" borderId="0" xfId="0" applyFont="1" applyFill="1" applyAlignment="1">
      <alignment horizontal="center"/>
    </xf>
    <xf numFmtId="0" fontId="63" fillId="12" borderId="8" xfId="0" applyFont="1" applyFill="1" applyBorder="1" applyAlignment="1">
      <alignment horizontal="center"/>
    </xf>
    <xf numFmtId="0" fontId="67" fillId="12" borderId="0" xfId="0" applyFont="1" applyFill="1"/>
    <xf numFmtId="0" fontId="111" fillId="12" borderId="0" xfId="0" applyFont="1" applyFill="1" applyBorder="1" applyAlignment="1">
      <alignment horizontal="center"/>
    </xf>
    <xf numFmtId="44" fontId="69" fillId="12" borderId="4" xfId="16" applyNumberFormat="1" applyFont="1" applyFill="1" applyBorder="1" applyAlignment="1"/>
    <xf numFmtId="5" fontId="60" fillId="12" borderId="0" xfId="10" applyNumberFormat="1" applyFont="1" applyFill="1"/>
    <xf numFmtId="5" fontId="60" fillId="12" borderId="0" xfId="16" applyNumberFormat="1" applyFont="1" applyFill="1" applyBorder="1"/>
    <xf numFmtId="204" fontId="60" fillId="12" borderId="0" xfId="0" applyNumberFormat="1" applyFont="1" applyFill="1" applyBorder="1" applyAlignment="1">
      <alignment horizontal="right"/>
    </xf>
    <xf numFmtId="37" fontId="60" fillId="12" borderId="0" xfId="16" applyNumberFormat="1" applyFont="1" applyFill="1" applyBorder="1"/>
    <xf numFmtId="37" fontId="60" fillId="12" borderId="0" xfId="0" applyNumberFormat="1" applyFont="1" applyFill="1" applyBorder="1" applyAlignment="1">
      <alignment horizontal="right"/>
    </xf>
    <xf numFmtId="179" fontId="52" fillId="12" borderId="0" xfId="0" applyNumberFormat="1" applyFont="1" applyFill="1" applyBorder="1"/>
    <xf numFmtId="179" fontId="60" fillId="12" borderId="0" xfId="0" applyNumberFormat="1" applyFont="1" applyFill="1"/>
    <xf numFmtId="37" fontId="60" fillId="12" borderId="0" xfId="0" applyNumberFormat="1" applyFont="1" applyFill="1" applyAlignment="1">
      <alignment horizontal="right"/>
    </xf>
    <xf numFmtId="204" fontId="60" fillId="12" borderId="0" xfId="0" applyNumberFormat="1" applyFont="1" applyFill="1" applyAlignment="1">
      <alignment horizontal="right"/>
    </xf>
    <xf numFmtId="37" fontId="60" fillId="12" borderId="0" xfId="16" applyNumberFormat="1" applyFont="1" applyFill="1"/>
    <xf numFmtId="5" fontId="61" fillId="12" borderId="0" xfId="0" applyNumberFormat="1" applyFont="1" applyFill="1" applyBorder="1" applyProtection="1"/>
    <xf numFmtId="195" fontId="22" fillId="12" borderId="13" xfId="0" applyNumberFormat="1" applyFont="1" applyFill="1" applyBorder="1" applyProtection="1"/>
    <xf numFmtId="37" fontId="52" fillId="12" borderId="0" xfId="0" applyNumberFormat="1" applyFont="1" applyFill="1" applyAlignment="1">
      <alignment horizontal="right"/>
    </xf>
    <xf numFmtId="179" fontId="53" fillId="12" borderId="0" xfId="38" applyNumberFormat="1" applyFont="1" applyFill="1"/>
    <xf numFmtId="37" fontId="22" fillId="12" borderId="0" xfId="16" applyNumberFormat="1" applyFont="1" applyFill="1"/>
    <xf numFmtId="37" fontId="22" fillId="12" borderId="0" xfId="0" applyNumberFormat="1" applyFont="1" applyFill="1"/>
    <xf numFmtId="195" fontId="22" fillId="12" borderId="20" xfId="0" applyNumberFormat="1" applyFont="1" applyFill="1" applyBorder="1" applyProtection="1"/>
    <xf numFmtId="37" fontId="22" fillId="12" borderId="19" xfId="10" applyNumberFormat="1" applyFont="1" applyFill="1" applyBorder="1"/>
    <xf numFmtId="0" fontId="60" fillId="12" borderId="0" xfId="10" applyNumberFormat="1" applyFont="1" applyFill="1"/>
    <xf numFmtId="0" fontId="53" fillId="12" borderId="0" xfId="10" applyNumberFormat="1" applyFont="1" applyFill="1"/>
    <xf numFmtId="39" fontId="60" fillId="12" borderId="0" xfId="16" applyNumberFormat="1" applyFont="1" applyFill="1"/>
    <xf numFmtId="37" fontId="60" fillId="12" borderId="0" xfId="10" applyNumberFormat="1" applyFont="1" applyFill="1"/>
    <xf numFmtId="39" fontId="60" fillId="12" borderId="0" xfId="10" applyNumberFormat="1" applyFont="1" applyFill="1"/>
    <xf numFmtId="7" fontId="60" fillId="12" borderId="0" xfId="0" applyNumberFormat="1" applyFont="1" applyFill="1"/>
    <xf numFmtId="7" fontId="95" fillId="12" borderId="0" xfId="0" applyNumberFormat="1" applyFont="1" applyFill="1" applyBorder="1" applyProtection="1"/>
    <xf numFmtId="7" fontId="60" fillId="12" borderId="0" xfId="16" applyNumberFormat="1" applyFont="1" applyFill="1"/>
    <xf numFmtId="184" fontId="61" fillId="12" borderId="0" xfId="0" applyNumberFormat="1" applyFont="1" applyFill="1" applyBorder="1"/>
    <xf numFmtId="195" fontId="60" fillId="12" borderId="0" xfId="0" applyNumberFormat="1" applyFont="1" applyFill="1" applyBorder="1"/>
    <xf numFmtId="9" fontId="60" fillId="12" borderId="0" xfId="0" applyNumberFormat="1" applyFont="1" applyFill="1"/>
    <xf numFmtId="44" fontId="7" fillId="12" borderId="4" xfId="0" applyNumberFormat="1" applyFont="1" applyFill="1" applyBorder="1"/>
    <xf numFmtId="0" fontId="80" fillId="12" borderId="0" xfId="0" applyFont="1" applyFill="1"/>
    <xf numFmtId="227" fontId="81" fillId="12" borderId="0" xfId="0" applyNumberFormat="1" applyFont="1" applyFill="1"/>
    <xf numFmtId="164" fontId="81" fillId="12" borderId="0" xfId="0" applyNumberFormat="1" applyFont="1" applyFill="1"/>
    <xf numFmtId="0" fontId="80" fillId="12" borderId="0" xfId="0" applyFont="1" applyFill="1" applyAlignment="1">
      <alignment horizontal="left" indent="1"/>
    </xf>
    <xf numFmtId="227" fontId="7" fillId="12" borderId="0" xfId="0" applyNumberFormat="1" applyFont="1" applyFill="1"/>
    <xf numFmtId="44" fontId="7" fillId="12" borderId="0" xfId="0" applyNumberFormat="1" applyFont="1" applyFill="1"/>
    <xf numFmtId="0" fontId="82" fillId="12" borderId="0" xfId="0" applyFont="1" applyFill="1"/>
    <xf numFmtId="179" fontId="81" fillId="12" borderId="0" xfId="38" applyNumberFormat="1" applyFont="1" applyFill="1"/>
    <xf numFmtId="179" fontId="81" fillId="12" borderId="0" xfId="38" applyNumberFormat="1" applyFont="1" applyFill="1" applyAlignment="1">
      <alignment horizontal="right"/>
    </xf>
    <xf numFmtId="164" fontId="81" fillId="12" borderId="0" xfId="0" applyNumberFormat="1" applyFont="1" applyFill="1" applyAlignment="1">
      <alignment horizontal="right"/>
    </xf>
    <xf numFmtId="0" fontId="2" fillId="12" borderId="0" xfId="0" applyFont="1" applyFill="1" applyBorder="1" applyAlignment="1">
      <alignment horizontal="center"/>
    </xf>
    <xf numFmtId="179" fontId="7" fillId="12" borderId="0" xfId="38" applyNumberFormat="1" applyFont="1" applyFill="1" applyAlignment="1">
      <alignment horizontal="right"/>
    </xf>
    <xf numFmtId="0" fontId="83" fillId="12" borderId="0" xfId="0" applyFont="1" applyFill="1"/>
    <xf numFmtId="0" fontId="2" fillId="12" borderId="0" xfId="23" applyFont="1" applyFill="1" applyAlignment="1">
      <alignment horizontal="right"/>
    </xf>
    <xf numFmtId="0" fontId="2" fillId="12" borderId="19" xfId="23" applyFont="1" applyFill="1" applyBorder="1" applyAlignment="1">
      <alignment horizontal="left" indent="1"/>
    </xf>
    <xf numFmtId="0" fontId="7" fillId="12" borderId="0" xfId="23" applyFont="1" applyFill="1" applyBorder="1" applyAlignment="1">
      <alignment horizontal="center"/>
    </xf>
    <xf numFmtId="179" fontId="7" fillId="12" borderId="0" xfId="38" applyNumberFormat="1" applyFont="1" applyFill="1" applyBorder="1" applyAlignment="1">
      <alignment horizontal="right"/>
    </xf>
    <xf numFmtId="0" fontId="110" fillId="14" borderId="0" xfId="0" applyFont="1" applyFill="1"/>
    <xf numFmtId="0" fontId="99" fillId="14" borderId="0" xfId="0" applyFont="1" applyFill="1" applyBorder="1" applyAlignment="1">
      <alignment horizontal="center"/>
    </xf>
    <xf numFmtId="0" fontId="99" fillId="14" borderId="11" xfId="0" applyFont="1" applyFill="1" applyBorder="1" applyAlignment="1">
      <alignment horizontal="center"/>
    </xf>
    <xf numFmtId="37" fontId="118" fillId="12" borderId="0" xfId="0" applyNumberFormat="1" applyFont="1" applyFill="1"/>
    <xf numFmtId="37" fontId="118" fillId="12" borderId="2" xfId="0" applyNumberFormat="1" applyFont="1" applyFill="1" applyBorder="1"/>
    <xf numFmtId="5" fontId="118" fillId="12" borderId="0" xfId="0" applyNumberFormat="1" applyFont="1" applyFill="1"/>
    <xf numFmtId="37" fontId="7" fillId="0" borderId="2" xfId="0" applyNumberFormat="1" applyFont="1" applyFill="1" applyBorder="1" applyAlignment="1">
      <alignment horizontal="right"/>
    </xf>
    <xf numFmtId="240" fontId="7" fillId="12" borderId="0" xfId="0" applyNumberFormat="1" applyFont="1" applyFill="1" applyAlignment="1">
      <alignment horizontal="right"/>
    </xf>
    <xf numFmtId="164" fontId="60" fillId="12" borderId="0" xfId="16" applyNumberFormat="1" applyFont="1" applyFill="1"/>
    <xf numFmtId="7" fontId="23" fillId="12" borderId="0" xfId="0" applyNumberFormat="1" applyFont="1" applyFill="1"/>
    <xf numFmtId="9" fontId="2" fillId="12" borderId="0" xfId="38" applyFont="1" applyFill="1"/>
    <xf numFmtId="9" fontId="2" fillId="12" borderId="0" xfId="38" applyNumberFormat="1" applyFont="1" applyFill="1"/>
    <xf numFmtId="241" fontId="7" fillId="0" borderId="0" xfId="0" applyNumberFormat="1" applyFont="1" applyFill="1" applyBorder="1" applyAlignment="1"/>
    <xf numFmtId="204" fontId="1" fillId="12" borderId="0" xfId="38" applyNumberFormat="1" applyFont="1" applyFill="1" applyBorder="1" applyAlignment="1">
      <alignment horizontal="right"/>
    </xf>
    <xf numFmtId="37" fontId="1" fillId="12" borderId="0" xfId="0" applyNumberFormat="1" applyFont="1" applyFill="1"/>
    <xf numFmtId="175" fontId="16" fillId="12" borderId="0" xfId="10" applyNumberFormat="1" applyFont="1" applyFill="1" applyProtection="1"/>
    <xf numFmtId="37" fontId="118" fillId="12" borderId="0" xfId="0" applyNumberFormat="1" applyFont="1" applyFill="1" applyAlignment="1">
      <alignment horizontal="right"/>
    </xf>
    <xf numFmtId="5" fontId="118" fillId="12" borderId="0" xfId="0" applyNumberFormat="1" applyFont="1" applyFill="1" applyAlignment="1">
      <alignment horizontal="right"/>
    </xf>
    <xf numFmtId="0" fontId="120" fillId="12" borderId="2" xfId="0" applyFont="1" applyFill="1" applyBorder="1" applyAlignment="1">
      <alignment horizontal="centerContinuous"/>
    </xf>
    <xf numFmtId="37" fontId="121" fillId="12" borderId="0" xfId="30" applyFont="1" applyFill="1" applyAlignment="1" applyProtection="1">
      <alignment horizontal="left"/>
    </xf>
    <xf numFmtId="37" fontId="118" fillId="12" borderId="2" xfId="0" applyNumberFormat="1" applyFont="1" applyFill="1" applyBorder="1" applyAlignment="1">
      <alignment horizontal="right"/>
    </xf>
    <xf numFmtId="179" fontId="122" fillId="12" borderId="0" xfId="38" applyNumberFormat="1" applyFont="1" applyFill="1"/>
    <xf numFmtId="5" fontId="123" fillId="12" borderId="0" xfId="0" applyNumberFormat="1" applyFont="1" applyFill="1"/>
    <xf numFmtId="37" fontId="118" fillId="12" borderId="0" xfId="10" applyNumberFormat="1" applyFont="1" applyFill="1" applyBorder="1" applyAlignment="1">
      <alignment horizontal="right"/>
    </xf>
    <xf numFmtId="169" fontId="118" fillId="12" borderId="0" xfId="0" applyNumberFormat="1" applyFont="1" applyFill="1"/>
    <xf numFmtId="169" fontId="118" fillId="12" borderId="0" xfId="0" applyNumberFormat="1" applyFont="1" applyFill="1" applyAlignment="1">
      <alignment horizontal="right"/>
    </xf>
    <xf numFmtId="0" fontId="118" fillId="12" borderId="0" xfId="0" applyFont="1" applyFill="1"/>
    <xf numFmtId="165" fontId="118" fillId="12" borderId="0" xfId="10" applyNumberFormat="1" applyFont="1" applyFill="1" applyBorder="1" applyAlignment="1">
      <alignment horizontal="right"/>
    </xf>
    <xf numFmtId="234" fontId="118" fillId="12" borderId="0" xfId="0" applyNumberFormat="1" applyFont="1" applyFill="1"/>
    <xf numFmtId="37" fontId="118" fillId="12" borderId="2" xfId="10" applyNumberFormat="1" applyFont="1" applyFill="1" applyBorder="1" applyAlignment="1">
      <alignment horizontal="right"/>
    </xf>
    <xf numFmtId="165" fontId="118" fillId="12" borderId="2" xfId="10" applyNumberFormat="1" applyFont="1" applyFill="1" applyBorder="1" applyAlignment="1">
      <alignment horizontal="right"/>
    </xf>
    <xf numFmtId="37" fontId="118" fillId="12" borderId="0" xfId="10" applyNumberFormat="1" applyFont="1" applyFill="1"/>
    <xf numFmtId="165" fontId="118" fillId="12" borderId="0" xfId="10" applyNumberFormat="1" applyFont="1" applyFill="1"/>
    <xf numFmtId="224" fontId="118" fillId="12" borderId="0" xfId="0" applyNumberFormat="1" applyFont="1" applyFill="1"/>
    <xf numFmtId="165" fontId="118" fillId="12" borderId="11" xfId="10" applyNumberFormat="1" applyFont="1" applyFill="1" applyBorder="1" applyAlignment="1">
      <alignment horizontal="right"/>
    </xf>
    <xf numFmtId="169" fontId="115" fillId="12" borderId="0" xfId="0" applyNumberFormat="1" applyFont="1" applyFill="1" applyAlignment="1">
      <alignment horizontal="center"/>
    </xf>
    <xf numFmtId="177" fontId="118" fillId="12" borderId="0" xfId="0" applyNumberFormat="1" applyFont="1" applyFill="1"/>
    <xf numFmtId="177" fontId="118" fillId="12" borderId="2" xfId="0" applyNumberFormat="1" applyFont="1" applyFill="1" applyBorder="1"/>
    <xf numFmtId="0" fontId="124" fillId="12" borderId="0" xfId="0" applyFont="1" applyFill="1" applyAlignment="1">
      <alignment horizontal="left"/>
    </xf>
    <xf numFmtId="203" fontId="119" fillId="12" borderId="11" xfId="0" applyNumberFormat="1" applyFont="1" applyFill="1" applyBorder="1" applyAlignment="1">
      <alignment horizontal="center"/>
    </xf>
    <xf numFmtId="203" fontId="119" fillId="12" borderId="17" xfId="0" applyNumberFormat="1" applyFont="1" applyFill="1" applyBorder="1" applyAlignment="1">
      <alignment horizontal="center"/>
    </xf>
    <xf numFmtId="37" fontId="118" fillId="12" borderId="19" xfId="33" applyNumberFormat="1" applyFont="1" applyFill="1" applyBorder="1" applyProtection="1"/>
    <xf numFmtId="195" fontId="119" fillId="12" borderId="0" xfId="0" applyNumberFormat="1" applyFont="1" applyFill="1"/>
    <xf numFmtId="196" fontId="119" fillId="12" borderId="2" xfId="0" applyNumberFormat="1" applyFont="1" applyFill="1" applyBorder="1" applyAlignment="1">
      <alignment horizontal="center"/>
    </xf>
    <xf numFmtId="11" fontId="119" fillId="12" borderId="4" xfId="0" applyNumberFormat="1" applyFont="1" applyFill="1" applyBorder="1" applyAlignment="1">
      <alignment horizontal="center"/>
    </xf>
    <xf numFmtId="37" fontId="119" fillId="12" borderId="0" xfId="0" applyNumberFormat="1" applyFont="1" applyFill="1" applyAlignment="1" applyProtection="1">
      <alignment horizontal="right"/>
    </xf>
    <xf numFmtId="182" fontId="119" fillId="12" borderId="0" xfId="0" quotePrefix="1" applyNumberFormat="1" applyFont="1" applyFill="1" applyBorder="1" applyAlignment="1" applyProtection="1">
      <alignment horizontal="right"/>
    </xf>
    <xf numFmtId="0" fontId="114" fillId="12" borderId="0" xfId="0" applyFont="1" applyFill="1"/>
    <xf numFmtId="9" fontId="119" fillId="12" borderId="0" xfId="38" applyNumberFormat="1" applyFont="1" applyFill="1"/>
    <xf numFmtId="203" fontId="119" fillId="12" borderId="2" xfId="0" applyNumberFormat="1" applyFont="1" applyFill="1" applyBorder="1" applyAlignment="1">
      <alignment horizontal="center"/>
    </xf>
    <xf numFmtId="203" fontId="125" fillId="12" borderId="2" xfId="0" applyNumberFormat="1" applyFont="1" applyFill="1" applyBorder="1" applyAlignment="1">
      <alignment horizontal="center"/>
    </xf>
    <xf numFmtId="0" fontId="119" fillId="12" borderId="4" xfId="0" applyFont="1" applyFill="1" applyBorder="1" applyAlignment="1">
      <alignment horizontal="center"/>
    </xf>
    <xf numFmtId="179" fontId="125" fillId="12" borderId="0" xfId="0" applyNumberFormat="1" applyFont="1" applyFill="1" applyBorder="1"/>
    <xf numFmtId="195" fontId="125" fillId="12" borderId="0" xfId="16" applyNumberFormat="1" applyFont="1" applyFill="1"/>
    <xf numFmtId="204" fontId="125" fillId="12" borderId="0" xfId="0" applyNumberFormat="1" applyFont="1" applyFill="1" applyAlignment="1">
      <alignment horizontal="right"/>
    </xf>
    <xf numFmtId="37" fontId="125" fillId="12" borderId="0" xfId="0" applyNumberFormat="1" applyFont="1" applyFill="1" applyAlignment="1">
      <alignment horizontal="right"/>
    </xf>
    <xf numFmtId="205" fontId="125" fillId="12" borderId="0" xfId="0" applyNumberFormat="1" applyFont="1" applyFill="1" applyBorder="1" applyAlignment="1" applyProtection="1">
      <alignment horizontal="right"/>
    </xf>
    <xf numFmtId="179" fontId="125" fillId="12" borderId="0" xfId="38" applyNumberFormat="1" applyFont="1" applyFill="1"/>
    <xf numFmtId="37" fontId="118" fillId="12" borderId="0" xfId="16" applyNumberFormat="1" applyFont="1" applyFill="1"/>
    <xf numFmtId="37" fontId="112" fillId="12" borderId="0" xfId="16" applyNumberFormat="1" applyFont="1" applyFill="1"/>
    <xf numFmtId="0" fontId="112" fillId="12" borderId="0" xfId="0" applyFont="1" applyFill="1"/>
    <xf numFmtId="37" fontId="118" fillId="12" borderId="2" xfId="16" applyNumberFormat="1" applyFont="1" applyFill="1" applyBorder="1"/>
    <xf numFmtId="37" fontId="119" fillId="12" borderId="2" xfId="16" applyNumberFormat="1" applyFont="1" applyFill="1" applyBorder="1"/>
    <xf numFmtId="5" fontId="2" fillId="12" borderId="0" xfId="16" applyNumberFormat="1" applyFont="1" applyFill="1"/>
    <xf numFmtId="37" fontId="1" fillId="12" borderId="0" xfId="16" applyNumberFormat="1" applyFont="1" applyFill="1"/>
    <xf numFmtId="174" fontId="119" fillId="12" borderId="0" xfId="10" applyNumberFormat="1" applyFont="1" applyFill="1"/>
    <xf numFmtId="9" fontId="119" fillId="12" borderId="0" xfId="0" applyNumberFormat="1" applyFont="1" applyFill="1"/>
    <xf numFmtId="242" fontId="119" fillId="12" borderId="2" xfId="21" applyNumberFormat="1" applyFont="1" applyFill="1" applyBorder="1" applyAlignment="1">
      <alignment horizontal="center"/>
    </xf>
    <xf numFmtId="242" fontId="119" fillId="17" borderId="2" xfId="21" applyNumberFormat="1" applyFont="1" applyFill="1" applyBorder="1" applyAlignment="1">
      <alignment horizontal="center"/>
    </xf>
    <xf numFmtId="175" fontId="118" fillId="12" borderId="0" xfId="10" applyNumberFormat="1" applyFont="1" applyFill="1"/>
    <xf numFmtId="175" fontId="114" fillId="12" borderId="0" xfId="10" applyNumberFormat="1" applyFont="1" applyFill="1"/>
    <xf numFmtId="175" fontId="119" fillId="12" borderId="0" xfId="10" applyNumberFormat="1" applyFont="1" applyFill="1"/>
    <xf numFmtId="175" fontId="118" fillId="12" borderId="0" xfId="11" applyNumberFormat="1" applyFont="1" applyFill="1"/>
    <xf numFmtId="175" fontId="118" fillId="12" borderId="0" xfId="0" applyNumberFormat="1" applyFont="1" applyFill="1"/>
    <xf numFmtId="175" fontId="119" fillId="12" borderId="0" xfId="0" applyNumberFormat="1" applyFont="1" applyFill="1"/>
    <xf numFmtId="201" fontId="118" fillId="12" borderId="0" xfId="10" applyNumberFormat="1" applyFont="1" applyFill="1" applyAlignment="1">
      <alignment horizontal="right"/>
    </xf>
    <xf numFmtId="201" fontId="112" fillId="12" borderId="0" xfId="10" applyNumberFormat="1" applyFont="1" applyFill="1" applyAlignment="1">
      <alignment horizontal="right"/>
    </xf>
    <xf numFmtId="201" fontId="119" fillId="12" borderId="0" xfId="10" applyNumberFormat="1" applyFont="1" applyFill="1" applyAlignment="1">
      <alignment horizontal="right"/>
    </xf>
    <xf numFmtId="201" fontId="1" fillId="12" borderId="0" xfId="10" applyNumberFormat="1" applyFont="1" applyFill="1" applyAlignment="1">
      <alignment horizontal="right"/>
    </xf>
    <xf numFmtId="201" fontId="2" fillId="12" borderId="0" xfId="10" applyNumberFormat="1" applyFont="1" applyFill="1"/>
    <xf numFmtId="201" fontId="118" fillId="12" borderId="0" xfId="0" applyNumberFormat="1" applyFont="1" applyFill="1" applyAlignment="1">
      <alignment horizontal="right"/>
    </xf>
    <xf numFmtId="201" fontId="118" fillId="12" borderId="0" xfId="16" applyNumberFormat="1" applyFont="1" applyFill="1" applyAlignment="1">
      <alignment horizontal="right"/>
    </xf>
    <xf numFmtId="201" fontId="118" fillId="12" borderId="0" xfId="16" applyNumberFormat="1" applyFont="1" applyFill="1" applyBorder="1" applyAlignment="1">
      <alignment horizontal="right"/>
    </xf>
    <xf numFmtId="201" fontId="118" fillId="12" borderId="0" xfId="10" applyNumberFormat="1" applyFont="1" applyFill="1" applyBorder="1" applyAlignment="1">
      <alignment horizontal="right"/>
    </xf>
    <xf numFmtId="201" fontId="118" fillId="12" borderId="2" xfId="10" applyNumberFormat="1" applyFont="1" applyFill="1" applyBorder="1" applyAlignment="1">
      <alignment horizontal="right"/>
    </xf>
    <xf numFmtId="201" fontId="114" fillId="12" borderId="2" xfId="10" applyNumberFormat="1" applyFont="1" applyFill="1" applyBorder="1" applyAlignment="1">
      <alignment horizontal="right"/>
    </xf>
    <xf numFmtId="201" fontId="119" fillId="12" borderId="2" xfId="10" applyNumberFormat="1" applyFont="1" applyFill="1" applyBorder="1" applyAlignment="1">
      <alignment horizontal="right"/>
    </xf>
    <xf numFmtId="0" fontId="119" fillId="12" borderId="0" xfId="0" applyFont="1" applyFill="1"/>
    <xf numFmtId="201" fontId="114" fillId="12" borderId="0" xfId="16" applyNumberFormat="1" applyFont="1" applyFill="1" applyAlignment="1">
      <alignment horizontal="right"/>
    </xf>
    <xf numFmtId="201" fontId="119" fillId="12" borderId="0" xfId="16" applyNumberFormat="1" applyFont="1" applyFill="1" applyAlignment="1">
      <alignment horizontal="right"/>
    </xf>
    <xf numFmtId="202" fontId="118" fillId="12" borderId="0" xfId="16" applyNumberFormat="1" applyFont="1" applyFill="1" applyAlignment="1">
      <alignment horizontal="right"/>
    </xf>
    <xf numFmtId="207" fontId="112" fillId="12" borderId="0" xfId="0" applyNumberFormat="1" applyFont="1" applyFill="1"/>
    <xf numFmtId="207" fontId="118" fillId="12" borderId="0" xfId="0" applyNumberFormat="1" applyFont="1" applyFill="1"/>
    <xf numFmtId="207" fontId="114" fillId="12" borderId="0" xfId="0" applyNumberFormat="1" applyFont="1" applyFill="1"/>
    <xf numFmtId="207" fontId="119" fillId="12" borderId="0" xfId="0" applyNumberFormat="1" applyFont="1" applyFill="1"/>
    <xf numFmtId="244" fontId="7" fillId="12" borderId="0" xfId="0" applyNumberFormat="1" applyFont="1" applyFill="1" applyBorder="1"/>
    <xf numFmtId="0" fontId="1" fillId="0" borderId="0" xfId="0" applyFont="1"/>
    <xf numFmtId="203" fontId="119" fillId="12" borderId="2" xfId="0" applyNumberFormat="1" applyFont="1" applyFill="1" applyBorder="1" applyAlignment="1">
      <alignment horizontal="centerContinuous"/>
    </xf>
    <xf numFmtId="0" fontId="119" fillId="12" borderId="2" xfId="0" applyFont="1" applyFill="1" applyBorder="1" applyAlignment="1">
      <alignment horizontal="centerContinuous"/>
    </xf>
    <xf numFmtId="196" fontId="124" fillId="12" borderId="0" xfId="0" applyNumberFormat="1" applyFont="1" applyFill="1" applyAlignment="1">
      <alignment horizontal="center"/>
    </xf>
    <xf numFmtId="0" fontId="7" fillId="11" borderId="0" xfId="18" applyFont="1" applyFill="1"/>
    <xf numFmtId="242" fontId="119" fillId="11" borderId="2" xfId="21" applyNumberFormat="1" applyFont="1" applyFill="1" applyBorder="1" applyAlignment="1">
      <alignment horizontal="center"/>
    </xf>
    <xf numFmtId="0" fontId="2" fillId="11" borderId="0" xfId="18" applyFont="1" applyFill="1"/>
    <xf numFmtId="175" fontId="7" fillId="11" borderId="0" xfId="12" applyNumberFormat="1" applyFont="1" applyFill="1"/>
    <xf numFmtId="179" fontId="103" fillId="11" borderId="0" xfId="40" applyNumberFormat="1" applyFont="1" applyFill="1"/>
    <xf numFmtId="9" fontId="103" fillId="11" borderId="0" xfId="40" applyNumberFormat="1" applyFont="1" applyFill="1"/>
    <xf numFmtId="175" fontId="7" fillId="11" borderId="2" xfId="12" applyNumberFormat="1" applyFont="1" applyFill="1" applyBorder="1"/>
    <xf numFmtId="175" fontId="7" fillId="11" borderId="0" xfId="18" applyNumberFormat="1" applyFont="1" applyFill="1"/>
    <xf numFmtId="0" fontId="104" fillId="11" borderId="0" xfId="18" applyFont="1" applyFill="1"/>
    <xf numFmtId="179" fontId="7" fillId="11" borderId="0" xfId="40" applyNumberFormat="1" applyFont="1" applyFill="1"/>
    <xf numFmtId="0" fontId="106" fillId="11" borderId="0" xfId="18" applyFont="1" applyFill="1"/>
    <xf numFmtId="0" fontId="107" fillId="11" borderId="0" xfId="18" applyFont="1" applyFill="1" applyAlignment="1">
      <alignment horizontal="center"/>
    </xf>
    <xf numFmtId="7" fontId="7" fillId="11" borderId="0" xfId="18" applyNumberFormat="1" applyFont="1" applyFill="1"/>
    <xf numFmtId="9" fontId="100" fillId="11" borderId="0" xfId="40" applyFont="1" applyFill="1"/>
    <xf numFmtId="44" fontId="7" fillId="12" borderId="0" xfId="0" applyNumberFormat="1" applyFont="1" applyFill="1" applyBorder="1"/>
    <xf numFmtId="195" fontId="22" fillId="12" borderId="0" xfId="0" applyNumberFormat="1" applyFont="1" applyFill="1" applyBorder="1" applyProtection="1"/>
    <xf numFmtId="37" fontId="22" fillId="12" borderId="0" xfId="10" applyNumberFormat="1" applyFont="1" applyFill="1" applyBorder="1"/>
    <xf numFmtId="0" fontId="68" fillId="12" borderId="0" xfId="0" applyFont="1" applyFill="1" applyBorder="1"/>
    <xf numFmtId="196" fontId="68" fillId="0" borderId="17" xfId="0" applyNumberFormat="1" applyFont="1" applyFill="1" applyBorder="1" applyAlignment="1">
      <alignment horizontal="center"/>
    </xf>
    <xf numFmtId="43" fontId="7" fillId="0" borderId="15" xfId="0" applyNumberFormat="1" applyFont="1" applyFill="1" applyBorder="1"/>
    <xf numFmtId="204" fontId="7" fillId="0" borderId="15" xfId="38" applyNumberFormat="1" applyFont="1" applyFill="1" applyBorder="1"/>
    <xf numFmtId="204" fontId="7" fillId="0" borderId="15" xfId="38" applyNumberFormat="1" applyFont="1" applyFill="1" applyBorder="1" applyAlignment="1">
      <alignment horizontal="right"/>
    </xf>
    <xf numFmtId="204" fontId="7" fillId="0" borderId="18" xfId="38" applyNumberFormat="1" applyFont="1" applyFill="1" applyBorder="1"/>
    <xf numFmtId="203" fontId="119" fillId="0" borderId="4" xfId="0" applyNumberFormat="1" applyFont="1" applyFill="1" applyBorder="1" applyAlignment="1">
      <alignment horizontal="centerContinuous"/>
    </xf>
    <xf numFmtId="0" fontId="2" fillId="0" borderId="4" xfId="0" applyFont="1" applyFill="1" applyBorder="1" applyAlignment="1">
      <alignment horizontal="centerContinuous"/>
    </xf>
    <xf numFmtId="0" fontId="124" fillId="0" borderId="0" xfId="0" applyFont="1" applyFill="1" applyBorder="1" applyAlignment="1">
      <alignment horizontal="center"/>
    </xf>
    <xf numFmtId="0" fontId="7" fillId="0" borderId="0" xfId="0" applyFont="1" applyFill="1" applyBorder="1"/>
    <xf numFmtId="5" fontId="7" fillId="0" borderId="0" xfId="16" applyNumberFormat="1" applyFont="1" applyFill="1" applyBorder="1"/>
    <xf numFmtId="37" fontId="7" fillId="0" borderId="0" xfId="16" applyNumberFormat="1" applyFont="1" applyFill="1" applyBorder="1"/>
    <xf numFmtId="201" fontId="7" fillId="0" borderId="0" xfId="16" applyNumberFormat="1" applyFont="1" applyFill="1" applyBorder="1"/>
    <xf numFmtId="201" fontId="7" fillId="0" borderId="0" xfId="16" applyNumberFormat="1" applyFont="1" applyFill="1" applyBorder="1" applyAlignment="1">
      <alignment horizontal="right"/>
    </xf>
    <xf numFmtId="7" fontId="7" fillId="0" borderId="11" xfId="10" applyNumberFormat="1" applyFont="1" applyFill="1" applyBorder="1" applyAlignment="1">
      <alignment horizontal="right"/>
    </xf>
    <xf numFmtId="7" fontId="7" fillId="0" borderId="17" xfId="10" applyNumberFormat="1" applyFont="1" applyFill="1" applyBorder="1" applyAlignment="1">
      <alignment horizontal="right"/>
    </xf>
    <xf numFmtId="7" fontId="2" fillId="0" borderId="18" xfId="10" applyNumberFormat="1" applyFont="1" applyFill="1" applyBorder="1" applyAlignment="1">
      <alignment horizontal="right"/>
    </xf>
    <xf numFmtId="7" fontId="7" fillId="0" borderId="2" xfId="10" applyNumberFormat="1" applyFont="1" applyFill="1" applyBorder="1" applyAlignment="1">
      <alignment horizontal="right"/>
    </xf>
    <xf numFmtId="7" fontId="7" fillId="0" borderId="18" xfId="10" applyNumberFormat="1" applyFont="1" applyFill="1" applyBorder="1" applyAlignment="1">
      <alignment horizontal="right"/>
    </xf>
    <xf numFmtId="7" fontId="7" fillId="0" borderId="0" xfId="10" applyNumberFormat="1" applyFont="1" applyFill="1" applyBorder="1" applyAlignment="1">
      <alignment horizontal="right"/>
    </xf>
    <xf numFmtId="7" fontId="7" fillId="0" borderId="0" xfId="0" applyNumberFormat="1" applyFont="1" applyFill="1"/>
    <xf numFmtId="174" fontId="7" fillId="0" borderId="0" xfId="10" applyNumberFormat="1" applyFont="1" applyFill="1" applyBorder="1"/>
    <xf numFmtId="174" fontId="7" fillId="0" borderId="0" xfId="10" applyNumberFormat="1" applyFont="1" applyFill="1" applyBorder="1" applyAlignment="1">
      <alignment horizontal="right"/>
    </xf>
    <xf numFmtId="37" fontId="7" fillId="0" borderId="0" xfId="16" applyNumberFormat="1" applyFont="1" applyFill="1" applyBorder="1" applyAlignment="1">
      <alignment horizontal="right"/>
    </xf>
    <xf numFmtId="195" fontId="7" fillId="0" borderId="0" xfId="0" applyNumberFormat="1" applyFont="1" applyFill="1" applyBorder="1"/>
    <xf numFmtId="244" fontId="7" fillId="0" borderId="0" xfId="0" applyNumberFormat="1" applyFont="1" applyFill="1" applyBorder="1"/>
    <xf numFmtId="204" fontId="7" fillId="0" borderId="0" xfId="38" applyNumberFormat="1" applyFont="1" applyFill="1" applyBorder="1" applyAlignment="1">
      <alignment horizontal="right"/>
    </xf>
    <xf numFmtId="237" fontId="7" fillId="0" borderId="0" xfId="38" applyNumberFormat="1" applyFont="1" applyFill="1" applyBorder="1" applyAlignment="1">
      <alignment horizontal="right"/>
    </xf>
    <xf numFmtId="204" fontId="7" fillId="0" borderId="0" xfId="0" applyNumberFormat="1" applyFont="1" applyFill="1" applyBorder="1"/>
    <xf numFmtId="203" fontId="119" fillId="0" borderId="17" xfId="0" applyNumberFormat="1" applyFont="1" applyFill="1" applyBorder="1" applyAlignment="1">
      <alignment horizontal="center"/>
    </xf>
    <xf numFmtId="0" fontId="68" fillId="0" borderId="15" xfId="0" applyFont="1" applyFill="1" applyBorder="1" applyAlignment="1">
      <alignment horizontal="center"/>
    </xf>
    <xf numFmtId="0" fontId="7" fillId="0" borderId="15" xfId="0" applyFont="1" applyFill="1" applyBorder="1"/>
    <xf numFmtId="5" fontId="7" fillId="0" borderId="15" xfId="16" applyNumberFormat="1" applyFont="1" applyFill="1" applyBorder="1"/>
    <xf numFmtId="43" fontId="7" fillId="0" borderId="15" xfId="10" applyFont="1" applyFill="1" applyBorder="1"/>
    <xf numFmtId="37" fontId="7" fillId="0" borderId="15" xfId="16" applyNumberFormat="1" applyFont="1" applyFill="1" applyBorder="1"/>
    <xf numFmtId="201" fontId="7" fillId="0" borderId="15" xfId="10" applyNumberFormat="1" applyFont="1" applyFill="1" applyBorder="1"/>
    <xf numFmtId="7" fontId="7" fillId="0" borderId="15" xfId="10" applyNumberFormat="1" applyFont="1" applyFill="1" applyBorder="1" applyAlignment="1">
      <alignment horizontal="right"/>
    </xf>
    <xf numFmtId="174" fontId="7" fillId="0" borderId="15" xfId="10" applyNumberFormat="1" applyFont="1" applyFill="1" applyBorder="1"/>
    <xf numFmtId="174" fontId="72" fillId="0" borderId="15" xfId="0" applyNumberFormat="1" applyFont="1" applyFill="1" applyBorder="1" applyAlignment="1">
      <alignment horizontal="right"/>
    </xf>
    <xf numFmtId="37" fontId="7" fillId="0" borderId="15" xfId="16" applyNumberFormat="1" applyFont="1" applyFill="1" applyBorder="1" applyAlignment="1">
      <alignment horizontal="right"/>
    </xf>
    <xf numFmtId="204" fontId="7" fillId="0" borderId="15" xfId="0" applyNumberFormat="1" applyFont="1" applyFill="1" applyBorder="1"/>
    <xf numFmtId="204" fontId="7" fillId="0" borderId="18" xfId="38" applyNumberFormat="1" applyFont="1" applyFill="1" applyBorder="1" applyAlignment="1">
      <alignment horizontal="right"/>
    </xf>
    <xf numFmtId="175" fontId="7" fillId="0" borderId="15" xfId="10" applyNumberFormat="1" applyFont="1" applyFill="1" applyBorder="1"/>
    <xf numFmtId="239" fontId="7" fillId="0" borderId="15" xfId="16" applyNumberFormat="1" applyFont="1" applyFill="1" applyBorder="1"/>
    <xf numFmtId="239" fontId="7" fillId="0" borderId="18" xfId="16" applyNumberFormat="1" applyFont="1" applyFill="1" applyBorder="1"/>
    <xf numFmtId="175" fontId="7" fillId="0" borderId="0" xfId="0" applyNumberFormat="1" applyFont="1" applyFill="1"/>
    <xf numFmtId="164" fontId="7" fillId="0" borderId="0" xfId="0" applyNumberFormat="1" applyFont="1" applyFill="1"/>
    <xf numFmtId="205" fontId="125" fillId="0" borderId="0" xfId="0" applyNumberFormat="1" applyFont="1" applyFill="1" applyBorder="1" applyAlignment="1" applyProtection="1">
      <alignment horizontal="right"/>
    </xf>
    <xf numFmtId="179" fontId="125" fillId="0" borderId="0" xfId="0" applyNumberFormat="1" applyFont="1" applyFill="1" applyBorder="1"/>
    <xf numFmtId="195" fontId="22" fillId="12" borderId="8" xfId="0" applyNumberFormat="1" applyFont="1" applyFill="1" applyBorder="1" applyProtection="1"/>
    <xf numFmtId="203" fontId="119" fillId="0" borderId="2" xfId="0" applyNumberFormat="1" applyFont="1" applyFill="1" applyBorder="1" applyAlignment="1">
      <alignment horizontal="centerContinuous"/>
    </xf>
    <xf numFmtId="0" fontId="119" fillId="0" borderId="2" xfId="0" applyFont="1" applyFill="1" applyBorder="1" applyAlignment="1">
      <alignment horizontal="centerContinuous"/>
    </xf>
    <xf numFmtId="175" fontId="65" fillId="0" borderId="0" xfId="10" applyNumberFormat="1" applyFont="1" applyFill="1"/>
    <xf numFmtId="0" fontId="7" fillId="0" borderId="0" xfId="0" applyFont="1" applyFill="1" applyAlignment="1">
      <alignment horizontal="centerContinuous"/>
    </xf>
    <xf numFmtId="175" fontId="118" fillId="0" borderId="0" xfId="10" applyNumberFormat="1" applyFont="1" applyFill="1"/>
    <xf numFmtId="174" fontId="26" fillId="0" borderId="0" xfId="10" applyNumberFormat="1" applyFont="1" applyFill="1" applyAlignment="1">
      <alignment horizontal="right"/>
    </xf>
    <xf numFmtId="209" fontId="7" fillId="0" borderId="0" xfId="10" applyNumberFormat="1" applyFont="1" applyFill="1" applyAlignment="1">
      <alignment horizontal="left"/>
    </xf>
    <xf numFmtId="175" fontId="56" fillId="0" borderId="0" xfId="10" applyNumberFormat="1" applyFont="1" applyFill="1"/>
    <xf numFmtId="174" fontId="122" fillId="0" borderId="0" xfId="10" applyNumberFormat="1" applyFont="1" applyFill="1" applyAlignment="1">
      <alignment horizontal="right"/>
    </xf>
    <xf numFmtId="175" fontId="2" fillId="0" borderId="0" xfId="10" applyNumberFormat="1" applyFont="1" applyFill="1"/>
    <xf numFmtId="174" fontId="69" fillId="0" borderId="0" xfId="10" applyNumberFormat="1" applyFont="1" applyFill="1" applyAlignment="1">
      <alignment horizontal="right"/>
    </xf>
    <xf numFmtId="175" fontId="7" fillId="0" borderId="0" xfId="38" applyNumberFormat="1" applyFont="1" applyFill="1"/>
    <xf numFmtId="0" fontId="56" fillId="0" borderId="0" xfId="0" applyFont="1" applyFill="1"/>
    <xf numFmtId="175" fontId="7" fillId="0" borderId="0" xfId="10" applyNumberFormat="1" applyFont="1" applyFill="1"/>
    <xf numFmtId="0" fontId="56" fillId="0" borderId="0" xfId="0" applyFont="1" applyFill="1" applyAlignment="1">
      <alignment horizontal="centerContinuous"/>
    </xf>
    <xf numFmtId="175" fontId="56" fillId="0" borderId="0" xfId="0" applyNumberFormat="1" applyFont="1" applyFill="1" applyAlignment="1">
      <alignment horizontal="centerContinuous"/>
    </xf>
    <xf numFmtId="175" fontId="2" fillId="0" borderId="0" xfId="0" applyNumberFormat="1" applyFont="1" applyFill="1"/>
    <xf numFmtId="195" fontId="7" fillId="0" borderId="0" xfId="10" applyNumberFormat="1" applyFont="1" applyFill="1" applyAlignment="1">
      <alignment horizontal="right"/>
    </xf>
    <xf numFmtId="206" fontId="7" fillId="0" borderId="0" xfId="0" applyNumberFormat="1" applyFont="1" applyFill="1"/>
    <xf numFmtId="165" fontId="7" fillId="0" borderId="0" xfId="0" applyNumberFormat="1" applyFont="1" applyFill="1"/>
    <xf numFmtId="174" fontId="126" fillId="0" borderId="0" xfId="10" applyNumberFormat="1" applyFont="1" applyFill="1" applyAlignment="1">
      <alignment horizontal="right"/>
    </xf>
    <xf numFmtId="204" fontId="119" fillId="0" borderId="0" xfId="38" applyNumberFormat="1" applyFont="1" applyFill="1" applyBorder="1"/>
    <xf numFmtId="165" fontId="26" fillId="0" borderId="0" xfId="0" applyNumberFormat="1" applyFont="1" applyFill="1" applyBorder="1"/>
    <xf numFmtId="165" fontId="122" fillId="0" borderId="0" xfId="0" applyNumberFormat="1" applyFont="1" applyFill="1" applyBorder="1"/>
    <xf numFmtId="5" fontId="1" fillId="12" borderId="0" xfId="0" applyNumberFormat="1" applyFont="1" applyFill="1" applyAlignment="1">
      <alignment horizontal="right"/>
    </xf>
    <xf numFmtId="195" fontId="119" fillId="0" borderId="0" xfId="0" applyNumberFormat="1" applyFont="1" applyFill="1"/>
    <xf numFmtId="177" fontId="114" fillId="0" borderId="0" xfId="0" applyNumberFormat="1" applyFont="1" applyFill="1"/>
    <xf numFmtId="173" fontId="7" fillId="0" borderId="0" xfId="0" applyNumberFormat="1" applyFont="1" applyFill="1"/>
    <xf numFmtId="173" fontId="7" fillId="0" borderId="2" xfId="0" applyNumberFormat="1" applyFont="1" applyFill="1" applyBorder="1"/>
    <xf numFmtId="177" fontId="7" fillId="0" borderId="0" xfId="0" applyNumberFormat="1" applyFont="1" applyFill="1"/>
    <xf numFmtId="3" fontId="7" fillId="0" borderId="0" xfId="0" applyNumberFormat="1" applyFont="1" applyFill="1"/>
    <xf numFmtId="3" fontId="119" fillId="12" borderId="0" xfId="0" applyNumberFormat="1" applyFont="1" applyFill="1"/>
    <xf numFmtId="179" fontId="26" fillId="16" borderId="0" xfId="40" applyNumberFormat="1" applyFont="1" applyFill="1"/>
    <xf numFmtId="0" fontId="66" fillId="0" borderId="0" xfId="0" applyFont="1" applyBorder="1" applyAlignment="1">
      <alignment horizontal="centerContinuous"/>
    </xf>
    <xf numFmtId="0" fontId="111" fillId="14" borderId="0" xfId="0" applyFont="1" applyFill="1" applyBorder="1" applyAlignment="1">
      <alignment horizontal="center"/>
    </xf>
    <xf numFmtId="175" fontId="10" fillId="12" borderId="0" xfId="10" applyNumberFormat="1" applyFont="1" applyFill="1" applyProtection="1"/>
    <xf numFmtId="217" fontId="127" fillId="12" borderId="0" xfId="10" applyNumberFormat="1" applyFont="1" applyFill="1" applyBorder="1" applyAlignment="1" applyProtection="1">
      <alignment horizontal="right"/>
    </xf>
    <xf numFmtId="176" fontId="113" fillId="12" borderId="0" xfId="33" applyFont="1" applyFill="1" applyAlignment="1">
      <alignment horizontal="right"/>
    </xf>
    <xf numFmtId="37" fontId="114" fillId="12" borderId="0" xfId="0" applyNumberFormat="1" applyFont="1" applyFill="1"/>
    <xf numFmtId="37" fontId="119" fillId="12" borderId="0" xfId="0" applyNumberFormat="1" applyFont="1" applyFill="1"/>
    <xf numFmtId="37" fontId="119" fillId="12" borderId="2" xfId="0" applyNumberFormat="1" applyFont="1" applyFill="1" applyBorder="1"/>
    <xf numFmtId="37" fontId="114" fillId="12" borderId="2" xfId="0" applyNumberFormat="1" applyFont="1" applyFill="1" applyBorder="1"/>
    <xf numFmtId="37" fontId="114" fillId="12" borderId="0" xfId="0" applyNumberFormat="1" applyFont="1" applyFill="1" applyAlignment="1">
      <alignment horizontal="right"/>
    </xf>
    <xf numFmtId="37" fontId="114" fillId="12" borderId="2" xfId="0" applyNumberFormat="1" applyFont="1" applyFill="1" applyBorder="1" applyAlignment="1">
      <alignment horizontal="right"/>
    </xf>
    <xf numFmtId="165" fontId="114" fillId="12" borderId="0" xfId="10" applyNumberFormat="1" applyFont="1" applyFill="1" applyBorder="1" applyAlignment="1">
      <alignment horizontal="right"/>
    </xf>
    <xf numFmtId="165" fontId="114" fillId="12" borderId="2" xfId="10" applyNumberFormat="1" applyFont="1" applyFill="1" applyBorder="1" applyAlignment="1">
      <alignment horizontal="right"/>
    </xf>
    <xf numFmtId="165" fontId="1" fillId="12" borderId="0" xfId="10" applyNumberFormat="1" applyFont="1" applyFill="1"/>
    <xf numFmtId="0" fontId="1" fillId="0" borderId="11" xfId="0" applyFont="1" applyBorder="1"/>
    <xf numFmtId="0" fontId="0" fillId="0" borderId="11" xfId="0" applyBorder="1"/>
    <xf numFmtId="5" fontId="0" fillId="0" borderId="11" xfId="0" applyNumberFormat="1" applyBorder="1"/>
    <xf numFmtId="165" fontId="0" fillId="0" borderId="0" xfId="0" applyNumberFormat="1"/>
    <xf numFmtId="7" fontId="0" fillId="0" borderId="11" xfId="0" applyNumberFormat="1" applyBorder="1"/>
    <xf numFmtId="0" fontId="2" fillId="0" borderId="27" xfId="0" applyFont="1" applyFill="1" applyBorder="1"/>
    <xf numFmtId="165" fontId="1" fillId="12" borderId="1" xfId="0" applyNumberFormat="1" applyFont="1" applyFill="1" applyBorder="1" applyAlignment="1">
      <alignment horizontal="right"/>
    </xf>
    <xf numFmtId="246" fontId="26" fillId="12" borderId="0" xfId="0" applyNumberFormat="1" applyFont="1" applyFill="1" applyAlignment="1">
      <alignment horizontal="left"/>
    </xf>
    <xf numFmtId="165" fontId="1" fillId="12" borderId="0" xfId="0" applyNumberFormat="1" applyFont="1" applyFill="1" applyBorder="1"/>
    <xf numFmtId="37" fontId="118" fillId="0" borderId="2" xfId="0" applyNumberFormat="1" applyFont="1" applyFill="1" applyBorder="1" applyAlignment="1">
      <alignment horizontal="right"/>
    </xf>
    <xf numFmtId="177" fontId="114" fillId="0" borderId="0" xfId="0" applyNumberFormat="1" applyFont="1" applyFill="1" applyBorder="1"/>
    <xf numFmtId="177" fontId="114" fillId="0" borderId="2" xfId="0" applyNumberFormat="1" applyFont="1" applyFill="1" applyBorder="1"/>
    <xf numFmtId="175" fontId="116" fillId="12" borderId="0" xfId="10" applyNumberFormat="1" applyFont="1" applyFill="1" applyProtection="1"/>
    <xf numFmtId="217" fontId="117" fillId="12" borderId="0" xfId="10" applyNumberFormat="1" applyFont="1" applyFill="1" applyBorder="1" applyAlignment="1" applyProtection="1">
      <alignment horizontal="right"/>
    </xf>
    <xf numFmtId="175" fontId="1" fillId="12" borderId="0" xfId="10" applyNumberFormat="1" applyFont="1" applyFill="1"/>
    <xf numFmtId="201" fontId="118" fillId="0" borderId="0" xfId="10" applyNumberFormat="1" applyFont="1" applyFill="1" applyAlignment="1">
      <alignment horizontal="right"/>
    </xf>
    <xf numFmtId="201" fontId="1" fillId="0" borderId="0" xfId="10" applyNumberFormat="1" applyFont="1" applyFill="1"/>
    <xf numFmtId="201" fontId="119" fillId="0" borderId="0" xfId="10" applyNumberFormat="1" applyFont="1" applyFill="1" applyAlignment="1">
      <alignment horizontal="right"/>
    </xf>
    <xf numFmtId="201" fontId="65" fillId="0" borderId="2" xfId="10" applyNumberFormat="1" applyFont="1" applyFill="1" applyBorder="1"/>
    <xf numFmtId="37" fontId="118" fillId="0" borderId="0" xfId="0" applyNumberFormat="1" applyFont="1" applyFill="1" applyAlignment="1" applyProtection="1">
      <alignment horizontal="right"/>
    </xf>
    <xf numFmtId="0" fontId="114" fillId="0" borderId="0" xfId="0" applyFont="1" applyFill="1"/>
    <xf numFmtId="201" fontId="114" fillId="0" borderId="0" xfId="16" applyNumberFormat="1" applyFont="1" applyFill="1" applyAlignment="1">
      <alignment horizontal="right"/>
    </xf>
    <xf numFmtId="201" fontId="118" fillId="0" borderId="0" xfId="16" applyNumberFormat="1" applyFont="1" applyFill="1" applyAlignment="1">
      <alignment horizontal="right"/>
    </xf>
    <xf numFmtId="201" fontId="118" fillId="0" borderId="0" xfId="16" applyNumberFormat="1" applyFont="1" applyFill="1" applyBorder="1" applyAlignment="1">
      <alignment horizontal="right"/>
    </xf>
    <xf numFmtId="201" fontId="114" fillId="0" borderId="2" xfId="10" applyNumberFormat="1" applyFont="1" applyFill="1" applyBorder="1" applyAlignment="1">
      <alignment horizontal="right"/>
    </xf>
    <xf numFmtId="201" fontId="119" fillId="0" borderId="0" xfId="16" applyNumberFormat="1" applyFont="1" applyFill="1" applyAlignment="1">
      <alignment horizontal="right"/>
    </xf>
    <xf numFmtId="207" fontId="114" fillId="0" borderId="0" xfId="0" applyNumberFormat="1" applyFont="1" applyFill="1"/>
    <xf numFmtId="207" fontId="118" fillId="0" borderId="0" xfId="0" applyNumberFormat="1" applyFont="1" applyFill="1"/>
    <xf numFmtId="9" fontId="119" fillId="0" borderId="0" xfId="0" applyNumberFormat="1" applyFont="1" applyFill="1"/>
    <xf numFmtId="208" fontId="7" fillId="0" borderId="0" xfId="10" applyNumberFormat="1" applyFont="1" applyFill="1" applyAlignment="1">
      <alignment horizontal="right"/>
    </xf>
    <xf numFmtId="206" fontId="7" fillId="0" borderId="0" xfId="0" applyNumberFormat="1" applyFont="1" applyFill="1" applyBorder="1" applyAlignment="1"/>
    <xf numFmtId="5" fontId="118" fillId="12" borderId="0" xfId="16" applyNumberFormat="1" applyFont="1" applyFill="1"/>
    <xf numFmtId="200" fontId="118" fillId="12" borderId="0" xfId="16" applyNumberFormat="1" applyFont="1" applyFill="1"/>
    <xf numFmtId="200" fontId="118" fillId="12" borderId="2" xfId="16" applyNumberFormat="1" applyFont="1" applyFill="1" applyBorder="1"/>
    <xf numFmtId="37" fontId="2" fillId="12" borderId="0" xfId="0" applyNumberFormat="1" applyFont="1" applyFill="1" applyAlignment="1">
      <alignment horizontal="center"/>
    </xf>
    <xf numFmtId="0" fontId="2" fillId="13" borderId="0" xfId="18" applyFont="1" applyFill="1" applyAlignment="1">
      <alignment horizontal="center"/>
    </xf>
    <xf numFmtId="0" fontId="2" fillId="16" borderId="0" xfId="18" applyFont="1" applyFill="1" applyAlignment="1">
      <alignment horizontal="center"/>
    </xf>
    <xf numFmtId="252" fontId="23" fillId="12" borderId="0" xfId="0" applyNumberFormat="1" applyFont="1" applyFill="1"/>
    <xf numFmtId="254" fontId="7" fillId="12" borderId="0" xfId="10" applyNumberFormat="1" applyFont="1" applyFill="1" applyBorder="1"/>
    <xf numFmtId="254" fontId="23" fillId="12" borderId="0" xfId="0" applyNumberFormat="1" applyFont="1" applyFill="1"/>
    <xf numFmtId="257" fontId="23" fillId="12" borderId="0" xfId="0" applyNumberFormat="1" applyFont="1" applyFill="1"/>
    <xf numFmtId="257" fontId="7" fillId="12" borderId="0" xfId="10" applyNumberFormat="1" applyFont="1" applyFill="1" applyBorder="1"/>
    <xf numFmtId="0" fontId="1" fillId="9" borderId="0" xfId="45" applyFont="1" applyFill="1" applyAlignment="1">
      <alignment vertical="top"/>
    </xf>
    <xf numFmtId="0" fontId="1" fillId="9" borderId="0" xfId="1" applyFill="1" applyAlignment="1">
      <alignment vertical="top"/>
    </xf>
    <xf numFmtId="0" fontId="1" fillId="9" borderId="0" xfId="1" applyFill="1"/>
    <xf numFmtId="0" fontId="62" fillId="9" borderId="0" xfId="45" applyFont="1" applyFill="1" applyAlignment="1">
      <alignment horizontal="left" vertical="top"/>
    </xf>
    <xf numFmtId="0" fontId="1" fillId="9" borderId="0" xfId="1" applyFont="1" applyFill="1" applyAlignment="1">
      <alignment vertical="top"/>
    </xf>
    <xf numFmtId="0" fontId="26" fillId="9" borderId="0" xfId="45" applyFont="1" applyFill="1" applyAlignment="1">
      <alignment vertical="top"/>
    </xf>
    <xf numFmtId="0" fontId="0" fillId="9" borderId="0" xfId="0" applyFill="1" applyAlignment="1">
      <alignment vertical="top"/>
    </xf>
    <xf numFmtId="0" fontId="123" fillId="9" borderId="0" xfId="0" applyFont="1" applyFill="1" applyAlignment="1">
      <alignment vertical="top"/>
    </xf>
    <xf numFmtId="0" fontId="128" fillId="9" borderId="0" xfId="0" applyFont="1" applyFill="1" applyAlignment="1">
      <alignment vertical="top"/>
    </xf>
    <xf numFmtId="0" fontId="128" fillId="9" borderId="0" xfId="0" applyFont="1" applyFill="1" applyAlignment="1">
      <alignment vertical="top"/>
    </xf>
    <xf numFmtId="0" fontId="123" fillId="9" borderId="0" xfId="0" applyFont="1" applyFill="1" applyAlignment="1">
      <alignment vertical="top"/>
    </xf>
    <xf numFmtId="0" fontId="0" fillId="9" borderId="0" xfId="0" applyFill="1" applyAlignment="1">
      <alignment vertical="top"/>
    </xf>
    <xf numFmtId="0" fontId="0" fillId="9" borderId="41" xfId="0" applyFill="1" applyBorder="1" applyAlignment="1">
      <alignment vertical="top"/>
    </xf>
    <xf numFmtId="0" fontId="123" fillId="9" borderId="37" xfId="0" applyFont="1" applyFill="1" applyBorder="1" applyAlignment="1">
      <alignment vertical="top"/>
    </xf>
    <xf numFmtId="0" fontId="123" fillId="9" borderId="38" xfId="0" applyFont="1" applyFill="1" applyBorder="1" applyAlignment="1">
      <alignment vertical="top"/>
    </xf>
    <xf numFmtId="0" fontId="123" fillId="9" borderId="39" xfId="0" applyFont="1" applyFill="1" applyBorder="1" applyAlignment="1">
      <alignment vertical="top"/>
    </xf>
    <xf numFmtId="0" fontId="123" fillId="9" borderId="40" xfId="0" applyFont="1" applyFill="1" applyBorder="1" applyAlignment="1">
      <alignment vertical="top"/>
    </xf>
    <xf numFmtId="9" fontId="123" fillId="9" borderId="37" xfId="0" applyNumberFormat="1" applyFont="1" applyFill="1" applyBorder="1" applyAlignment="1">
      <alignment vertical="top"/>
    </xf>
    <xf numFmtId="3" fontId="123" fillId="9" borderId="37" xfId="0" applyNumberFormat="1" applyFont="1" applyFill="1" applyBorder="1" applyAlignment="1">
      <alignment vertical="top"/>
    </xf>
    <xf numFmtId="0" fontId="0" fillId="9" borderId="42" xfId="0"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263" fontId="1" fillId="0" borderId="0" xfId="1" applyNumberFormat="1" applyAlignment="1">
      <alignment horizontal="left"/>
    </xf>
    <xf numFmtId="49" fontId="1" fillId="0" borderId="0" xfId="1" applyNumberFormat="1"/>
  </cellXfs>
  <cellStyles count="46">
    <cellStyle name=" 1" xfId="2"/>
    <cellStyle name="******************************************" xfId="3"/>
    <cellStyle name="_FY Guidancev2 " xfId="4"/>
    <cellStyle name="_SUMMARY " xfId="5"/>
    <cellStyle name="0_Capex &amp; Depreciation " xfId="7"/>
    <cellStyle name="0_Valuing BP " xfId="8"/>
    <cellStyle name="c_HardInc " xfId="9"/>
    <cellStyle name="Comma" xfId="10" builtinId="3"/>
    <cellStyle name="Comma 2" xfId="11"/>
    <cellStyle name="Comma 3" xfId="12"/>
    <cellStyle name="Comma_Lease Module TPG example 30062004 capex" xfId="13"/>
    <cellStyle name="Comma_NMG" xfId="14"/>
    <cellStyle name="Comma_TPG lease ex Leon" xfId="15"/>
    <cellStyle name="Currency" xfId="16" builtinId="4"/>
    <cellStyle name="Currency 2" xfId="17"/>
    <cellStyle name="Normal" xfId="0" builtinId="0"/>
    <cellStyle name="Normal 2" xfId="18"/>
    <cellStyle name="Normal 2 2" xfId="19"/>
    <cellStyle name="Normal 3" xfId="1"/>
    <cellStyle name="Normal 9" xfId="20"/>
    <cellStyle name="Normal_ABSANUAL" xfId="21"/>
    <cellStyle name="Normal_Analysis V5" xfId="22"/>
    <cellStyle name="Normal_AXP_interactive_final" xfId="23"/>
    <cellStyle name="Normal_DisclaimerSheet Samples" xfId="45"/>
    <cellStyle name="Normal_GM Demo" xfId="24"/>
    <cellStyle name="Normal_GPSDIFF" xfId="25"/>
    <cellStyle name="Normal_hd roic" xfId="26"/>
    <cellStyle name="Normal_Lease examples 23072004" xfId="27"/>
    <cellStyle name="Normal_MONTHSAL" xfId="28"/>
    <cellStyle name="Normal_NEWSPACE" xfId="29"/>
    <cellStyle name="Normal_qtrP&amp;L" xfId="30"/>
    <cellStyle name="Normal_qtrSales" xfId="31"/>
    <cellStyle name="Normal_RSH" xfId="32"/>
    <cellStyle name="Normal_SALES_ROSTMONTH" xfId="33"/>
    <cellStyle name="Normal_Sheet1_1" xfId="34"/>
    <cellStyle name="Normal_STORESUM" xfId="35"/>
    <cellStyle name="Normal_turn" xfId="36"/>
    <cellStyle name="p " xfId="37"/>
    <cellStyle name="Percent" xfId="38" builtinId="5"/>
    <cellStyle name="Percent 2" xfId="39"/>
    <cellStyle name="Percent 3" xfId="40"/>
    <cellStyle name="RRSInstruction" xfId="41"/>
    <cellStyle name="RRSInstruction 2" xfId="6"/>
    <cellStyle name="s_HardInc " xfId="42"/>
    <cellStyle name="s_Valuation " xfId="43"/>
    <cellStyle name="ssp " xfId="44"/>
  </cellStyles>
  <dxfs count="5">
    <dxf>
      <font>
        <color rgb="FF006100"/>
      </font>
      <fill>
        <patternFill>
          <bgColor rgb="FFC6EFCE"/>
        </patternFill>
      </fill>
    </dxf>
    <dxf>
      <font>
        <color rgb="FF006100"/>
      </font>
      <fill>
        <patternFill>
          <bgColor rgb="FFC6EFCE"/>
        </patternFill>
      </fill>
    </dxf>
    <dxf>
      <font>
        <b val="0"/>
        <i/>
        <condense val="0"/>
        <extend val="0"/>
        <color indexed="10"/>
      </font>
    </dxf>
    <dxf>
      <font>
        <b val="0"/>
        <i/>
        <condense val="0"/>
        <extend val="0"/>
        <color indexed="17"/>
      </font>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externalLinks/externalLink1.xml" Type="http://schemas.openxmlformats.org/officeDocument/2006/relationships/externalLink"/>
<Relationship Id="rId23" Target="externalLinks/externalLink2.xml" Type="http://schemas.openxmlformats.org/officeDocument/2006/relationships/externalLink"/>
<Relationship Id="rId24" Target="externalLinks/externalLink3.xml" Type="http://schemas.openxmlformats.org/officeDocument/2006/relationships/externalLink"/>
<Relationship Id="rId25" Target="externalLinks/externalLink4.xml" Type="http://schemas.openxmlformats.org/officeDocument/2006/relationships/externalLink"/>
<Relationship Id="rId26" Target="externalLinks/externalLink5.xml" Type="http://schemas.openxmlformats.org/officeDocument/2006/relationships/externalLink"/>
<Relationship Id="rId27" Target="externalLinks/externalLink6.xml" Type="http://schemas.openxmlformats.org/officeDocument/2006/relationships/externalLink"/>
<Relationship Id="rId28" Target="externalLinks/externalLink7.xml" Type="http://schemas.openxmlformats.org/officeDocument/2006/relationships/externalLink"/>
<Relationship Id="rId29" Target="externalLinks/externalLink8.xml" Type="http://schemas.openxmlformats.org/officeDocument/2006/relationships/externalLink"/>
<Relationship Id="rId3" Target="worksheets/sheet3.xml" Type="http://schemas.openxmlformats.org/officeDocument/2006/relationships/worksheet"/>
<Relationship Id="rId30" Target="externalLinks/externalLink9.xml" Type="http://schemas.openxmlformats.org/officeDocument/2006/relationships/externalLink"/>
<Relationship Id="rId31" Target="externalLinks/externalLink10.xml" Type="http://schemas.openxmlformats.org/officeDocument/2006/relationships/externalLink"/>
<Relationship Id="rId32" Target="externalLinks/externalLink11.xml" Type="http://schemas.openxmlformats.org/officeDocument/2006/relationships/externalLink"/>
<Relationship Id="rId33" Target="externalLinks/externalLink12.xml" Type="http://schemas.openxmlformats.org/officeDocument/2006/relationships/externalLink"/>
<Relationship Id="rId34" Target="externalLinks/externalLink13.xml" Type="http://schemas.openxmlformats.org/officeDocument/2006/relationships/externalLink"/>
<Relationship Id="rId35" Target="externalLinks/externalLink14.xml" Type="http://schemas.openxmlformats.org/officeDocument/2006/relationships/externalLink"/>
<Relationship Id="rId36" Target="externalLinks/externalLink15.xml" Type="http://schemas.openxmlformats.org/officeDocument/2006/relationships/externalLink"/>
<Relationship Id="rId37" Target="externalLinks/externalLink16.xml" Type="http://schemas.openxmlformats.org/officeDocument/2006/relationships/externalLink"/>
<Relationship Id="rId38" Target="externalLinks/externalLink17.xml" Type="http://schemas.openxmlformats.org/officeDocument/2006/relationships/externalLink"/>
<Relationship Id="rId39" Target="theme/theme1.xml" Type="http://schemas.openxmlformats.org/officeDocument/2006/relationships/theme"/>
<Relationship Id="rId4" Target="worksheets/sheet4.xml" Type="http://schemas.openxmlformats.org/officeDocument/2006/relationships/worksheet"/>
<Relationship Id="rId40" Target="styles.xml" Type="http://schemas.openxmlformats.org/officeDocument/2006/relationships/styles"/>
<Relationship Id="rId41" Target="sharedStrings.xml" Type="http://schemas.openxmlformats.org/officeDocument/2006/relationships/sharedStrings"/>
<Relationship Id="rId42" Target="calcChain.xml" Type="http://schemas.openxmlformats.org/officeDocument/2006/relationships/calcChain"/>
<Relationship Id="rId43" Target="../customXml/item1.xml" Type="http://schemas.openxmlformats.org/officeDocument/2006/relationships/customXml"/>
<Relationship Id="rId44" Target="../customXml/item2.xml" Type="http://schemas.openxmlformats.org/officeDocument/2006/relationships/customXml"/>
<Relationship Id="rId45"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35434497" name="Picture 1" descr="C:\Users\edouardd\AppData\Local\Temp\MercuryPriceRatingHistoryChart\JCP.N_2018_04_08_18_40_39.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2891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46</xdr:col>
      <xdr:colOff>0</xdr:colOff>
      <xdr:row>10</xdr:row>
      <xdr:rowOff>0</xdr:rowOff>
    </xdr:from>
    <xdr:to>
      <xdr:col>56</xdr:col>
      <xdr:colOff>247650</xdr:colOff>
      <xdr:row>13</xdr:row>
      <xdr:rowOff>0</xdr:rowOff>
    </xdr:to>
    <xdr:sp macro="" textlink="">
      <xdr:nvSpPr>
        <xdr:cNvPr id="35302695" name="AutoShape 167" descr="399042811@31052013-1180"/>
        <xdr:cNvSpPr>
          <a:spLocks noChangeAspect="1" noChangeArrowheads="1"/>
        </xdr:cNvSpPr>
      </xdr:nvSpPr>
      <xdr:spPr bwMode="auto">
        <a:xfrm>
          <a:off x="12315825" y="1619250"/>
          <a:ext cx="406717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file://///MSAD/ROOT/NA/NY/LIB/ER/RETAIL/Greenberger/Sector%20Notes/Rent%20Expense/2013/RentExp2013_Softlines.xls"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RETAIL/Softlines/Apparel/Earnings/At%20a%20Glance.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RETAIL/Apparel/Earnings/Bull%20Bear%20Base%20Charts_2.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RETAIL/Softlines/Apparel/Analyses/GPS/2009_10%20Note/GPS_analyst%20meeting%20charts_SMU_2009_10_15.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RETAIL/Softlines/Apparel/Valuation/Softlines%20Playbook.xls" TargetMode="External" Type="http://schemas.microsoft.com/office/2006/relationships/xlExternalLinkPath/xlAlternateStartup"/>
</Relationships>

</file>

<file path=xl/externalLinks/_rels/externalLink9.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RETAIL/Softlines/Apparel/ANALYSES/Industry/INDUSTRY%20STATS/Summary_Industry_2011.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RETAIL/Softlines/Apparel/Analyses/GPS/2010_01%20Note/GPS_Rosk%20Reward%20View%20Analyses_021010.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RETAIL/Softlines/Apparel/MODELS/WORKING%20MODELS/M_working2.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RETAIL/Greenberger/Companies/JWN/Model/JWN_Model2.xls" TargetMode="External" Type="http://schemas.microsoft.com/office/2006/relationships/xlExternalLinkPath/xlAlternateStartup"/>
</Relationships>

</file>

<file path=xl/externalLinks/_rels/externalLink14.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5.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17.xml.rels><?xml version="1.0" encoding="UTF-8" standalone="yes"?>
<Relationships xmlns="http://schemas.openxmlformats.org/package/2006/relationships">
<Relationship Id="rId1" Target="RETAIL/Greenberger/Companies/AEO/Models/AEO.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ommodity Index"/>
      <sheetName val="Prices_Quarterly"/>
      <sheetName val="Inflation_Monthly"/>
      <sheetName val="Inflation_Quarterly"/>
      <sheetName val="Prices_Monthly"/>
      <sheetName val="Exposure"/>
      <sheetName val="Chart 6"/>
      <sheetName val="Front page benchmarks_9x3"/>
      <sheetName val="Front page benchmarks_6x5"/>
      <sheetName val="Benchmarks_All_gray2"/>
      <sheetName val="Sector yardstick_OLD"/>
      <sheetName val="Front page benchmarks_6x3"/>
      <sheetName val="Benchmarks_All_gray1"/>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Graphic"/>
      <sheetName val="RentExp Lvg"/>
      <sheetName val="Exec Summary"/>
      <sheetName val="Fig2-5.MasterTable"/>
      <sheetName val="Fig6.EBIT Rank"/>
      <sheetName val="Fig7. 53rd week"/>
      <sheetName val="Fig8-10 bps EPS Sensitivity"/>
      <sheetName val="Fig11.RankingTable"/>
      <sheetName val="Fig12.Opportunities"/>
      <sheetName val="Fig13.Leverage Rank"/>
      <sheetName val="Fig14.Bps Lvg. Dlvg."/>
      <sheetName val="Fig15&amp;18.StoreOpeningHist-NEW"/>
      <sheetName val="Fig16&amp;17.Store Closings"/>
      <sheetName val="Fig19&amp;20.ScatterPlot"/>
      <sheetName val="Escalating Rent"/>
      <sheetName val="Est Act compare"/>
      <sheetName val="Company specific"/>
      <sheetName val="CapEx"/>
      <sheetName val="Productivity"/>
      <sheetName val="Saturation"/>
      <sheetName val="MasterProductivity"/>
      <sheetName val="Sheet2"/>
      <sheetName val="Peak OpMargin-2006A"/>
      <sheetName val="Leaders-2005A"/>
      <sheetName val="Table-2005A"/>
      <sheetName val="Charts"/>
      <sheetName val="OpMargin-2005A"/>
      <sheetName val="OpMargin Formatted-2005"/>
      <sheetName val="MerchMargin"/>
      <sheetName val="GrossMargin"/>
      <sheetName val="To put in next yr's report"/>
      <sheetName val="Rent Exp breakout"/>
      <sheetName val="#REF"/>
    </sheetNames>
    <sheetDataSet>
      <sheetData sheetId="0">
        <row r="2">
          <cell r="A2">
            <v>0.5</v>
          </cell>
          <cell r="B2">
            <v>0.24</v>
          </cell>
        </row>
        <row r="3">
          <cell r="A3">
            <v>1</v>
          </cell>
          <cell r="B3">
            <v>0.12</v>
          </cell>
        </row>
        <row r="4">
          <cell r="A4">
            <v>1.5</v>
          </cell>
          <cell r="B4">
            <v>0.08</v>
          </cell>
        </row>
        <row r="5">
          <cell r="A5">
            <v>2</v>
          </cell>
          <cell r="B5">
            <v>0.06</v>
          </cell>
        </row>
        <row r="38">
          <cell r="D38" t="str">
            <v>Adjusted Rent Expense included in this report:</v>
          </cell>
        </row>
        <row r="39">
          <cell r="E39" t="str">
            <v>Minimum Rent</v>
          </cell>
        </row>
        <row r="40">
          <cell r="E40" t="str">
            <v>Common Area Mainternance</v>
          </cell>
        </row>
        <row r="41">
          <cell r="E41" t="str">
            <v>Real Estate Taxes</v>
          </cell>
        </row>
        <row r="42">
          <cell r="E42" t="str">
            <v>Real Estate Insurance Expenses</v>
          </cell>
        </row>
        <row r="44">
          <cell r="D44" t="str">
            <v>Additional Rent expenses which retailers may include:</v>
          </cell>
        </row>
        <row r="46">
          <cell r="E46" t="str">
            <v>Telephone, Utility, Store maintenance, repoairs</v>
          </cell>
        </row>
        <row r="47">
          <cell r="E47" t="str">
            <v>Store level depreciation</v>
          </cell>
        </row>
        <row r="49">
          <cell r="D49" t="str">
            <v>specify math, this implies a total rent expense number of XXX</v>
          </cell>
        </row>
        <row r="50">
          <cell r="D50" t="str">
            <v>we want to make sure we're publishing as accurate as possible a number</v>
          </cell>
        </row>
        <row r="51">
          <cell r="D51" t="str">
            <v>sign off on adjustment and total number</v>
          </cell>
        </row>
        <row r="56">
          <cell r="Q56" t="str">
            <v>How to Use this Report</v>
          </cell>
        </row>
        <row r="57">
          <cell r="Q57" t="str">
            <v>Our Rent Expense Deep Dive is a tool to help investors better analyze margins across the sector.  Rent can absorb as much as 14% of a retailer's total sales or as little as 1%.  This report explains why and discusses the rent margin outlook based on lease cost trend, industry dynamics and company specific trends.</v>
          </cell>
        </row>
        <row r="60">
          <cell r="T60" t="str">
            <v>Metric</v>
          </cell>
          <cell r="U60" t="str">
            <v>Year</v>
          </cell>
          <cell r="V60" t="str">
            <v>Specialty Retail</v>
          </cell>
          <cell r="W60" t="str">
            <v>Hardlines</v>
          </cell>
          <cell r="X60" t="str">
            <v>Department Stores</v>
          </cell>
        </row>
        <row r="61">
          <cell r="T61" t="str">
            <v>Rent as a % of total sales</v>
          </cell>
          <cell r="U61">
            <v>2012</v>
          </cell>
          <cell r="V61">
            <v>8.3333926213616141E-2</v>
          </cell>
          <cell r="W61" t="e">
            <v>#DIV/0!</v>
          </cell>
          <cell r="X61">
            <v>2.3230793383249557E-2</v>
          </cell>
        </row>
        <row r="62">
          <cell r="U62" t="str">
            <v>2013e</v>
          </cell>
          <cell r="V62">
            <v>9.1957846004409524E-2</v>
          </cell>
          <cell r="W62" t="e">
            <v>#DIV/0!</v>
          </cell>
          <cell r="X62">
            <v>2.3930164527756571E-2</v>
          </cell>
        </row>
        <row r="63">
          <cell r="T63" t="str">
            <v>Rent cost per square foot</v>
          </cell>
          <cell r="U63">
            <v>2012</v>
          </cell>
          <cell r="V63">
            <v>50123.147309263957</v>
          </cell>
          <cell r="W63" t="e">
            <v>#DIV/0!</v>
          </cell>
          <cell r="X63">
            <v>10.155037298108724</v>
          </cell>
        </row>
        <row r="64">
          <cell r="U64" t="str">
            <v>2013e</v>
          </cell>
          <cell r="V64">
            <v>68432.50208464812</v>
          </cell>
          <cell r="W64" t="e">
            <v>#DIV/0!</v>
          </cell>
          <cell r="X64">
            <v>10.773881404789575</v>
          </cell>
          <cell r="AC64">
            <v>1</v>
          </cell>
          <cell r="AD64">
            <v>1</v>
          </cell>
        </row>
        <row r="67">
          <cell r="Z67" t="str">
            <v>Sector</v>
          </cell>
          <cell r="AA67" t="str">
            <v>Rent Margin Rank</v>
          </cell>
          <cell r="AB67" t="str">
            <v>Company</v>
          </cell>
          <cell r="AC67" t="str">
            <v>2012
Rent Margin</v>
          </cell>
          <cell r="AD67" t="str">
            <v>2012
Op Margin</v>
          </cell>
        </row>
        <row r="68">
          <cell r="AA68" t="str">
            <v>Highest</v>
          </cell>
          <cell r="AB68" t="str">
            <v>PLCE</v>
          </cell>
          <cell r="AC68">
            <v>0.14313360258106445</v>
          </cell>
          <cell r="AD68">
            <v>6.3735779110753052E-2</v>
          </cell>
        </row>
        <row r="69">
          <cell r="Z69" t="str">
            <v>Softlines</v>
          </cell>
          <cell r="AB69" t="str">
            <v>EXPR</v>
          </cell>
          <cell r="AC69">
            <v>0.13382112027127621</v>
          </cell>
          <cell r="AD69">
            <v>0.11711122873613471</v>
          </cell>
        </row>
        <row r="70">
          <cell r="AA70" t="str">
            <v>Lowest</v>
          </cell>
          <cell r="AB70" t="str">
            <v>COH</v>
          </cell>
          <cell r="AC70">
            <v>3.4982012079537157E-5</v>
          </cell>
          <cell r="AD70">
            <v>0.3256643670824953</v>
          </cell>
        </row>
        <row r="71">
          <cell r="AB71" t="str">
            <v>LULU</v>
          </cell>
          <cell r="AC71">
            <v>6.0150705144203197E-2</v>
          </cell>
          <cell r="AD71" t="e">
            <v>#N/A</v>
          </cell>
        </row>
        <row r="72">
          <cell r="AA72" t="str">
            <v>Highest</v>
          </cell>
          <cell r="AB72" t="str">
            <v>DKS</v>
          </cell>
          <cell r="AC72" t="e">
            <v>#VALUE!</v>
          </cell>
          <cell r="AD72" t="e">
            <v>#VALUE!</v>
          </cell>
        </row>
        <row r="73">
          <cell r="Z73" t="str">
            <v>Hardlines</v>
          </cell>
          <cell r="AB73" t="str">
            <v>WSM</v>
          </cell>
          <cell r="AC73" t="e">
            <v>#VALUE!</v>
          </cell>
          <cell r="AD73" t="e">
            <v>#VALUE!</v>
          </cell>
        </row>
        <row r="74">
          <cell r="AA74" t="str">
            <v>Lowest</v>
          </cell>
          <cell r="AB74" t="str">
            <v>AZO</v>
          </cell>
          <cell r="AC74" t="e">
            <v>#VALUE!</v>
          </cell>
          <cell r="AD74" t="e">
            <v>#VALUE!</v>
          </cell>
        </row>
        <row r="75">
          <cell r="AB75" t="str">
            <v>LOW</v>
          </cell>
          <cell r="AC75" t="e">
            <v>#VALUE!</v>
          </cell>
          <cell r="AD75" t="e">
            <v>#VALUE!</v>
          </cell>
        </row>
        <row r="76">
          <cell r="AA76" t="str">
            <v>Highest</v>
          </cell>
          <cell r="AB76" t="str">
            <v>SKS</v>
          </cell>
          <cell r="AC76" t="e">
            <v>#VALUE!</v>
          </cell>
          <cell r="AD76" t="e">
            <v>#VALUE!</v>
          </cell>
        </row>
        <row r="77">
          <cell r="Z77" t="str">
            <v>Department</v>
          </cell>
          <cell r="AB77" t="str">
            <v>JCP</v>
          </cell>
          <cell r="AC77" t="e">
            <v>#VALUE!</v>
          </cell>
          <cell r="AD77" t="e">
            <v>#VALUE!</v>
          </cell>
        </row>
        <row r="78">
          <cell r="Z78" t="str">
            <v>Stores</v>
          </cell>
          <cell r="AA78" t="str">
            <v>Lowest</v>
          </cell>
          <cell r="AB78" t="str">
            <v>JWN</v>
          </cell>
          <cell r="AC78" t="e">
            <v>#VALUE!</v>
          </cell>
          <cell r="AD78" t="e">
            <v>#VALUE!</v>
          </cell>
        </row>
        <row r="79">
          <cell r="AB79" t="str">
            <v>M</v>
          </cell>
          <cell r="AC79" t="e">
            <v>#VALUE!</v>
          </cell>
          <cell r="AD79" t="e">
            <v>#VALUE!</v>
          </cell>
        </row>
      </sheetData>
      <sheetData sheetId="1">
        <row r="2">
          <cell r="A2">
            <v>0.5</v>
          </cell>
          <cell r="B2">
            <v>0.24</v>
          </cell>
        </row>
        <row r="3">
          <cell r="A3">
            <v>1</v>
          </cell>
          <cell r="B3">
            <v>0.12</v>
          </cell>
        </row>
        <row r="4">
          <cell r="A4">
            <v>1.5</v>
          </cell>
          <cell r="B4">
            <v>0.08</v>
          </cell>
        </row>
        <row r="5">
          <cell r="A5">
            <v>2</v>
          </cell>
          <cell r="B5">
            <v>0.06</v>
          </cell>
        </row>
        <row r="38">
          <cell r="D38" t="str">
            <v>Adjusted Rent Expense included in this report:</v>
          </cell>
        </row>
        <row r="39">
          <cell r="E39" t="str">
            <v>Minimum Rent</v>
          </cell>
        </row>
        <row r="40">
          <cell r="E40" t="str">
            <v>Common Area Mainternance</v>
          </cell>
        </row>
        <row r="41">
          <cell r="E41" t="str">
            <v>Real Estate Taxes</v>
          </cell>
        </row>
        <row r="42">
          <cell r="E42" t="str">
            <v>Real Estate Insurance Expenses</v>
          </cell>
        </row>
        <row r="43">
          <cell r="E43" t="str">
            <v>Contingent Rent</v>
          </cell>
        </row>
        <row r="44">
          <cell r="D44" t="str">
            <v>Additional Rent expenses which retailers may include:</v>
          </cell>
        </row>
        <row r="46">
          <cell r="E46" t="str">
            <v>Telephone, Utility, Store maintenance, repoairs</v>
          </cell>
        </row>
        <row r="47">
          <cell r="E47" t="str">
            <v>Store level depreciation</v>
          </cell>
        </row>
      </sheetData>
      <sheetData sheetId="2"/>
      <sheetData sheetId="3">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BA1">
            <v>53</v>
          </cell>
          <cell r="BB1">
            <v>54</v>
          </cell>
        </row>
        <row r="2">
          <cell r="A2" t="str">
            <v>Rent Expense Analysis</v>
          </cell>
        </row>
        <row r="3">
          <cell r="C3" t="str">
            <v>VLOOKUP LABELS:</v>
          </cell>
          <cell r="F3" t="str">
            <v>1.  Sales</v>
          </cell>
          <cell r="H3" t="str">
            <v>Comparable-Store Sales</v>
          </cell>
          <cell r="J3" t="str">
            <v xml:space="preserve">     % Operating Margin</v>
          </cell>
          <cell r="L3" t="str">
            <v>Rent Expense</v>
          </cell>
          <cell r="AC3" t="str">
            <v>Avg. # Open</v>
          </cell>
          <cell r="AE3" t="str">
            <v>Avg. Gross Sq. Ft. (MM)</v>
          </cell>
          <cell r="AG3" t="str">
            <v>Avg. Store Size (Gross Sq. Ft.)</v>
          </cell>
          <cell r="AH3" t="str">
            <v>New Space Productivity</v>
          </cell>
          <cell r="AO3" t="str">
            <v>Sales Per Avg. Gross Sq. Ft.</v>
          </cell>
          <cell r="AW3">
            <v>0</v>
          </cell>
          <cell r="BB3" t="str">
            <v xml:space="preserve">   % Chg. from LY (Avg. Sq. Ft.)</v>
          </cell>
        </row>
        <row r="4">
          <cell r="H4" t="str">
            <v>Comparable-Store Sales ex eComm</v>
          </cell>
          <cell r="L4" t="str">
            <v xml:space="preserve">     Rent Expense</v>
          </cell>
          <cell r="AC4" t="str">
            <v>Children's Place Avg #</v>
          </cell>
          <cell r="AO4" t="str">
            <v>Net Sales Per Avg Gross Sq Ft</v>
          </cell>
          <cell r="BB4" t="str">
            <v xml:space="preserve">   % Chg. from LY (Avg. Sq. Ft.)</v>
          </cell>
        </row>
        <row r="5">
          <cell r="H5" t="str">
            <v>N.A. Comparable-Store Sales</v>
          </cell>
          <cell r="AS5" t="str">
            <v>occupancy's role in determining potential operating margin</v>
          </cell>
        </row>
        <row r="6">
          <cell r="L6" t="str">
            <v>Rent Expense</v>
          </cell>
          <cell r="Y6" t="str">
            <v>Rent</v>
          </cell>
          <cell r="AA6" t="str">
            <v>Rent</v>
          </cell>
          <cell r="AC6" t="str">
            <v>Average</v>
          </cell>
          <cell r="AL6" t="str">
            <v>Adjusted Rent</v>
          </cell>
          <cell r="AO6" t="str">
            <v>Sales</v>
          </cell>
          <cell r="AP6" t="str">
            <v>Total Sales</v>
          </cell>
          <cell r="AQ6" t="str">
            <v>Key CAM adj.</v>
          </cell>
          <cell r="AR6" t="str">
            <v>Bps</v>
          </cell>
          <cell r="AS6" t="str">
            <v xml:space="preserve">% Change in </v>
          </cell>
        </row>
        <row r="7">
          <cell r="F7" t="str">
            <v>Store Sales</v>
          </cell>
          <cell r="G7" t="str">
            <v>Total Sales</v>
          </cell>
          <cell r="H7" t="str">
            <v>Comp.</v>
          </cell>
          <cell r="J7" t="str">
            <v>Operating</v>
          </cell>
          <cell r="L7" t="str">
            <v>per 10-K</v>
          </cell>
          <cell r="U7" t="str">
            <v>% Store</v>
          </cell>
          <cell r="W7" t="str">
            <v>% Total</v>
          </cell>
          <cell r="Y7" t="str">
            <v>Levg. or</v>
          </cell>
          <cell r="AA7" t="str">
            <v>Levg. or</v>
          </cell>
          <cell r="AC7" t="str">
            <v>Store</v>
          </cell>
          <cell r="AE7" t="str">
            <v>Sq.Ft.</v>
          </cell>
          <cell r="AG7" t="str">
            <v>Sq. Ft. /</v>
          </cell>
          <cell r="AH7" t="str">
            <v>New Sq. Ft.</v>
          </cell>
          <cell r="AI7" t="str">
            <v>Adj. New SF</v>
          </cell>
          <cell r="AK7" t="str">
            <v>per Avg</v>
          </cell>
          <cell r="AM7" t="str">
            <v>per Avg</v>
          </cell>
          <cell r="AO7" t="str">
            <v>per Avg</v>
          </cell>
          <cell r="AP7" t="str">
            <v>per Avg</v>
          </cell>
          <cell r="AQ7" t="str">
            <v>Assumptions &amp;</v>
          </cell>
          <cell r="AR7" t="str">
            <v>Lvg</v>
          </cell>
          <cell r="AS7" t="str">
            <v>avg store</v>
          </cell>
          <cell r="AY7" t="str">
            <v>Non-Square Footage Related</v>
          </cell>
          <cell r="BB7" t="str">
            <v>Avg</v>
          </cell>
        </row>
        <row r="8">
          <cell r="F8" t="str">
            <v>($ MM)</v>
          </cell>
          <cell r="G8" t="str">
            <v>($ MM)</v>
          </cell>
          <cell r="H8" t="str">
            <v>Sales %</v>
          </cell>
          <cell r="J8" t="str">
            <v>Margin</v>
          </cell>
          <cell r="L8" t="str">
            <v>$ MM</v>
          </cell>
          <cell r="N8" t="str">
            <v>% Sales</v>
          </cell>
          <cell r="P8" t="str">
            <v>% Sales</v>
          </cell>
          <cell r="R8" t="str">
            <v>Adj.</v>
          </cell>
          <cell r="S8" t="str">
            <v>$ MM</v>
          </cell>
          <cell r="U8" t="str">
            <v>Sales</v>
          </cell>
          <cell r="W8" t="str">
            <v>Sales</v>
          </cell>
          <cell r="Y8" t="str">
            <v>(Delevg)</v>
          </cell>
          <cell r="AA8" t="str">
            <v>(De-levg)</v>
          </cell>
          <cell r="AC8" t="str">
            <v>Count</v>
          </cell>
          <cell r="AE8" t="str">
            <v>(MM)</v>
          </cell>
          <cell r="AG8" t="str">
            <v>Store</v>
          </cell>
          <cell r="AH8" t="str">
            <v>Productivity</v>
          </cell>
          <cell r="AI8" t="str">
            <v>Productivity</v>
          </cell>
          <cell r="AK8" t="str">
            <v>Store</v>
          </cell>
          <cell r="AM8" t="str">
            <v>Sq. Ft.</v>
          </cell>
          <cell r="AO8" t="str">
            <v>Sq. Ft.</v>
          </cell>
          <cell r="AP8" t="str">
            <v>Sq. Ft.</v>
          </cell>
          <cell r="AQ8" t="str">
            <v>Other</v>
          </cell>
          <cell r="AR8" t="str">
            <v>(De-Lvg)</v>
          </cell>
          <cell r="AS8" t="str">
            <v>count</v>
          </cell>
          <cell r="AY8" t="str">
            <v>Revenue</v>
          </cell>
          <cell r="BB8" t="str">
            <v>Sq. Ft. Growth</v>
          </cell>
        </row>
        <row r="10">
          <cell r="C10">
            <v>1998</v>
          </cell>
          <cell r="D10">
            <v>6</v>
          </cell>
          <cell r="E10">
            <v>6</v>
          </cell>
          <cell r="F10">
            <v>789.07640000000004</v>
          </cell>
          <cell r="H10" t="e">
            <v>#N/A</v>
          </cell>
          <cell r="J10">
            <v>0.20735487717032219</v>
          </cell>
          <cell r="L10">
            <v>50.97</v>
          </cell>
          <cell r="N10">
            <v>6.4594505677777206E-2</v>
          </cell>
          <cell r="P10" t="str">
            <v>-</v>
          </cell>
          <cell r="R10">
            <v>0.53310517309464267</v>
          </cell>
          <cell r="S10">
            <v>78.14237067263393</v>
          </cell>
          <cell r="U10">
            <v>9.9030170808091497E-2</v>
          </cell>
          <cell r="AC10">
            <v>176</v>
          </cell>
          <cell r="AE10">
            <v>1.6562140000000003</v>
          </cell>
          <cell r="AG10">
            <v>9136.0408163265311</v>
          </cell>
          <cell r="AH10">
            <v>0.84822648084814234</v>
          </cell>
          <cell r="AK10">
            <v>0.44399074245814735</v>
          </cell>
          <cell r="AM10">
            <v>47.181324800197267</v>
          </cell>
          <cell r="AO10">
            <v>486.15698212912093</v>
          </cell>
          <cell r="AS10" t="str">
            <v>Total rent expense as reported in footnote 5 includes Buildings, equipment and</v>
          </cell>
          <cell r="AY10">
            <v>16.1036</v>
          </cell>
        </row>
        <row r="11">
          <cell r="A11" t="str">
            <v>ANF1999</v>
          </cell>
          <cell r="C11">
            <v>1999</v>
          </cell>
          <cell r="D11">
            <v>7</v>
          </cell>
          <cell r="E11">
            <v>7</v>
          </cell>
          <cell r="F11">
            <v>1000.9631179999999</v>
          </cell>
          <cell r="H11" t="e">
            <v>#N/A</v>
          </cell>
          <cell r="I11">
            <v>1030.8579999999999</v>
          </cell>
          <cell r="J11">
            <v>0.2348179865704102</v>
          </cell>
          <cell r="L11">
            <v>61.905999999999999</v>
          </cell>
          <cell r="N11">
            <v>6.1846434585614778E-2</v>
          </cell>
          <cell r="P11" t="str">
            <v>-</v>
          </cell>
          <cell r="R11">
            <v>0.53310517309464267</v>
          </cell>
          <cell r="S11">
            <v>94.908408845596938</v>
          </cell>
          <cell r="U11">
            <v>9.4817088800665431E-2</v>
          </cell>
          <cell r="AC11">
            <v>223</v>
          </cell>
          <cell r="AE11">
            <v>1.982332</v>
          </cell>
          <cell r="AG11">
            <v>8696</v>
          </cell>
          <cell r="AH11">
            <v>0.85586633526187383</v>
          </cell>
          <cell r="AK11">
            <v>0.42559824594438089</v>
          </cell>
          <cell r="AM11">
            <v>47.877151176289814</v>
          </cell>
          <cell r="AO11">
            <v>520.02288214083205</v>
          </cell>
          <cell r="AS11" t="str">
            <v>other rent expense of $1.1mm in 2002 and $1.6mm in 2001. Amounts reported</v>
          </cell>
          <cell r="AY11">
            <v>29.894881999999999</v>
          </cell>
          <cell r="BA11">
            <v>0.19690571387513911</v>
          </cell>
        </row>
        <row r="12">
          <cell r="C12">
            <v>2000</v>
          </cell>
          <cell r="D12">
            <v>8</v>
          </cell>
          <cell r="E12">
            <v>8</v>
          </cell>
          <cell r="F12">
            <v>1190.5750480000002</v>
          </cell>
          <cell r="H12" t="e">
            <v>#N/A</v>
          </cell>
          <cell r="J12">
            <v>0.20495408870688844</v>
          </cell>
          <cell r="L12">
            <v>75.572000000000003</v>
          </cell>
          <cell r="N12">
            <v>6.3475208998332699E-2</v>
          </cell>
          <cell r="P12" t="str">
            <v>-</v>
          </cell>
          <cell r="R12">
            <v>0.53310517309464267</v>
          </cell>
          <cell r="S12">
            <v>115.85982414110833</v>
          </cell>
          <cell r="U12">
            <v>9.7314171278607475E-2</v>
          </cell>
          <cell r="AC12">
            <v>302</v>
          </cell>
          <cell r="AE12">
            <v>2.5114999999999998</v>
          </cell>
          <cell r="AG12">
            <v>8048.0225988700568</v>
          </cell>
          <cell r="AH12">
            <v>0.97185652557478674</v>
          </cell>
          <cell r="AK12">
            <v>0.38364180179174945</v>
          </cell>
          <cell r="AM12">
            <v>46.131723727297768</v>
          </cell>
          <cell r="AO12">
            <v>492.77483575552463</v>
          </cell>
          <cell r="AS12" t="str">
            <v>in footnote 5 exclude CAM, RE Taxes, and Insurance passed thru from landlords.</v>
          </cell>
          <cell r="AY12">
            <v>47.028952000000004</v>
          </cell>
          <cell r="BA12">
            <v>0.26694216710419849</v>
          </cell>
        </row>
        <row r="13">
          <cell r="C13">
            <v>2001</v>
          </cell>
          <cell r="D13">
            <v>9</v>
          </cell>
          <cell r="E13">
            <v>9</v>
          </cell>
          <cell r="F13">
            <v>1307.679678</v>
          </cell>
          <cell r="H13" t="e">
            <v>#N/A</v>
          </cell>
          <cell r="J13">
            <v>0.1988917487817369</v>
          </cell>
          <cell r="L13">
            <v>90.070999999999998</v>
          </cell>
          <cell r="N13">
            <v>6.8878488757856182E-2</v>
          </cell>
          <cell r="P13" t="str">
            <v>-</v>
          </cell>
          <cell r="R13">
            <v>0.53310517309464267</v>
          </cell>
          <cell r="S13">
            <v>138.08831604580755</v>
          </cell>
          <cell r="U13">
            <v>0.1055979674296105</v>
          </cell>
          <cell r="AC13">
            <v>422.5</v>
          </cell>
          <cell r="AE13">
            <v>3.2610000000000001</v>
          </cell>
          <cell r="AG13">
            <v>7480.6517311608959</v>
          </cell>
          <cell r="AH13">
            <v>0.63117470345429261</v>
          </cell>
          <cell r="AK13">
            <v>0.32683625099599417</v>
          </cell>
          <cell r="AM13">
            <v>42.34538977179011</v>
          </cell>
          <cell r="AO13">
            <v>418.53817847286109</v>
          </cell>
          <cell r="AY13">
            <v>57.173321999999999</v>
          </cell>
          <cell r="BA13">
            <v>0.29842723472028676</v>
          </cell>
        </row>
        <row r="14">
          <cell r="C14">
            <v>2002</v>
          </cell>
          <cell r="D14">
            <v>10</v>
          </cell>
          <cell r="E14">
            <v>10</v>
          </cell>
          <cell r="F14">
            <v>1521.3477919999998</v>
          </cell>
          <cell r="H14" t="e">
            <v>#N/A</v>
          </cell>
          <cell r="J14">
            <v>0.19536558511101615</v>
          </cell>
          <cell r="L14">
            <v>112.072</v>
          </cell>
          <cell r="N14">
            <v>7.3666258688072569E-2</v>
          </cell>
          <cell r="P14" t="str">
            <v>-</v>
          </cell>
          <cell r="R14">
            <v>0.53310517309464267</v>
          </cell>
          <cell r="S14">
            <v>171.81816295906279</v>
          </cell>
          <cell r="U14">
            <v>0.11293812227721221</v>
          </cell>
          <cell r="AC14">
            <v>544</v>
          </cell>
          <cell r="AE14">
            <v>4.0152570000000001</v>
          </cell>
          <cell r="AG14">
            <v>7299.0184254606365</v>
          </cell>
          <cell r="AH14">
            <v>0.92260407106700881</v>
          </cell>
          <cell r="AK14">
            <v>0.31584221132180662</v>
          </cell>
          <cell r="AM14">
            <v>42.791323932456322</v>
          </cell>
          <cell r="AO14">
            <v>397.42337788091766</v>
          </cell>
          <cell r="AY14">
            <v>74.409208000000007</v>
          </cell>
          <cell r="BA14">
            <v>0.23129622815087392</v>
          </cell>
        </row>
        <row r="15">
          <cell r="C15">
            <v>2003</v>
          </cell>
          <cell r="D15">
            <v>11</v>
          </cell>
          <cell r="E15">
            <v>11</v>
          </cell>
          <cell r="F15">
            <v>1707.8090000000002</v>
          </cell>
          <cell r="G15">
            <v>1707.8090000000002</v>
          </cell>
          <cell r="H15" t="e">
            <v>#N/A</v>
          </cell>
          <cell r="J15">
            <v>0.19334773385079967</v>
          </cell>
          <cell r="L15">
            <v>128.41399999999999</v>
          </cell>
          <cell r="N15">
            <v>7.5192249250355267E-2</v>
          </cell>
          <cell r="P15">
            <v>7.5192249250355267E-2</v>
          </cell>
          <cell r="R15">
            <v>0.53310517309464267</v>
          </cell>
          <cell r="S15">
            <v>196.87216769777541</v>
          </cell>
          <cell r="U15">
            <v>0.11527762630234141</v>
          </cell>
          <cell r="Y15">
            <v>-23.395040251291967</v>
          </cell>
          <cell r="AA15">
            <v>0</v>
          </cell>
          <cell r="AC15">
            <v>648.5</v>
          </cell>
          <cell r="AE15">
            <v>4.6866640000000004</v>
          </cell>
          <cell r="AG15">
            <v>7165.4485714285729</v>
          </cell>
          <cell r="AH15">
            <v>1.2712047329358787</v>
          </cell>
          <cell r="AK15">
            <v>0.30358082914074852</v>
          </cell>
          <cell r="AM15">
            <v>42.006887563899483</v>
          </cell>
          <cell r="AO15">
            <v>364.39757575964484</v>
          </cell>
          <cell r="AP15">
            <v>364.39757575964484</v>
          </cell>
          <cell r="AY15">
            <v>0</v>
          </cell>
          <cell r="BA15">
            <v>0.16721395417528706</v>
          </cell>
        </row>
        <row r="16">
          <cell r="C16">
            <v>2004</v>
          </cell>
          <cell r="D16">
            <v>12</v>
          </cell>
          <cell r="E16">
            <v>12</v>
          </cell>
          <cell r="F16">
            <v>1894.954</v>
          </cell>
          <cell r="G16">
            <v>2021.2539999999999</v>
          </cell>
          <cell r="H16" t="e">
            <v>#N/A</v>
          </cell>
          <cell r="J16">
            <v>0.18604539558115901</v>
          </cell>
          <cell r="L16">
            <v>150.04499999999999</v>
          </cell>
          <cell r="N16">
            <v>7.9181341605126035E-2</v>
          </cell>
          <cell r="P16">
            <v>7.4233619327407629E-2</v>
          </cell>
          <cell r="R16">
            <v>0.53310517309464267</v>
          </cell>
          <cell r="S16">
            <v>230.03476569698563</v>
          </cell>
          <cell r="U16">
            <v>0.12139332442739277</v>
          </cell>
          <cell r="Y16">
            <v>-61.15698125051361</v>
          </cell>
          <cell r="AA16">
            <v>0</v>
          </cell>
          <cell r="AC16">
            <v>744</v>
          </cell>
          <cell r="AE16">
            <v>5.3030889999999999</v>
          </cell>
          <cell r="AG16">
            <v>7094.3705583756337</v>
          </cell>
          <cell r="AH16">
            <v>0.68108916594296776</v>
          </cell>
          <cell r="AK16">
            <v>0.30918651303358285</v>
          </cell>
          <cell r="AM16">
            <v>43.377504261570124</v>
          </cell>
          <cell r="AO16">
            <v>381.1465355380609</v>
          </cell>
          <cell r="AP16">
            <v>381.1465355380609</v>
          </cell>
          <cell r="AT16" t="str">
            <v>Adjusted Rent Expense Increase Assumption</v>
          </cell>
          <cell r="AY16">
            <v>126.29999999999998</v>
          </cell>
          <cell r="BA16">
            <v>0.13152745748361716</v>
          </cell>
        </row>
        <row r="17">
          <cell r="A17" t="str">
            <v>ANF</v>
          </cell>
          <cell r="B17" t="str">
            <v>ANF</v>
          </cell>
          <cell r="C17" t="str">
            <v>2005 (ex. direct)</v>
          </cell>
          <cell r="D17">
            <v>13</v>
          </cell>
          <cell r="E17">
            <v>13</v>
          </cell>
          <cell r="F17">
            <v>2644.6110000000003</v>
          </cell>
          <cell r="G17">
            <v>2784.7110000000002</v>
          </cell>
          <cell r="H17" t="e">
            <v>#N/A</v>
          </cell>
          <cell r="J17">
            <v>0.19775983935137259</v>
          </cell>
          <cell r="L17">
            <v>189.428</v>
          </cell>
          <cell r="N17">
            <v>7.1627925619306573E-2</v>
          </cell>
          <cell r="P17">
            <v>6.8024294082940737E-2</v>
          </cell>
          <cell r="R17">
            <v>0.53310517309464267</v>
          </cell>
          <cell r="S17">
            <v>290.41304672897195</v>
          </cell>
          <cell r="U17">
            <v>0.10981314330499718</v>
          </cell>
          <cell r="Y17">
            <v>115.80181122395588</v>
          </cell>
          <cell r="AA17">
            <v>0</v>
          </cell>
          <cell r="AC17">
            <v>819.5</v>
          </cell>
          <cell r="AE17">
            <v>5.8078639999999995</v>
          </cell>
          <cell r="AG17">
            <v>7080.3337250293771</v>
          </cell>
          <cell r="AH17">
            <v>1.4246660438870515</v>
          </cell>
          <cell r="AI17">
            <v>1.4246660438870515</v>
          </cell>
          <cell r="AK17">
            <v>0.35437833646000239</v>
          </cell>
          <cell r="AM17">
            <v>50.003417216548456</v>
          </cell>
          <cell r="AO17">
            <v>479.47248764778249</v>
          </cell>
          <cell r="AP17">
            <v>479.47248764778249</v>
          </cell>
          <cell r="AT17" t="str">
            <v>10-K #: Excludes CAM, RE Taxes, Insurance</v>
          </cell>
          <cell r="AY17">
            <v>140.1</v>
          </cell>
          <cell r="BA17">
            <v>9.5185089294183012E-2</v>
          </cell>
          <cell r="BB17">
            <v>9.5185089294183012E-2</v>
          </cell>
        </row>
        <row r="18">
          <cell r="A18" t="str">
            <v>ANF2006</v>
          </cell>
          <cell r="B18" t="str">
            <v>ANF</v>
          </cell>
          <cell r="C18" t="str">
            <v>2006 (ex. direct)</v>
          </cell>
          <cell r="D18">
            <v>15</v>
          </cell>
          <cell r="E18">
            <v>14</v>
          </cell>
          <cell r="F18">
            <v>3119.2579999999998</v>
          </cell>
          <cell r="G18">
            <v>3318.1579999999999</v>
          </cell>
          <cell r="H18" t="e">
            <v>#N/A</v>
          </cell>
          <cell r="J18">
            <v>0.19532071709665416</v>
          </cell>
          <cell r="L18">
            <v>222.52799999999999</v>
          </cell>
          <cell r="N18">
            <v>7.1340043048699397E-2</v>
          </cell>
          <cell r="P18">
            <v>6.7063714265565413E-2</v>
          </cell>
          <cell r="R18">
            <v>0.51063609055222092</v>
          </cell>
          <cell r="S18">
            <v>336.15882795840463</v>
          </cell>
          <cell r="U18">
            <v>0.10776884373091442</v>
          </cell>
          <cell r="W18">
            <v>0.10130886713604495</v>
          </cell>
          <cell r="Y18">
            <v>20.442995740827669</v>
          </cell>
          <cell r="AA18">
            <v>-1013.0886713604496</v>
          </cell>
          <cell r="AC18">
            <v>897.5</v>
          </cell>
          <cell r="AE18">
            <v>6.3593639999999994</v>
          </cell>
          <cell r="AG18">
            <v>7090.4279661016953</v>
          </cell>
          <cell r="AH18">
            <v>1.6794579509618821</v>
          </cell>
          <cell r="AI18" t="e">
            <v>#N/A</v>
          </cell>
          <cell r="AK18">
            <v>0.37455022613749822</v>
          </cell>
          <cell r="AM18">
            <v>52.860447673447325</v>
          </cell>
          <cell r="AO18">
            <v>521.77513348819161</v>
          </cell>
          <cell r="AP18">
            <v>521.77513348819161</v>
          </cell>
          <cell r="AR18" t="str">
            <v>DE-LVG</v>
          </cell>
          <cell r="AY18">
            <v>198.89999999999998</v>
          </cell>
          <cell r="BA18">
            <v>9.4957457681515978E-2</v>
          </cell>
          <cell r="BB18">
            <v>9.4957457681515978E-2</v>
          </cell>
        </row>
        <row r="19">
          <cell r="A19" t="str">
            <v>ANF2007</v>
          </cell>
          <cell r="B19" t="str">
            <v>ANF</v>
          </cell>
          <cell r="C19" t="str">
            <v>2007 (ex. direct)</v>
          </cell>
          <cell r="D19">
            <v>17</v>
          </cell>
          <cell r="E19">
            <v>15</v>
          </cell>
          <cell r="F19">
            <v>3451.7469999999998</v>
          </cell>
          <cell r="G19">
            <v>3749.8469999999998</v>
          </cell>
          <cell r="H19" t="e">
            <v>#N/A</v>
          </cell>
          <cell r="J19">
            <v>0.19434472926495394</v>
          </cell>
          <cell r="L19">
            <v>243.10399999999998</v>
          </cell>
          <cell r="N19">
            <v>7.0429263790190877E-2</v>
          </cell>
          <cell r="P19">
            <v>6.4830378412772574E-2</v>
          </cell>
          <cell r="R19">
            <v>0.53310517309464256</v>
          </cell>
          <cell r="S19">
            <v>372.70399999999995</v>
          </cell>
          <cell r="U19">
            <v>0.10797546865398883</v>
          </cell>
          <cell r="W19">
            <v>9.939178851830488E-2</v>
          </cell>
          <cell r="Y19">
            <v>-2.0662492307441105</v>
          </cell>
          <cell r="AA19">
            <v>19.1707861774007</v>
          </cell>
          <cell r="AC19">
            <v>989.5</v>
          </cell>
          <cell r="AE19">
            <v>7.0153639999999999</v>
          </cell>
          <cell r="AG19">
            <v>7089.2405797101446</v>
          </cell>
          <cell r="AH19">
            <v>1.1302638883302507</v>
          </cell>
          <cell r="AI19" t="e">
            <v>#N/A</v>
          </cell>
          <cell r="AK19">
            <v>0.37665891864578066</v>
          </cell>
          <cell r="AM19">
            <v>53.126822784961689</v>
          </cell>
          <cell r="AO19">
            <v>534.51923521003323</v>
          </cell>
          <cell r="AP19">
            <v>534.51923521003323</v>
          </cell>
          <cell r="AR19">
            <v>-253.44001459675886</v>
          </cell>
          <cell r="AY19">
            <v>298.10000000000002</v>
          </cell>
          <cell r="BA19">
            <v>0.10315496958500892</v>
          </cell>
          <cell r="BB19">
            <v>0.10315496958500892</v>
          </cell>
        </row>
        <row r="20">
          <cell r="A20" t="str">
            <v>ANF2008</v>
          </cell>
          <cell r="B20" t="str">
            <v>ANF</v>
          </cell>
          <cell r="C20">
            <v>2008</v>
          </cell>
          <cell r="D20">
            <v>19</v>
          </cell>
          <cell r="E20">
            <v>16</v>
          </cell>
          <cell r="F20">
            <v>3169.0569999999998</v>
          </cell>
          <cell r="G20">
            <v>3484.0569999999998</v>
          </cell>
          <cell r="H20" t="e">
            <v>#N/A</v>
          </cell>
          <cell r="J20">
            <v>0.14164033481656585</v>
          </cell>
          <cell r="L20">
            <v>281.39699999999999</v>
          </cell>
          <cell r="N20">
            <v>8.879518418255021E-2</v>
          </cell>
          <cell r="P20">
            <v>8.0767048300300487E-2</v>
          </cell>
          <cell r="R20">
            <v>0.50142680980962839</v>
          </cell>
          <cell r="S20">
            <v>422.49699999999996</v>
          </cell>
          <cell r="U20">
            <v>0.13331947011366471</v>
          </cell>
          <cell r="W20">
            <v>0.12126581166726032</v>
          </cell>
          <cell r="Y20">
            <v>-253.44001459675886</v>
          </cell>
          <cell r="AA20">
            <v>-218.74023148955439</v>
          </cell>
          <cell r="AC20">
            <v>1080</v>
          </cell>
          <cell r="AE20">
            <v>7.6798640000000002</v>
          </cell>
          <cell r="AG20">
            <v>7130.9902222222227</v>
          </cell>
          <cell r="AH20">
            <v>0.67967544627973664</v>
          </cell>
          <cell r="AI20" t="e">
            <v>#N/A</v>
          </cell>
          <cell r="AK20">
            <v>0.39120092592592587</v>
          </cell>
          <cell r="AM20">
            <v>55.013604407578043</v>
          </cell>
          <cell r="AO20">
            <v>460.97704334347594</v>
          </cell>
          <cell r="AP20">
            <v>453.66128879365567</v>
          </cell>
          <cell r="AQ20" t="str">
            <v>2012 10-K: We estimate total CAM, insurance, and taxes expenses were $168.6M in 2012.  Store sales exclude direct/internet sales ($701M in '12, $553M in '11) and rent expense excludes equipment and other rent.</v>
          </cell>
          <cell r="AR20">
            <v>-405.93606321085775</v>
          </cell>
          <cell r="AS20">
            <v>9.146033350176852E-2</v>
          </cell>
          <cell r="AU20">
            <v>-659.37607780761664</v>
          </cell>
          <cell r="AY20">
            <v>315</v>
          </cell>
          <cell r="BA20">
            <v>9.4720673082679729E-2</v>
          </cell>
          <cell r="BB20">
            <v>9.4720673082679729E-2</v>
          </cell>
        </row>
        <row r="21">
          <cell r="A21" t="str">
            <v>ANF2009</v>
          </cell>
          <cell r="B21" t="str">
            <v>ANF</v>
          </cell>
          <cell r="C21">
            <v>2009</v>
          </cell>
          <cell r="D21">
            <v>20</v>
          </cell>
          <cell r="E21">
            <v>17</v>
          </cell>
          <cell r="F21">
            <v>2638.5250000000001</v>
          </cell>
          <cell r="G21">
            <v>2928.625</v>
          </cell>
          <cell r="H21" t="e">
            <v>#N/A</v>
          </cell>
          <cell r="J21">
            <v>4.6976652866106104E-2</v>
          </cell>
          <cell r="L21">
            <v>307.274</v>
          </cell>
          <cell r="N21">
            <v>0.11645673245468585</v>
          </cell>
          <cell r="P21">
            <v>0.10492090998335396</v>
          </cell>
          <cell r="R21">
            <v>0.49337073751765526</v>
          </cell>
          <cell r="S21">
            <v>458.87400000000002</v>
          </cell>
          <cell r="U21">
            <v>0.17391307643475049</v>
          </cell>
          <cell r="W21">
            <v>0.15668581672286483</v>
          </cell>
          <cell r="Y21">
            <v>-405.93606321085775</v>
          </cell>
          <cell r="AA21">
            <v>-354.20005055604514</v>
          </cell>
          <cell r="AC21">
            <v>1111</v>
          </cell>
          <cell r="AE21">
            <v>7.9347739999999991</v>
          </cell>
          <cell r="AG21">
            <v>7153.3126709206917</v>
          </cell>
          <cell r="AH21">
            <v>1.8675758596353069</v>
          </cell>
          <cell r="AI21">
            <v>0</v>
          </cell>
          <cell r="AK21">
            <v>0.41302790279027907</v>
          </cell>
          <cell r="AM21">
            <v>57.830758632823077</v>
          </cell>
          <cell r="AO21">
            <v>374.73828959601241</v>
          </cell>
          <cell r="AP21">
            <v>369.08738673590454</v>
          </cell>
          <cell r="AR21">
            <v>94.346680915818055</v>
          </cell>
          <cell r="AS21">
            <v>2.8703703703703676E-2</v>
          </cell>
          <cell r="AU21">
            <v>-311.58938229503968</v>
          </cell>
          <cell r="AY21">
            <v>290.10000000000002</v>
          </cell>
          <cell r="BA21">
            <v>3.3191994024894145E-2</v>
          </cell>
          <cell r="BB21">
            <v>3.3191994024894145E-2</v>
          </cell>
          <cell r="BC21">
            <v>0</v>
          </cell>
        </row>
        <row r="22">
          <cell r="A22" t="str">
            <v>ANF2010</v>
          </cell>
          <cell r="B22" t="str">
            <v>ANF</v>
          </cell>
          <cell r="C22">
            <v>2010</v>
          </cell>
          <cell r="D22">
            <v>21</v>
          </cell>
          <cell r="E22">
            <v>18</v>
          </cell>
          <cell r="F22">
            <v>3063.7759999999998</v>
          </cell>
          <cell r="G22">
            <v>3468.7759999999998</v>
          </cell>
          <cell r="H22" t="e">
            <v>#N/A</v>
          </cell>
          <cell r="J22">
            <v>6.9685099297273664E-2</v>
          </cell>
          <cell r="L22">
            <v>342.72499999999997</v>
          </cell>
          <cell r="N22">
            <v>0.11186359577201466</v>
          </cell>
          <cell r="P22">
            <v>9.8802863027188839E-2</v>
          </cell>
          <cell r="R22">
            <v>0.47034794660442047</v>
          </cell>
          <cell r="S22">
            <v>503.92499999999995</v>
          </cell>
          <cell r="U22">
            <v>0.16447840834316868</v>
          </cell>
          <cell r="W22">
            <v>0.14527458677066493</v>
          </cell>
          <cell r="Y22">
            <v>94.346680915818055</v>
          </cell>
          <cell r="AA22">
            <v>114.11229952199898</v>
          </cell>
          <cell r="AC22">
            <v>1083</v>
          </cell>
          <cell r="AE22">
            <v>7.802009</v>
          </cell>
          <cell r="AG22">
            <v>7256.1590271281575</v>
          </cell>
          <cell r="AH22">
            <v>-4.2915766957321955</v>
          </cell>
          <cell r="AI22">
            <v>0</v>
          </cell>
          <cell r="AK22">
            <v>0.4653047091412742</v>
          </cell>
          <cell r="AM22">
            <v>64.5891333885926</v>
          </cell>
          <cell r="AO22">
            <v>444.61407311885955</v>
          </cell>
          <cell r="AP22">
            <v>444.60035870248288</v>
          </cell>
          <cell r="AR22">
            <v>95.104394462600382</v>
          </cell>
          <cell r="AS22">
            <v>-2.5202520252025185E-2</v>
          </cell>
          <cell r="AY22">
            <v>405</v>
          </cell>
          <cell r="BA22">
            <v>-1.6732045550383545E-2</v>
          </cell>
          <cell r="BB22">
            <v>-1.6732045550383545E-2</v>
          </cell>
        </row>
        <row r="23">
          <cell r="A23" t="str">
            <v>ANF2011</v>
          </cell>
          <cell r="B23" t="str">
            <v>ANF</v>
          </cell>
          <cell r="C23">
            <v>2011</v>
          </cell>
          <cell r="D23">
            <v>22</v>
          </cell>
          <cell r="E23">
            <v>19</v>
          </cell>
          <cell r="F23">
            <v>3605.558</v>
          </cell>
          <cell r="G23">
            <v>4158.058</v>
          </cell>
          <cell r="H23" t="e">
            <v>#N/A</v>
          </cell>
          <cell r="J23">
            <v>8.0926682154658577E-2</v>
          </cell>
          <cell r="L23">
            <v>404.94600000000003</v>
          </cell>
          <cell r="N23">
            <v>0.11231160336347384</v>
          </cell>
          <cell r="P23">
            <v>9.7388251919525895E-2</v>
          </cell>
          <cell r="R23">
            <v>0.37980372691667541</v>
          </cell>
          <cell r="S23">
            <v>558.74600000000009</v>
          </cell>
          <cell r="U23">
            <v>0.15496796889690864</v>
          </cell>
          <cell r="W23">
            <v>0.13437667295646191</v>
          </cell>
          <cell r="Y23">
            <v>95.104394462600382</v>
          </cell>
          <cell r="AA23">
            <v>108.97913814203019</v>
          </cell>
          <cell r="AC23">
            <v>1055</v>
          </cell>
          <cell r="AE23">
            <v>7.7496840000000002</v>
          </cell>
          <cell r="AG23">
            <v>7437.5926993275698</v>
          </cell>
          <cell r="AH23">
            <v>-27.465011119416488</v>
          </cell>
          <cell r="AI23">
            <v>0</v>
          </cell>
          <cell r="AK23">
            <v>0.52961706161137445</v>
          </cell>
          <cell r="AM23">
            <v>72.099197851164007</v>
          </cell>
          <cell r="AO23">
            <v>536.54549011288714</v>
          </cell>
          <cell r="AP23">
            <v>536.54549011288714</v>
          </cell>
          <cell r="AR23">
            <v>-10.586818404850762</v>
          </cell>
          <cell r="AS23">
            <v>-2.5854108956602007E-2</v>
          </cell>
          <cell r="AY23">
            <v>552.5</v>
          </cell>
          <cell r="BA23">
            <v>-6.7066059523899213E-3</v>
          </cell>
          <cell r="BB23">
            <v>-6.7066059523899213E-3</v>
          </cell>
        </row>
        <row r="24">
          <cell r="A24" t="str">
            <v>ANF2012</v>
          </cell>
          <cell r="B24" t="str">
            <v>ANF</v>
          </cell>
          <cell r="C24">
            <v>2012</v>
          </cell>
          <cell r="D24">
            <v>23</v>
          </cell>
          <cell r="E24">
            <v>20</v>
          </cell>
          <cell r="F24">
            <v>3810.1760000000004</v>
          </cell>
          <cell r="G24">
            <v>4510.8050000000003</v>
          </cell>
          <cell r="H24" t="e">
            <v>#N/A</v>
          </cell>
          <cell r="J24">
            <v>8.334698573757908E-2</v>
          </cell>
          <cell r="L24">
            <v>430.88899999999995</v>
          </cell>
          <cell r="N24">
            <v>0.11308900166291529</v>
          </cell>
          <cell r="P24">
            <v>9.5523747978465023E-2</v>
          </cell>
          <cell r="R24">
            <v>0.37968014964410779</v>
          </cell>
          <cell r="S24">
            <v>594.48899999999992</v>
          </cell>
          <cell r="U24">
            <v>0.15602665073739372</v>
          </cell>
          <cell r="W24">
            <v>0.13179221890549467</v>
          </cell>
          <cell r="Y24">
            <v>-10.586818404850762</v>
          </cell>
          <cell r="AA24">
            <v>25.844540509672441</v>
          </cell>
          <cell r="AC24">
            <v>1041</v>
          </cell>
          <cell r="AE24">
            <v>7.8502670000000006</v>
          </cell>
          <cell r="AG24">
            <v>7644.5725264169068</v>
          </cell>
          <cell r="AH24" t="e">
            <v>#REF!</v>
          </cell>
          <cell r="AI24">
            <v>0</v>
          </cell>
          <cell r="AK24">
            <v>0.57107492795389037</v>
          </cell>
          <cell r="AM24">
            <v>75.728507068613069</v>
          </cell>
          <cell r="AO24">
            <v>574.6052968644251</v>
          </cell>
          <cell r="AP24">
            <v>574.6052968644251</v>
          </cell>
          <cell r="AR24">
            <v>-347.41200936014042</v>
          </cell>
          <cell r="AS24">
            <v>-1.3270142180094813E-2</v>
          </cell>
          <cell r="AY24">
            <v>700.62900000000002</v>
          </cell>
          <cell r="BA24">
            <v>1.2978980820379293E-2</v>
          </cell>
          <cell r="BB24">
            <v>1.2978980820379293E-2</v>
          </cell>
        </row>
        <row r="25">
          <cell r="A25" t="str">
            <v>ANF2013</v>
          </cell>
          <cell r="B25" t="str">
            <v>ANF</v>
          </cell>
          <cell r="C25" t="str">
            <v>2013e</v>
          </cell>
          <cell r="D25">
            <v>24</v>
          </cell>
          <cell r="E25">
            <v>21</v>
          </cell>
          <cell r="F25">
            <v>3339.9809999999998</v>
          </cell>
          <cell r="G25">
            <v>4116.8969999999999</v>
          </cell>
          <cell r="H25" t="e">
            <v>#N/A</v>
          </cell>
          <cell r="J25">
            <v>9.2901826788002642E-2</v>
          </cell>
          <cell r="L25">
            <v>473.56100000000004</v>
          </cell>
          <cell r="N25">
            <v>0.14178553710335479</v>
          </cell>
          <cell r="P25">
            <v>0.11502862471419617</v>
          </cell>
          <cell r="R25">
            <v>0.34546763774888567</v>
          </cell>
          <cell r="S25">
            <v>637.16100000000006</v>
          </cell>
          <cell r="U25">
            <v>0.19076785167340776</v>
          </cell>
          <cell r="W25">
            <v>0.15476729196771261</v>
          </cell>
          <cell r="Y25">
            <v>-347.41200936014042</v>
          </cell>
          <cell r="AA25">
            <v>-229.75073062217939</v>
          </cell>
          <cell r="AC25">
            <v>1023.5</v>
          </cell>
          <cell r="AE25">
            <v>7.8469999999999995</v>
          </cell>
          <cell r="AG25">
            <v>7689.8608349900596</v>
          </cell>
          <cell r="AH25" t="e">
            <v>#REF!</v>
          </cell>
          <cell r="AI25">
            <v>0</v>
          </cell>
          <cell r="AK25">
            <v>0.6225315095261359</v>
          </cell>
          <cell r="AM25">
            <v>81.198037466547731</v>
          </cell>
          <cell r="AO25">
            <v>524.64597935516758</v>
          </cell>
          <cell r="AP25">
            <v>524.64597935516758</v>
          </cell>
          <cell r="AY25">
            <v>776.91600000000005</v>
          </cell>
          <cell r="BA25">
            <v>-4.161641890653156E-4</v>
          </cell>
          <cell r="BB25">
            <v>-4.161641890653156E-4</v>
          </cell>
        </row>
        <row r="26">
          <cell r="A26" t="str">
            <v>CHECK</v>
          </cell>
          <cell r="C26" t="str">
            <v>2007 = Trough rent</v>
          </cell>
          <cell r="F26">
            <v>3451.7469999999998</v>
          </cell>
          <cell r="G26">
            <v>3749.8469999999998</v>
          </cell>
          <cell r="H26" t="e">
            <v>#N/A</v>
          </cell>
          <cell r="J26">
            <v>0.19434472926495394</v>
          </cell>
          <cell r="L26">
            <v>243.10399999999998</v>
          </cell>
          <cell r="N26">
            <v>7.0429263790190877E-2</v>
          </cell>
          <cell r="P26">
            <v>6.4830378412772574E-2</v>
          </cell>
          <cell r="Q26">
            <v>0</v>
          </cell>
          <cell r="S26">
            <v>372.70399999999995</v>
          </cell>
          <cell r="U26">
            <v>0.10797546865398883</v>
          </cell>
          <cell r="W26">
            <v>9.939178851830488E-2</v>
          </cell>
          <cell r="Z26">
            <v>0</v>
          </cell>
          <cell r="AB26">
            <v>0</v>
          </cell>
          <cell r="AC26">
            <v>989.5</v>
          </cell>
          <cell r="AD26">
            <v>0</v>
          </cell>
          <cell r="AE26">
            <v>7.0153639999999999</v>
          </cell>
          <cell r="AF26">
            <v>0</v>
          </cell>
          <cell r="AG26">
            <v>7089.2405797101446</v>
          </cell>
          <cell r="AH26">
            <v>0.85586633526187383</v>
          </cell>
          <cell r="AI26">
            <v>0.85586633526187383</v>
          </cell>
          <cell r="AJ26">
            <v>0</v>
          </cell>
          <cell r="AK26">
            <v>0.37665891864578066</v>
          </cell>
          <cell r="AL26">
            <v>0</v>
          </cell>
          <cell r="AM26">
            <v>53.126822784961689</v>
          </cell>
          <cell r="AN26">
            <v>0</v>
          </cell>
          <cell r="AO26">
            <v>534.51923521003323</v>
          </cell>
          <cell r="AP26">
            <v>534.51923521003323</v>
          </cell>
          <cell r="AR26">
            <v>-0.14736807639884783</v>
          </cell>
        </row>
        <row r="28">
          <cell r="AI28">
            <v>0</v>
          </cell>
        </row>
        <row r="29">
          <cell r="C29">
            <v>1998</v>
          </cell>
          <cell r="D29">
            <v>5</v>
          </cell>
          <cell r="E29">
            <v>6</v>
          </cell>
          <cell r="F29">
            <v>587.6</v>
          </cell>
          <cell r="H29">
            <v>0.32100000000000001</v>
          </cell>
          <cell r="J29">
            <v>0.14815010211027912</v>
          </cell>
          <cell r="L29">
            <v>59.658999999999999</v>
          </cell>
          <cell r="N29">
            <v>0.10152995234853641</v>
          </cell>
          <cell r="P29" t="str">
            <v>-</v>
          </cell>
          <cell r="S29">
            <v>59.658999999999999</v>
          </cell>
          <cell r="U29">
            <v>0.10152995234853641</v>
          </cell>
          <cell r="AC29">
            <v>0.13070866141732274</v>
          </cell>
          <cell r="AE29">
            <v>1.509147</v>
          </cell>
          <cell r="AG29">
            <v>4209.6709844559582</v>
          </cell>
          <cell r="AH29" t="e">
            <v>#N/A</v>
          </cell>
          <cell r="AI29">
            <v>0</v>
          </cell>
          <cell r="AK29">
            <v>456.42728915662684</v>
          </cell>
          <cell r="AM29">
            <v>39.531602951866184</v>
          </cell>
          <cell r="AO29">
            <v>388</v>
          </cell>
          <cell r="AS29" t="str">
            <v>Annual store rent expense as reported in footnote 11 of the financial statements</v>
          </cell>
        </row>
        <row r="30">
          <cell r="A30" t="str">
            <v>AEO1999</v>
          </cell>
          <cell r="C30">
            <v>1999</v>
          </cell>
          <cell r="D30">
            <v>6</v>
          </cell>
          <cell r="E30">
            <v>7</v>
          </cell>
          <cell r="F30">
            <v>832.10400000000004</v>
          </cell>
          <cell r="H30">
            <v>0.20899565631219172</v>
          </cell>
          <cell r="J30">
            <v>0.17968186668974073</v>
          </cell>
          <cell r="L30">
            <v>77.173000000000002</v>
          </cell>
          <cell r="N30">
            <v>9.2744416563314197E-2</v>
          </cell>
          <cell r="P30" t="str">
            <v>-</v>
          </cell>
          <cell r="S30">
            <v>77.173000000000002</v>
          </cell>
          <cell r="U30">
            <v>9.2744416563314197E-2</v>
          </cell>
          <cell r="AC30">
            <v>0.18662952646239561</v>
          </cell>
          <cell r="AE30">
            <v>1.8321565</v>
          </cell>
          <cell r="AG30">
            <v>4376.3519313304714</v>
          </cell>
          <cell r="AH30" t="e">
            <v>#N/A</v>
          </cell>
          <cell r="AI30">
            <v>0</v>
          </cell>
          <cell r="AK30">
            <v>413.50905970149239</v>
          </cell>
          <cell r="AM30">
            <v>42.121401747066912</v>
          </cell>
          <cell r="AO30">
            <v>454.16644265923793</v>
          </cell>
          <cell r="AS30" t="str">
            <v>includes CAM, RE taxes, and other expenses in addition to minimum rent and</v>
          </cell>
          <cell r="BA30">
            <v>0.21403448438091188</v>
          </cell>
        </row>
        <row r="31">
          <cell r="C31">
            <v>2000</v>
          </cell>
          <cell r="D31">
            <v>7</v>
          </cell>
          <cell r="E31">
            <v>8</v>
          </cell>
          <cell r="F31">
            <v>1093.4769999999999</v>
          </cell>
          <cell r="H31">
            <v>5.7999999999999996E-2</v>
          </cell>
          <cell r="J31">
            <v>0.13402293783957037</v>
          </cell>
          <cell r="L31">
            <v>103.58</v>
          </cell>
          <cell r="N31">
            <v>9.4725357735004956E-2</v>
          </cell>
          <cell r="P31" t="str">
            <v>-</v>
          </cell>
          <cell r="S31">
            <v>103.58</v>
          </cell>
          <cell r="U31">
            <v>9.4725357735004956E-2</v>
          </cell>
          <cell r="AC31">
            <v>0.19718309859154926</v>
          </cell>
          <cell r="AE31">
            <v>2.3181215000000002</v>
          </cell>
          <cell r="AG31">
            <v>4687.4783393501802</v>
          </cell>
          <cell r="AH31" t="e">
            <v>#N/A</v>
          </cell>
          <cell r="AI31">
            <v>0</v>
          </cell>
          <cell r="AK31">
            <v>525.29857142857156</v>
          </cell>
          <cell r="AM31">
            <v>44.682731254595581</v>
          </cell>
          <cell r="AO31">
            <v>448</v>
          </cell>
          <cell r="AS31" t="str">
            <v>percentage rent.  This could be the reason for a slightly elevated rent % vs. sector.</v>
          </cell>
          <cell r="BA31">
            <v>0.26524207948393075</v>
          </cell>
        </row>
        <row r="32">
          <cell r="C32">
            <v>2001</v>
          </cell>
          <cell r="D32">
            <v>8</v>
          </cell>
          <cell r="E32">
            <v>9</v>
          </cell>
          <cell r="F32">
            <v>1371.8990000000001</v>
          </cell>
          <cell r="H32">
            <v>2.3E-2</v>
          </cell>
          <cell r="J32">
            <v>0.12134493865802087</v>
          </cell>
          <cell r="L32">
            <v>138.46700000000001</v>
          </cell>
          <cell r="N32">
            <v>0.10093089943210105</v>
          </cell>
          <cell r="P32" t="str">
            <v>-</v>
          </cell>
          <cell r="S32">
            <v>138.46700000000001</v>
          </cell>
          <cell r="U32">
            <v>0.10093089943210105</v>
          </cell>
          <cell r="AC32">
            <v>0.20784313725490189</v>
          </cell>
          <cell r="AE32">
            <v>2.9657784999999999</v>
          </cell>
          <cell r="AG32">
            <v>4918.4277286135693</v>
          </cell>
          <cell r="AH32" t="e">
            <v>#N/A</v>
          </cell>
          <cell r="AI32">
            <v>0</v>
          </cell>
          <cell r="AK32">
            <v>666.20915094339648</v>
          </cell>
          <cell r="AM32">
            <v>46.688247284819155</v>
          </cell>
          <cell r="AO32">
            <v>417</v>
          </cell>
          <cell r="AS32" t="str">
            <v>DL: In 2003 10-K: looks like they changed their reporting method to show rent expense</v>
          </cell>
          <cell r="BA32">
            <v>0.27938872056533692</v>
          </cell>
        </row>
        <row r="33">
          <cell r="C33">
            <v>2002</v>
          </cell>
          <cell r="D33">
            <v>9</v>
          </cell>
          <cell r="E33">
            <v>10</v>
          </cell>
          <cell r="F33">
            <v>1463.1410000000001</v>
          </cell>
          <cell r="G33">
            <v>1463.1410000000001</v>
          </cell>
          <cell r="H33">
            <v>-4.3418294478692096E-2</v>
          </cell>
          <cell r="J33">
            <v>9.6426113409439032E-2</v>
          </cell>
          <cell r="L33">
            <v>108.114</v>
          </cell>
          <cell r="N33">
            <v>7.3891716519460526E-2</v>
          </cell>
          <cell r="P33">
            <v>7.3891716519460526E-2</v>
          </cell>
          <cell r="S33">
            <v>140.54820000000001</v>
          </cell>
          <cell r="U33">
            <v>9.6059231475298684E-2</v>
          </cell>
          <cell r="AC33">
            <v>0.16152597402597402</v>
          </cell>
          <cell r="AE33">
            <v>3.5760679999999998</v>
          </cell>
          <cell r="AG33">
            <v>5069.6440903054445</v>
          </cell>
          <cell r="AH33" t="e">
            <v>#N/A</v>
          </cell>
          <cell r="AI33">
            <v>0</v>
          </cell>
          <cell r="AK33">
            <v>870.12754974874383</v>
          </cell>
          <cell r="AM33">
            <v>39.302440557618034</v>
          </cell>
          <cell r="AO33">
            <v>396.32663584696934</v>
          </cell>
          <cell r="AS33" t="str">
            <v>excluding CAM, RE taxes and other expenses. From 2003 onwards, I have</v>
          </cell>
          <cell r="BA33">
            <v>0.20577716778242205</v>
          </cell>
        </row>
        <row r="34">
          <cell r="C34">
            <v>2003</v>
          </cell>
          <cell r="D34">
            <v>10</v>
          </cell>
          <cell r="E34">
            <v>11</v>
          </cell>
          <cell r="F34">
            <v>1435.4359999999999</v>
          </cell>
          <cell r="G34">
            <v>1435.4359999999999</v>
          </cell>
          <cell r="H34">
            <v>-6.6115349058494643E-2</v>
          </cell>
          <cell r="J34">
            <v>9.2843568086630079E-2</v>
          </cell>
          <cell r="L34">
            <v>122.119</v>
          </cell>
          <cell r="N34">
            <v>8.5074500012539744E-2</v>
          </cell>
          <cell r="P34">
            <v>8.5074500012539744E-2</v>
          </cell>
          <cell r="S34">
            <v>158.75470000000001</v>
          </cell>
          <cell r="U34">
            <v>0.11059685001630168</v>
          </cell>
          <cell r="W34">
            <v>0.11059685001630168</v>
          </cell>
          <cell r="Y34">
            <v>-145.37618541002993</v>
          </cell>
          <cell r="AA34">
            <v>-1105.9685001630169</v>
          </cell>
          <cell r="AC34">
            <v>8.8749126484975571E-2</v>
          </cell>
          <cell r="AE34">
            <v>4.0284694999999999</v>
          </cell>
          <cell r="AG34">
            <v>5266.4559006211184</v>
          </cell>
          <cell r="AH34" t="e">
            <v>#N/A</v>
          </cell>
          <cell r="AI34">
            <v>0</v>
          </cell>
          <cell r="AK34">
            <v>1788.8029582677161</v>
          </cell>
          <cell r="AM34">
            <v>39.408192118619745</v>
          </cell>
          <cell r="AO34">
            <v>343</v>
          </cell>
          <cell r="AP34">
            <v>356.3229161844219</v>
          </cell>
          <cell r="AS34" t="str">
            <v>multiplied the reported rent expense by 1.3 to a/c for the CAM chgs etc.</v>
          </cell>
          <cell r="BA34">
            <v>0.12650808094253252</v>
          </cell>
        </row>
        <row r="35">
          <cell r="C35">
            <v>2004</v>
          </cell>
          <cell r="D35">
            <v>11</v>
          </cell>
          <cell r="E35">
            <v>12</v>
          </cell>
          <cell r="F35">
            <v>1825.6469999999999</v>
          </cell>
          <cell r="G35">
            <v>1889.6469999999999</v>
          </cell>
          <cell r="H35">
            <v>0.214</v>
          </cell>
          <cell r="J35">
            <v>0.19102403782293731</v>
          </cell>
          <cell r="L35">
            <v>142.56</v>
          </cell>
          <cell r="N35">
            <v>7.8087384910664553E-2</v>
          </cell>
          <cell r="P35">
            <v>7.5442662042169789E-2</v>
          </cell>
          <cell r="S35">
            <v>185.328</v>
          </cell>
          <cell r="U35">
            <v>0.10151360038386392</v>
          </cell>
          <cell r="W35">
            <v>9.8075460654820715E-2</v>
          </cell>
          <cell r="Y35">
            <v>90.832496324377558</v>
          </cell>
          <cell r="AA35">
            <v>125.21389361480963</v>
          </cell>
          <cell r="AC35">
            <v>5.9691912708600858E-2</v>
          </cell>
          <cell r="AE35">
            <v>4.3897960000000005</v>
          </cell>
          <cell r="AG35">
            <v>5366.5425531914889</v>
          </cell>
          <cell r="AH35" t="e">
            <v>#N/A</v>
          </cell>
          <cell r="AI35">
            <v>0</v>
          </cell>
          <cell r="AK35">
            <v>3104.7421935483826</v>
          </cell>
          <cell r="AM35">
            <v>42.21790716470651</v>
          </cell>
          <cell r="AO35">
            <v>412</v>
          </cell>
          <cell r="AP35">
            <v>430.46351128845163</v>
          </cell>
          <cell r="AT35" t="str">
            <v>Adjusted Rent Expense Increase Assumption</v>
          </cell>
          <cell r="AY35">
            <v>64</v>
          </cell>
          <cell r="BA35">
            <v>8.969324454361649E-2</v>
          </cell>
        </row>
        <row r="36">
          <cell r="A36" t="str">
            <v>AEO</v>
          </cell>
          <cell r="B36" t="str">
            <v>AEO</v>
          </cell>
          <cell r="C36" t="str">
            <v>2005 (ex. Internet/cat.)</v>
          </cell>
          <cell r="D36">
            <v>12</v>
          </cell>
          <cell r="E36">
            <v>13</v>
          </cell>
          <cell r="F36">
            <v>2216.962</v>
          </cell>
          <cell r="G36">
            <v>2321.962</v>
          </cell>
          <cell r="H36">
            <v>0.155</v>
          </cell>
          <cell r="J36">
            <v>0.19754371518569211</v>
          </cell>
          <cell r="L36">
            <v>160.876</v>
          </cell>
          <cell r="N36">
            <v>7.2565970909740443E-2</v>
          </cell>
          <cell r="P36">
            <v>6.9284510254689791E-2</v>
          </cell>
          <cell r="R36">
            <v>0.3</v>
          </cell>
          <cell r="S36">
            <v>209.1388</v>
          </cell>
          <cell r="U36">
            <v>9.4335762182662583E-2</v>
          </cell>
          <cell r="W36">
            <v>9.0069863331096719E-2</v>
          </cell>
          <cell r="Y36">
            <v>71.778382012013395</v>
          </cell>
          <cell r="AA36">
            <v>80.055973237239954</v>
          </cell>
          <cell r="AC36">
            <v>3.8764385221078168E-2</v>
          </cell>
          <cell r="AE36">
            <v>4.6562909999999995</v>
          </cell>
          <cell r="AG36">
            <v>5491.9298043728422</v>
          </cell>
          <cell r="AH36" t="e">
            <v>#N/A</v>
          </cell>
          <cell r="AI36" t="e">
            <v>#N/A</v>
          </cell>
          <cell r="AK36">
            <v>5395.1274812499951</v>
          </cell>
          <cell r="AM36">
            <v>44.915319940270059</v>
          </cell>
          <cell r="AO36">
            <v>470.75955406374999</v>
          </cell>
          <cell r="AP36">
            <v>498.67201169342729</v>
          </cell>
          <cell r="AT36" t="str">
            <v>10-K #: Excludes CAM, RE Taxes, Other expenses</v>
          </cell>
          <cell r="AY36">
            <v>105</v>
          </cell>
          <cell r="BA36">
            <v>6.0707832436860176E-2</v>
          </cell>
          <cell r="BB36">
            <v>1.8855495550527568E-2</v>
          </cell>
        </row>
        <row r="37">
          <cell r="A37" t="str">
            <v>AEO2006</v>
          </cell>
          <cell r="B37" t="str">
            <v>AEO</v>
          </cell>
          <cell r="C37" t="str">
            <v>2006 (ex. Internet/cat.)</v>
          </cell>
          <cell r="D37">
            <v>13</v>
          </cell>
          <cell r="E37">
            <v>14</v>
          </cell>
          <cell r="F37">
            <v>2639.0089999999996</v>
          </cell>
          <cell r="G37">
            <v>2794.4089999999997</v>
          </cell>
          <cell r="H37">
            <v>0.12</v>
          </cell>
          <cell r="J37">
            <v>0.20998679863971223</v>
          </cell>
          <cell r="L37">
            <v>177.197</v>
          </cell>
          <cell r="N37">
            <v>6.7145280671646074E-2</v>
          </cell>
          <cell r="P37">
            <v>6.3411261558347407E-2</v>
          </cell>
          <cell r="R37">
            <v>0.29799037229749947</v>
          </cell>
          <cell r="S37">
            <v>230</v>
          </cell>
          <cell r="U37">
            <v>8.7153927857009969E-2</v>
          </cell>
          <cell r="W37">
            <v>8.2307206997973462E-2</v>
          </cell>
          <cell r="Y37">
            <v>71.818343256526134</v>
          </cell>
          <cell r="AA37">
            <v>77.626563331232575</v>
          </cell>
          <cell r="AC37">
            <v>3.790087463556846E-2</v>
          </cell>
          <cell r="AE37">
            <v>4.9727759999999996</v>
          </cell>
          <cell r="AG37">
            <v>5678.4467618002191</v>
          </cell>
          <cell r="AH37" t="e">
            <v>#N/A</v>
          </cell>
          <cell r="AI37">
            <v>2.3856277569008619</v>
          </cell>
          <cell r="AK37">
            <v>6068.4615384615472</v>
          </cell>
          <cell r="AM37">
            <v>46.251831974736049</v>
          </cell>
          <cell r="AO37">
            <v>522.181289368178</v>
          </cell>
          <cell r="AP37">
            <v>561.94145885517457</v>
          </cell>
          <cell r="AR37" t="str">
            <v>DE-LVG</v>
          </cell>
          <cell r="AY37">
            <v>155.4</v>
          </cell>
          <cell r="BA37">
            <v>6.7969334390827418E-2</v>
          </cell>
          <cell r="BB37">
            <v>2.9498222777882166E-2</v>
          </cell>
        </row>
        <row r="38">
          <cell r="A38" t="str">
            <v>AEO2007</v>
          </cell>
          <cell r="B38" t="str">
            <v>AEO</v>
          </cell>
          <cell r="C38" t="str">
            <v>2007 (ex. Internet/cat.)</v>
          </cell>
          <cell r="D38">
            <v>14</v>
          </cell>
          <cell r="E38">
            <v>15</v>
          </cell>
          <cell r="F38">
            <v>2811.9189999999999</v>
          </cell>
          <cell r="G38">
            <v>3055.4189999999999</v>
          </cell>
          <cell r="H38">
            <v>1.5272651879374904E-2</v>
          </cell>
          <cell r="J38">
            <v>0.1959649396694855</v>
          </cell>
          <cell r="L38">
            <v>184.67699999999999</v>
          </cell>
          <cell r="N38">
            <v>6.5676500638887539E-2</v>
          </cell>
          <cell r="P38">
            <v>6.0442446682435369E-2</v>
          </cell>
          <cell r="R38">
            <v>0.39582622633029563</v>
          </cell>
          <cell r="S38">
            <v>257.77699999999999</v>
          </cell>
          <cell r="U38">
            <v>9.1672982045357634E-2</v>
          </cell>
          <cell r="W38">
            <v>8.4367152262913858E-2</v>
          </cell>
          <cell r="Y38">
            <v>-45.190541883476655</v>
          </cell>
          <cell r="AA38">
            <v>-20.599452649403965</v>
          </cell>
          <cell r="AC38">
            <v>6.6292134831460681E-2</v>
          </cell>
          <cell r="AE38">
            <v>5.4414984999999998</v>
          </cell>
          <cell r="AG38">
            <v>5785.1388044579535</v>
          </cell>
          <cell r="AH38" t="e">
            <v>#N/A</v>
          </cell>
          <cell r="AI38">
            <v>0.53309329301153885</v>
          </cell>
          <cell r="AK38">
            <v>3888.5005084745758</v>
          </cell>
          <cell r="AM38">
            <v>47.37242875285181</v>
          </cell>
          <cell r="AO38">
            <v>512.18022935278179</v>
          </cell>
          <cell r="AP38">
            <v>561.50323297893033</v>
          </cell>
          <cell r="AR38">
            <v>-174.10406646652956</v>
          </cell>
          <cell r="AY38">
            <v>243.5</v>
          </cell>
          <cell r="BA38">
            <v>9.4257714403383597E-2</v>
          </cell>
          <cell r="BB38">
            <v>9.4257714403383597E-2</v>
          </cell>
        </row>
        <row r="39">
          <cell r="A39" t="str">
            <v>AEO2008</v>
          </cell>
          <cell r="B39" t="str">
            <v>AEO</v>
          </cell>
          <cell r="C39">
            <v>2008</v>
          </cell>
          <cell r="D39">
            <v>15</v>
          </cell>
          <cell r="E39">
            <v>16</v>
          </cell>
          <cell r="F39">
            <v>2681.866</v>
          </cell>
          <cell r="G39">
            <v>2988.866</v>
          </cell>
          <cell r="H39">
            <v>-0.1</v>
          </cell>
          <cell r="J39">
            <v>0.10333015933133168</v>
          </cell>
          <cell r="L39">
            <v>209.58699999999999</v>
          </cell>
          <cell r="N39">
            <v>7.8149691297029755E-2</v>
          </cell>
          <cell r="P39">
            <v>7.0122581607874018E-2</v>
          </cell>
          <cell r="R39">
            <v>0.39582622633029563</v>
          </cell>
          <cell r="S39">
            <v>292.54703129788766</v>
          </cell>
          <cell r="U39">
            <v>0.10908338869201059</v>
          </cell>
          <cell r="W39">
            <v>9.787893846625699E-2</v>
          </cell>
          <cell r="Y39">
            <v>-174.10406646652956</v>
          </cell>
          <cell r="AA39">
            <v>-135.11786203343132</v>
          </cell>
          <cell r="AC39">
            <v>9.852476290832457E-2</v>
          </cell>
          <cell r="AE39">
            <v>6.0190494999999995</v>
          </cell>
          <cell r="AG39">
            <v>5763.3579234972676</v>
          </cell>
          <cell r="AH39" t="e">
            <v>#N/A</v>
          </cell>
          <cell r="AI39">
            <v>0.50640924370481832</v>
          </cell>
          <cell r="AK39">
            <v>2969.2741465421959</v>
          </cell>
          <cell r="AM39">
            <v>48.603526403610353</v>
          </cell>
          <cell r="AO39">
            <v>446.36015452815957</v>
          </cell>
          <cell r="AP39">
            <v>496.56777203776113</v>
          </cell>
          <cell r="AQ39" t="str">
            <v>Stores Sales exclude AEO's Internet sales ($467M in '12, $385M in '11) and rent for offices, distribution facilities, equipment and other.</v>
          </cell>
          <cell r="AR39">
            <v>-187.57313860181841</v>
          </cell>
          <cell r="AS39">
            <v>0.48622099980354005</v>
          </cell>
          <cell r="AU39">
            <v>-361.67720506834797</v>
          </cell>
          <cell r="AY39">
            <v>307</v>
          </cell>
          <cell r="BA39">
            <v>0.10613822644626292</v>
          </cell>
          <cell r="BB39">
            <v>0.10613822644626292</v>
          </cell>
        </row>
        <row r="40">
          <cell r="A40" t="str">
            <v>AEO2009</v>
          </cell>
          <cell r="B40" t="str">
            <v>AEO</v>
          </cell>
          <cell r="C40">
            <v>2009</v>
          </cell>
          <cell r="D40">
            <v>16</v>
          </cell>
          <cell r="E40">
            <v>17</v>
          </cell>
          <cell r="F40">
            <v>2606.2689999999998</v>
          </cell>
          <cell r="G40">
            <v>2940.2689999999998</v>
          </cell>
          <cell r="H40">
            <v>-0.04</v>
          </cell>
          <cell r="J40">
            <v>0.10556585128775628</v>
          </cell>
          <cell r="L40">
            <v>226.65799999999999</v>
          </cell>
          <cell r="N40">
            <v>8.6966464321219336E-2</v>
          </cell>
          <cell r="P40">
            <v>7.7087504578662702E-2</v>
          </cell>
          <cell r="R40">
            <v>0.47</v>
          </cell>
          <cell r="S40">
            <v>333.18725999999998</v>
          </cell>
          <cell r="U40">
            <v>0.12784070255219243</v>
          </cell>
          <cell r="W40">
            <v>0.11331863173063417</v>
          </cell>
          <cell r="Y40">
            <v>-187.57313860181841</v>
          </cell>
          <cell r="AA40">
            <v>-154.39693264377178</v>
          </cell>
          <cell r="AC40">
            <v>5.5635491606714549E-2</v>
          </cell>
          <cell r="AE40">
            <v>6.2717609999999997</v>
          </cell>
          <cell r="AG40">
            <v>5634.9546690843154</v>
          </cell>
          <cell r="AH40" t="e">
            <v>#N/A</v>
          </cell>
          <cell r="AI40">
            <v>0</v>
          </cell>
          <cell r="AK40">
            <v>5988.7537681034564</v>
          </cell>
          <cell r="AM40">
            <v>53.12499312394079</v>
          </cell>
          <cell r="AO40">
            <v>420.28003990648716</v>
          </cell>
          <cell r="AP40">
            <v>468.81075347099483</v>
          </cell>
          <cell r="AR40">
            <v>-57.836346538058251</v>
          </cell>
          <cell r="AS40">
            <v>-0.43531463599174225</v>
          </cell>
          <cell r="AU40">
            <v>-245.40948513987667</v>
          </cell>
          <cell r="AY40">
            <v>334</v>
          </cell>
          <cell r="BA40">
            <v>4.198528355681419E-2</v>
          </cell>
          <cell r="BB40">
            <v>4.198528355681419E-2</v>
          </cell>
          <cell r="BC40">
            <v>0</v>
          </cell>
        </row>
        <row r="41">
          <cell r="A41" t="str">
            <v>AEO2010</v>
          </cell>
          <cell r="B41" t="str">
            <v>AEO</v>
          </cell>
          <cell r="C41">
            <v>2010</v>
          </cell>
          <cell r="D41">
            <v>17</v>
          </cell>
          <cell r="E41">
            <v>18</v>
          </cell>
          <cell r="F41">
            <v>2611.2939999999999</v>
          </cell>
          <cell r="G41">
            <v>2945.2939999999999</v>
          </cell>
          <cell r="H41">
            <v>-0.01</v>
          </cell>
          <cell r="J41">
            <v>0.11528614800423999</v>
          </cell>
          <cell r="L41">
            <v>237.369</v>
          </cell>
          <cell r="N41">
            <v>9.0900909663944388E-2</v>
          </cell>
          <cell r="P41">
            <v>8.0592633536753888E-2</v>
          </cell>
          <cell r="R41">
            <v>0.47</v>
          </cell>
          <cell r="S41">
            <v>348.93243000000001</v>
          </cell>
          <cell r="U41">
            <v>0.13362433720599826</v>
          </cell>
          <cell r="W41">
            <v>0.11847117129902822</v>
          </cell>
          <cell r="Y41">
            <v>-57.836346538058251</v>
          </cell>
          <cell r="AA41">
            <v>-51.525395683940516</v>
          </cell>
          <cell r="AC41">
            <v>-9.5411176737846271E-3</v>
          </cell>
          <cell r="AE41">
            <v>6.2518899999999995</v>
          </cell>
          <cell r="AG41">
            <v>5838.8347260909941</v>
          </cell>
          <cell r="AH41" t="e">
            <v>#N/A</v>
          </cell>
          <cell r="AI41">
            <v>0</v>
          </cell>
          <cell r="AK41">
            <v>-36571.441830000062</v>
          </cell>
          <cell r="AM41">
            <v>55.812311157106095</v>
          </cell>
          <cell r="AO41">
            <v>410.30148671654734</v>
          </cell>
          <cell r="AP41">
            <v>471.1045779756202</v>
          </cell>
          <cell r="AR41">
            <v>-27.581494561143284</v>
          </cell>
          <cell r="AS41">
            <v>-1.171493365084836</v>
          </cell>
          <cell r="AY41">
            <v>334</v>
          </cell>
          <cell r="BA41">
            <v>-3.1683286400742139E-3</v>
          </cell>
          <cell r="BB41">
            <v>-3.1683286400742139E-3</v>
          </cell>
          <cell r="BC41">
            <v>0</v>
          </cell>
        </row>
        <row r="42">
          <cell r="A42" t="str">
            <v>AEO2011</v>
          </cell>
          <cell r="B42" t="str">
            <v>AEO</v>
          </cell>
          <cell r="C42">
            <v>2011</v>
          </cell>
          <cell r="D42">
            <v>18</v>
          </cell>
          <cell r="E42">
            <v>19</v>
          </cell>
          <cell r="F42">
            <v>2734.6588929999998</v>
          </cell>
          <cell r="G42">
            <v>3120.0650000000001</v>
          </cell>
          <cell r="H42">
            <v>0.04</v>
          </cell>
          <cell r="J42">
            <v>9.4244510931663306E-2</v>
          </cell>
          <cell r="L42">
            <v>253.714</v>
          </cell>
          <cell r="N42">
            <v>9.2777201810960927E-2</v>
          </cell>
          <cell r="P42">
            <v>8.1316895641597206E-2</v>
          </cell>
          <cell r="R42">
            <v>0.47</v>
          </cell>
          <cell r="S42">
            <v>372.95958000000002</v>
          </cell>
          <cell r="U42">
            <v>0.13638248666211258</v>
          </cell>
          <cell r="W42">
            <v>0.1195358365931479</v>
          </cell>
          <cell r="Y42">
            <v>-27.581494561143284</v>
          </cell>
          <cell r="AA42">
            <v>-10.646652941196793</v>
          </cell>
          <cell r="AC42">
            <v>-1.5596330275229331E-2</v>
          </cell>
          <cell r="AE42">
            <v>6.2893545</v>
          </cell>
          <cell r="AG42">
            <v>5884.269410664172</v>
          </cell>
          <cell r="AH42" t="e">
            <v>#N/A</v>
          </cell>
          <cell r="AI42">
            <v>0</v>
          </cell>
          <cell r="AK42">
            <v>-23913.290717647102</v>
          </cell>
          <cell r="AM42">
            <v>59.300136444845016</v>
          </cell>
          <cell r="AO42">
            <v>433.12264623453956</v>
          </cell>
          <cell r="AP42">
            <v>496.08668107355055</v>
          </cell>
          <cell r="AR42">
            <v>99.271998070785955</v>
          </cell>
          <cell r="AS42">
            <v>0.6346439493228484</v>
          </cell>
          <cell r="AT42">
            <v>5</v>
          </cell>
          <cell r="AY42">
            <v>385.40610700000002</v>
          </cell>
          <cell r="BA42">
            <v>5.9925078656215547E-3</v>
          </cell>
          <cell r="BB42">
            <v>5.9925078656215547E-3</v>
          </cell>
        </row>
        <row r="43">
          <cell r="A43" t="str">
            <v>AEO2012</v>
          </cell>
          <cell r="B43" t="str">
            <v>AEO</v>
          </cell>
          <cell r="C43">
            <v>2012</v>
          </cell>
          <cell r="D43">
            <v>19</v>
          </cell>
          <cell r="E43">
            <v>20</v>
          </cell>
          <cell r="F43">
            <v>3008.8019999999997</v>
          </cell>
          <cell r="G43">
            <v>3475.8019999999997</v>
          </cell>
          <cell r="H43">
            <v>0.09</v>
          </cell>
          <cell r="J43">
            <v>0.12576205434026455</v>
          </cell>
          <cell r="L43">
            <v>260.60199999999998</v>
          </cell>
          <cell r="N43">
            <v>8.6613210174680821E-2</v>
          </cell>
          <cell r="P43">
            <v>7.4976077463560928E-2</v>
          </cell>
          <cell r="R43">
            <v>0.46</v>
          </cell>
          <cell r="S43">
            <v>380.47891999999996</v>
          </cell>
          <cell r="U43">
            <v>0.12645528685503399</v>
          </cell>
          <cell r="W43">
            <v>0.10946507309679895</v>
          </cell>
          <cell r="Y43">
            <v>99.271998070785955</v>
          </cell>
          <cell r="AA43">
            <v>100.70763496348944</v>
          </cell>
          <cell r="AC43">
            <v>-1.5377446411929174E-2</v>
          </cell>
          <cell r="AE43">
            <v>6.2467810000000004</v>
          </cell>
          <cell r="AG43">
            <v>5941.8371647509575</v>
          </cell>
          <cell r="AH43" t="e">
            <v>#N/A</v>
          </cell>
          <cell r="AI43">
            <v>0</v>
          </cell>
          <cell r="AK43">
            <v>-24742.659464242417</v>
          </cell>
          <cell r="AM43">
            <v>60.907997254906157</v>
          </cell>
          <cell r="AO43">
            <v>477.65316270123833</v>
          </cell>
          <cell r="AP43">
            <v>556.41489592799871</v>
          </cell>
          <cell r="AR43">
            <v>-156.57302652551496</v>
          </cell>
          <cell r="AY43">
            <v>467</v>
          </cell>
          <cell r="BA43">
            <v>-6.7691366419240229E-3</v>
          </cell>
          <cell r="BB43">
            <v>-6.7691366419240229E-3</v>
          </cell>
        </row>
        <row r="44">
          <cell r="A44" t="str">
            <v>AEO2013</v>
          </cell>
          <cell r="B44" t="str">
            <v>AEO</v>
          </cell>
          <cell r="C44" t="str">
            <v>2013e</v>
          </cell>
          <cell r="D44">
            <v>20</v>
          </cell>
          <cell r="E44">
            <v>21</v>
          </cell>
          <cell r="F44">
            <v>2764.3481929447998</v>
          </cell>
          <cell r="G44">
            <v>3305.8019999999997</v>
          </cell>
          <cell r="H44">
            <v>1.0172445337443065E-2</v>
          </cell>
          <cell r="J44">
            <v>0.13310413788954226</v>
          </cell>
          <cell r="L44">
            <v>267.24400000000003</v>
          </cell>
          <cell r="N44">
            <v>9.6675230957541144E-2</v>
          </cell>
          <cell r="P44">
            <v>8.0840897307219259E-2</v>
          </cell>
          <cell r="R44">
            <v>0.47</v>
          </cell>
          <cell r="S44">
            <v>392.84868000000006</v>
          </cell>
          <cell r="U44">
            <v>0.14211258950758549</v>
          </cell>
          <cell r="W44">
            <v>0.11883611904161233</v>
          </cell>
          <cell r="Y44">
            <v>-156.57302652551496</v>
          </cell>
          <cell r="AA44">
            <v>-93.710459448133747</v>
          </cell>
          <cell r="AC44">
            <v>-7.0989115002366709E-3</v>
          </cell>
          <cell r="AE44">
            <v>6.2332780000000003</v>
          </cell>
          <cell r="AG44">
            <v>5942.3889943074</v>
          </cell>
          <cell r="AH44" t="e">
            <v>#N/A</v>
          </cell>
          <cell r="AI44">
            <v>0</v>
          </cell>
          <cell r="AK44">
            <v>-55339.284055999691</v>
          </cell>
          <cell r="AM44">
            <v>63.024411874458359</v>
          </cell>
          <cell r="AO44">
            <v>474.14190217873693</v>
          </cell>
          <cell r="AP44">
            <v>530.34727474051363</v>
          </cell>
          <cell r="AY44">
            <v>541.45380705520006</v>
          </cell>
          <cell r="BA44">
            <v>-2.1615933070168181E-3</v>
          </cell>
          <cell r="BB44">
            <v>1.7064949131400553E-2</v>
          </cell>
        </row>
        <row r="45">
          <cell r="A45" t="str">
            <v>CHECK</v>
          </cell>
          <cell r="C45" t="str">
            <v>2006 = Trough rent</v>
          </cell>
          <cell r="F45">
            <v>2639.0089999999996</v>
          </cell>
          <cell r="G45">
            <v>2794.4089999999997</v>
          </cell>
          <cell r="H45">
            <v>0.12</v>
          </cell>
          <cell r="J45">
            <v>0.20998679863971223</v>
          </cell>
          <cell r="L45">
            <v>177.197</v>
          </cell>
          <cell r="N45">
            <v>6.7145280671646074E-2</v>
          </cell>
          <cell r="P45">
            <v>6.3411261558347407E-2</v>
          </cell>
          <cell r="S45">
            <v>230</v>
          </cell>
          <cell r="U45">
            <v>8.7153927857009969E-2</v>
          </cell>
          <cell r="W45">
            <v>8.2307206997973462E-2</v>
          </cell>
          <cell r="Z45">
            <v>0</v>
          </cell>
          <cell r="AB45">
            <v>0</v>
          </cell>
          <cell r="AC45">
            <v>3.790087463556846E-2</v>
          </cell>
          <cell r="AE45">
            <v>4.9727759999999996</v>
          </cell>
          <cell r="AG45">
            <v>5678.4467618002191</v>
          </cell>
          <cell r="AH45" t="e">
            <v>#N/A</v>
          </cell>
          <cell r="AI45" t="e">
            <v>#N/A</v>
          </cell>
          <cell r="AK45">
            <v>6068.4615384615472</v>
          </cell>
          <cell r="AM45">
            <v>46.251831974736049</v>
          </cell>
          <cell r="AO45">
            <v>522.181289368178</v>
          </cell>
          <cell r="AP45">
            <v>561.94145885517457</v>
          </cell>
          <cell r="AR45">
            <v>-0.10442094735195595</v>
          </cell>
        </row>
        <row r="47">
          <cell r="AI47">
            <v>0</v>
          </cell>
        </row>
        <row r="48">
          <cell r="C48">
            <v>1998</v>
          </cell>
          <cell r="D48">
            <v>11</v>
          </cell>
          <cell r="E48">
            <v>11</v>
          </cell>
          <cell r="F48">
            <v>911.93899999999996</v>
          </cell>
          <cell r="H48">
            <v>7.9000000000000001E-2</v>
          </cell>
          <cell r="J48">
            <v>0.10043105953358712</v>
          </cell>
          <cell r="L48">
            <v>68.772000000000006</v>
          </cell>
          <cell r="N48">
            <v>7.541293880402089E-2</v>
          </cell>
          <cell r="P48" t="str">
            <v>-</v>
          </cell>
          <cell r="S48">
            <v>91.466760000000008</v>
          </cell>
          <cell r="U48">
            <v>0.10029920860934778</v>
          </cell>
          <cell r="AC48">
            <v>344.5</v>
          </cell>
          <cell r="AE48">
            <v>2.0290000000000004</v>
          </cell>
          <cell r="AG48">
            <v>5558.9041095890416</v>
          </cell>
          <cell r="AH48">
            <v>0.96377696628168574</v>
          </cell>
          <cell r="AI48">
            <v>0</v>
          </cell>
          <cell r="AK48">
            <v>0.26550583454281568</v>
          </cell>
          <cell r="AM48">
            <v>45.079724001971414</v>
          </cell>
          <cell r="AO48">
            <v>474</v>
          </cell>
          <cell r="AS48" t="str">
            <v>Total rent expense reported in footnote 5 includes only minimum and percentage</v>
          </cell>
        </row>
        <row r="49">
          <cell r="A49" t="str">
            <v>ANN1999</v>
          </cell>
          <cell r="C49">
            <v>1999</v>
          </cell>
          <cell r="D49">
            <v>12</v>
          </cell>
          <cell r="E49">
            <v>12</v>
          </cell>
          <cell r="F49">
            <v>1084.519</v>
          </cell>
          <cell r="H49">
            <v>8.4000000000000005E-2</v>
          </cell>
          <cell r="J49">
            <v>0.11371677213585009</v>
          </cell>
          <cell r="L49">
            <v>76.494</v>
          </cell>
          <cell r="N49">
            <v>7.0532650880251985E-2</v>
          </cell>
          <cell r="P49" t="str">
            <v>-</v>
          </cell>
          <cell r="S49">
            <v>101.73702</v>
          </cell>
          <cell r="U49">
            <v>9.3808425670735135E-2</v>
          </cell>
          <cell r="AC49">
            <v>385</v>
          </cell>
          <cell r="AE49">
            <v>2.2800000000000002</v>
          </cell>
          <cell r="AG49">
            <v>5629.6296296296305</v>
          </cell>
          <cell r="AH49">
            <v>0.85353119923150744</v>
          </cell>
          <cell r="AI49">
            <v>0</v>
          </cell>
          <cell r="AK49">
            <v>0.26425199999999999</v>
          </cell>
          <cell r="AM49">
            <v>44.621499999999997</v>
          </cell>
          <cell r="AO49">
            <v>502</v>
          </cell>
          <cell r="AS49" t="str">
            <v>rent, and does not include CAM, RE Taxes, Insurance or other landlord passthrus.</v>
          </cell>
          <cell r="BA49">
            <v>0.12370625924100542</v>
          </cell>
        </row>
        <row r="50">
          <cell r="C50">
            <v>2000</v>
          </cell>
          <cell r="D50">
            <v>13</v>
          </cell>
          <cell r="E50">
            <v>13</v>
          </cell>
          <cell r="F50">
            <v>1232.7759999999998</v>
          </cell>
          <cell r="H50">
            <v>-5.0000000000000001E-3</v>
          </cell>
          <cell r="J50">
            <v>7.9690065348449302E-2</v>
          </cell>
          <cell r="L50">
            <v>95.016000000000005</v>
          </cell>
          <cell r="N50">
            <v>7.7074829490515723E-2</v>
          </cell>
          <cell r="P50" t="str">
            <v>-</v>
          </cell>
          <cell r="S50">
            <v>126.37128000000001</v>
          </cell>
          <cell r="U50">
            <v>0.10250952322238592</v>
          </cell>
          <cell r="AC50">
            <v>441.5</v>
          </cell>
          <cell r="AE50">
            <v>2.6950000000000003</v>
          </cell>
          <cell r="AG50">
            <v>5638.0753138075324</v>
          </cell>
          <cell r="AH50">
            <v>0.91681414954200546</v>
          </cell>
          <cell r="AI50">
            <v>0</v>
          </cell>
          <cell r="AK50">
            <v>0.28623166477916195</v>
          </cell>
          <cell r="AM50">
            <v>46.891012987012985</v>
          </cell>
          <cell r="AO50">
            <v>496</v>
          </cell>
          <cell r="AS50" t="str">
            <v>Rent expense does include administrative facilities.</v>
          </cell>
          <cell r="BA50">
            <v>0.18201754385964919</v>
          </cell>
        </row>
        <row r="51">
          <cell r="C51">
            <v>2001</v>
          </cell>
          <cell r="D51">
            <v>14</v>
          </cell>
          <cell r="E51">
            <v>14</v>
          </cell>
          <cell r="F51">
            <v>1299.5719999999999</v>
          </cell>
          <cell r="H51">
            <v>-6.0999999999999999E-2</v>
          </cell>
          <cell r="J51">
            <v>4.6277543683612705E-2</v>
          </cell>
          <cell r="L51">
            <v>109.864</v>
          </cell>
          <cell r="N51">
            <v>8.4538601939715546E-2</v>
          </cell>
          <cell r="P51" t="str">
            <v>-</v>
          </cell>
          <cell r="S51">
            <v>146.11912000000001</v>
          </cell>
          <cell r="U51">
            <v>0.11243634057982169</v>
          </cell>
          <cell r="AC51">
            <v>508</v>
          </cell>
          <cell r="AE51">
            <v>3.0559999999999996</v>
          </cell>
          <cell r="AG51">
            <v>5680.2973977695165</v>
          </cell>
          <cell r="AH51">
            <v>0.73845030244873944</v>
          </cell>
          <cell r="AI51">
            <v>0</v>
          </cell>
          <cell r="AK51">
            <v>0.28763606299212602</v>
          </cell>
          <cell r="AM51">
            <v>47.813848167539277</v>
          </cell>
          <cell r="AO51">
            <v>452</v>
          </cell>
          <cell r="BA51">
            <v>0.13395176252319074</v>
          </cell>
        </row>
        <row r="52">
          <cell r="C52">
            <v>2002</v>
          </cell>
          <cell r="D52">
            <v>15</v>
          </cell>
          <cell r="E52">
            <v>15</v>
          </cell>
          <cell r="F52">
            <v>1380.9659999999999</v>
          </cell>
          <cell r="H52">
            <v>-3.9E-2</v>
          </cell>
          <cell r="J52">
            <v>9.7609209785034512E-2</v>
          </cell>
          <cell r="L52">
            <v>111.712</v>
          </cell>
          <cell r="N52">
            <v>8.0894098768543185E-2</v>
          </cell>
          <cell r="P52" t="str">
            <v>-</v>
          </cell>
          <cell r="S52">
            <v>148.57696000000001</v>
          </cell>
          <cell r="U52">
            <v>0.10758915136216245</v>
          </cell>
          <cell r="AC52">
            <v>561</v>
          </cell>
          <cell r="AE52">
            <v>3.3045999999999998</v>
          </cell>
          <cell r="AG52">
            <v>5658.5616438356165</v>
          </cell>
          <cell r="AH52">
            <v>0.95879612943616999</v>
          </cell>
          <cell r="AI52">
            <v>0</v>
          </cell>
          <cell r="AK52">
            <v>0.2648430659536542</v>
          </cell>
          <cell r="AM52">
            <v>44.960648792592153</v>
          </cell>
          <cell r="AO52">
            <v>434</v>
          </cell>
          <cell r="AS52" t="str">
            <v>2004 onwards includes CAM and taxes</v>
          </cell>
          <cell r="BA52">
            <v>8.1348167539267102E-2</v>
          </cell>
        </row>
        <row r="53">
          <cell r="C53">
            <v>2003</v>
          </cell>
          <cell r="D53">
            <v>16</v>
          </cell>
          <cell r="E53">
            <v>16</v>
          </cell>
          <cell r="F53">
            <v>1587.7080000000001</v>
          </cell>
          <cell r="G53">
            <v>1587.7080000000001</v>
          </cell>
          <cell r="H53">
            <v>5600</v>
          </cell>
          <cell r="J53">
            <v>0.10788318758864981</v>
          </cell>
          <cell r="L53">
            <v>120.444</v>
          </cell>
          <cell r="N53">
            <v>7.586029672962534E-2</v>
          </cell>
          <cell r="P53">
            <v>7.586029672962534E-2</v>
          </cell>
          <cell r="R53">
            <v>0.33</v>
          </cell>
          <cell r="S53">
            <v>160.19052000000002</v>
          </cell>
          <cell r="U53">
            <v>0.10089419465040173</v>
          </cell>
          <cell r="Y53">
            <v>66.949567117607216</v>
          </cell>
          <cell r="AA53">
            <v>0</v>
          </cell>
          <cell r="AC53">
            <v>616</v>
          </cell>
          <cell r="AE53">
            <v>3.6619999999999999</v>
          </cell>
          <cell r="AG53">
            <v>5651.2345679012342</v>
          </cell>
          <cell r="AH53">
            <v>1.015205608048825</v>
          </cell>
          <cell r="AI53">
            <v>0</v>
          </cell>
          <cell r="AK53">
            <v>0.26004954545454551</v>
          </cell>
          <cell r="AM53">
            <v>43.743997815401428</v>
          </cell>
          <cell r="AO53">
            <v>455.81144317170504</v>
          </cell>
          <cell r="AP53">
            <v>433.56308028399786</v>
          </cell>
          <cell r="BA53">
            <v>0.10815227258972349</v>
          </cell>
        </row>
        <row r="54">
          <cell r="C54">
            <v>2004</v>
          </cell>
          <cell r="D54">
            <v>17</v>
          </cell>
          <cell r="E54">
            <v>17</v>
          </cell>
          <cell r="F54">
            <v>1853.5829999999999</v>
          </cell>
          <cell r="G54">
            <v>1853.5829999999999</v>
          </cell>
          <cell r="H54">
            <v>5700</v>
          </cell>
          <cell r="J54">
            <v>5.6624386391113724E-2</v>
          </cell>
          <cell r="L54">
            <v>195.80799999999999</v>
          </cell>
          <cell r="N54">
            <v>0.10563756788878621</v>
          </cell>
          <cell r="P54">
            <v>0.10563756788878621</v>
          </cell>
          <cell r="R54">
            <v>0</v>
          </cell>
          <cell r="S54">
            <v>195.80799999999999</v>
          </cell>
          <cell r="U54">
            <v>0.10563756788878621</v>
          </cell>
          <cell r="W54">
            <v>0.10563756788878621</v>
          </cell>
          <cell r="Y54">
            <v>-47.433732383844877</v>
          </cell>
          <cell r="AA54">
            <v>-1056.375678887862</v>
          </cell>
          <cell r="AC54">
            <v>693</v>
          </cell>
          <cell r="AE54">
            <v>4.202</v>
          </cell>
          <cell r="AG54">
            <v>5693.7669376693766</v>
          </cell>
          <cell r="AH54">
            <v>1.020409468489371</v>
          </cell>
          <cell r="AI54">
            <v>0</v>
          </cell>
          <cell r="AK54">
            <v>0.28255122655122655</v>
          </cell>
          <cell r="AM54">
            <v>46.598762494050447</v>
          </cell>
          <cell r="AO54">
            <v>471.40971515768052</v>
          </cell>
          <cell r="AP54">
            <v>441.11922893860066</v>
          </cell>
          <cell r="AT54" t="str">
            <v>Adjusted Rent Expense Increase Assumption</v>
          </cell>
          <cell r="BA54">
            <v>0.14746040415073725</v>
          </cell>
        </row>
        <row r="55">
          <cell r="A55" t="str">
            <v>ANN</v>
          </cell>
          <cell r="B55" t="str">
            <v>ANN</v>
          </cell>
          <cell r="C55" t="str">
            <v>2005 (total revs.)</v>
          </cell>
          <cell r="D55">
            <v>18</v>
          </cell>
          <cell r="E55">
            <v>18</v>
          </cell>
          <cell r="F55">
            <v>2073.1460000000002</v>
          </cell>
          <cell r="G55">
            <v>2073.1460000000002</v>
          </cell>
          <cell r="H55">
            <v>6200</v>
          </cell>
          <cell r="J55">
            <v>6.3201530427669003E-2</v>
          </cell>
          <cell r="L55">
            <v>243.13099999999997</v>
          </cell>
          <cell r="N55">
            <v>0.11727635197906947</v>
          </cell>
          <cell r="P55">
            <v>0.11727635197906947</v>
          </cell>
          <cell r="R55">
            <v>0</v>
          </cell>
          <cell r="S55">
            <v>243.13099999999997</v>
          </cell>
          <cell r="U55">
            <v>0.11727635197906947</v>
          </cell>
          <cell r="W55">
            <v>0.11727635197906947</v>
          </cell>
          <cell r="Y55">
            <v>-116.38784090283252</v>
          </cell>
          <cell r="AA55">
            <v>-116.38784090283252</v>
          </cell>
          <cell r="AC55">
            <v>781</v>
          </cell>
          <cell r="AE55">
            <v>4.8010000000000002</v>
          </cell>
          <cell r="AG55">
            <v>5826.4563106796122</v>
          </cell>
          <cell r="AH55">
            <v>0.81093297004613996</v>
          </cell>
          <cell r="AI55">
            <v>0.81093297004613996</v>
          </cell>
          <cell r="AK55">
            <v>0.31130729833546733</v>
          </cell>
          <cell r="AM55">
            <v>50.641741303895017</v>
          </cell>
          <cell r="AO55">
            <v>460.54559591247363</v>
          </cell>
          <cell r="AP55">
            <v>431.81545511351806</v>
          </cell>
          <cell r="AS55" t="str">
            <v>Note: 2005 CAM and RE taxes = $63.3mm (10-K)</v>
          </cell>
          <cell r="BA55">
            <v>0.14255116611137564</v>
          </cell>
          <cell r="BB55">
            <v>0.14255116611137564</v>
          </cell>
        </row>
        <row r="56">
          <cell r="A56" t="str">
            <v>ANN2006</v>
          </cell>
          <cell r="B56" t="str">
            <v>ANN</v>
          </cell>
          <cell r="C56" t="str">
            <v>2006 (total revs.)</v>
          </cell>
          <cell r="D56">
            <v>19</v>
          </cell>
          <cell r="E56">
            <v>19</v>
          </cell>
          <cell r="F56">
            <v>2342.9070000000002</v>
          </cell>
          <cell r="G56">
            <v>2342.9070000000002</v>
          </cell>
          <cell r="H56">
            <v>2.7999999999999997E-2</v>
          </cell>
          <cell r="J56">
            <v>9.5538149828397034E-2</v>
          </cell>
          <cell r="L56">
            <v>267.69100000000003</v>
          </cell>
          <cell r="N56">
            <v>0.1142559222367768</v>
          </cell>
          <cell r="P56">
            <v>0.1142559222367768</v>
          </cell>
          <cell r="R56">
            <v>0</v>
          </cell>
          <cell r="S56">
            <v>267.69100000000003</v>
          </cell>
          <cell r="U56">
            <v>0.1142559222367768</v>
          </cell>
          <cell r="W56">
            <v>0.1142559222367768</v>
          </cell>
          <cell r="Y56">
            <v>30.204297422926629</v>
          </cell>
          <cell r="AA56">
            <v>30.204297422926629</v>
          </cell>
          <cell r="AC56">
            <v>846.5</v>
          </cell>
          <cell r="AE56">
            <v>4.9399999999999995</v>
          </cell>
          <cell r="AG56">
            <v>5844.6490218642111</v>
          </cell>
          <cell r="AH56" t="e">
            <v>#N/A</v>
          </cell>
          <cell r="AI56">
            <v>1.0483471391538435</v>
          </cell>
          <cell r="AK56">
            <v>0.31623272297696403</v>
          </cell>
          <cell r="AM56">
            <v>54.188461538461553</v>
          </cell>
          <cell r="AO56">
            <v>474.2726720647774</v>
          </cell>
          <cell r="AP56">
            <v>474.2726720647774</v>
          </cell>
          <cell r="AR56" t="str">
            <v>DE-LVG</v>
          </cell>
          <cell r="AT56" t="str">
            <v>10-K #: Excludes CAM, RE Taxes, Insurance, Other</v>
          </cell>
          <cell r="BA56">
            <v>2.8952301603832442E-2</v>
          </cell>
          <cell r="BB56">
            <v>9.741197378651556E-2</v>
          </cell>
        </row>
        <row r="57">
          <cell r="A57" t="str">
            <v>ANN2007</v>
          </cell>
          <cell r="B57" t="str">
            <v>ANN</v>
          </cell>
          <cell r="C57" t="str">
            <v>2007 (total revs.)</v>
          </cell>
          <cell r="D57">
            <v>20</v>
          </cell>
          <cell r="E57">
            <v>20</v>
          </cell>
          <cell r="F57">
            <v>2276.5099999999998</v>
          </cell>
          <cell r="G57">
            <v>2396.5099999999998</v>
          </cell>
          <cell r="H57">
            <v>-3.3000000000000002E-2</v>
          </cell>
          <cell r="J57">
            <v>7.7922061664670611E-2</v>
          </cell>
          <cell r="L57">
            <v>285.76400000000001</v>
          </cell>
          <cell r="N57">
            <v>0.12552723247426983</v>
          </cell>
          <cell r="P57">
            <v>0.11924173068336875</v>
          </cell>
          <cell r="R57">
            <v>0</v>
          </cell>
          <cell r="S57">
            <v>285.76400000000001</v>
          </cell>
          <cell r="U57">
            <v>0.12552723247426983</v>
          </cell>
          <cell r="W57">
            <v>0.11924173068336875</v>
          </cell>
          <cell r="Y57">
            <v>-112.71310237493032</v>
          </cell>
          <cell r="AA57">
            <v>-49.858084465919525</v>
          </cell>
          <cell r="AC57">
            <v>899</v>
          </cell>
          <cell r="AE57">
            <v>5.2445000000000004</v>
          </cell>
          <cell r="AG57">
            <v>5823.4660925726594</v>
          </cell>
          <cell r="AH57" t="e">
            <v>#N/A</v>
          </cell>
          <cell r="AI57">
            <v>7.560747309384043E-2</v>
          </cell>
          <cell r="AK57">
            <v>0.31786874304783092</v>
          </cell>
          <cell r="AM57">
            <v>54.488321098293447</v>
          </cell>
          <cell r="AO57">
            <v>456.95681189817896</v>
          </cell>
          <cell r="AP57">
            <v>456.95681189817896</v>
          </cell>
          <cell r="AR57">
            <v>-130.22080706083517</v>
          </cell>
          <cell r="AY57">
            <v>120</v>
          </cell>
          <cell r="BA57">
            <v>6.1639676113360409E-2</v>
          </cell>
          <cell r="BB57">
            <v>6.1639676113360409E-2</v>
          </cell>
        </row>
        <row r="58">
          <cell r="A58" t="str">
            <v>ANN2008</v>
          </cell>
          <cell r="B58" t="str">
            <v>ANN</v>
          </cell>
          <cell r="C58">
            <v>2008</v>
          </cell>
          <cell r="D58">
            <v>21</v>
          </cell>
          <cell r="E58">
            <v>21</v>
          </cell>
          <cell r="F58">
            <v>2062.623</v>
          </cell>
          <cell r="G58">
            <v>2194.5590000000002</v>
          </cell>
          <cell r="H58">
            <v>-0.14800000000000002</v>
          </cell>
          <cell r="J58">
            <v>6.7530651944193378E-4</v>
          </cell>
          <cell r="L58">
            <v>285.77499999999998</v>
          </cell>
          <cell r="N58">
            <v>0.13854931318035335</v>
          </cell>
          <cell r="P58">
            <v>0.130219784476061</v>
          </cell>
          <cell r="R58">
            <v>0</v>
          </cell>
          <cell r="S58">
            <v>285.77499999999998</v>
          </cell>
          <cell r="U58">
            <v>0.13854931318035335</v>
          </cell>
          <cell r="W58">
            <v>0.130219784476061</v>
          </cell>
          <cell r="Y58">
            <v>-130.22080706083517</v>
          </cell>
          <cell r="AA58">
            <v>-109.78053792692246</v>
          </cell>
          <cell r="AC58">
            <v>932</v>
          </cell>
          <cell r="AE58">
            <v>5.4510000000000005</v>
          </cell>
          <cell r="AG58">
            <v>5873.7967914438505</v>
          </cell>
          <cell r="AH58" t="e">
            <v>#N/A</v>
          </cell>
          <cell r="AI58">
            <v>1.3726138259954728</v>
          </cell>
          <cell r="AK58">
            <v>0.30662553648068669</v>
          </cell>
          <cell r="AM58">
            <v>52.42616033755273</v>
          </cell>
          <cell r="AO58">
            <v>402.59750504494588</v>
          </cell>
          <cell r="AP58">
            <v>402.59750504494588</v>
          </cell>
          <cell r="AQ58" t="str">
            <v>Store sales exclude internet sales ($317M in '12, $248M in '11). ANN reports CAM charges and RE taxes in addition to rent expense.  No adjusment needed.  Comparable Store Sales estimate indicated (excl. Internet sales growth).</v>
          </cell>
          <cell r="AR58">
            <v>-258.89694663466219</v>
          </cell>
          <cell r="AS58">
            <v>3.6707452725250223E-2</v>
          </cell>
          <cell r="AU58">
            <v>-389.11775369549736</v>
          </cell>
          <cell r="AY58">
            <v>131.93600000000001</v>
          </cell>
          <cell r="BA58">
            <v>3.9374582896367638E-2</v>
          </cell>
          <cell r="BB58">
            <v>3.9374582896367638E-2</v>
          </cell>
        </row>
        <row r="59">
          <cell r="A59" t="str">
            <v>ANN2009</v>
          </cell>
          <cell r="B59" t="str">
            <v>ANN</v>
          </cell>
          <cell r="C59">
            <v>2009</v>
          </cell>
          <cell r="D59">
            <v>22</v>
          </cell>
          <cell r="E59">
            <v>22</v>
          </cell>
          <cell r="F59">
            <v>1706.9490000000001</v>
          </cell>
          <cell r="G59">
            <v>1828.5230000000001</v>
          </cell>
          <cell r="H59">
            <v>-0.17800000000000002</v>
          </cell>
          <cell r="J59">
            <v>1.4740312262957637E-2</v>
          </cell>
          <cell r="L59">
            <v>280.68899999999996</v>
          </cell>
          <cell r="N59">
            <v>0.16443900784381957</v>
          </cell>
          <cell r="P59">
            <v>0.15350586238182398</v>
          </cell>
          <cell r="R59">
            <v>0</v>
          </cell>
          <cell r="S59">
            <v>280.68899999999996</v>
          </cell>
          <cell r="U59">
            <v>0.16443900784381957</v>
          </cell>
          <cell r="W59">
            <v>0.15350586238182398</v>
          </cell>
          <cell r="Y59">
            <v>-258.89694663466219</v>
          </cell>
          <cell r="AA59">
            <v>-232.8607790576298</v>
          </cell>
          <cell r="AC59">
            <v>921</v>
          </cell>
          <cell r="AE59">
            <v>5.42</v>
          </cell>
          <cell r="AG59">
            <v>5896.3616317530323</v>
          </cell>
          <cell r="AH59" t="e">
            <v>#N/A</v>
          </cell>
          <cell r="AI59">
            <v>0</v>
          </cell>
          <cell r="AK59">
            <v>0.30476547231270357</v>
          </cell>
          <cell r="AM59">
            <v>51.787638376383761</v>
          </cell>
          <cell r="AO59">
            <v>337.36586715867156</v>
          </cell>
          <cell r="AP59">
            <v>337.36586715867162</v>
          </cell>
          <cell r="AR59">
            <v>170.57719203398409</v>
          </cell>
          <cell r="AS59">
            <v>-1.1802575107296098E-2</v>
          </cell>
          <cell r="AU59">
            <v>-88.319754600678095</v>
          </cell>
          <cell r="AY59">
            <v>121.574</v>
          </cell>
          <cell r="BA59">
            <v>-5.6870299027702576E-3</v>
          </cell>
          <cell r="BB59">
            <v>-5.6870299027702576E-3</v>
          </cell>
          <cell r="BC59">
            <v>0</v>
          </cell>
        </row>
        <row r="60">
          <cell r="A60" t="str">
            <v>ANN2010</v>
          </cell>
          <cell r="B60" t="str">
            <v>ANN</v>
          </cell>
          <cell r="C60">
            <v>2010</v>
          </cell>
          <cell r="D60">
            <v>23</v>
          </cell>
          <cell r="E60">
            <v>23</v>
          </cell>
          <cell r="F60">
            <v>1790.7090000000003</v>
          </cell>
          <cell r="G60">
            <v>1980.1950000000002</v>
          </cell>
          <cell r="H60">
            <v>0.107</v>
          </cell>
          <cell r="J60">
            <v>6.3334166584604085E-2</v>
          </cell>
          <cell r="L60">
            <v>263.91699999999997</v>
          </cell>
          <cell r="N60">
            <v>0.14738128864042116</v>
          </cell>
          <cell r="P60">
            <v>0.13327828824938956</v>
          </cell>
          <cell r="R60">
            <v>0</v>
          </cell>
          <cell r="S60">
            <v>263.91699999999997</v>
          </cell>
          <cell r="U60">
            <v>0.14738128864042116</v>
          </cell>
          <cell r="W60">
            <v>0.13327828824938956</v>
          </cell>
          <cell r="Y60">
            <v>170.57719203398409</v>
          </cell>
          <cell r="AA60">
            <v>202.27574132434424</v>
          </cell>
          <cell r="AC60">
            <v>901.5</v>
          </cell>
          <cell r="AE60">
            <v>5.3159999999999998</v>
          </cell>
          <cell r="AG60">
            <v>5897.3214285714275</v>
          </cell>
          <cell r="AH60" t="e">
            <v>#N/A</v>
          </cell>
          <cell r="AI60">
            <v>0</v>
          </cell>
          <cell r="AK60">
            <v>0.29275318912922904</v>
          </cell>
          <cell r="AM60">
            <v>49.645786305492848</v>
          </cell>
          <cell r="AO60">
            <v>372.49717832957117</v>
          </cell>
          <cell r="AP60">
            <v>372.49717832957117</v>
          </cell>
          <cell r="AR60">
            <v>80.418964011902688</v>
          </cell>
          <cell r="AS60">
            <v>-2.1172638436482094E-2</v>
          </cell>
          <cell r="AY60">
            <v>189.48599999999999</v>
          </cell>
          <cell r="BA60">
            <v>-1.9188191881918781E-2</v>
          </cell>
          <cell r="BB60">
            <v>-1.9188191881918781E-2</v>
          </cell>
        </row>
        <row r="61">
          <cell r="A61" t="str">
            <v>ANN2011</v>
          </cell>
          <cell r="B61" t="str">
            <v>ANN</v>
          </cell>
          <cell r="C61">
            <v>2011</v>
          </cell>
          <cell r="D61">
            <v>24</v>
          </cell>
          <cell r="E61">
            <v>24</v>
          </cell>
          <cell r="F61">
            <v>1964.1610000000001</v>
          </cell>
          <cell r="G61">
            <v>2212.4929999999999</v>
          </cell>
          <cell r="H61">
            <v>6.7813075156264932E-2</v>
          </cell>
          <cell r="J61">
            <v>6.8237052049430189E-2</v>
          </cell>
          <cell r="L61">
            <v>273.685</v>
          </cell>
          <cell r="N61">
            <v>0.13933939223923089</v>
          </cell>
          <cell r="P61">
            <v>0.12369982639493098</v>
          </cell>
          <cell r="R61">
            <v>0</v>
          </cell>
          <cell r="S61">
            <v>273.685</v>
          </cell>
          <cell r="U61">
            <v>0.13933939223923089</v>
          </cell>
          <cell r="W61">
            <v>0.12369982639493098</v>
          </cell>
          <cell r="Y61">
            <v>80.418964011902688</v>
          </cell>
          <cell r="AA61">
            <v>95.78461854458584</v>
          </cell>
          <cell r="AC61">
            <v>924.5</v>
          </cell>
          <cell r="AE61">
            <v>5.4339999999999993</v>
          </cell>
          <cell r="AG61">
            <v>5859.3913955928647</v>
          </cell>
          <cell r="AH61" t="e">
            <v>#N/A</v>
          </cell>
          <cell r="AI61">
            <v>0</v>
          </cell>
          <cell r="AK61">
            <v>0.29603569497025417</v>
          </cell>
          <cell r="AM61">
            <v>50.365292602134716</v>
          </cell>
          <cell r="AO61">
            <v>407.15734265734272</v>
          </cell>
          <cell r="AP61">
            <v>407.15734265734272</v>
          </cell>
          <cell r="AR61">
            <v>-37.938117539046409</v>
          </cell>
          <cell r="AS61">
            <v>2.5513033832501364E-2</v>
          </cell>
          <cell r="AY61">
            <v>248.33199999999999</v>
          </cell>
          <cell r="BA61">
            <v>2.2197140707298724E-2</v>
          </cell>
          <cell r="BB61">
            <v>2.2197140707298724E-2</v>
          </cell>
        </row>
        <row r="62">
          <cell r="A62" t="str">
            <v>ANN2012</v>
          </cell>
          <cell r="B62" t="str">
            <v>ANN</v>
          </cell>
          <cell r="C62">
            <v>2012</v>
          </cell>
          <cell r="D62">
            <v>25</v>
          </cell>
          <cell r="E62">
            <v>25</v>
          </cell>
          <cell r="F62">
            <v>2058.6278499999999</v>
          </cell>
          <cell r="G62">
            <v>2375.509</v>
          </cell>
          <cell r="H62">
            <v>3.3418816991071507E-2</v>
          </cell>
          <cell r="J62">
            <v>7.0212741774499945E-2</v>
          </cell>
          <cell r="L62">
            <v>294.65800000000002</v>
          </cell>
          <cell r="N62">
            <v>0.14313320399313553</v>
          </cell>
          <cell r="P62">
            <v>0.12403994259756541</v>
          </cell>
          <cell r="R62">
            <v>0</v>
          </cell>
          <cell r="S62">
            <v>294.65800000000002</v>
          </cell>
          <cell r="U62">
            <v>0.14313320399313553</v>
          </cell>
          <cell r="W62">
            <v>0.12403994259756541</v>
          </cell>
          <cell r="Y62">
            <v>-37.938117539046409</v>
          </cell>
          <cell r="AA62">
            <v>-3.4011620263443842</v>
          </cell>
          <cell r="AC62">
            <v>968.5</v>
          </cell>
          <cell r="AE62">
            <v>5.7029499999999995</v>
          </cell>
          <cell r="AG62">
            <v>5916.5650406504064</v>
          </cell>
          <cell r="AH62" t="e">
            <v>#N/A</v>
          </cell>
          <cell r="AI62">
            <v>0</v>
          </cell>
          <cell r="AK62">
            <v>0.30424161073825506</v>
          </cell>
          <cell r="AM62">
            <v>51.667645692141797</v>
          </cell>
          <cell r="AO62">
            <v>416.54038699269682</v>
          </cell>
          <cell r="AP62">
            <v>416.54038699269682</v>
          </cell>
          <cell r="AR62">
            <v>-22.007890094161709</v>
          </cell>
          <cell r="AY62">
            <v>316.88114999999999</v>
          </cell>
          <cell r="BA62">
            <v>4.9493927125506154E-2</v>
          </cell>
          <cell r="BB62">
            <v>4.9493927125506154E-2</v>
          </cell>
        </row>
        <row r="63">
          <cell r="A63" t="str">
            <v>ANN2013</v>
          </cell>
          <cell r="B63" t="str">
            <v>ANN</v>
          </cell>
          <cell r="C63" t="str">
            <v>2013e</v>
          </cell>
          <cell r="D63">
            <v>26</v>
          </cell>
          <cell r="E63">
            <v>26</v>
          </cell>
          <cell r="F63">
            <v>2097.3895625</v>
          </cell>
          <cell r="G63">
            <v>2493.491</v>
          </cell>
          <cell r="H63">
            <v>3.4566767130834258E-2</v>
          </cell>
          <cell r="J63">
            <v>7.37778062988559E-2</v>
          </cell>
          <cell r="L63">
            <v>304.822</v>
          </cell>
          <cell r="N63">
            <v>0.1453339930025517</v>
          </cell>
          <cell r="P63">
            <v>0.12224708250400744</v>
          </cell>
          <cell r="R63">
            <v>0</v>
          </cell>
          <cell r="S63">
            <v>304.822</v>
          </cell>
          <cell r="U63">
            <v>0.1453339930025517</v>
          </cell>
          <cell r="W63">
            <v>0.12224708250400744</v>
          </cell>
          <cell r="Y63">
            <v>-22.007890094161709</v>
          </cell>
          <cell r="AA63">
            <v>17.928600935579741</v>
          </cell>
          <cell r="AC63">
            <v>1001.5</v>
          </cell>
          <cell r="AE63">
            <v>5.9311499999999997</v>
          </cell>
          <cell r="AG63">
            <v>5927.7723258096175</v>
          </cell>
          <cell r="AH63" t="e">
            <v>#N/A</v>
          </cell>
          <cell r="AI63">
            <v>0</v>
          </cell>
          <cell r="AK63">
            <v>0.3043654518222666</v>
          </cell>
          <cell r="AM63">
            <v>51.393406000522667</v>
          </cell>
          <cell r="AO63">
            <v>429.26025509687719</v>
          </cell>
          <cell r="AP63">
            <v>420.40599209259591</v>
          </cell>
          <cell r="AY63">
            <v>396.10143749999997</v>
          </cell>
          <cell r="BA63">
            <v>4.0014378523395733E-2</v>
          </cell>
          <cell r="BB63">
            <v>4.0014378523395733E-2</v>
          </cell>
        </row>
        <row r="64">
          <cell r="C64" t="str">
            <v>2004 = Trough rent</v>
          </cell>
          <cell r="F64">
            <v>1853.5829999999999</v>
          </cell>
          <cell r="G64">
            <v>1853.5829999999999</v>
          </cell>
          <cell r="H64">
            <v>5700</v>
          </cell>
          <cell r="J64">
            <v>5.6624386391113724E-2</v>
          </cell>
          <cell r="L64">
            <v>195.80799999999999</v>
          </cell>
          <cell r="N64">
            <v>0.10563756788878621</v>
          </cell>
          <cell r="P64">
            <v>0.10563756788878621</v>
          </cell>
          <cell r="S64">
            <v>195.80799999999999</v>
          </cell>
          <cell r="U64">
            <v>0.10563756788878621</v>
          </cell>
          <cell r="W64">
            <v>0.10563756788878621</v>
          </cell>
          <cell r="Z64">
            <v>0</v>
          </cell>
          <cell r="AB64">
            <v>0</v>
          </cell>
          <cell r="AC64">
            <v>693</v>
          </cell>
          <cell r="AE64">
            <v>4.202</v>
          </cell>
          <cell r="AG64">
            <v>5693.7669376693766</v>
          </cell>
          <cell r="AH64">
            <v>0.85353119923150744</v>
          </cell>
          <cell r="AI64">
            <v>0.85353119923150744</v>
          </cell>
          <cell r="AK64">
            <v>0.28255122655122655</v>
          </cell>
          <cell r="AM64">
            <v>46.598762494050447</v>
          </cell>
          <cell r="AO64">
            <v>471.40971515768052</v>
          </cell>
          <cell r="AP64">
            <v>441.11922893860066</v>
          </cell>
          <cell r="AR64">
            <v>-4.188407412815609E-2</v>
          </cell>
        </row>
        <row r="66">
          <cell r="AI66">
            <v>0</v>
          </cell>
        </row>
        <row r="67">
          <cell r="C67">
            <v>1998</v>
          </cell>
          <cell r="F67">
            <v>146.75649300000001</v>
          </cell>
          <cell r="J67">
            <v>0.19545105919095518</v>
          </cell>
          <cell r="L67">
            <v>15.509575</v>
          </cell>
          <cell r="N67">
            <v>0.10568237686083164</v>
          </cell>
          <cell r="P67" t="e">
            <v>#DIV/0!</v>
          </cell>
          <cell r="S67" t="str">
            <v xml:space="preserve">NA </v>
          </cell>
          <cell r="U67">
            <v>0.10568237686083164</v>
          </cell>
          <cell r="AI67">
            <v>0</v>
          </cell>
        </row>
        <row r="68">
          <cell r="C68">
            <v>1999</v>
          </cell>
          <cell r="F68">
            <v>201.34088500000001</v>
          </cell>
          <cell r="J68">
            <v>0.22267133672328898</v>
          </cell>
          <cell r="L68">
            <v>19.205735000000001</v>
          </cell>
          <cell r="N68">
            <v>9.5389145627327504E-2</v>
          </cell>
          <cell r="P68" t="e">
            <v>#DIV/0!</v>
          </cell>
          <cell r="S68" t="str">
            <v xml:space="preserve">NA </v>
          </cell>
          <cell r="U68">
            <v>9.5389145627327504E-2</v>
          </cell>
          <cell r="AI68">
            <v>0</v>
          </cell>
        </row>
        <row r="69">
          <cell r="C69">
            <v>2000</v>
          </cell>
          <cell r="F69">
            <v>241.80135899999999</v>
          </cell>
          <cell r="J69">
            <v>0.18882137465571475</v>
          </cell>
          <cell r="L69">
            <v>26.1</v>
          </cell>
          <cell r="N69">
            <v>0.10793983999072562</v>
          </cell>
          <cell r="P69" t="e">
            <v>#DIV/0!</v>
          </cell>
          <cell r="S69" t="str">
            <v xml:space="preserve">NA </v>
          </cell>
          <cell r="U69">
            <v>0.10793983999072562</v>
          </cell>
          <cell r="AI69">
            <v>0</v>
          </cell>
        </row>
        <row r="70">
          <cell r="A70" t="str">
            <v>BEBE</v>
          </cell>
          <cell r="C70">
            <v>2001</v>
          </cell>
          <cell r="F70">
            <v>290.835688</v>
          </cell>
          <cell r="J70">
            <v>0.14687364296227631</v>
          </cell>
          <cell r="L70">
            <v>34.5</v>
          </cell>
          <cell r="N70">
            <v>0.11862368142385607</v>
          </cell>
          <cell r="P70" t="e">
            <v>#DIV/0!</v>
          </cell>
          <cell r="S70" t="str">
            <v xml:space="preserve">NA </v>
          </cell>
          <cell r="U70">
            <v>0.11862368142385607</v>
          </cell>
          <cell r="AC70">
            <v>0</v>
          </cell>
          <cell r="AE70" t="e">
            <v>#REF!</v>
          </cell>
          <cell r="AG70" t="e">
            <v>#REF!</v>
          </cell>
          <cell r="AI70">
            <v>0</v>
          </cell>
          <cell r="AK70" t="e">
            <v>#DIV/0!</v>
          </cell>
          <cell r="AM70" t="e">
            <v>#REF!</v>
          </cell>
          <cell r="AO70" t="e">
            <v>#REF!</v>
          </cell>
          <cell r="AS70" t="str">
            <v>Rent expense includes minimum rent, percentage rent, and other lease-required</v>
          </cell>
        </row>
        <row r="71">
          <cell r="C71">
            <v>2002</v>
          </cell>
          <cell r="F71">
            <v>316.42399999999998</v>
          </cell>
          <cell r="J71">
            <v>0.128147675271155</v>
          </cell>
          <cell r="L71">
            <v>40.200000000000003</v>
          </cell>
          <cell r="N71">
            <v>0.12704472479963594</v>
          </cell>
          <cell r="P71" t="e">
            <v>#DIV/0!</v>
          </cell>
          <cell r="S71" t="str">
            <v xml:space="preserve">NA </v>
          </cell>
          <cell r="U71">
            <v>0.12704472479963594</v>
          </cell>
          <cell r="AC71">
            <v>0</v>
          </cell>
          <cell r="AE71" t="e">
            <v>#REF!</v>
          </cell>
          <cell r="AG71" t="e">
            <v>#REF!</v>
          </cell>
          <cell r="AI71">
            <v>0</v>
          </cell>
          <cell r="AK71" t="e">
            <v>#DIV/0!</v>
          </cell>
          <cell r="AM71" t="e">
            <v>#REF!</v>
          </cell>
          <cell r="AO71" t="e">
            <v>#REF!</v>
          </cell>
          <cell r="AS71" t="str">
            <v>expenses according to footnote 4. (including CAM, taxes and insurance).</v>
          </cell>
        </row>
        <row r="72">
          <cell r="C72">
            <v>2003</v>
          </cell>
          <cell r="F72">
            <v>323.54900000000004</v>
          </cell>
          <cell r="J72">
            <v>8.8518276984320896E-2</v>
          </cell>
          <cell r="L72">
            <v>44.5</v>
          </cell>
          <cell r="N72">
            <v>0.13753712729756543</v>
          </cell>
          <cell r="P72" t="e">
            <v>#DIV/0!</v>
          </cell>
          <cell r="S72" t="str">
            <v xml:space="preserve">NA </v>
          </cell>
          <cell r="U72">
            <v>0.13753712729756543</v>
          </cell>
          <cell r="AC72">
            <v>9</v>
          </cell>
          <cell r="AE72" t="e">
            <v>#REF!</v>
          </cell>
          <cell r="AG72" t="e">
            <v>#REF!</v>
          </cell>
          <cell r="AI72">
            <v>0</v>
          </cell>
          <cell r="AK72">
            <v>4.9444444444444446</v>
          </cell>
          <cell r="AM72" t="e">
            <v>#REF!</v>
          </cell>
          <cell r="AO72" t="e">
            <v>#REF!</v>
          </cell>
          <cell r="AS72" t="str">
            <v>Percentage rent &amp; other lease-required exp's was $12.7m in 2002 &amp; $11.3m in 2001.</v>
          </cell>
        </row>
        <row r="73">
          <cell r="C73" t="str">
            <v>2004E</v>
          </cell>
          <cell r="F73">
            <v>367.72328660896363</v>
          </cell>
          <cell r="J73">
            <v>0.12271124666820926</v>
          </cell>
          <cell r="L73">
            <v>50</v>
          </cell>
          <cell r="N73">
            <v>0.13597180766299938</v>
          </cell>
          <cell r="P73" t="e">
            <v>#DIV/0!</v>
          </cell>
          <cell r="S73" t="str">
            <v xml:space="preserve">NA </v>
          </cell>
          <cell r="U73">
            <v>0.13597180766299938</v>
          </cell>
          <cell r="AC73">
            <v>26</v>
          </cell>
          <cell r="AE73" t="e">
            <v>#REF!</v>
          </cell>
          <cell r="AG73" t="e">
            <v>#REF!</v>
          </cell>
          <cell r="AI73">
            <v>0</v>
          </cell>
          <cell r="AK73">
            <v>1.9230769230769231</v>
          </cell>
          <cell r="AM73" t="e">
            <v>#REF!</v>
          </cell>
          <cell r="AO73" t="e">
            <v>#REF!</v>
          </cell>
        </row>
        <row r="74">
          <cell r="A74" t="str">
            <v/>
          </cell>
          <cell r="C74" t="str">
            <v>1999 =Trough rent</v>
          </cell>
          <cell r="F74">
            <v>201.34088500000001</v>
          </cell>
          <cell r="J74">
            <v>0.22267133672328898</v>
          </cell>
          <cell r="L74">
            <v>19.205735000000001</v>
          </cell>
          <cell r="N74">
            <v>9.5389145627327504E-2</v>
          </cell>
          <cell r="P74" t="e">
            <v>#DIV/0!</v>
          </cell>
          <cell r="S74" t="str">
            <v xml:space="preserve">NA </v>
          </cell>
          <cell r="U74">
            <v>9.5389145627327504E-2</v>
          </cell>
          <cell r="AC74">
            <v>0</v>
          </cell>
          <cell r="AE74" t="e">
            <v>#REF!</v>
          </cell>
          <cell r="AG74" t="e">
            <v>#REF!</v>
          </cell>
          <cell r="AI74">
            <v>0</v>
          </cell>
          <cell r="AK74" t="e">
            <v>#DIV/0!</v>
          </cell>
          <cell r="AM74" t="e">
            <v>#REF!</v>
          </cell>
          <cell r="AO74" t="e">
            <v>#REF!</v>
          </cell>
        </row>
        <row r="75">
          <cell r="AI75">
            <v>0</v>
          </cell>
        </row>
        <row r="76">
          <cell r="AI76">
            <v>0</v>
          </cell>
        </row>
        <row r="77">
          <cell r="C77">
            <v>1998</v>
          </cell>
          <cell r="F77">
            <v>134.09100000000001</v>
          </cell>
          <cell r="J77">
            <v>9.7433832248249294E-2</v>
          </cell>
          <cell r="L77">
            <v>17.049569999999999</v>
          </cell>
          <cell r="N77">
            <v>0.12714924939033939</v>
          </cell>
          <cell r="P77" t="e">
            <v>#DIV/0!</v>
          </cell>
          <cell r="S77" t="str">
            <v xml:space="preserve">NA </v>
          </cell>
          <cell r="U77">
            <v>0.12714924939033939</v>
          </cell>
          <cell r="AI77">
            <v>0</v>
          </cell>
        </row>
        <row r="78">
          <cell r="C78">
            <v>1999</v>
          </cell>
          <cell r="F78">
            <v>177.45951200000002</v>
          </cell>
          <cell r="J78">
            <v>0.13164326181625025</v>
          </cell>
          <cell r="L78">
            <v>22.837050999999999</v>
          </cell>
          <cell r="N78">
            <v>0.1286887963492202</v>
          </cell>
          <cell r="P78" t="e">
            <v>#DIV/0!</v>
          </cell>
          <cell r="S78" t="str">
            <v xml:space="preserve">NA </v>
          </cell>
          <cell r="U78">
            <v>0.1286887963492202</v>
          </cell>
          <cell r="AI78">
            <v>0</v>
          </cell>
        </row>
        <row r="79">
          <cell r="C79">
            <v>2000</v>
          </cell>
          <cell r="F79">
            <v>245.25988899999999</v>
          </cell>
          <cell r="J79">
            <v>0.13207785884629511</v>
          </cell>
          <cell r="L79">
            <v>32.266022</v>
          </cell>
          <cell r="N79">
            <v>0.13155849548639403</v>
          </cell>
          <cell r="P79" t="e">
            <v>#DIV/0!</v>
          </cell>
          <cell r="S79" t="str">
            <v xml:space="preserve">NA </v>
          </cell>
          <cell r="U79">
            <v>0.13155849548639403</v>
          </cell>
          <cell r="AI79">
            <v>0</v>
          </cell>
        </row>
        <row r="80">
          <cell r="A80" t="str">
            <v>CHIC</v>
          </cell>
          <cell r="C80">
            <v>2001</v>
          </cell>
          <cell r="F80">
            <v>324.82500000000005</v>
          </cell>
          <cell r="J80">
            <v>0.10698376048641588</v>
          </cell>
          <cell r="L80">
            <v>44.219476</v>
          </cell>
          <cell r="N80">
            <v>0.136133228661587</v>
          </cell>
          <cell r="P80" t="e">
            <v>#DIV/0!</v>
          </cell>
          <cell r="S80" t="str">
            <v xml:space="preserve">NA </v>
          </cell>
          <cell r="U80">
            <v>0.136133228661587</v>
          </cell>
          <cell r="AC80" t="e">
            <v>#REF!</v>
          </cell>
          <cell r="AE80">
            <v>-5.1656013997703476E-2</v>
          </cell>
          <cell r="AG80">
            <v>0.32991321774084859</v>
          </cell>
          <cell r="AI80">
            <v>0</v>
          </cell>
          <cell r="AK80" t="e">
            <v>#REF!</v>
          </cell>
          <cell r="AM80">
            <v>-856.0373241722815</v>
          </cell>
          <cell r="AO80">
            <v>-3.7935119081088153E-2</v>
          </cell>
          <cell r="AS80" t="str">
            <v>Rent expense reported in footnote 5 includes minimum rent, contingent rent, CAM,</v>
          </cell>
        </row>
        <row r="81">
          <cell r="C81">
            <v>2002</v>
          </cell>
          <cell r="F81">
            <v>409.38200000000001</v>
          </cell>
          <cell r="J81">
            <v>9.0038155072768328E-2</v>
          </cell>
          <cell r="L81">
            <v>62.035066</v>
          </cell>
          <cell r="N81">
            <v>0.15153344797768342</v>
          </cell>
          <cell r="P81" t="e">
            <v>#DIV/0!</v>
          </cell>
          <cell r="S81" t="str">
            <v xml:space="preserve">NA </v>
          </cell>
          <cell r="U81">
            <v>0.15153344797768342</v>
          </cell>
          <cell r="AC81">
            <v>197</v>
          </cell>
          <cell r="AE81">
            <v>-6.9835444948717074E-2</v>
          </cell>
          <cell r="AG81">
            <v>0.3063181749420234</v>
          </cell>
          <cell r="AI81">
            <v>0</v>
          </cell>
          <cell r="AK81">
            <v>0.31489881218274113</v>
          </cell>
          <cell r="AM81">
            <v>-888.30344025952434</v>
          </cell>
          <cell r="AO81">
            <v>-2.1562482513544312E-2</v>
          </cell>
          <cell r="AS81" t="str">
            <v>insurance, taxes, and all landlord pass thru's. Contingent rent was $1.6 and $1.7 in</v>
          </cell>
        </row>
        <row r="82">
          <cell r="C82">
            <v>2003</v>
          </cell>
          <cell r="F82">
            <v>456.62188200000003</v>
          </cell>
          <cell r="J82">
            <v>5.0577639641019384E-2</v>
          </cell>
          <cell r="L82">
            <v>80.031515999999996</v>
          </cell>
          <cell r="N82">
            <v>0.17526868324720363</v>
          </cell>
          <cell r="P82" t="e">
            <v>#DIV/0!</v>
          </cell>
          <cell r="S82" t="str">
            <v xml:space="preserve">NA </v>
          </cell>
          <cell r="U82">
            <v>0.17526868324720363</v>
          </cell>
          <cell r="AC82">
            <v>256</v>
          </cell>
          <cell r="AE82">
            <v>-0.12872313778023292</v>
          </cell>
          <cell r="AG82">
            <v>0.24965989912776765</v>
          </cell>
          <cell r="AI82">
            <v>0</v>
          </cell>
          <cell r="AK82">
            <v>0.31262310937499999</v>
          </cell>
          <cell r="AM82">
            <v>-621.73372542111736</v>
          </cell>
          <cell r="AO82">
            <v>8.5679571738574989E-3</v>
          </cell>
          <cell r="AS82" t="str">
            <v>2002 and 2001, respectively.</v>
          </cell>
        </row>
        <row r="83">
          <cell r="C83" t="str">
            <v>2004E</v>
          </cell>
          <cell r="F83">
            <v>547.93451428260357</v>
          </cell>
          <cell r="J83">
            <v>5.6460602021314046E-2</v>
          </cell>
          <cell r="L83">
            <v>93.528853499999997</v>
          </cell>
          <cell r="N83">
            <v>0.17069348811226995</v>
          </cell>
          <cell r="P83" t="e">
            <v>#DIV/0!</v>
          </cell>
          <cell r="S83" t="str">
            <v xml:space="preserve">NA </v>
          </cell>
          <cell r="U83">
            <v>0.17069348811226995</v>
          </cell>
          <cell r="AI83">
            <v>0</v>
          </cell>
        </row>
        <row r="84">
          <cell r="A84" t="str">
            <v>CHECK</v>
          </cell>
          <cell r="C84" t="str">
            <v>1997 = Trough rent</v>
          </cell>
          <cell r="F84">
            <v>81.543000000000006</v>
          </cell>
          <cell r="J84">
            <v>0.14272224470524755</v>
          </cell>
          <cell r="L84">
            <v>8.7663349999999998</v>
          </cell>
          <cell r="N84">
            <v>0.10750567185411376</v>
          </cell>
          <cell r="P84" t="e">
            <v>#DIV/0!</v>
          </cell>
          <cell r="S84" t="str">
            <v xml:space="preserve">NA </v>
          </cell>
          <cell r="U84">
            <v>0.10750567185411376</v>
          </cell>
          <cell r="AC84" t="e">
            <v>#REF!</v>
          </cell>
          <cell r="AE84">
            <v>3.2499700207880622E-2</v>
          </cell>
          <cell r="AG84">
            <v>0.15891633081877976</v>
          </cell>
          <cell r="AI84">
            <v>0</v>
          </cell>
          <cell r="AK84" t="e">
            <v>#REF!</v>
          </cell>
          <cell r="AM84">
            <v>269.73587275966054</v>
          </cell>
          <cell r="AO84">
            <v>-1.0681181008358798E-2</v>
          </cell>
        </row>
        <row r="85">
          <cell r="AI85">
            <v>0</v>
          </cell>
          <cell r="AS85">
            <v>2002</v>
          </cell>
          <cell r="AT85">
            <v>2001</v>
          </cell>
          <cell r="AU85">
            <v>2000</v>
          </cell>
        </row>
        <row r="86">
          <cell r="AI86">
            <v>0</v>
          </cell>
        </row>
        <row r="87">
          <cell r="C87">
            <v>1998</v>
          </cell>
          <cell r="D87">
            <v>4</v>
          </cell>
          <cell r="E87">
            <v>4</v>
          </cell>
          <cell r="F87">
            <v>152.506</v>
          </cell>
          <cell r="H87">
            <v>5.5E-2</v>
          </cell>
          <cell r="J87">
            <v>6.4554837186733632E-2</v>
          </cell>
          <cell r="L87" t="str">
            <v>N/A</v>
          </cell>
          <cell r="N87" t="str">
            <v>N/A</v>
          </cell>
          <cell r="P87" t="str">
            <v>N/A</v>
          </cell>
          <cell r="S87" t="str">
            <v>N/A</v>
          </cell>
          <cell r="U87" t="str">
            <v>N/A</v>
          </cell>
          <cell r="AC87">
            <v>124</v>
          </cell>
          <cell r="AE87">
            <v>0</v>
          </cell>
          <cell r="AG87">
            <v>3275.8992248062013</v>
          </cell>
          <cell r="AH87">
            <v>0</v>
          </cell>
          <cell r="AI87">
            <v>0</v>
          </cell>
          <cell r="AK87" t="str">
            <v>N/A</v>
          </cell>
          <cell r="AM87" t="str">
            <v>N/A</v>
          </cell>
          <cell r="AO87">
            <v>0</v>
          </cell>
          <cell r="AS87" t="str">
            <v xml:space="preserve">Total rent expense reported in footnote 14 includes only minimum rentals, </v>
          </cell>
        </row>
        <row r="88">
          <cell r="C88">
            <v>1999</v>
          </cell>
          <cell r="D88">
            <v>5</v>
          </cell>
          <cell r="E88">
            <v>5</v>
          </cell>
          <cell r="F88">
            <v>125.495</v>
          </cell>
          <cell r="H88">
            <v>0</v>
          </cell>
          <cell r="J88">
            <v>9.6258815092234759E-2</v>
          </cell>
          <cell r="L88" t="str">
            <v>N/A</v>
          </cell>
          <cell r="N88" t="str">
            <v>N/A</v>
          </cell>
          <cell r="P88" t="str">
            <v>N/A</v>
          </cell>
          <cell r="S88" t="str">
            <v>N/A</v>
          </cell>
          <cell r="U88" t="str">
            <v>N/A</v>
          </cell>
          <cell r="AC88">
            <v>134.5</v>
          </cell>
          <cell r="AE88">
            <v>0.48460049999999999</v>
          </cell>
          <cell r="AG88">
            <v>3619.9337748344374</v>
          </cell>
          <cell r="AH88" t="str">
            <v>NM</v>
          </cell>
          <cell r="AI88">
            <v>0</v>
          </cell>
          <cell r="AK88" t="str">
            <v>N/A</v>
          </cell>
          <cell r="AM88" t="str">
            <v>N/A</v>
          </cell>
          <cell r="AO88">
            <v>258.9658904602864</v>
          </cell>
          <cell r="AS88" t="str">
            <v xml:space="preserve">percentage rent, and office space rentals, and does not include CAM, </v>
          </cell>
        </row>
        <row r="89">
          <cell r="C89">
            <v>2000</v>
          </cell>
          <cell r="D89">
            <v>6</v>
          </cell>
          <cell r="E89">
            <v>6</v>
          </cell>
          <cell r="F89">
            <v>272.31900000000002</v>
          </cell>
          <cell r="H89">
            <v>0.12300000000000001</v>
          </cell>
          <cell r="J89">
            <v>7.8554930063638631E-2</v>
          </cell>
          <cell r="L89">
            <v>16.364000000000001</v>
          </cell>
          <cell r="N89">
            <v>6.0091289994455031E-2</v>
          </cell>
          <cell r="P89" t="str">
            <v>-</v>
          </cell>
          <cell r="S89">
            <v>24.873280000000001</v>
          </cell>
          <cell r="U89">
            <v>9.1338760791571647E-2</v>
          </cell>
          <cell r="AC89">
            <v>187.5</v>
          </cell>
          <cell r="AE89">
            <v>0.66086</v>
          </cell>
          <cell r="AG89">
            <v>3460.3125</v>
          </cell>
          <cell r="AH89">
            <v>2.8784651988181285</v>
          </cell>
          <cell r="AI89">
            <v>0</v>
          </cell>
          <cell r="AK89">
            <v>0.13265749333333335</v>
          </cell>
          <cell r="AM89">
            <v>37.637744756832006</v>
          </cell>
          <cell r="AO89">
            <v>412.06760887328636</v>
          </cell>
          <cell r="AS89" t="str">
            <v>RE Taxes, Insurance or other landlord passthrus.</v>
          </cell>
          <cell r="BA89">
            <v>0.36372125080349704</v>
          </cell>
        </row>
        <row r="90">
          <cell r="C90">
            <v>2001</v>
          </cell>
          <cell r="D90">
            <v>7</v>
          </cell>
          <cell r="E90">
            <v>7</v>
          </cell>
          <cell r="F90">
            <v>404.43799999999999</v>
          </cell>
          <cell r="H90">
            <v>0.155</v>
          </cell>
          <cell r="J90">
            <v>0.10647367458052906</v>
          </cell>
          <cell r="L90">
            <v>23.229000000000003</v>
          </cell>
          <cell r="N90">
            <v>5.7435255836494108E-2</v>
          </cell>
          <cell r="P90" t="str">
            <v>-</v>
          </cell>
          <cell r="S90">
            <v>35.308080000000004</v>
          </cell>
          <cell r="T90">
            <v>12.079080000000001</v>
          </cell>
          <cell r="U90">
            <v>8.7301588871471048E-2</v>
          </cell>
          <cell r="AC90">
            <v>251</v>
          </cell>
          <cell r="AE90">
            <v>0.86890350000000005</v>
          </cell>
          <cell r="AG90">
            <v>3462.9388489208632</v>
          </cell>
          <cell r="AH90">
            <v>1.0487771558750851</v>
          </cell>
          <cell r="AI90">
            <v>0</v>
          </cell>
          <cell r="AK90">
            <v>0.14066964143426297</v>
          </cell>
          <cell r="AM90">
            <v>40.635214382264543</v>
          </cell>
          <cell r="AO90">
            <v>465.45790182684266</v>
          </cell>
          <cell r="BA90">
            <v>0.31480722089398672</v>
          </cell>
        </row>
        <row r="91">
          <cell r="C91">
            <v>2002</v>
          </cell>
          <cell r="D91">
            <v>8</v>
          </cell>
          <cell r="E91">
            <v>8</v>
          </cell>
          <cell r="F91">
            <v>550.904</v>
          </cell>
          <cell r="H91">
            <v>6.6000000000000003E-2</v>
          </cell>
          <cell r="J91">
            <v>9.4566385431944497E-2</v>
          </cell>
          <cell r="L91">
            <v>35.752000000000002</v>
          </cell>
          <cell r="N91">
            <v>6.4896969344931249E-2</v>
          </cell>
          <cell r="P91" t="str">
            <v>-</v>
          </cell>
          <cell r="S91">
            <v>54.343040000000002</v>
          </cell>
          <cell r="T91">
            <v>18.59104</v>
          </cell>
          <cell r="U91">
            <v>9.8643393404295496E-2</v>
          </cell>
          <cell r="AC91">
            <v>322.5</v>
          </cell>
          <cell r="AE91">
            <v>1.1311515000000001</v>
          </cell>
          <cell r="AG91">
            <v>3541.1607629427795</v>
          </cell>
          <cell r="AH91">
            <v>0.98122062626915352</v>
          </cell>
          <cell r="AI91">
            <v>0</v>
          </cell>
          <cell r="AK91">
            <v>0.1685055503875969</v>
          </cell>
          <cell r="AM91">
            <v>48.04222953335605</v>
          </cell>
          <cell r="AO91">
            <v>487.02936786098059</v>
          </cell>
          <cell r="BA91">
            <v>0.30181487357341763</v>
          </cell>
        </row>
        <row r="92">
          <cell r="C92">
            <v>2003</v>
          </cell>
          <cell r="D92">
            <v>9</v>
          </cell>
          <cell r="E92">
            <v>9</v>
          </cell>
          <cell r="F92">
            <v>734.86799999999994</v>
          </cell>
          <cell r="G92">
            <v>734.86799999999994</v>
          </cell>
          <cell r="H92">
            <v>6.6000000000000003E-2</v>
          </cell>
          <cell r="J92">
            <v>0.12001611173707384</v>
          </cell>
          <cell r="L92">
            <v>46.836999999999996</v>
          </cell>
          <cell r="N92">
            <v>6.3735255855473363E-2</v>
          </cell>
          <cell r="P92">
            <v>6.3735255855473363E-2</v>
          </cell>
          <cell r="S92">
            <v>71.192239999999998</v>
          </cell>
          <cell r="T92">
            <v>24.355240000000002</v>
          </cell>
          <cell r="U92">
            <v>9.6877588900319514E-2</v>
          </cell>
          <cell r="W92">
            <v>9.6877588900319514E-2</v>
          </cell>
          <cell r="Y92">
            <v>17.658045039759816</v>
          </cell>
          <cell r="AA92">
            <v>-968.77588900319518</v>
          </cell>
          <cell r="AC92">
            <v>413</v>
          </cell>
          <cell r="AE92">
            <v>1.4556374999999999</v>
          </cell>
          <cell r="AG92">
            <v>3511.2614379084966</v>
          </cell>
          <cell r="AH92">
            <v>0.93400242034051428</v>
          </cell>
          <cell r="AI92">
            <v>0</v>
          </cell>
          <cell r="AK92">
            <v>0.17237830508474575</v>
          </cell>
          <cell r="AM92">
            <v>48.907945831293851</v>
          </cell>
          <cell r="AO92">
            <v>504.84272354896052</v>
          </cell>
          <cell r="BA92">
            <v>0.28686343076060083</v>
          </cell>
        </row>
        <row r="93">
          <cell r="A93" t="str">
            <v>ARO2004</v>
          </cell>
          <cell r="C93">
            <v>2004</v>
          </cell>
          <cell r="D93">
            <v>10</v>
          </cell>
          <cell r="E93">
            <v>10</v>
          </cell>
          <cell r="F93">
            <v>964.21199999999999</v>
          </cell>
          <cell r="G93">
            <v>964.21199999999999</v>
          </cell>
          <cell r="H93">
            <v>8.6999999999999994E-2</v>
          </cell>
          <cell r="J93">
            <v>0.14097522121691083</v>
          </cell>
          <cell r="L93">
            <v>59.344000000000001</v>
          </cell>
          <cell r="N93">
            <v>6.1546630823926689E-2</v>
          </cell>
          <cell r="P93">
            <v>6.1546630823926689E-2</v>
          </cell>
          <cell r="R93">
            <v>61.86699999999999</v>
          </cell>
          <cell r="S93">
            <v>90.202880000000007</v>
          </cell>
          <cell r="T93">
            <v>30.858880000000006</v>
          </cell>
          <cell r="U93">
            <v>9.3550878852368569E-2</v>
          </cell>
          <cell r="W93">
            <v>9.3550878852368569E-2</v>
          </cell>
          <cell r="Y93">
            <v>33.267100479509452</v>
          </cell>
          <cell r="AA93">
            <v>33.267100479509452</v>
          </cell>
          <cell r="AC93">
            <v>510</v>
          </cell>
          <cell r="AE93">
            <v>1.7950375000000001</v>
          </cell>
          <cell r="AG93">
            <v>3526.5704099821751</v>
          </cell>
          <cell r="AH93">
            <v>0.96537287843213526</v>
          </cell>
          <cell r="AI93">
            <v>0</v>
          </cell>
          <cell r="AK93">
            <v>0.17686839215686276</v>
          </cell>
          <cell r="AM93">
            <v>50.251251018432768</v>
          </cell>
          <cell r="AO93">
            <v>537.15423772483859</v>
          </cell>
          <cell r="AT93" t="str">
            <v>Adjusted Rent Expense Increase Assumption</v>
          </cell>
          <cell r="BA93">
            <v>0.2331624460073336</v>
          </cell>
        </row>
        <row r="94">
          <cell r="A94" t="str">
            <v>ARO</v>
          </cell>
          <cell r="B94" t="str">
            <v>ARO</v>
          </cell>
          <cell r="C94" t="str">
            <v>2005  (total revs.)</v>
          </cell>
          <cell r="D94">
            <v>11</v>
          </cell>
          <cell r="E94">
            <v>11</v>
          </cell>
          <cell r="F94">
            <v>1204.347</v>
          </cell>
          <cell r="G94">
            <v>1204.347</v>
          </cell>
          <cell r="H94">
            <v>3.5000000000000003E-2</v>
          </cell>
          <cell r="J94">
            <v>0.11245180998499606</v>
          </cell>
          <cell r="L94">
            <v>73.263999999999996</v>
          </cell>
          <cell r="N94">
            <v>6.0832965914308749E-2</v>
          </cell>
          <cell r="P94">
            <v>6.0832965914308749E-2</v>
          </cell>
          <cell r="R94">
            <v>0.52</v>
          </cell>
          <cell r="S94">
            <v>111.36127999999999</v>
          </cell>
          <cell r="T94">
            <v>38.097279999999998</v>
          </cell>
          <cell r="U94">
            <v>9.2466108189749291E-2</v>
          </cell>
          <cell r="W94">
            <v>9.2466108189749291E-2</v>
          </cell>
          <cell r="Y94">
            <v>10.847706626192776</v>
          </cell>
          <cell r="AA94">
            <v>10.847706626192776</v>
          </cell>
          <cell r="AC94">
            <v>616</v>
          </cell>
          <cell r="AE94">
            <v>2.1759405000000003</v>
          </cell>
          <cell r="AG94">
            <v>3537.220566318927</v>
          </cell>
          <cell r="AH94">
            <v>1.0087189025971417</v>
          </cell>
          <cell r="AI94">
            <v>1.0087189025971417</v>
          </cell>
          <cell r="AK94">
            <v>0.18078129870129869</v>
          </cell>
          <cell r="AM94">
            <v>51.178458234496752</v>
          </cell>
          <cell r="AO94">
            <v>553.48342475357197</v>
          </cell>
          <cell r="AP94">
            <v>553.48342475357197</v>
          </cell>
          <cell r="AQ94" t="str">
            <v>2008's adj. rent exp = $115.9mm + $52.8mm maint/insur/taxes (60% of $88mm min rent).  Excludes office &amp; DC rent.  We estimate achieves lvg. at +MSD comp.</v>
          </cell>
          <cell r="AT94" t="str">
            <v>10-K #: Excludes CAM, RE Taxes, Insurance, Other</v>
          </cell>
          <cell r="BA94">
            <v>0.21219779531068306</v>
          </cell>
          <cell r="BB94">
            <v>0.21219779531068306</v>
          </cell>
        </row>
        <row r="95">
          <cell r="A95" t="str">
            <v>ARO2006</v>
          </cell>
          <cell r="C95" t="str">
            <v>2006  (total revs.)</v>
          </cell>
          <cell r="D95">
            <v>12</v>
          </cell>
          <cell r="E95">
            <v>12</v>
          </cell>
          <cell r="F95">
            <v>1413.2080000000001</v>
          </cell>
          <cell r="G95">
            <v>1413.2080000000001</v>
          </cell>
          <cell r="H95">
            <v>0.02</v>
          </cell>
          <cell r="J95">
            <v>0.11723751917622893</v>
          </cell>
          <cell r="L95">
            <v>85.691000000000003</v>
          </cell>
          <cell r="N95">
            <v>6.0635801665430707E-2</v>
          </cell>
          <cell r="P95">
            <v>6.0635801665430707E-2</v>
          </cell>
          <cell r="R95">
            <v>0.51580679417908559</v>
          </cell>
          <cell r="S95">
            <v>129.89100000000002</v>
          </cell>
          <cell r="T95">
            <v>44.200000000000017</v>
          </cell>
          <cell r="U95">
            <v>9.1912160134955373E-2</v>
          </cell>
          <cell r="W95">
            <v>9.1912160134955373E-2</v>
          </cell>
          <cell r="Y95">
            <v>5.5394805479391795</v>
          </cell>
          <cell r="AA95">
            <v>5.5394805479391795</v>
          </cell>
          <cell r="AC95">
            <v>706.5</v>
          </cell>
          <cell r="AE95">
            <v>2.4997375000000002</v>
          </cell>
          <cell r="AG95">
            <v>3539.0835579514824</v>
          </cell>
          <cell r="AH95">
            <v>0.91160282341959664</v>
          </cell>
          <cell r="AI95">
            <v>1.0310116232081274</v>
          </cell>
          <cell r="AK95">
            <v>0.18385138004246288</v>
          </cell>
          <cell r="AM95">
            <v>51.961855994879464</v>
          </cell>
          <cell r="AO95">
            <v>565.34256096890169</v>
          </cell>
          <cell r="AP95">
            <v>565.34256096890169</v>
          </cell>
          <cell r="AR95" t="str">
            <v>LVG</v>
          </cell>
          <cell r="BA95">
            <v>0.14880783734665526</v>
          </cell>
          <cell r="BB95">
            <v>0.14880783734665526</v>
          </cell>
        </row>
        <row r="96">
          <cell r="A96" t="str">
            <v>ARO2007</v>
          </cell>
          <cell r="B96" t="str">
            <v>ARO</v>
          </cell>
          <cell r="C96" t="str">
            <v>2007  (ex. Internet)</v>
          </cell>
          <cell r="D96">
            <v>13</v>
          </cell>
          <cell r="E96">
            <v>13</v>
          </cell>
          <cell r="F96">
            <v>1540.383</v>
          </cell>
          <cell r="G96">
            <v>1583.183</v>
          </cell>
          <cell r="H96">
            <v>3.3000000000000002E-2</v>
          </cell>
          <cell r="J96">
            <v>0.12613702901054391</v>
          </cell>
          <cell r="L96">
            <v>96.923000000000002</v>
          </cell>
          <cell r="N96">
            <v>6.2921364361980106E-2</v>
          </cell>
          <cell r="P96">
            <v>6.1220339025873829E-2</v>
          </cell>
          <cell r="R96">
            <v>0.51587342529636926</v>
          </cell>
          <cell r="S96">
            <v>146.923</v>
          </cell>
          <cell r="U96">
            <v>9.5380824119715685E-2</v>
          </cell>
          <cell r="W96">
            <v>9.2802285016956351E-2</v>
          </cell>
          <cell r="Y96">
            <v>-34.686639847603118</v>
          </cell>
          <cell r="AA96">
            <v>-8.9012488200097835</v>
          </cell>
          <cell r="AC96">
            <v>785</v>
          </cell>
          <cell r="AE96">
            <v>2.7806069999999998</v>
          </cell>
          <cell r="AG96">
            <v>3544.9444444444448</v>
          </cell>
          <cell r="AH96">
            <v>0.65637150143669543</v>
          </cell>
          <cell r="AI96">
            <v>0.50721338211588152</v>
          </cell>
          <cell r="AK96">
            <v>0.18716305732484076</v>
          </cell>
          <cell r="AM96">
            <v>52.838462968697129</v>
          </cell>
          <cell r="AO96">
            <v>569.36596937287436</v>
          </cell>
          <cell r="AP96">
            <v>569.36596937287436</v>
          </cell>
          <cell r="AQ96" t="str">
            <v>2011's adj. rent exp = $154.5M + $55M maint/insur/taxes (40% of minimum rent expense). Excludes office, DC &amp; equip.  Store sales exclude internet sales ($217M in '12, $182M in '11) We estimate leverage at +LSD comp.</v>
          </cell>
          <cell r="AR96">
            <v>15.76314497107864</v>
          </cell>
          <cell r="AY96">
            <v>42.8</v>
          </cell>
          <cell r="BA96">
            <v>0.1123595977577645</v>
          </cell>
          <cell r="BB96">
            <v>0.1123595977577645</v>
          </cell>
        </row>
        <row r="97">
          <cell r="A97" t="str">
            <v>ARO2008</v>
          </cell>
          <cell r="B97" t="str">
            <v>ARO</v>
          </cell>
          <cell r="C97">
            <v>2008</v>
          </cell>
          <cell r="D97">
            <v>14</v>
          </cell>
          <cell r="E97">
            <v>14</v>
          </cell>
          <cell r="F97">
            <v>1798.421</v>
          </cell>
          <cell r="G97">
            <v>1885.521</v>
          </cell>
          <cell r="H97">
            <v>0.08</v>
          </cell>
          <cell r="J97">
            <v>0.13168190648632386</v>
          </cell>
          <cell r="L97">
            <v>106.833</v>
          </cell>
          <cell r="N97">
            <v>5.9403776979917382E-2</v>
          </cell>
          <cell r="P97">
            <v>5.6659671252667035E-2</v>
          </cell>
          <cell r="R97">
            <v>0.57910009079591496</v>
          </cell>
          <cell r="S97">
            <v>168.7</v>
          </cell>
          <cell r="U97">
            <v>9.3804509622607821E-2</v>
          </cell>
          <cell r="W97">
            <v>8.9471292019553214E-2</v>
          </cell>
          <cell r="Y97">
            <v>15.76314497107864</v>
          </cell>
          <cell r="AA97">
            <v>33.30992997403137</v>
          </cell>
          <cell r="AC97">
            <v>871</v>
          </cell>
          <cell r="AE97">
            <v>3.1099139999999998</v>
          </cell>
          <cell r="AG97">
            <v>3593.6695842450767</v>
          </cell>
          <cell r="AH97">
            <v>0.73896443311753368</v>
          </cell>
          <cell r="AI97">
            <v>0.73896443311753368</v>
          </cell>
          <cell r="AK97">
            <v>0.19368541905855338</v>
          </cell>
          <cell r="AM97">
            <v>54.245873037003598</v>
          </cell>
          <cell r="AO97">
            <v>606.29361455011303</v>
          </cell>
          <cell r="AP97">
            <v>606.29361455011303</v>
          </cell>
          <cell r="AR97">
            <v>215.9110286759082</v>
          </cell>
          <cell r="AS97">
            <v>0.10955414012738851</v>
          </cell>
          <cell r="AU97">
            <v>231.67417364698684</v>
          </cell>
          <cell r="AY97">
            <v>87.1</v>
          </cell>
          <cell r="BA97">
            <v>0.11842989678153004</v>
          </cell>
          <cell r="BB97">
            <v>0.11842989678153004</v>
          </cell>
        </row>
        <row r="98">
          <cell r="A98" t="str">
            <v>ARO2009</v>
          </cell>
          <cell r="B98" t="str">
            <v>ARO</v>
          </cell>
          <cell r="C98">
            <v>2009</v>
          </cell>
          <cell r="D98">
            <v>15</v>
          </cell>
          <cell r="E98">
            <v>15</v>
          </cell>
          <cell r="F98">
            <v>2101.105</v>
          </cell>
          <cell r="G98">
            <v>2230.105</v>
          </cell>
          <cell r="H98">
            <v>0.1</v>
          </cell>
          <cell r="J98">
            <v>0.17281024884478535</v>
          </cell>
          <cell r="L98">
            <v>121.69799999999999</v>
          </cell>
          <cell r="N98">
            <v>5.7920951118578076E-2</v>
          </cell>
          <cell r="P98">
            <v>5.4570524706235801E-2</v>
          </cell>
          <cell r="R98">
            <v>0.24675795822445723</v>
          </cell>
          <cell r="S98">
            <v>151.72794999999999</v>
          </cell>
          <cell r="U98">
            <v>7.2213406755017001E-2</v>
          </cell>
          <cell r="W98">
            <v>6.8036235961983854E-2</v>
          </cell>
          <cell r="Y98">
            <v>215.9110286759082</v>
          </cell>
          <cell r="AA98">
            <v>214.35056057569361</v>
          </cell>
          <cell r="AC98">
            <v>933</v>
          </cell>
          <cell r="AE98">
            <v>3.3564949999999998</v>
          </cell>
          <cell r="AG98">
            <v>3601.2352941176473</v>
          </cell>
          <cell r="AH98">
            <v>0.86147748172747662</v>
          </cell>
          <cell r="AI98">
            <v>0</v>
          </cell>
          <cell r="AK98">
            <v>0.16262374062165058</v>
          </cell>
          <cell r="AM98">
            <v>45.204283039301416</v>
          </cell>
          <cell r="AO98">
            <v>664.41481366723326</v>
          </cell>
          <cell r="AP98">
            <v>664.41481366723326</v>
          </cell>
          <cell r="AR98">
            <v>-58.853141250732186</v>
          </cell>
          <cell r="AS98">
            <v>7.1182548794489042E-2</v>
          </cell>
          <cell r="AU98">
            <v>157.05788742517601</v>
          </cell>
          <cell r="AY98">
            <v>129</v>
          </cell>
          <cell r="BA98">
            <v>7.9288687725769913E-2</v>
          </cell>
          <cell r="BB98">
            <v>7.9288687725769913E-2</v>
          </cell>
          <cell r="BC98">
            <v>0</v>
          </cell>
        </row>
        <row r="99">
          <cell r="A99" t="str">
            <v>ARO2010</v>
          </cell>
          <cell r="B99" t="str">
            <v>ARO</v>
          </cell>
          <cell r="C99">
            <v>2010</v>
          </cell>
          <cell r="D99">
            <v>16</v>
          </cell>
          <cell r="E99">
            <v>16</v>
          </cell>
          <cell r="F99">
            <v>2240.134</v>
          </cell>
          <cell r="G99">
            <v>2400.4340000000002</v>
          </cell>
          <cell r="H99">
            <v>1.3962820974102438E-2</v>
          </cell>
          <cell r="J99">
            <v>0.16275973428138421</v>
          </cell>
          <cell r="L99">
            <v>137.268</v>
          </cell>
          <cell r="N99">
            <v>6.127669148363446E-2</v>
          </cell>
          <cell r="P99">
            <v>5.718465910747806E-2</v>
          </cell>
          <cell r="R99">
            <v>0.27452574525745277</v>
          </cell>
          <cell r="S99">
            <v>174.95160000000001</v>
          </cell>
          <cell r="U99">
            <v>7.8098720880090219E-2</v>
          </cell>
          <cell r="W99">
            <v>7.2883320266251855E-2</v>
          </cell>
          <cell r="Y99">
            <v>-58.853141250732186</v>
          </cell>
          <cell r="AA99">
            <v>-48.470843042680009</v>
          </cell>
          <cell r="AC99">
            <v>982</v>
          </cell>
          <cell r="AE99">
            <v>3.5657044999999998</v>
          </cell>
          <cell r="AG99">
            <v>3659.1235177865615</v>
          </cell>
          <cell r="AH99">
            <v>0.83758791837809288</v>
          </cell>
          <cell r="AI99">
            <v>0</v>
          </cell>
          <cell r="AK99">
            <v>0.17815845213849288</v>
          </cell>
          <cell r="AM99">
            <v>49.065086576860203</v>
          </cell>
          <cell r="AO99">
            <v>673.20048534588329</v>
          </cell>
          <cell r="AP99">
            <v>673.20048534588329</v>
          </cell>
          <cell r="AR99">
            <v>-154.82800003588912</v>
          </cell>
          <cell r="AS99">
            <v>5.2518756698821001E-2</v>
          </cell>
          <cell r="AY99">
            <v>160.30000000000001</v>
          </cell>
          <cell r="BA99">
            <v>6.2329751720172411E-2</v>
          </cell>
          <cell r="BB99">
            <v>6.2329751720172411E-2</v>
          </cell>
        </row>
        <row r="100">
          <cell r="A100" t="str">
            <v>ARO2011</v>
          </cell>
          <cell r="B100" t="str">
            <v>ARO</v>
          </cell>
          <cell r="C100">
            <v>2011</v>
          </cell>
          <cell r="D100">
            <v>17</v>
          </cell>
          <cell r="E100">
            <v>17</v>
          </cell>
          <cell r="F100">
            <v>2160.0600000000004</v>
          </cell>
          <cell r="G100">
            <v>2342.2600000000002</v>
          </cell>
          <cell r="H100">
            <v>-0.08</v>
          </cell>
          <cell r="J100">
            <v>5.1068199089768077E-2</v>
          </cell>
          <cell r="L100">
            <v>149.184</v>
          </cell>
          <cell r="N100">
            <v>6.9064748201438833E-2</v>
          </cell>
          <cell r="P100">
            <v>6.3692331338109337E-2</v>
          </cell>
          <cell r="R100">
            <v>0.35498243779493777</v>
          </cell>
          <cell r="S100">
            <v>202.14169999999999</v>
          </cell>
          <cell r="U100">
            <v>9.3581520883679131E-2</v>
          </cell>
          <cell r="W100">
            <v>8.6301990385354299E-2</v>
          </cell>
          <cell r="Y100">
            <v>-154.82800003588912</v>
          </cell>
          <cell r="AA100">
            <v>-134.18670119102444</v>
          </cell>
          <cell r="AC100">
            <v>1034.5</v>
          </cell>
          <cell r="AE100">
            <v>3.8059085000000001</v>
          </cell>
          <cell r="AG100">
            <v>3697.9981078524124</v>
          </cell>
          <cell r="AH100">
            <v>0.65693993340941381</v>
          </cell>
          <cell r="AI100">
            <v>0</v>
          </cell>
          <cell r="AK100">
            <v>0.1954003866602223</v>
          </cell>
          <cell r="AM100">
            <v>53.112601104309256</v>
          </cell>
          <cell r="AO100">
            <v>615.42730204890631</v>
          </cell>
          <cell r="AP100">
            <v>615.42730204890631</v>
          </cell>
          <cell r="AR100">
            <v>-25.441774223151359</v>
          </cell>
          <cell r="AS100">
            <v>5.3462321792260736E-2</v>
          </cell>
          <cell r="AY100">
            <v>182.2</v>
          </cell>
          <cell r="BA100">
            <v>6.736508872229896E-2</v>
          </cell>
          <cell r="BB100">
            <v>6.736508872229896E-2</v>
          </cell>
        </row>
        <row r="101">
          <cell r="A101" t="str">
            <v>ARO2012</v>
          </cell>
          <cell r="B101" t="str">
            <v>ARO</v>
          </cell>
          <cell r="C101">
            <v>2012</v>
          </cell>
          <cell r="D101">
            <v>18</v>
          </cell>
          <cell r="E101">
            <v>18</v>
          </cell>
          <cell r="F101">
            <v>2169.1779999999999</v>
          </cell>
          <cell r="G101">
            <v>2386.1779999999999</v>
          </cell>
          <cell r="H101">
            <v>-0.02</v>
          </cell>
          <cell r="J101">
            <v>3.8601898098130097E-2</v>
          </cell>
          <cell r="L101">
            <v>154.52500000000001</v>
          </cell>
          <cell r="N101">
            <v>7.1236661998231601E-2</v>
          </cell>
          <cell r="P101">
            <v>6.4758370917844352E-2</v>
          </cell>
          <cell r="R101">
            <v>0.34938521274874623</v>
          </cell>
          <cell r="S101">
            <v>208.51375000000002</v>
          </cell>
          <cell r="U101">
            <v>9.6125698305994267E-2</v>
          </cell>
          <cell r="W101">
            <v>8.7383988118237624E-2</v>
          </cell>
          <cell r="Y101">
            <v>-25.441774223151359</v>
          </cell>
          <cell r="AA101">
            <v>-10.819977328833247</v>
          </cell>
          <cell r="AC101">
            <v>1070.5</v>
          </cell>
          <cell r="AE101">
            <v>3.9611524999999999</v>
          </cell>
          <cell r="AG101">
            <v>3702.5101476014756</v>
          </cell>
          <cell r="AH101" t="e">
            <v>#REF!</v>
          </cell>
          <cell r="AI101">
            <v>0</v>
          </cell>
          <cell r="AK101">
            <v>0.19478164409154602</v>
          </cell>
          <cell r="AM101">
            <v>52.639667369534507</v>
          </cell>
          <cell r="AO101">
            <v>602.39488381222384</v>
          </cell>
          <cell r="AP101">
            <v>602.39488381222384</v>
          </cell>
          <cell r="AR101">
            <v>-175.18225380370191</v>
          </cell>
          <cell r="AY101">
            <v>217</v>
          </cell>
          <cell r="BA101">
            <v>4.0790260722242788E-2</v>
          </cell>
          <cell r="BB101">
            <v>4.0790260722242788E-2</v>
          </cell>
        </row>
        <row r="102">
          <cell r="A102" t="str">
            <v>ARO2013</v>
          </cell>
          <cell r="B102" t="str">
            <v>ARO</v>
          </cell>
          <cell r="C102" t="str">
            <v>2013e</v>
          </cell>
          <cell r="D102">
            <v>19</v>
          </cell>
          <cell r="E102">
            <v>19</v>
          </cell>
          <cell r="F102">
            <v>1873.3020000000001</v>
          </cell>
          <cell r="G102">
            <v>2090.902</v>
          </cell>
          <cell r="H102">
            <v>-0.15</v>
          </cell>
          <cell r="J102">
            <v>-6.4042217186649569E-2</v>
          </cell>
          <cell r="L102">
            <v>155.37900000000002</v>
          </cell>
          <cell r="N102">
            <v>8.2943914008526132E-2</v>
          </cell>
          <cell r="P102">
            <v>7.4311947666605135E-2</v>
          </cell>
          <cell r="R102">
            <v>0.37012974423515344</v>
          </cell>
          <cell r="S102">
            <v>212.88938952951392</v>
          </cell>
          <cell r="U102">
            <v>0.11364392368636446</v>
          </cell>
          <cell r="W102">
            <v>0.1018170098500618</v>
          </cell>
          <cell r="Y102">
            <v>-175.18225380370191</v>
          </cell>
          <cell r="AA102">
            <v>-144.33021731824175</v>
          </cell>
          <cell r="AC102">
            <v>1092</v>
          </cell>
          <cell r="AE102">
            <v>4.0512949999999996</v>
          </cell>
          <cell r="AG102">
            <v>3717.3354545454545</v>
          </cell>
          <cell r="AH102" t="e">
            <v>#REF!</v>
          </cell>
          <cell r="AI102">
            <v>0</v>
          </cell>
          <cell r="AK102">
            <v>0.19495365341530579</v>
          </cell>
          <cell r="AM102">
            <v>52.548478827020482</v>
          </cell>
          <cell r="AO102">
            <v>516.10707193625751</v>
          </cell>
          <cell r="AP102">
            <v>516.10707193625751</v>
          </cell>
          <cell r="AY102">
            <v>217.6</v>
          </cell>
          <cell r="BA102">
            <v>2.2756634590564095E-2</v>
          </cell>
          <cell r="BB102">
            <v>2.2756634590564095E-2</v>
          </cell>
        </row>
        <row r="103">
          <cell r="C103" t="str">
            <v>2009 = Trough rent</v>
          </cell>
          <cell r="F103">
            <v>2101.105</v>
          </cell>
          <cell r="G103">
            <v>2230.105</v>
          </cell>
          <cell r="H103">
            <v>0.1</v>
          </cell>
          <cell r="J103">
            <v>0.17281024884478535</v>
          </cell>
          <cell r="L103">
            <v>121.69799999999999</v>
          </cell>
          <cell r="N103">
            <v>5.7920951118578076E-2</v>
          </cell>
          <cell r="P103">
            <v>5.4570524706235801E-2</v>
          </cell>
          <cell r="S103">
            <v>151.72794999999999</v>
          </cell>
          <cell r="U103">
            <v>7.2213406755017001E-2</v>
          </cell>
          <cell r="W103">
            <v>6.8036235961983854E-2</v>
          </cell>
          <cell r="Z103">
            <v>0</v>
          </cell>
          <cell r="AB103">
            <v>0</v>
          </cell>
          <cell r="AC103">
            <v>933</v>
          </cell>
          <cell r="AE103">
            <v>3.3564949999999998</v>
          </cell>
          <cell r="AG103">
            <v>3601.2352941176473</v>
          </cell>
          <cell r="AH103" t="str">
            <v>NM</v>
          </cell>
          <cell r="AI103" t="str">
            <v>NM</v>
          </cell>
          <cell r="AK103">
            <v>0.16262374062165058</v>
          </cell>
          <cell r="AM103">
            <v>45.204283039301416</v>
          </cell>
          <cell r="AO103">
            <v>664.41481366723326</v>
          </cell>
          <cell r="AP103">
            <v>664.41481366723326</v>
          </cell>
          <cell r="AR103">
            <v>0</v>
          </cell>
        </row>
        <row r="105">
          <cell r="C105">
            <v>1998</v>
          </cell>
          <cell r="D105">
            <v>5</v>
          </cell>
          <cell r="E105">
            <v>5</v>
          </cell>
          <cell r="F105">
            <v>513.91499999999996</v>
          </cell>
          <cell r="H105">
            <v>0</v>
          </cell>
          <cell r="J105">
            <v>4.8671472908944045E-2</v>
          </cell>
          <cell r="L105">
            <v>27.751000000000001</v>
          </cell>
          <cell r="N105">
            <v>5.3999202202698895E-2</v>
          </cell>
          <cell r="P105" t="str">
            <v>-</v>
          </cell>
          <cell r="S105">
            <v>36.076300000000003</v>
          </cell>
          <cell r="U105">
            <v>7.0198962863508574E-2</v>
          </cell>
          <cell r="AC105">
            <v>0</v>
          </cell>
          <cell r="AE105">
            <v>0</v>
          </cell>
          <cell r="AG105" t="e">
            <v>#DIV/0!</v>
          </cell>
          <cell r="AI105">
            <v>0</v>
          </cell>
          <cell r="AK105" t="e">
            <v>#DIV/0!</v>
          </cell>
          <cell r="AM105" t="e">
            <v>#DIV/0!</v>
          </cell>
          <cell r="AO105" t="e">
            <v>#N/A</v>
          </cell>
          <cell r="AR105" t="e">
            <v>#DIV/0!</v>
          </cell>
          <cell r="AY105">
            <v>0</v>
          </cell>
          <cell r="AZ105" t="str">
            <v>Indirect Sales</v>
          </cell>
        </row>
        <row r="106">
          <cell r="C106">
            <v>1999</v>
          </cell>
          <cell r="D106">
            <v>6</v>
          </cell>
          <cell r="E106">
            <v>6</v>
          </cell>
          <cell r="F106">
            <v>500.94400000000002</v>
          </cell>
          <cell r="H106">
            <v>0</v>
          </cell>
          <cell r="J106">
            <v>3.8876600977354805E-2</v>
          </cell>
          <cell r="L106">
            <v>28.353999999999999</v>
          </cell>
          <cell r="N106">
            <v>5.6601137053243475E-2</v>
          </cell>
          <cell r="P106" t="str">
            <v>-</v>
          </cell>
          <cell r="S106">
            <v>36.860199999999999</v>
          </cell>
          <cell r="U106">
            <v>7.3581478169216522E-2</v>
          </cell>
          <cell r="AC106">
            <v>116.5</v>
          </cell>
          <cell r="AE106">
            <v>0.18604100000000001</v>
          </cell>
          <cell r="AG106">
            <v>1596.9184549356225</v>
          </cell>
          <cell r="AH106" t="e">
            <v>#N/A</v>
          </cell>
          <cell r="AI106">
            <v>0</v>
          </cell>
          <cell r="AK106">
            <v>0.31639656652360515</v>
          </cell>
          <cell r="AM106">
            <v>198.12944458479581</v>
          </cell>
          <cell r="AO106" t="e">
            <v>#N/A</v>
          </cell>
          <cell r="AR106">
            <v>2692.6537698679322</v>
          </cell>
          <cell r="AY106">
            <v>0</v>
          </cell>
        </row>
        <row r="107">
          <cell r="C107">
            <v>2000</v>
          </cell>
          <cell r="D107">
            <v>7</v>
          </cell>
          <cell r="E107">
            <v>7</v>
          </cell>
          <cell r="F107">
            <v>352.01800000000003</v>
          </cell>
          <cell r="H107">
            <v>0</v>
          </cell>
          <cell r="J107">
            <v>0.10204985079738675</v>
          </cell>
          <cell r="L107">
            <v>28.364000000000001</v>
          </cell>
          <cell r="N107">
            <v>8.057542512030634E-2</v>
          </cell>
          <cell r="P107" t="str">
            <v>-</v>
          </cell>
          <cell r="S107">
            <v>36.873200000000004</v>
          </cell>
          <cell r="U107">
            <v>0.10474805265639825</v>
          </cell>
          <cell r="AC107">
            <v>236</v>
          </cell>
          <cell r="AE107">
            <v>0.4098965</v>
          </cell>
          <cell r="AG107">
            <v>1736.8495762711866</v>
          </cell>
          <cell r="AH107" t="e">
            <v>#N/A</v>
          </cell>
          <cell r="AI107">
            <v>0</v>
          </cell>
          <cell r="AK107">
            <v>0.15624237288135595</v>
          </cell>
          <cell r="AM107">
            <v>89.957342890217419</v>
          </cell>
          <cell r="AO107" t="e">
            <v>#N/A</v>
          </cell>
          <cell r="AR107">
            <v>858.79728175283276</v>
          </cell>
          <cell r="AY107">
            <v>196.89999999999998</v>
          </cell>
          <cell r="BA107">
            <v>1.2032589590466616</v>
          </cell>
        </row>
        <row r="108">
          <cell r="C108">
            <v>2001</v>
          </cell>
          <cell r="D108">
            <v>8</v>
          </cell>
          <cell r="E108">
            <v>8</v>
          </cell>
          <cell r="F108">
            <v>391.76099999999997</v>
          </cell>
          <cell r="H108">
            <v>3.2000000000000001E-2</v>
          </cell>
          <cell r="J108">
            <v>0.16934142226944285</v>
          </cell>
          <cell r="L108">
            <v>31.831</v>
          </cell>
          <cell r="N108">
            <v>8.1251068891492528E-2</v>
          </cell>
          <cell r="P108" t="str">
            <v>-</v>
          </cell>
          <cell r="S108">
            <v>41.380299999999998</v>
          </cell>
          <cell r="U108">
            <v>0.10562638955894027</v>
          </cell>
          <cell r="AC108">
            <v>252</v>
          </cell>
          <cell r="AE108">
            <v>0.48057099999999997</v>
          </cell>
          <cell r="AG108">
            <v>1907.0277777777776</v>
          </cell>
          <cell r="AH108" t="e">
            <v>#N/A</v>
          </cell>
          <cell r="AI108">
            <v>0</v>
          </cell>
          <cell r="AK108">
            <v>0.16420753968253968</v>
          </cell>
          <cell r="AM108">
            <v>86.106527443395464</v>
          </cell>
          <cell r="AO108" t="e">
            <v>#N/A</v>
          </cell>
          <cell r="AY108">
            <v>208.73000000000002</v>
          </cell>
          <cell r="BA108">
            <v>0.17242035489446716</v>
          </cell>
        </row>
        <row r="109">
          <cell r="C109">
            <v>2002</v>
          </cell>
          <cell r="D109">
            <v>9</v>
          </cell>
          <cell r="E109">
            <v>9</v>
          </cell>
          <cell r="F109">
            <v>447.048</v>
          </cell>
          <cell r="H109">
            <v>3.9E-2</v>
          </cell>
          <cell r="J109">
            <v>0.16371630365733811</v>
          </cell>
          <cell r="L109">
            <v>40.256999999999998</v>
          </cell>
          <cell r="N109">
            <v>9.0050732807215331E-2</v>
          </cell>
          <cell r="P109" t="str">
            <v>-</v>
          </cell>
          <cell r="S109">
            <v>52.334099999999999</v>
          </cell>
          <cell r="U109">
            <v>0.11706595264937993</v>
          </cell>
          <cell r="AC109">
            <v>280</v>
          </cell>
          <cell r="AE109">
            <v>0.55570699999999995</v>
          </cell>
          <cell r="AG109">
            <v>1984.667857142857</v>
          </cell>
          <cell r="AH109" t="e">
            <v>#N/A</v>
          </cell>
          <cell r="AI109">
            <v>0</v>
          </cell>
          <cell r="AK109">
            <v>0.1869075</v>
          </cell>
          <cell r="AM109">
            <v>94.175707702080416</v>
          </cell>
          <cell r="AO109" t="e">
            <v>#N/A</v>
          </cell>
          <cell r="AY109">
            <v>272.35500000000002</v>
          </cell>
          <cell r="BA109">
            <v>0.15634734513734694</v>
          </cell>
        </row>
        <row r="110">
          <cell r="C110">
            <v>2003</v>
          </cell>
          <cell r="D110">
            <v>10</v>
          </cell>
          <cell r="E110">
            <v>10</v>
          </cell>
          <cell r="F110">
            <v>559.18000000000006</v>
          </cell>
          <cell r="G110">
            <v>953.226</v>
          </cell>
          <cell r="H110">
            <v>0.152</v>
          </cell>
          <cell r="J110">
            <v>0.22916810913676303</v>
          </cell>
          <cell r="L110">
            <v>51.982999999999997</v>
          </cell>
          <cell r="N110">
            <v>9.2962909975320987E-2</v>
          </cell>
          <cell r="P110">
            <v>5.4533762192806319E-2</v>
          </cell>
          <cell r="S110">
            <v>67.5779</v>
          </cell>
          <cell r="U110">
            <v>0.12085178296791729</v>
          </cell>
          <cell r="Y110">
            <v>-37.858303185373671</v>
          </cell>
          <cell r="AA110">
            <v>0</v>
          </cell>
          <cell r="AC110">
            <v>310</v>
          </cell>
          <cell r="AE110">
            <v>0.64821649999999997</v>
          </cell>
          <cell r="AG110">
            <v>2091.0209677419357</v>
          </cell>
          <cell r="AH110" t="e">
            <v>#N/A</v>
          </cell>
          <cell r="AI110">
            <v>0</v>
          </cell>
          <cell r="AK110">
            <v>0.21799322580645161</v>
          </cell>
          <cell r="AM110">
            <v>104.25205159078796</v>
          </cell>
          <cell r="AO110" t="e">
            <v>#N/A</v>
          </cell>
          <cell r="AY110">
            <v>394.04599999999999</v>
          </cell>
          <cell r="BA110">
            <v>0.16647171980918007</v>
          </cell>
        </row>
        <row r="111">
          <cell r="C111">
            <v>2004</v>
          </cell>
          <cell r="D111">
            <v>11</v>
          </cell>
          <cell r="E111">
            <v>11</v>
          </cell>
          <cell r="F111">
            <v>1002.7059999999998</v>
          </cell>
          <cell r="G111">
            <v>1321.1059999999998</v>
          </cell>
          <cell r="H111">
            <v>0.16899999999999998</v>
          </cell>
          <cell r="J111">
            <v>0.30679143081630073</v>
          </cell>
          <cell r="L111">
            <v>62.906999999999996</v>
          </cell>
          <cell r="N111">
            <v>6.2737233047373817E-2</v>
          </cell>
          <cell r="P111">
            <v>4.7616920973790146E-2</v>
          </cell>
          <cell r="S111">
            <v>81.7791</v>
          </cell>
          <cell r="U111">
            <v>8.1558402961585966E-2</v>
          </cell>
          <cell r="W111">
            <v>6.1901997265927197E-2</v>
          </cell>
          <cell r="Y111">
            <v>392.9338000633133</v>
          </cell>
          <cell r="AA111">
            <v>-619.01997265927196</v>
          </cell>
          <cell r="AC111">
            <v>337.5</v>
          </cell>
          <cell r="AE111">
            <v>0.74035650000000008</v>
          </cell>
          <cell r="AG111">
            <v>2193.6488888888889</v>
          </cell>
          <cell r="AH111" t="e">
            <v>#N/A</v>
          </cell>
          <cell r="AI111">
            <v>0</v>
          </cell>
          <cell r="AK111">
            <v>0.24230844444444444</v>
          </cell>
          <cell r="AM111">
            <v>110.45908288777095</v>
          </cell>
          <cell r="AO111" t="e">
            <v>#N/A</v>
          </cell>
          <cell r="AT111" t="str">
            <v>Adjusted Rent Expense Increase Assumption</v>
          </cell>
          <cell r="AY111">
            <v>318.39999999999998</v>
          </cell>
          <cell r="BA111">
            <v>0.14214386705676274</v>
          </cell>
        </row>
        <row r="112">
          <cell r="A112" t="str">
            <v>COH</v>
          </cell>
          <cell r="B112" t="str">
            <v>COH</v>
          </cell>
          <cell r="C112" t="str">
            <v>2005 (direct revs. only)</v>
          </cell>
          <cell r="D112">
            <v>12</v>
          </cell>
          <cell r="E112">
            <v>12</v>
          </cell>
          <cell r="F112">
            <v>1307.5070000000003</v>
          </cell>
          <cell r="G112">
            <v>1710.4230000000002</v>
          </cell>
          <cell r="H112">
            <v>0.182</v>
          </cell>
          <cell r="J112">
            <v>0.33474935732272076</v>
          </cell>
          <cell r="L112">
            <v>85.384</v>
          </cell>
          <cell r="N112">
            <v>6.5302900864010652E-2</v>
          </cell>
          <cell r="P112">
            <v>4.9919815156835468E-2</v>
          </cell>
          <cell r="R112">
            <v>0.3</v>
          </cell>
          <cell r="S112">
            <v>110.9992</v>
          </cell>
          <cell r="U112">
            <v>8.4893771123213849E-2</v>
          </cell>
          <cell r="W112">
            <v>6.4895759703886113E-2</v>
          </cell>
          <cell r="Y112">
            <v>-33.353681616278827</v>
          </cell>
          <cell r="AA112">
            <v>-29.937624379589163</v>
          </cell>
          <cell r="AC112">
            <v>364</v>
          </cell>
          <cell r="AE112">
            <v>0.84354949999999995</v>
          </cell>
          <cell r="AG112">
            <v>2317.4436813186812</v>
          </cell>
          <cell r="AH112" t="e">
            <v>#N/A</v>
          </cell>
          <cell r="AI112" t="e">
            <v>#N/A</v>
          </cell>
          <cell r="AK112">
            <v>0.30494285714285713</v>
          </cell>
          <cell r="AM112">
            <v>131.58587611041202</v>
          </cell>
          <cell r="AO112">
            <v>1550.409312079493</v>
          </cell>
          <cell r="AQ112" t="str">
            <v>Comps=NA stores. Rev.=store rev. only (COH's "direct") &amp; excl. indirect (wholesale) rev. $626mm in '08.  Base rent in 10-K incl. an est. $13mm for NYC office space.</v>
          </cell>
          <cell r="AY112">
            <v>402.916</v>
          </cell>
          <cell r="BA112">
            <v>0.13938285136957651</v>
          </cell>
          <cell r="BB112">
            <v>0.13938285136957651</v>
          </cell>
        </row>
        <row r="113">
          <cell r="A113" t="str">
            <v>COH2006</v>
          </cell>
          <cell r="B113" t="str">
            <v>COH</v>
          </cell>
          <cell r="C113" t="str">
            <v>2006 (store revs. only)</v>
          </cell>
          <cell r="D113">
            <v>13</v>
          </cell>
          <cell r="E113">
            <v>13</v>
          </cell>
          <cell r="F113">
            <v>1610.6969999999999</v>
          </cell>
          <cell r="G113">
            <v>2035.0909999999999</v>
          </cell>
          <cell r="H113">
            <v>0.20699999999999999</v>
          </cell>
          <cell r="J113">
            <v>0.35121132175416231</v>
          </cell>
          <cell r="L113">
            <v>93.756</v>
          </cell>
          <cell r="N113">
            <v>5.820834086113031E-2</v>
          </cell>
          <cell r="P113">
            <v>4.6069684353181262E-2</v>
          </cell>
          <cell r="S113">
            <v>121.8828</v>
          </cell>
          <cell r="U113">
            <v>7.5670843119469408E-2</v>
          </cell>
          <cell r="W113">
            <v>5.9890589659135643E-2</v>
          </cell>
          <cell r="Y113">
            <v>92.229280037444411</v>
          </cell>
          <cell r="AA113">
            <v>50.051700447504707</v>
          </cell>
          <cell r="AC113">
            <v>400</v>
          </cell>
          <cell r="AE113">
            <v>0.97177550000000001</v>
          </cell>
          <cell r="AG113">
            <v>2429.4387499999998</v>
          </cell>
          <cell r="AH113" t="e">
            <v>#N/A</v>
          </cell>
          <cell r="AI113">
            <v>0.55347622265715346</v>
          </cell>
          <cell r="AK113">
            <v>0.30470700000000001</v>
          </cell>
          <cell r="AM113">
            <v>125.42279569715433</v>
          </cell>
          <cell r="AO113">
            <v>1657.4723277135511</v>
          </cell>
          <cell r="AP113">
            <v>2094.1987115336824</v>
          </cell>
          <cell r="AR113" t="str">
            <v>LVG</v>
          </cell>
          <cell r="AY113">
            <v>424.39400000000001</v>
          </cell>
          <cell r="BA113">
            <v>0.15200767708356189</v>
          </cell>
          <cell r="BB113">
            <v>0.15200767708356189</v>
          </cell>
        </row>
        <row r="114">
          <cell r="A114" t="str">
            <v>COH2007</v>
          </cell>
          <cell r="B114" t="str">
            <v>COH</v>
          </cell>
          <cell r="C114" t="str">
            <v>2007 (store revs. only)</v>
          </cell>
          <cell r="D114">
            <v>14</v>
          </cell>
          <cell r="E114">
            <v>14</v>
          </cell>
          <cell r="F114">
            <v>2101.62</v>
          </cell>
          <cell r="G114">
            <v>2612.4559999999997</v>
          </cell>
          <cell r="H114">
            <v>0.223</v>
          </cell>
          <cell r="J114">
            <v>0.38025405978129384</v>
          </cell>
          <cell r="L114">
            <v>107.458</v>
          </cell>
          <cell r="N114">
            <v>5.1131032251310896E-2</v>
          </cell>
          <cell r="P114">
            <v>4.1132941569159448E-2</v>
          </cell>
          <cell r="R114">
            <v>0.3</v>
          </cell>
          <cell r="S114">
            <v>139.69540000000001</v>
          </cell>
          <cell r="U114">
            <v>6.6470341926704174E-2</v>
          </cell>
          <cell r="W114">
            <v>5.3472824039907281E-2</v>
          </cell>
          <cell r="Y114">
            <v>92.005011927652347</v>
          </cell>
          <cell r="AA114">
            <v>64.177656192283621</v>
          </cell>
          <cell r="AC114">
            <v>455.5</v>
          </cell>
          <cell r="AE114">
            <v>1.1313430000000002</v>
          </cell>
          <cell r="AG114">
            <v>2483.7387486278822</v>
          </cell>
          <cell r="AH114" t="e">
            <v>#N/A</v>
          </cell>
          <cell r="AI114">
            <v>0.4981008696295634</v>
          </cell>
          <cell r="AK114">
            <v>0.30668583973655328</v>
          </cell>
          <cell r="AM114">
            <v>123.47749533077058</v>
          </cell>
          <cell r="AO114">
            <v>1857.5188956841555</v>
          </cell>
          <cell r="AP114">
            <v>2309.1635339591962</v>
          </cell>
          <cell r="AR114">
            <v>-0.69859499724281293</v>
          </cell>
          <cell r="AY114">
            <v>510.83600000000001</v>
          </cell>
          <cell r="BA114">
            <v>0.16420201991097749</v>
          </cell>
          <cell r="BB114">
            <v>0.16420201991097749</v>
          </cell>
        </row>
        <row r="115">
          <cell r="A115" t="str">
            <v>COH2008</v>
          </cell>
          <cell r="B115" t="str">
            <v>COH</v>
          </cell>
          <cell r="C115">
            <v>2008</v>
          </cell>
          <cell r="D115">
            <v>15</v>
          </cell>
          <cell r="E115">
            <v>15</v>
          </cell>
          <cell r="F115">
            <v>2557.857</v>
          </cell>
          <cell r="G115">
            <v>3180.7570000000001</v>
          </cell>
          <cell r="H115">
            <v>9.8000000000000004E-2</v>
          </cell>
          <cell r="J115">
            <v>0.37073847514915476</v>
          </cell>
          <cell r="L115">
            <v>132.96899999999999</v>
          </cell>
          <cell r="N115">
            <v>5.1984532364397228E-2</v>
          </cell>
          <cell r="P115">
            <v>4.1804199440573418E-2</v>
          </cell>
          <cell r="R115">
            <v>0.28000000000000003</v>
          </cell>
          <cell r="S115">
            <v>170.20032</v>
          </cell>
          <cell r="U115">
            <v>6.6540201426428455E-2</v>
          </cell>
          <cell r="W115">
            <v>5.3509375283933985E-2</v>
          </cell>
          <cell r="Y115">
            <v>-0.69859499724281293</v>
          </cell>
          <cell r="AA115">
            <v>-0.36551244026704344</v>
          </cell>
          <cell r="AC115">
            <v>518.5</v>
          </cell>
          <cell r="AE115">
            <v>1.3462895000000001</v>
          </cell>
          <cell r="AG115">
            <v>2596.5081967213118</v>
          </cell>
          <cell r="AH115" t="e">
            <v>#N/A</v>
          </cell>
          <cell r="AI115">
            <v>0.62680552477958651</v>
          </cell>
          <cell r="AK115">
            <v>0.32825519768563166</v>
          </cell>
          <cell r="AM115">
            <v>126.42178372482292</v>
          </cell>
          <cell r="AO115">
            <v>1899.9628237463041</v>
          </cell>
          <cell r="AP115">
            <v>2362.609973560664</v>
          </cell>
          <cell r="AQ115" t="str">
            <v>Store sales exclude indirect sales (mainly wholesale and license revenue).</v>
          </cell>
          <cell r="AR115">
            <v>-44.643821817905852</v>
          </cell>
          <cell r="AS115">
            <v>0.13830954994511524</v>
          </cell>
          <cell r="AU115">
            <v>-45.342416815148667</v>
          </cell>
          <cell r="AY115">
            <v>622.9</v>
          </cell>
          <cell r="BA115">
            <v>0.18999233654161451</v>
          </cell>
          <cell r="BB115">
            <v>0.18999233654161451</v>
          </cell>
        </row>
        <row r="116">
          <cell r="A116" t="str">
            <v>COH2009</v>
          </cell>
          <cell r="B116" t="str">
            <v>COH</v>
          </cell>
          <cell r="C116">
            <v>2009</v>
          </cell>
          <cell r="D116">
            <v>16</v>
          </cell>
          <cell r="E116">
            <v>16</v>
          </cell>
          <cell r="F116">
            <v>2726.8909999999996</v>
          </cell>
          <cell r="G116">
            <v>3230.4679999999998</v>
          </cell>
          <cell r="H116">
            <v>-6.8000000000000005E-2</v>
          </cell>
          <cell r="J116">
            <v>0.30964956161150636</v>
          </cell>
          <cell r="L116">
            <v>151.267</v>
          </cell>
          <cell r="N116">
            <v>5.5472330943921122E-2</v>
          </cell>
          <cell r="P116">
            <v>4.6825103978742399E-2</v>
          </cell>
          <cell r="R116">
            <v>0.28000000000000003</v>
          </cell>
          <cell r="S116">
            <v>193.62175999999999</v>
          </cell>
          <cell r="U116">
            <v>7.1004583608219041E-2</v>
          </cell>
          <cell r="W116">
            <v>5.9936133092790271E-2</v>
          </cell>
          <cell r="Y116">
            <v>-44.643821817905852</v>
          </cell>
          <cell r="AA116">
            <v>-64.267578088562857</v>
          </cell>
          <cell r="AC116">
            <v>586</v>
          </cell>
          <cell r="AE116">
            <v>1.5862339999999999</v>
          </cell>
          <cell r="AG116">
            <v>2706.8839590443686</v>
          </cell>
          <cell r="AH116" t="e">
            <v>#N/A</v>
          </cell>
          <cell r="AI116">
            <v>0</v>
          </cell>
          <cell r="AK116">
            <v>0.33041255972696243</v>
          </cell>
          <cell r="AM116">
            <v>122.06380647495894</v>
          </cell>
          <cell r="AO116">
            <v>1719.0975606373336</v>
          </cell>
          <cell r="AP116">
            <v>2036.5645926137001</v>
          </cell>
          <cell r="AR116">
            <v>-25.577163670650329</v>
          </cell>
          <cell r="AS116">
            <v>0.13018322082931544</v>
          </cell>
          <cell r="AU116">
            <v>-70.220985488556181</v>
          </cell>
          <cell r="AY116">
            <v>503.577</v>
          </cell>
          <cell r="BA116">
            <v>0.17822652557269425</v>
          </cell>
          <cell r="BB116">
            <v>0.17822652557269425</v>
          </cell>
          <cell r="BC116">
            <v>0</v>
          </cell>
        </row>
        <row r="117">
          <cell r="A117" t="str">
            <v>COH2010</v>
          </cell>
          <cell r="B117" t="str">
            <v>COH</v>
          </cell>
          <cell r="C117">
            <v>2010</v>
          </cell>
          <cell r="D117">
            <v>17</v>
          </cell>
          <cell r="E117">
            <v>17</v>
          </cell>
          <cell r="F117">
            <v>3155.86</v>
          </cell>
          <cell r="G117">
            <v>3607.636</v>
          </cell>
          <cell r="H117">
            <v>3.5557111151952245E-2</v>
          </cell>
          <cell r="J117">
            <v>0.31881570091882877</v>
          </cell>
          <cell r="L117">
            <v>181.369</v>
          </cell>
          <cell r="N117">
            <v>5.7470546855690682E-2</v>
          </cell>
          <cell r="P117">
            <v>5.0273641797564945E-2</v>
          </cell>
          <cell r="R117">
            <v>0.28000000000000003</v>
          </cell>
          <cell r="S117">
            <v>232.15232</v>
          </cell>
          <cell r="U117">
            <v>7.3562299975284073E-2</v>
          </cell>
          <cell r="W117">
            <v>6.4350261500883132E-2</v>
          </cell>
          <cell r="Y117">
            <v>-25.577163670650329</v>
          </cell>
          <cell r="AA117">
            <v>-44.141284080928614</v>
          </cell>
          <cell r="AC117">
            <v>644.5</v>
          </cell>
          <cell r="AE117">
            <v>1.7772825000000001</v>
          </cell>
          <cell r="AG117">
            <v>2757.6144297905353</v>
          </cell>
          <cell r="AH117" t="e">
            <v>#N/A</v>
          </cell>
          <cell r="AI117">
            <v>0</v>
          </cell>
          <cell r="AK117">
            <v>0.36020530643910009</v>
          </cell>
          <cell r="AM117">
            <v>130.62207049245126</v>
          </cell>
          <cell r="AO117">
            <v>1775.6659394328135</v>
          </cell>
          <cell r="AP117">
            <v>2029.8607565201366</v>
          </cell>
          <cell r="AR117">
            <v>9.5475379630437232</v>
          </cell>
          <cell r="AS117">
            <v>9.9829351535836164E-2</v>
          </cell>
          <cell r="AY117">
            <v>451.77600000000001</v>
          </cell>
          <cell r="BA117">
            <v>0.12044156158549124</v>
          </cell>
          <cell r="BB117">
            <v>0.12044156158549124</v>
          </cell>
        </row>
        <row r="118">
          <cell r="A118" t="str">
            <v>COH2011</v>
          </cell>
          <cell r="B118" t="str">
            <v>COH</v>
          </cell>
          <cell r="C118">
            <v>2011</v>
          </cell>
          <cell r="D118">
            <v>18</v>
          </cell>
          <cell r="E118">
            <v>18</v>
          </cell>
          <cell r="F118">
            <v>3621.8859999999995</v>
          </cell>
          <cell r="G118">
            <v>4158.5069999999996</v>
          </cell>
          <cell r="H118">
            <v>0.10576010987645663</v>
          </cell>
          <cell r="J118">
            <v>0.31997108577669814</v>
          </cell>
          <cell r="L118">
            <v>206.90500000000003</v>
          </cell>
          <cell r="N118">
            <v>5.7126314853642564E-2</v>
          </cell>
          <cell r="P118">
            <v>4.9754635497788038E-2</v>
          </cell>
          <cell r="R118">
            <v>0.27100000000000002</v>
          </cell>
          <cell r="S118">
            <v>262.97625500000004</v>
          </cell>
          <cell r="U118">
            <v>7.2607546178979701E-2</v>
          </cell>
          <cell r="W118">
            <v>6.3238141717688601E-2</v>
          </cell>
          <cell r="Y118">
            <v>9.5475379630437232</v>
          </cell>
          <cell r="AA118">
            <v>11.121197831945317</v>
          </cell>
          <cell r="AC118">
            <v>694</v>
          </cell>
          <cell r="AE118">
            <v>1.9337755000000001</v>
          </cell>
          <cell r="AG118">
            <v>2786.4200288184443</v>
          </cell>
          <cell r="AH118" t="e">
            <v>#N/A</v>
          </cell>
          <cell r="AI118">
            <v>0</v>
          </cell>
          <cell r="AK118">
            <v>0.37892832132564847</v>
          </cell>
          <cell r="AM118">
            <v>135.99109875991294</v>
          </cell>
          <cell r="AO118">
            <v>1872.9609512583024</v>
          </cell>
          <cell r="AP118">
            <v>2150.4600715026122</v>
          </cell>
          <cell r="AR118">
            <v>725.6810371864641</v>
          </cell>
          <cell r="AS118">
            <v>7.6803723816912361E-2</v>
          </cell>
          <cell r="AY118">
            <v>536.62099999999998</v>
          </cell>
          <cell r="BA118">
            <v>8.8051843193189594E-2</v>
          </cell>
          <cell r="BB118">
            <v>8.8051843193189594E-2</v>
          </cell>
        </row>
        <row r="119">
          <cell r="A119" t="str">
            <v>COH2012</v>
          </cell>
          <cell r="B119" t="str">
            <v>COH</v>
          </cell>
          <cell r="C119">
            <v>2012</v>
          </cell>
          <cell r="D119">
            <v>19</v>
          </cell>
          <cell r="E119">
            <v>19</v>
          </cell>
          <cell r="F119">
            <v>4224.5239999999994</v>
          </cell>
          <cell r="G119">
            <v>4763.1799999999994</v>
          </cell>
          <cell r="H119">
            <v>6.4820016572281286E-2</v>
          </cell>
          <cell r="J119">
            <v>0.3256643670824953</v>
          </cell>
          <cell r="L119">
            <v>0.13109804901416977</v>
          </cell>
          <cell r="N119">
            <v>3.1032620246486892E-5</v>
          </cell>
          <cell r="P119">
            <v>2.7523219574773532E-5</v>
          </cell>
          <cell r="R119">
            <v>0.27100000000000002</v>
          </cell>
          <cell r="S119">
            <v>0.16662562029700978</v>
          </cell>
          <cell r="U119">
            <v>3.9442460333284837E-5</v>
          </cell>
          <cell r="W119">
            <v>3.4982012079537157E-5</v>
          </cell>
          <cell r="Y119">
            <v>725.6810371864641</v>
          </cell>
          <cell r="AA119">
            <v>632.03159705609062</v>
          </cell>
          <cell r="AC119">
            <v>777.5</v>
          </cell>
          <cell r="AE119">
            <v>2.1739660000000001</v>
          </cell>
          <cell r="AG119">
            <v>2796.0977491961416</v>
          </cell>
          <cell r="AH119" t="e">
            <v>#N/A</v>
          </cell>
          <cell r="AI119">
            <v>0</v>
          </cell>
          <cell r="AK119">
            <v>2.1430947948168459E-4</v>
          </cell>
          <cell r="AM119">
            <v>7.6645918242056119E-2</v>
          </cell>
          <cell r="AO119">
            <v>1943.2337028269992</v>
          </cell>
          <cell r="AP119">
            <v>2191.0094270103577</v>
          </cell>
          <cell r="AR119">
            <v>-806.30672258206778</v>
          </cell>
          <cell r="AY119">
            <v>538.65600000000006</v>
          </cell>
          <cell r="BA119">
            <v>0.12420805827770587</v>
          </cell>
          <cell r="BB119">
            <v>0.12420805827770587</v>
          </cell>
        </row>
        <row r="120">
          <cell r="A120" t="str">
            <v>COH2013</v>
          </cell>
          <cell r="B120" t="str">
            <v>COH</v>
          </cell>
          <cell r="C120" t="str">
            <v>2013e</v>
          </cell>
          <cell r="D120">
            <v>20</v>
          </cell>
          <cell r="E120">
            <v>20</v>
          </cell>
          <cell r="F120">
            <v>4537.5911671521744</v>
          </cell>
          <cell r="G120">
            <v>5087.0202871521742</v>
          </cell>
          <cell r="H120">
            <v>1.4505265607205975E-3</v>
          </cell>
          <cell r="J120">
            <v>0.31002087609690615</v>
          </cell>
          <cell r="L120">
            <v>288</v>
          </cell>
          <cell r="N120">
            <v>6.3469799149126718E-2</v>
          </cell>
          <cell r="P120">
            <v>5.6614674945837246E-2</v>
          </cell>
          <cell r="R120">
            <v>0.27100000000000002</v>
          </cell>
          <cell r="S120">
            <v>366.048</v>
          </cell>
          <cell r="U120">
            <v>8.0670114718540062E-2</v>
          </cell>
          <cell r="W120">
            <v>7.1957251856159143E-2</v>
          </cell>
          <cell r="Y120">
            <v>-806.30672258206778</v>
          </cell>
          <cell r="AA120">
            <v>-719.22269844079608</v>
          </cell>
          <cell r="AC120">
            <v>872</v>
          </cell>
          <cell r="AE120">
            <v>2.4370785000000006</v>
          </cell>
          <cell r="AG120">
            <v>2794.8147935779825</v>
          </cell>
          <cell r="AK120">
            <v>0.41977981651376145</v>
          </cell>
          <cell r="AM120">
            <v>150.19951142320608</v>
          </cell>
          <cell r="AO120">
            <v>1847.3543834775876</v>
          </cell>
          <cell r="AP120">
            <v>2087.3436317919891</v>
          </cell>
          <cell r="AY120">
            <v>549.42912000000001</v>
          </cell>
          <cell r="BA120">
            <v>0.12102880173838981</v>
          </cell>
          <cell r="BB120">
            <v>0.12102880173838981</v>
          </cell>
        </row>
        <row r="121">
          <cell r="C121" t="str">
            <v>2007 = Trough rent</v>
          </cell>
          <cell r="F121">
            <v>4224.5239999999994</v>
          </cell>
          <cell r="G121">
            <v>4763.1799999999994</v>
          </cell>
          <cell r="H121">
            <v>6.4820016572281286E-2</v>
          </cell>
          <cell r="J121">
            <v>0.3256643670824953</v>
          </cell>
          <cell r="L121">
            <v>0.13109804901416977</v>
          </cell>
          <cell r="N121">
            <v>3.1032620246486892E-5</v>
          </cell>
          <cell r="P121">
            <v>2.7523219574773532E-5</v>
          </cell>
          <cell r="S121">
            <v>0.16662562029700978</v>
          </cell>
          <cell r="U121">
            <v>3.9442460333284837E-5</v>
          </cell>
          <cell r="W121">
            <v>3.4982012079537157E-5</v>
          </cell>
          <cell r="Z121">
            <v>0</v>
          </cell>
          <cell r="AB121">
            <v>0</v>
          </cell>
          <cell r="AC121">
            <v>777.5</v>
          </cell>
          <cell r="AE121">
            <v>2.1739660000000001</v>
          </cell>
          <cell r="AG121">
            <v>2796.0977491961416</v>
          </cell>
          <cell r="AH121" t="e">
            <v>#N/A</v>
          </cell>
          <cell r="AI121" t="e">
            <v>#N/A</v>
          </cell>
          <cell r="AK121">
            <v>2.1430947948168459E-4</v>
          </cell>
          <cell r="AM121">
            <v>7.6645918242056119E-2</v>
          </cell>
          <cell r="AO121">
            <v>1943.2337028269992</v>
          </cell>
          <cell r="AP121">
            <v>2191.0094270103577</v>
          </cell>
          <cell r="AR121">
            <v>-1.6014805470988935E-2</v>
          </cell>
        </row>
        <row r="123">
          <cell r="C123">
            <v>1998</v>
          </cell>
          <cell r="D123">
            <v>6</v>
          </cell>
          <cell r="E123">
            <v>6</v>
          </cell>
          <cell r="F123">
            <v>0</v>
          </cell>
          <cell r="H123">
            <v>0.30299999999999999</v>
          </cell>
          <cell r="J123">
            <v>0.14178268821601719</v>
          </cell>
          <cell r="L123">
            <v>0.31544196646943429</v>
          </cell>
          <cell r="N123" t="e">
            <v>#DIV/0!</v>
          </cell>
          <cell r="P123" t="str">
            <v>-</v>
          </cell>
          <cell r="S123">
            <v>0.31544196646943429</v>
          </cell>
          <cell r="U123" t="e">
            <v>#DIV/0!</v>
          </cell>
          <cell r="AC123">
            <v>151.5</v>
          </cell>
          <cell r="AE123">
            <v>-2.7308889301098649E-3</v>
          </cell>
          <cell r="AG123">
            <v>1588.7345679012344</v>
          </cell>
          <cell r="AH123" t="e">
            <v>#N/A</v>
          </cell>
          <cell r="AI123">
            <v>0</v>
          </cell>
          <cell r="AK123">
            <v>2.0821251912173881E-3</v>
          </cell>
          <cell r="AM123">
            <v>-115.50889638588997</v>
          </cell>
          <cell r="AO123">
            <v>459.20000000000005</v>
          </cell>
        </row>
        <row r="124">
          <cell r="C124">
            <v>1999</v>
          </cell>
          <cell r="D124">
            <v>7</v>
          </cell>
          <cell r="E124">
            <v>7</v>
          </cell>
          <cell r="F124">
            <v>0</v>
          </cell>
          <cell r="H124">
            <v>0.23300000000000001</v>
          </cell>
          <cell r="J124">
            <v>0.16003687068321282</v>
          </cell>
          <cell r="L124">
            <v>0.30383896092471052</v>
          </cell>
          <cell r="N124" t="e">
            <v>#DIV/0!</v>
          </cell>
          <cell r="P124" t="str">
            <v>-</v>
          </cell>
          <cell r="S124">
            <v>0.30383896092471052</v>
          </cell>
          <cell r="U124" t="e">
            <v>#DIV/0!</v>
          </cell>
          <cell r="AC124">
            <v>181</v>
          </cell>
          <cell r="AE124">
            <v>9.5211267605633809E-2</v>
          </cell>
          <cell r="AG124">
            <v>1739.9999999999998</v>
          </cell>
          <cell r="AH124" t="e">
            <v>#N/A</v>
          </cell>
          <cell r="AI124">
            <v>0</v>
          </cell>
          <cell r="AK124">
            <v>1.6786682924017156E-3</v>
          </cell>
          <cell r="AM124">
            <v>3.1912080215465157</v>
          </cell>
          <cell r="AO124">
            <v>540</v>
          </cell>
          <cell r="BA124">
            <v>-35.864569758171534</v>
          </cell>
        </row>
        <row r="125">
          <cell r="C125">
            <v>2000</v>
          </cell>
          <cell r="D125">
            <v>8</v>
          </cell>
          <cell r="E125">
            <v>8</v>
          </cell>
          <cell r="F125">
            <v>0</v>
          </cell>
          <cell r="H125">
            <v>0.34299999999999997</v>
          </cell>
          <cell r="J125">
            <v>0.1748475335296881</v>
          </cell>
          <cell r="L125">
            <v>0.30160083935187787</v>
          </cell>
          <cell r="N125" t="e">
            <v>#DIV/0!</v>
          </cell>
          <cell r="P125" t="str">
            <v>-</v>
          </cell>
          <cell r="S125">
            <v>0.30160083935187787</v>
          </cell>
          <cell r="U125" t="e">
            <v>#DIV/0!</v>
          </cell>
          <cell r="AC125">
            <v>225</v>
          </cell>
          <cell r="AE125">
            <v>0.10459770114942524</v>
          </cell>
          <cell r="AG125">
            <v>1921.9999999999998</v>
          </cell>
          <cell r="AH125" t="e">
            <v>#N/A</v>
          </cell>
          <cell r="AI125">
            <v>0</v>
          </cell>
          <cell r="AK125">
            <v>1.3404481748972349E-3</v>
          </cell>
          <cell r="AM125">
            <v>2.883436596001471</v>
          </cell>
          <cell r="AO125">
            <v>647.20000000000005</v>
          </cell>
          <cell r="BA125">
            <v>9.8585322723253155E-2</v>
          </cell>
        </row>
        <row r="126">
          <cell r="C126">
            <v>2001</v>
          </cell>
          <cell r="D126">
            <v>9</v>
          </cell>
          <cell r="E126">
            <v>9</v>
          </cell>
          <cell r="F126">
            <v>0</v>
          </cell>
          <cell r="H126">
            <v>0.17100000000000001</v>
          </cell>
          <cell r="J126">
            <v>0.17862603717985992</v>
          </cell>
          <cell r="L126">
            <v>0.30597249287687273</v>
          </cell>
          <cell r="N126" t="e">
            <v>#DIV/0!</v>
          </cell>
          <cell r="P126" t="str">
            <v>-</v>
          </cell>
          <cell r="S126">
            <v>0.30597249287687273</v>
          </cell>
          <cell r="U126" t="e">
            <v>#DIV/0!</v>
          </cell>
          <cell r="AC126">
            <v>280.5</v>
          </cell>
          <cell r="AE126">
            <v>0.11879372705950053</v>
          </cell>
          <cell r="AG126">
            <v>2150.32154340836</v>
          </cell>
          <cell r="AH126" t="e">
            <v>#N/A</v>
          </cell>
          <cell r="AI126">
            <v>0</v>
          </cell>
          <cell r="AK126">
            <v>1.0908110262990115E-3</v>
          </cell>
          <cell r="AM126">
            <v>2.5756620357876261</v>
          </cell>
          <cell r="AO126">
            <v>652</v>
          </cell>
          <cell r="AS126">
            <v>28014</v>
          </cell>
          <cell r="AT126">
            <v>20421</v>
          </cell>
          <cell r="AU126">
            <v>13764</v>
          </cell>
          <cell r="AV126" t="str">
            <v>Minimum rent</v>
          </cell>
          <cell r="BA126">
            <v>0.13572024771170899</v>
          </cell>
        </row>
        <row r="127">
          <cell r="C127">
            <v>2002</v>
          </cell>
          <cell r="D127">
            <v>10</v>
          </cell>
          <cell r="E127">
            <v>10</v>
          </cell>
          <cell r="F127">
            <v>0</v>
          </cell>
          <cell r="H127">
            <v>0.13548378119937243</v>
          </cell>
          <cell r="J127">
            <v>0.20107628927438123</v>
          </cell>
          <cell r="L127">
            <v>0.29619395499950396</v>
          </cell>
          <cell r="N127" t="e">
            <v>#DIV/0!</v>
          </cell>
          <cell r="P127" t="str">
            <v>-</v>
          </cell>
          <cell r="S127">
            <v>0.29619395499950396</v>
          </cell>
          <cell r="U127" t="e">
            <v>#DIV/0!</v>
          </cell>
          <cell r="AC127">
            <v>344.5</v>
          </cell>
          <cell r="AE127">
            <v>6.4194234287691998E-2</v>
          </cell>
          <cell r="AG127">
            <v>2288.3597883597877</v>
          </cell>
          <cell r="AH127" t="e">
            <v>#N/A</v>
          </cell>
          <cell r="AI127">
            <v>0</v>
          </cell>
          <cell r="AK127">
            <v>8.5977925979536705E-4</v>
          </cell>
          <cell r="AM127">
            <v>4.6140273855761746</v>
          </cell>
          <cell r="AO127">
            <v>679.2</v>
          </cell>
          <cell r="AS127">
            <v>3970</v>
          </cell>
          <cell r="AT127">
            <v>3431</v>
          </cell>
          <cell r="AU127">
            <v>2437</v>
          </cell>
          <cell r="AV127" t="str">
            <v>CAM</v>
          </cell>
          <cell r="BA127">
            <v>-0.45961595888359608</v>
          </cell>
        </row>
        <row r="128">
          <cell r="C128">
            <v>2003</v>
          </cell>
          <cell r="D128">
            <v>11</v>
          </cell>
          <cell r="E128">
            <v>11</v>
          </cell>
          <cell r="F128">
            <v>768.49907299999995</v>
          </cell>
          <cell r="G128">
            <v>768.49907299999995</v>
          </cell>
          <cell r="H128">
            <v>0.161</v>
          </cell>
          <cell r="J128">
            <v>0.20920595567198558</v>
          </cell>
          <cell r="L128">
            <v>0.29903143292405765</v>
          </cell>
          <cell r="N128">
            <v>3.8911098715672449E-4</v>
          </cell>
          <cell r="P128">
            <v>3.8911098715672449E-4</v>
          </cell>
          <cell r="S128">
            <v>0.29903143292405765</v>
          </cell>
          <cell r="U128">
            <v>3.8911098715672449E-4</v>
          </cell>
          <cell r="W128">
            <v>3.8911098715672449E-4</v>
          </cell>
          <cell r="Y128" t="e">
            <v>#DIV/0!</v>
          </cell>
          <cell r="AA128">
            <v>-3.8911098715672447</v>
          </cell>
          <cell r="AC128">
            <v>463</v>
          </cell>
          <cell r="AE128">
            <v>-3.2066157546092322E-3</v>
          </cell>
          <cell r="AG128">
            <v>2281.0218978102189</v>
          </cell>
          <cell r="AH128" t="e">
            <v>#N/A</v>
          </cell>
          <cell r="AI128">
            <v>0</v>
          </cell>
          <cell r="AK128">
            <v>6.4585622661783506E-4</v>
          </cell>
          <cell r="AM128">
            <v>-93.254526207022437</v>
          </cell>
          <cell r="AO128">
            <v>705.1721342789599</v>
          </cell>
          <cell r="AP128">
            <v>-239660.48064703392</v>
          </cell>
          <cell r="AS128">
            <v>5014</v>
          </cell>
          <cell r="AT128">
            <v>3406</v>
          </cell>
          <cell r="AU128">
            <v>2473</v>
          </cell>
          <cell r="AV128" t="str">
            <v>other rental charges (insurance &amp; taxes)</v>
          </cell>
          <cell r="BA128">
            <v>-1.0499517719961968</v>
          </cell>
        </row>
        <row r="129">
          <cell r="C129">
            <v>2004</v>
          </cell>
          <cell r="D129">
            <v>12</v>
          </cell>
          <cell r="E129">
            <v>12</v>
          </cell>
          <cell r="F129">
            <v>1066.8820000000001</v>
          </cell>
          <cell r="G129">
            <v>1066.8820000000001</v>
          </cell>
          <cell r="H129">
            <v>0.129</v>
          </cell>
          <cell r="J129">
            <v>0.21030910634915587</v>
          </cell>
          <cell r="L129">
            <v>0.30033030831900809</v>
          </cell>
          <cell r="N129">
            <v>2.8150283566412036E-4</v>
          </cell>
          <cell r="P129">
            <v>2.8150283566412036E-4</v>
          </cell>
          <cell r="S129">
            <v>0.30033030831900809</v>
          </cell>
          <cell r="U129">
            <v>2.8150283566412036E-4</v>
          </cell>
          <cell r="W129">
            <v>2.8150283566412036E-4</v>
          </cell>
          <cell r="Y129">
            <v>1.0760815149260414</v>
          </cell>
          <cell r="AA129">
            <v>1.0760815149260414</v>
          </cell>
          <cell r="AC129">
            <v>602.5</v>
          </cell>
          <cell r="AE129">
            <v>2.343378995433798E-2</v>
          </cell>
          <cell r="AG129">
            <v>2334.4748858447488</v>
          </cell>
          <cell r="AH129" t="e">
            <v>#N/A</v>
          </cell>
          <cell r="AI129">
            <v>0</v>
          </cell>
          <cell r="AK129">
            <v>4.9847354077843661E-4</v>
          </cell>
          <cell r="AM129">
            <v>12.816121886567137</v>
          </cell>
          <cell r="AO129">
            <v>747.78841490794787</v>
          </cell>
          <cell r="AP129">
            <v>45527.505455962433</v>
          </cell>
          <cell r="AS129">
            <v>5206</v>
          </cell>
          <cell r="AT129">
            <v>3560</v>
          </cell>
          <cell r="AU129">
            <v>2511</v>
          </cell>
          <cell r="AV129" t="str">
            <v>contingent rent or percentage rent</v>
          </cell>
          <cell r="BA129">
            <v>-8.3079507329975346</v>
          </cell>
        </row>
        <row r="130">
          <cell r="B130" t="str">
            <v>CHS</v>
          </cell>
          <cell r="C130" t="str">
            <v>2005  (ex. direct)</v>
          </cell>
          <cell r="D130">
            <v>13</v>
          </cell>
          <cell r="E130">
            <v>13</v>
          </cell>
          <cell r="F130">
            <v>1368.4259999999999</v>
          </cell>
          <cell r="G130">
            <v>1404.575</v>
          </cell>
          <cell r="H130">
            <v>0.14300000000000002</v>
          </cell>
          <cell r="J130">
            <v>0.21238737696456225</v>
          </cell>
          <cell r="L130">
            <v>0.30089457665130021</v>
          </cell>
          <cell r="N130">
            <v>2.1988370335794571E-4</v>
          </cell>
          <cell r="P130">
            <v>2.1422464208127029E-4</v>
          </cell>
          <cell r="R130" t="str">
            <v>0%</v>
          </cell>
          <cell r="S130">
            <v>0.30089457665130021</v>
          </cell>
          <cell r="U130">
            <v>2.1988370335794571E-4</v>
          </cell>
          <cell r="W130">
            <v>2.1422464208127029E-4</v>
          </cell>
          <cell r="Y130">
            <v>0.61619132306174651</v>
          </cell>
          <cell r="AA130">
            <v>0.67278193582850065</v>
          </cell>
          <cell r="AC130">
            <v>710</v>
          </cell>
          <cell r="AE130">
            <v>4.5640839947831857E-2</v>
          </cell>
          <cell r="AG130">
            <v>2441.0222804718219</v>
          </cell>
          <cell r="AH130" t="e">
            <v>#N/A</v>
          </cell>
          <cell r="AI130" t="e">
            <v>#N/A</v>
          </cell>
          <cell r="AK130">
            <v>4.2379517838211299E-4</v>
          </cell>
          <cell r="AM130">
            <v>6.5926608054371281</v>
          </cell>
          <cell r="AO130">
            <v>805.84527051895486</v>
          </cell>
          <cell r="AP130">
            <v>30774.52127536324</v>
          </cell>
          <cell r="AQ130" t="str">
            <v>Sales exclude CHS direct sales ($71mm in 2008).</v>
          </cell>
          <cell r="AY130">
            <v>36.149000000000001</v>
          </cell>
          <cell r="BA130">
            <v>0.9476508083739561</v>
          </cell>
          <cell r="BB130">
            <v>0.22002694207453977</v>
          </cell>
        </row>
        <row r="131">
          <cell r="A131" t="str">
            <v>CHS2006</v>
          </cell>
          <cell r="B131" t="str">
            <v>CHS</v>
          </cell>
          <cell r="C131" t="str">
            <v>2006 (ex. direct)</v>
          </cell>
          <cell r="D131">
            <v>14</v>
          </cell>
          <cell r="E131">
            <v>14</v>
          </cell>
          <cell r="F131">
            <v>1587.97</v>
          </cell>
          <cell r="G131">
            <v>1640.9270000000001</v>
          </cell>
          <cell r="H131">
            <v>2.1000000000000001E-2</v>
          </cell>
          <cell r="J131">
            <v>0.16070184718759586</v>
          </cell>
          <cell r="L131">
            <v>0.35966560364964434</v>
          </cell>
          <cell r="N131">
            <v>2.2649395369537482E-4</v>
          </cell>
          <cell r="P131">
            <v>2.1918440226143169E-4</v>
          </cell>
          <cell r="S131">
            <v>0.35966560364964434</v>
          </cell>
          <cell r="U131">
            <v>2.2649395369537482E-4</v>
          </cell>
          <cell r="W131">
            <v>2.1918440226143169E-4</v>
          </cell>
          <cell r="Y131">
            <v>-6.6102503374291105E-2</v>
          </cell>
          <cell r="AA131">
            <v>-4.9597601801614044E-2</v>
          </cell>
          <cell r="AC131">
            <v>841.5</v>
          </cell>
          <cell r="AE131">
            <v>8.7614531660344275E-2</v>
          </cell>
          <cell r="AG131">
            <v>2654.891304347826</v>
          </cell>
          <cell r="AH131" t="e">
            <v>#N/A</v>
          </cell>
          <cell r="AI131">
            <v>0.52110871532719394</v>
          </cell>
          <cell r="AK131">
            <v>4.2741010534717096E-4</v>
          </cell>
          <cell r="AM131">
            <v>4.1050907518853368</v>
          </cell>
          <cell r="AO131">
            <v>737.7328687572591</v>
          </cell>
          <cell r="AP131">
            <v>18728.936500641135</v>
          </cell>
          <cell r="AR131" t="str">
            <v>DE-LVG</v>
          </cell>
          <cell r="AY131">
            <v>52.957000000000008</v>
          </cell>
          <cell r="BA131">
            <v>0.91965204322464178</v>
          </cell>
          <cell r="BB131">
            <v>0.26757453073242554</v>
          </cell>
        </row>
        <row r="132">
          <cell r="A132" t="str">
            <v>CHS2007</v>
          </cell>
          <cell r="B132" t="str">
            <v>CHS</v>
          </cell>
          <cell r="C132" t="str">
            <v>2007 (ex. direct)</v>
          </cell>
          <cell r="D132">
            <v>15</v>
          </cell>
          <cell r="E132">
            <v>15</v>
          </cell>
          <cell r="F132">
            <v>1642.2329999999999</v>
          </cell>
          <cell r="G132">
            <v>1714.327</v>
          </cell>
          <cell r="H132">
            <v>-8.1000000000000003E-2</v>
          </cell>
          <cell r="J132">
            <v>7.0848793724884382E-2</v>
          </cell>
          <cell r="L132">
            <v>0.41252573167196227</v>
          </cell>
          <cell r="N132">
            <v>2.5119805269530103E-4</v>
          </cell>
          <cell r="P132">
            <v>2.4063421486796992E-4</v>
          </cell>
          <cell r="R132">
            <v>0</v>
          </cell>
          <cell r="S132">
            <v>0.41252573167196227</v>
          </cell>
          <cell r="U132">
            <v>2.5119805269530103E-4</v>
          </cell>
          <cell r="W132">
            <v>2.4063421486796992E-4</v>
          </cell>
          <cell r="Y132">
            <v>-0.24704098999926216</v>
          </cell>
          <cell r="AA132">
            <v>-0.21449812606538229</v>
          </cell>
          <cell r="AC132">
            <v>979</v>
          </cell>
          <cell r="AE132">
            <v>8.9529308981329825E-2</v>
          </cell>
          <cell r="AG132">
            <v>2892.5818882466283</v>
          </cell>
          <cell r="AH132" t="e">
            <v>#N/A</v>
          </cell>
          <cell r="AI132">
            <v>0.43492320044160998</v>
          </cell>
          <cell r="AK132">
            <v>4.2137459823489507E-4</v>
          </cell>
          <cell r="AM132">
            <v>4.6077171416344695</v>
          </cell>
          <cell r="AO132">
            <v>603.20771349862252</v>
          </cell>
          <cell r="AP132">
            <v>19148.221063087851</v>
          </cell>
          <cell r="AR132">
            <v>-0.33306943340191802</v>
          </cell>
          <cell r="AT132">
            <v>-6.6102503374291105E-2</v>
          </cell>
          <cell r="AY132">
            <v>72.094000000000008</v>
          </cell>
          <cell r="BA132">
            <v>2.185456321798962E-2</v>
          </cell>
          <cell r="BB132">
            <v>0.26480836236933802</v>
          </cell>
        </row>
        <row r="133">
          <cell r="A133" t="str">
            <v>CHS2008</v>
          </cell>
          <cell r="B133" t="str">
            <v>CHS</v>
          </cell>
          <cell r="C133">
            <v>2008</v>
          </cell>
          <cell r="D133">
            <v>16</v>
          </cell>
          <cell r="E133">
            <v>16</v>
          </cell>
          <cell r="F133">
            <v>1511.8130000000001</v>
          </cell>
          <cell r="G133">
            <v>1582.404</v>
          </cell>
          <cell r="H133">
            <v>-0.151</v>
          </cell>
          <cell r="J133">
            <v>-1.0066329458216793E-2</v>
          </cell>
          <cell r="L133">
            <v>0.4301183515714066</v>
          </cell>
          <cell r="N133">
            <v>2.8450499603549284E-4</v>
          </cell>
          <cell r="P133">
            <v>2.7181323579276003E-4</v>
          </cell>
          <cell r="R133">
            <v>0</v>
          </cell>
          <cell r="S133">
            <v>0.4301183515714066</v>
          </cell>
          <cell r="U133">
            <v>2.8450499603549284E-4</v>
          </cell>
          <cell r="W133">
            <v>2.7181323579276003E-4</v>
          </cell>
          <cell r="Y133">
            <v>-0.33306943340191802</v>
          </cell>
          <cell r="AA133">
            <v>-0.31179020924790107</v>
          </cell>
          <cell r="AC133">
            <v>1057</v>
          </cell>
          <cell r="AE133">
            <v>4.2474414908270086E-2</v>
          </cell>
          <cell r="AG133">
            <v>3015.4426115241631</v>
          </cell>
          <cell r="AH133" t="e">
            <v>#N/A</v>
          </cell>
          <cell r="AI133">
            <v>0.48593140201773805</v>
          </cell>
          <cell r="AK133">
            <v>4.069237006352002E-4</v>
          </cell>
          <cell r="AM133">
            <v>10.126527993388777</v>
          </cell>
          <cell r="AO133">
            <v>484.00347920530538</v>
          </cell>
          <cell r="AP133">
            <v>37255.463163352346</v>
          </cell>
          <cell r="AQ133" t="str">
            <v>CHS reports CAM charges and RE taxes within its rent expense.  No adjustment needed.  Store sales exclude internet ($241M(e) in '12, $186M(e) in '11).  Comparable Store Sales estimate indicated (excl. internet sales growth).</v>
          </cell>
          <cell r="AR133">
            <v>-997.88382249192</v>
          </cell>
          <cell r="AS133">
            <v>7.9673135852911026E-2</v>
          </cell>
          <cell r="AU133">
            <v>-998.21689192532187</v>
          </cell>
          <cell r="AY133">
            <v>70.591000000000008</v>
          </cell>
          <cell r="BA133">
            <v>-0.52558089198334401</v>
          </cell>
          <cell r="BB133">
            <v>0.14731244260789689</v>
          </cell>
        </row>
        <row r="134">
          <cell r="A134" t="str">
            <v>CHS2009</v>
          </cell>
          <cell r="B134" t="str">
            <v>CHS</v>
          </cell>
          <cell r="C134">
            <v>2009</v>
          </cell>
          <cell r="D134">
            <v>17</v>
          </cell>
          <cell r="E134">
            <v>17</v>
          </cell>
          <cell r="F134">
            <v>1614.8230000000001</v>
          </cell>
          <cell r="G134">
            <v>1713.1510000000001</v>
          </cell>
          <cell r="H134">
            <v>6.0999999999999999E-2</v>
          </cell>
          <cell r="J134">
            <v>7.1902009805323686E-2</v>
          </cell>
          <cell r="L134">
            <v>161.6</v>
          </cell>
          <cell r="N134">
            <v>0.10007288724522749</v>
          </cell>
          <cell r="P134">
            <v>9.4329104673201603E-2</v>
          </cell>
          <cell r="R134">
            <v>0</v>
          </cell>
          <cell r="S134">
            <v>161.6</v>
          </cell>
          <cell r="U134">
            <v>0.10007288724522749</v>
          </cell>
          <cell r="W134">
            <v>9.4329104673201603E-2</v>
          </cell>
          <cell r="Y134">
            <v>-997.88382249192</v>
          </cell>
          <cell r="AA134">
            <v>-940.57291437408844</v>
          </cell>
          <cell r="AC134">
            <v>1078</v>
          </cell>
          <cell r="AE134">
            <v>5.2421453538613605E-3</v>
          </cell>
          <cell r="AG134">
            <v>3031.25</v>
          </cell>
          <cell r="AH134" t="e">
            <v>#N/A</v>
          </cell>
          <cell r="AI134">
            <v>0</v>
          </cell>
          <cell r="AK134">
            <v>0.14990723562152133</v>
          </cell>
          <cell r="AM134">
            <v>30827.07347688586</v>
          </cell>
          <cell r="AO134">
            <v>495.46863065572603</v>
          </cell>
          <cell r="AP134">
            <v>326803.41431930999</v>
          </cell>
          <cell r="AR134">
            <v>27.079025904109962</v>
          </cell>
          <cell r="AS134">
            <v>1.9867549668874274E-2</v>
          </cell>
          <cell r="AU134">
            <v>-970.80479658781007</v>
          </cell>
          <cell r="AY134">
            <v>98.328000000000003</v>
          </cell>
          <cell r="BA134">
            <v>-0.8765811049973834</v>
          </cell>
          <cell r="BB134">
            <v>4.3420034003689434E-2</v>
          </cell>
          <cell r="BC134">
            <v>-0.92000113900107283</v>
          </cell>
        </row>
        <row r="135">
          <cell r="A135" t="str">
            <v>CHS2010</v>
          </cell>
          <cell r="B135" t="str">
            <v>CHS</v>
          </cell>
          <cell r="C135">
            <v>2010</v>
          </cell>
          <cell r="D135">
            <v>18</v>
          </cell>
          <cell r="E135">
            <v>18</v>
          </cell>
          <cell r="F135">
            <v>1767.5758960999999</v>
          </cell>
          <cell r="G135">
            <v>1904.9839999999999</v>
          </cell>
          <cell r="H135">
            <v>6.6000000000000003E-2</v>
          </cell>
          <cell r="J135">
            <v>9.3522045329514469E-2</v>
          </cell>
          <cell r="L135">
            <v>172.1</v>
          </cell>
          <cell r="N135">
            <v>9.7364984654816494E-2</v>
          </cell>
          <cell r="P135">
            <v>9.034196612674962E-2</v>
          </cell>
          <cell r="R135">
            <v>0</v>
          </cell>
          <cell r="S135">
            <v>172.1</v>
          </cell>
          <cell r="U135">
            <v>9.7364984654816494E-2</v>
          </cell>
          <cell r="W135">
            <v>9.034196612674962E-2</v>
          </cell>
          <cell r="Y135">
            <v>27.079025904109962</v>
          </cell>
          <cell r="AA135">
            <v>39.871385464519818</v>
          </cell>
          <cell r="AC135">
            <v>1115.5</v>
          </cell>
          <cell r="AE135">
            <v>-2.2399168808835412E-3</v>
          </cell>
          <cell r="AG135">
            <v>3024.4602519548216</v>
          </cell>
          <cell r="AH135" t="e">
            <v>#N/A</v>
          </cell>
          <cell r="AI135">
            <v>0</v>
          </cell>
          <cell r="AK135">
            <v>0.15428059166293143</v>
          </cell>
          <cell r="AM135">
            <v>-76833.208173383056</v>
          </cell>
          <cell r="AO135">
            <v>523.3459902667006</v>
          </cell>
          <cell r="AP135">
            <v>-850470.8439219289</v>
          </cell>
          <cell r="AR135">
            <v>37.754877760230734</v>
          </cell>
          <cell r="AS135">
            <v>3.4786641929499096E-2</v>
          </cell>
          <cell r="AY135">
            <v>137.40810390000001</v>
          </cell>
          <cell r="AZ135">
            <v>0</v>
          </cell>
          <cell r="BA135">
            <v>-1.4272901130514475</v>
          </cell>
          <cell r="BB135">
            <v>3.6287850502417118E-2</v>
          </cell>
          <cell r="BC135">
            <v>-1.4635779635538646</v>
          </cell>
        </row>
        <row r="136">
          <cell r="A136" t="str">
            <v>CHS2011</v>
          </cell>
          <cell r="B136" t="str">
            <v>CHS</v>
          </cell>
          <cell r="C136">
            <v>2011</v>
          </cell>
          <cell r="D136">
            <v>19</v>
          </cell>
          <cell r="E136">
            <v>19</v>
          </cell>
          <cell r="F136">
            <v>1971.3750597350001</v>
          </cell>
          <cell r="G136">
            <v>2196.36</v>
          </cell>
          <cell r="H136">
            <v>5.4762866757291556E-2</v>
          </cell>
          <cell r="J136">
            <v>0.10358456719299215</v>
          </cell>
          <cell r="L136">
            <v>184.5</v>
          </cell>
          <cell r="N136">
            <v>9.3589496878793421E-2</v>
          </cell>
          <cell r="P136">
            <v>8.4002622520898212E-2</v>
          </cell>
          <cell r="R136">
            <v>0</v>
          </cell>
          <cell r="S136">
            <v>184.5</v>
          </cell>
          <cell r="U136">
            <v>9.3589496878793421E-2</v>
          </cell>
          <cell r="W136">
            <v>8.4002622520898212E-2</v>
          </cell>
          <cell r="Y136">
            <v>37.754877760230734</v>
          </cell>
          <cell r="AA136">
            <v>63.393436058514077</v>
          </cell>
          <cell r="AC136">
            <v>1203.5</v>
          </cell>
          <cell r="AE136">
            <v>-4.1427290911320025E-3</v>
          </cell>
          <cell r="AG136">
            <v>3011.9307324840761</v>
          </cell>
          <cell r="AH136" t="e">
            <v>#N/A</v>
          </cell>
          <cell r="AI136">
            <v>0</v>
          </cell>
          <cell r="AK136">
            <v>0.15330286663896966</v>
          </cell>
          <cell r="AM136">
            <v>-44535.859319148789</v>
          </cell>
          <cell r="AO136">
            <v>593.84218122210302</v>
          </cell>
          <cell r="AP136">
            <v>-530172.24918268644</v>
          </cell>
          <cell r="AR136">
            <v>6.333935132962071</v>
          </cell>
          <cell r="AS136">
            <v>7.8888390856118429E-2</v>
          </cell>
          <cell r="AY136">
            <v>185.50094026500003</v>
          </cell>
          <cell r="AZ136">
            <v>39.484000000000002</v>
          </cell>
          <cell r="BA136">
            <v>0.84950125894756057</v>
          </cell>
          <cell r="BB136">
            <v>7.5387454632495521E-2</v>
          </cell>
          <cell r="BC136">
            <v>0.77411380431506505</v>
          </cell>
        </row>
        <row r="137">
          <cell r="A137" t="str">
            <v>CHS2012</v>
          </cell>
          <cell r="B137" t="str">
            <v>CHS</v>
          </cell>
          <cell r="C137">
            <v>2012</v>
          </cell>
          <cell r="D137">
            <v>20</v>
          </cell>
          <cell r="E137">
            <v>20</v>
          </cell>
          <cell r="F137">
            <v>2216.0997776554996</v>
          </cell>
          <cell r="G137">
            <v>2581.0569999999998</v>
          </cell>
          <cell r="H137">
            <v>7.1889918811679734E-2</v>
          </cell>
          <cell r="J137">
            <v>0.11212155024920044</v>
          </cell>
          <cell r="L137">
            <v>206</v>
          </cell>
          <cell r="N137">
            <v>9.2956103365497214E-2</v>
          </cell>
          <cell r="P137">
            <v>7.9812262960484798E-2</v>
          </cell>
          <cell r="R137">
            <v>0</v>
          </cell>
          <cell r="S137">
            <v>206</v>
          </cell>
          <cell r="U137">
            <v>9.2956103365497214E-2</v>
          </cell>
          <cell r="W137">
            <v>7.9812262960484798E-2</v>
          </cell>
          <cell r="Y137">
            <v>6.333935132962071</v>
          </cell>
          <cell r="AA137">
            <v>41.903595604134146</v>
          </cell>
          <cell r="AC137">
            <v>1306.5</v>
          </cell>
          <cell r="AE137">
            <v>5.1716363003673216E-4</v>
          </cell>
          <cell r="AG137">
            <v>3013.4883935151065</v>
          </cell>
          <cell r="AH137" t="e">
            <v>#N/A</v>
          </cell>
          <cell r="AI137">
            <v>0</v>
          </cell>
          <cell r="AK137">
            <v>0.15767317259854574</v>
          </cell>
          <cell r="AM137">
            <v>398326.54122519906</v>
          </cell>
          <cell r="AO137">
            <v>624.2786762617161</v>
          </cell>
          <cell r="AP137">
            <v>4990793.7258014008</v>
          </cell>
          <cell r="AR137">
            <v>-127.60770501113558</v>
          </cell>
          <cell r="AY137">
            <v>241.15122234450004</v>
          </cell>
          <cell r="AZ137">
            <v>123.806</v>
          </cell>
          <cell r="BA137">
            <v>-1.1248364589284348</v>
          </cell>
          <cell r="BB137">
            <v>8.3719491178496641E-2</v>
          </cell>
          <cell r="BC137">
            <v>-1.2085559501069314</v>
          </cell>
        </row>
        <row r="138">
          <cell r="A138" t="str">
            <v>CHS2013</v>
          </cell>
          <cell r="B138" t="str">
            <v>CHS</v>
          </cell>
          <cell r="C138" t="str">
            <v>2013e</v>
          </cell>
          <cell r="D138">
            <v>21</v>
          </cell>
          <cell r="E138">
            <v>21</v>
          </cell>
          <cell r="F138">
            <v>2175.6224109521495</v>
          </cell>
          <cell r="G138">
            <v>2586.0369999999998</v>
          </cell>
          <cell r="H138">
            <v>2.4045743690091128E-2</v>
          </cell>
          <cell r="J138">
            <v>0.11227175359758408</v>
          </cell>
          <cell r="L138">
            <v>230</v>
          </cell>
          <cell r="N138">
            <v>0.10571687386661077</v>
          </cell>
          <cell r="P138">
            <v>8.8939176044271609E-2</v>
          </cell>
          <cell r="R138">
            <v>0</v>
          </cell>
          <cell r="S138">
            <v>230</v>
          </cell>
          <cell r="U138">
            <v>0.10571687386661077</v>
          </cell>
          <cell r="W138">
            <v>8.8939176044271609E-2</v>
          </cell>
          <cell r="Y138">
            <v>-127.60770501113558</v>
          </cell>
          <cell r="AA138">
            <v>-91.269130837868119</v>
          </cell>
          <cell r="AC138">
            <v>1414.5</v>
          </cell>
          <cell r="AE138">
            <v>-2.6855614305135056E-2</v>
          </cell>
          <cell r="AG138">
            <v>2932.5593115058637</v>
          </cell>
          <cell r="AH138" t="e">
            <v>#N/A</v>
          </cell>
          <cell r="AI138">
            <v>0</v>
          </cell>
          <cell r="AK138">
            <v>0.16260162601626016</v>
          </cell>
          <cell r="AM138">
            <v>-8564.317218244445</v>
          </cell>
          <cell r="AO138">
            <v>606.00806495073687</v>
          </cell>
          <cell r="AP138">
            <v>-96294.092200509607</v>
          </cell>
          <cell r="AY138">
            <v>313.49658904785008</v>
          </cell>
          <cell r="AZ138">
            <v>96.918000000000006</v>
          </cell>
          <cell r="BA138">
            <v>-52.928659993409831</v>
          </cell>
          <cell r="BB138">
            <v>8.263035321208223E-2</v>
          </cell>
          <cell r="BC138">
            <v>-53.011290346621912</v>
          </cell>
        </row>
        <row r="139">
          <cell r="C139" t="str">
            <v>2005 = Trough rent</v>
          </cell>
          <cell r="F139">
            <v>1368.4259999999999</v>
          </cell>
          <cell r="G139">
            <v>1404.575</v>
          </cell>
          <cell r="H139">
            <v>0.14300000000000002</v>
          </cell>
          <cell r="J139">
            <v>0.21238737696456225</v>
          </cell>
          <cell r="L139">
            <v>0.30089457665130021</v>
          </cell>
          <cell r="N139">
            <v>2.1988370335794571E-4</v>
          </cell>
          <cell r="P139">
            <v>2.1422464208127029E-4</v>
          </cell>
          <cell r="S139">
            <v>0.30089457665130021</v>
          </cell>
          <cell r="U139">
            <v>2.1988370335794571E-4</v>
          </cell>
          <cell r="W139">
            <v>2.1422464208127029E-4</v>
          </cell>
          <cell r="Z139">
            <v>0</v>
          </cell>
          <cell r="AB139">
            <v>0</v>
          </cell>
          <cell r="AC139">
            <v>710</v>
          </cell>
          <cell r="AE139">
            <v>4.5640839947831857E-2</v>
          </cell>
          <cell r="AG139">
            <v>2441.0222804718219</v>
          </cell>
          <cell r="AH139" t="e">
            <v>#N/A</v>
          </cell>
          <cell r="AI139" t="e">
            <v>#N/A</v>
          </cell>
          <cell r="AK139">
            <v>4.2379517838211299E-4</v>
          </cell>
          <cell r="AM139">
            <v>6.5926608054371281</v>
          </cell>
          <cell r="AO139">
            <v>805.84527051895486</v>
          </cell>
          <cell r="AP139">
            <v>30774.52127536324</v>
          </cell>
          <cell r="AR139">
            <v>-0.14048536715923857</v>
          </cell>
          <cell r="AS139">
            <v>42204</v>
          </cell>
          <cell r="AT139">
            <v>30818</v>
          </cell>
          <cell r="AU139">
            <v>21185</v>
          </cell>
          <cell r="AV139" t="str">
            <v>total rent expense</v>
          </cell>
        </row>
        <row r="142">
          <cell r="AS142" t="str">
            <v>occupancy's role in determining potential operating margin</v>
          </cell>
        </row>
        <row r="143">
          <cell r="L143" t="str">
            <v>Rent Expense</v>
          </cell>
          <cell r="Y143" t="str">
            <v>Rent</v>
          </cell>
          <cell r="AA143" t="str">
            <v>Rent</v>
          </cell>
          <cell r="AC143" t="str">
            <v>Average</v>
          </cell>
          <cell r="AL143" t="str">
            <v>Adjusted Rent</v>
          </cell>
          <cell r="AO143" t="str">
            <v>Sales</v>
          </cell>
          <cell r="AP143" t="str">
            <v>Total Sales</v>
          </cell>
          <cell r="AQ143" t="str">
            <v>Key CAM adj.</v>
          </cell>
          <cell r="AR143" t="str">
            <v>Bps</v>
          </cell>
        </row>
        <row r="144">
          <cell r="F144" t="str">
            <v>Store Sales</v>
          </cell>
          <cell r="G144" t="str">
            <v>Total Sales</v>
          </cell>
          <cell r="H144" t="str">
            <v>Comp.</v>
          </cell>
          <cell r="J144" t="str">
            <v>Operating</v>
          </cell>
          <cell r="L144" t="str">
            <v>per 10-K</v>
          </cell>
          <cell r="U144" t="str">
            <v>% Store</v>
          </cell>
          <cell r="W144" t="str">
            <v>% Total</v>
          </cell>
          <cell r="Y144" t="str">
            <v>Levg. or</v>
          </cell>
          <cell r="AA144" t="str">
            <v>Levg. or</v>
          </cell>
          <cell r="AC144" t="str">
            <v>Store</v>
          </cell>
          <cell r="AE144" t="str">
            <v>Sq. Ft.</v>
          </cell>
          <cell r="AG144" t="str">
            <v>Sq. Ft. /</v>
          </cell>
          <cell r="AH144" t="str">
            <v>New Sq. Ft.</v>
          </cell>
          <cell r="AI144" t="str">
            <v>Adj. New SF</v>
          </cell>
          <cell r="AK144" t="str">
            <v>per Avg</v>
          </cell>
          <cell r="AM144" t="str">
            <v>per Avg</v>
          </cell>
          <cell r="AO144" t="str">
            <v>per Avg</v>
          </cell>
          <cell r="AP144" t="str">
            <v>per Avg</v>
          </cell>
          <cell r="AQ144" t="str">
            <v>Assumptions &amp;</v>
          </cell>
          <cell r="AR144" t="str">
            <v>Lvg</v>
          </cell>
        </row>
        <row r="145">
          <cell r="F145" t="str">
            <v>($ MM)</v>
          </cell>
          <cell r="G145" t="str">
            <v>($ MM)</v>
          </cell>
          <cell r="H145" t="str">
            <v>Sales %</v>
          </cell>
          <cell r="J145" t="str">
            <v>Margin</v>
          </cell>
          <cell r="L145" t="str">
            <v>$ MM</v>
          </cell>
          <cell r="N145" t="str">
            <v>% Sales</v>
          </cell>
          <cell r="P145" t="str">
            <v>% Sales</v>
          </cell>
          <cell r="R145" t="str">
            <v>Adj.</v>
          </cell>
          <cell r="S145" t="str">
            <v>$ MM</v>
          </cell>
          <cell r="U145" t="str">
            <v>Sales</v>
          </cell>
          <cell r="W145" t="str">
            <v>Sales</v>
          </cell>
          <cell r="Y145" t="str">
            <v>(Delevg)</v>
          </cell>
          <cell r="AA145" t="str">
            <v>(De-levg)</v>
          </cell>
          <cell r="AC145" t="str">
            <v>Count</v>
          </cell>
          <cell r="AE145" t="str">
            <v>(MM)</v>
          </cell>
          <cell r="AG145" t="str">
            <v>Store</v>
          </cell>
          <cell r="AH145" t="str">
            <v>Productivity</v>
          </cell>
          <cell r="AI145" t="str">
            <v>Productivity</v>
          </cell>
          <cell r="AK145" t="str">
            <v>Store</v>
          </cell>
          <cell r="AM145" t="str">
            <v>Sq. Ft.</v>
          </cell>
          <cell r="AO145" t="str">
            <v>Sq. Ft.</v>
          </cell>
          <cell r="AP145" t="str">
            <v>Sq. Ft.</v>
          </cell>
          <cell r="AQ145" t="str">
            <v>Other</v>
          </cell>
          <cell r="AR145" t="str">
            <v>(De-Lvg)</v>
          </cell>
          <cell r="AS145" t="str">
            <v>Notes on Rent:</v>
          </cell>
        </row>
        <row r="147">
          <cell r="A147" t="str">
            <v>EXPR2008</v>
          </cell>
          <cell r="B147" t="str">
            <v>EXPR</v>
          </cell>
          <cell r="C147">
            <v>2008</v>
          </cell>
          <cell r="D147">
            <v>5</v>
          </cell>
          <cell r="E147">
            <v>6</v>
          </cell>
          <cell r="F147">
            <v>1704.376</v>
          </cell>
          <cell r="G147">
            <v>1737.01</v>
          </cell>
          <cell r="H147">
            <v>-0.03</v>
          </cell>
          <cell r="J147">
            <v>2.2532973327729464E-3</v>
          </cell>
          <cell r="L147">
            <v>149.24799999999999</v>
          </cell>
          <cell r="N147">
            <v>8.7567532046919222E-2</v>
          </cell>
          <cell r="P147">
            <v>8.5922360838452283E-2</v>
          </cell>
          <cell r="R147">
            <v>0.5</v>
          </cell>
          <cell r="S147">
            <v>223.87199999999999</v>
          </cell>
          <cell r="U147">
            <v>0.13135129807037882</v>
          </cell>
          <cell r="W147">
            <v>0.12888354125767842</v>
          </cell>
          <cell r="AC147">
            <v>584</v>
          </cell>
          <cell r="AE147">
            <v>5.0869999999999997</v>
          </cell>
          <cell r="AG147">
            <v>8660.9294320137706</v>
          </cell>
          <cell r="AH147" t="e">
            <v>#N/A</v>
          </cell>
          <cell r="AI147">
            <v>0</v>
          </cell>
          <cell r="AK147">
            <v>0.38334246575342462</v>
          </cell>
          <cell r="AM147">
            <v>44.008649498722235</v>
          </cell>
          <cell r="AO147">
            <v>335.04540986829176</v>
          </cell>
          <cell r="AP147">
            <v>341.46058580695893</v>
          </cell>
          <cell r="AQ147" t="str">
            <v>Store sales exclude Internet and Other ($295M in '12, $227M in '11).  We estimate leverage at 2-3% comp.  Comparable Store Sales estimate indicated (excludes internet sales growth).</v>
          </cell>
          <cell r="AR147">
            <v>-88.671300046062328</v>
          </cell>
          <cell r="AU147">
            <v>-88.671300046062328</v>
          </cell>
          <cell r="AY147">
            <v>27.795000000000002</v>
          </cell>
          <cell r="AZ147">
            <v>4.8390000000000004</v>
          </cell>
          <cell r="BB147">
            <v>-6.8229691363678069E-2</v>
          </cell>
        </row>
        <row r="148">
          <cell r="A148" t="str">
            <v>EXPR2009</v>
          </cell>
          <cell r="B148" t="str">
            <v>EXPR</v>
          </cell>
          <cell r="C148">
            <v>2009</v>
          </cell>
          <cell r="D148">
            <v>6</v>
          </cell>
          <cell r="E148">
            <v>7</v>
          </cell>
          <cell r="F148">
            <v>1616.6420000000003</v>
          </cell>
          <cell r="G148">
            <v>1721.0660000000003</v>
          </cell>
          <cell r="H148">
            <v>-0.06</v>
          </cell>
          <cell r="J148">
            <v>7.3696767003706018E-2</v>
          </cell>
          <cell r="L148">
            <v>151.12200000000001</v>
          </cell>
          <cell r="N148">
            <v>9.347895204999003E-2</v>
          </cell>
          <cell r="P148">
            <v>8.7807207858385444E-2</v>
          </cell>
          <cell r="R148">
            <v>0.5</v>
          </cell>
          <cell r="S148">
            <v>226.68300000000002</v>
          </cell>
          <cell r="U148">
            <v>0.14021842807498505</v>
          </cell>
          <cell r="W148">
            <v>0.13171081178757815</v>
          </cell>
          <cell r="Y148">
            <v>-88.671300046062328</v>
          </cell>
          <cell r="AA148">
            <v>-28.27270529899728</v>
          </cell>
          <cell r="AC148">
            <v>577</v>
          </cell>
          <cell r="AE148">
            <v>5.0132534999999994</v>
          </cell>
          <cell r="AG148">
            <v>8716.4171029668414</v>
          </cell>
          <cell r="AH148" t="e">
            <v>#N/A</v>
          </cell>
          <cell r="AI148">
            <v>0</v>
          </cell>
          <cell r="AK148">
            <v>0.39286481802426348</v>
          </cell>
          <cell r="AM148">
            <v>45.216743976740865</v>
          </cell>
          <cell r="AO148">
            <v>322.4736191776459</v>
          </cell>
          <cell r="AP148">
            <v>343.30320619134869</v>
          </cell>
          <cell r="AR148">
            <v>-43.415306569644926</v>
          </cell>
          <cell r="AS148">
            <v>-1.1986301369863006E-2</v>
          </cell>
          <cell r="AU148">
            <v>-132.08660661570724</v>
          </cell>
          <cell r="AY148">
            <v>92.224000000000004</v>
          </cell>
          <cell r="AZ148">
            <v>12.2</v>
          </cell>
          <cell r="BA148">
            <v>-1.4497051307253872E-2</v>
          </cell>
          <cell r="BB148">
            <v>-1.4497051307253872E-2</v>
          </cell>
          <cell r="BC148">
            <v>0</v>
          </cell>
        </row>
        <row r="149">
          <cell r="A149" t="str">
            <v>EXPR2010</v>
          </cell>
          <cell r="B149" t="str">
            <v>EXPR</v>
          </cell>
          <cell r="C149">
            <v>2010</v>
          </cell>
          <cell r="D149">
            <v>7</v>
          </cell>
          <cell r="E149">
            <v>8</v>
          </cell>
          <cell r="F149">
            <v>1740.8140000000001</v>
          </cell>
          <cell r="G149">
            <v>1905.8140000000001</v>
          </cell>
          <cell r="H149">
            <v>7.0000000000000007E-2</v>
          </cell>
          <cell r="J149">
            <v>0.11318733097773451</v>
          </cell>
          <cell r="L149">
            <v>163.65200000000002</v>
          </cell>
          <cell r="N149">
            <v>9.4008894689495845E-2</v>
          </cell>
          <cell r="P149">
            <v>8.5869869777428443E-2</v>
          </cell>
          <cell r="R149">
            <v>0.5377263950333635</v>
          </cell>
          <cell r="S149">
            <v>251.65200000000002</v>
          </cell>
          <cell r="U149">
            <v>0.14455995873194954</v>
          </cell>
          <cell r="W149">
            <v>0.13204436529482941</v>
          </cell>
          <cell r="Y149">
            <v>-43.415306569644926</v>
          </cell>
          <cell r="AA149">
            <v>-3.3355350725125521</v>
          </cell>
          <cell r="AC149">
            <v>582</v>
          </cell>
          <cell r="AE149">
            <v>5.0612534999999994</v>
          </cell>
          <cell r="AG149">
            <v>8676.8189509306267</v>
          </cell>
          <cell r="AH149" t="e">
            <v>#N/A</v>
          </cell>
          <cell r="AI149">
            <v>0</v>
          </cell>
          <cell r="AK149">
            <v>0.4323917525773196</v>
          </cell>
          <cell r="AM149">
            <v>49.721279520972431</v>
          </cell>
          <cell r="AO149">
            <v>343.94918175902478</v>
          </cell>
          <cell r="AP149">
            <v>376.54980134861853</v>
          </cell>
          <cell r="AR149">
            <v>12.849196407395958</v>
          </cell>
          <cell r="AS149">
            <v>8.6655112651645716E-3</v>
          </cell>
          <cell r="AY149">
            <v>147.5</v>
          </cell>
          <cell r="AZ149">
            <v>17.5</v>
          </cell>
          <cell r="BA149">
            <v>9.5746205532993844E-3</v>
          </cell>
          <cell r="BB149">
            <v>9.5746205532993844E-3</v>
          </cell>
          <cell r="BC149">
            <v>0</v>
          </cell>
        </row>
        <row r="150">
          <cell r="A150" t="str">
            <v>EXPR2011</v>
          </cell>
          <cell r="B150" t="str">
            <v>EXPR</v>
          </cell>
          <cell r="C150">
            <v>2011</v>
          </cell>
          <cell r="D150">
            <v>8</v>
          </cell>
          <cell r="E150">
            <v>9</v>
          </cell>
          <cell r="F150">
            <v>1846.3230000000001</v>
          </cell>
          <cell r="G150">
            <v>2073.355</v>
          </cell>
          <cell r="H150">
            <v>3.4999999999999996E-2</v>
          </cell>
          <cell r="J150">
            <v>0.13116760033858166</v>
          </cell>
          <cell r="L150">
            <v>171.43200000000002</v>
          </cell>
          <cell r="N150">
            <v>9.2850492573617951E-2</v>
          </cell>
          <cell r="P150">
            <v>8.2683380318372884E-2</v>
          </cell>
          <cell r="R150">
            <v>0.54307247188389574</v>
          </cell>
          <cell r="S150">
            <v>264.53200000000004</v>
          </cell>
          <cell r="U150">
            <v>0.14327503909120995</v>
          </cell>
          <cell r="W150">
            <v>0.12758644805158789</v>
          </cell>
          <cell r="Y150">
            <v>12.849196407395958</v>
          </cell>
          <cell r="AA150">
            <v>44.579172432415163</v>
          </cell>
          <cell r="AC150">
            <v>600</v>
          </cell>
          <cell r="AE150">
            <v>5.1974999999999998</v>
          </cell>
          <cell r="AG150">
            <v>8648.6042692939245</v>
          </cell>
          <cell r="AH150" t="e">
            <v>#N/A</v>
          </cell>
          <cell r="AI150">
            <v>0</v>
          </cell>
          <cell r="AK150">
            <v>0.4408866666666667</v>
          </cell>
          <cell r="AM150">
            <v>50.896007696007707</v>
          </cell>
          <cell r="AO150">
            <v>355.23290043290046</v>
          </cell>
          <cell r="AP150">
            <v>398.91390091390093</v>
          </cell>
          <cell r="AR150">
            <v>-118.22919894172695</v>
          </cell>
          <cell r="AS150">
            <v>3.0927835051546282E-2</v>
          </cell>
          <cell r="AY150">
            <v>205.489</v>
          </cell>
          <cell r="AZ150">
            <v>21.542999999999999</v>
          </cell>
          <cell r="BA150">
            <v>2.6919517072203636E-2</v>
          </cell>
          <cell r="BB150">
            <v>2.6919517072203636E-2</v>
          </cell>
          <cell r="BC150">
            <v>0</v>
          </cell>
        </row>
        <row r="151">
          <cell r="A151" t="str">
            <v>EXPR2012</v>
          </cell>
          <cell r="B151" t="str">
            <v>EXPR</v>
          </cell>
          <cell r="C151">
            <v>2012</v>
          </cell>
          <cell r="D151">
            <v>9</v>
          </cell>
          <cell r="E151">
            <v>10</v>
          </cell>
          <cell r="F151">
            <v>1853.38996</v>
          </cell>
          <cell r="G151">
            <v>2148.069</v>
          </cell>
          <cell r="H151">
            <v>-3.5691284786031452E-2</v>
          </cell>
          <cell r="J151">
            <v>0.11711122873613471</v>
          </cell>
          <cell r="L151">
            <v>188.75700000000001</v>
          </cell>
          <cell r="N151">
            <v>0.10184419041527559</v>
          </cell>
          <cell r="P151">
            <v>8.7872875591985172E-2</v>
          </cell>
          <cell r="R151">
            <v>0.52289451517029817</v>
          </cell>
          <cell r="S151">
            <v>287.45699999999999</v>
          </cell>
          <cell r="U151">
            <v>0.15509795898538264</v>
          </cell>
          <cell r="W151">
            <v>0.13382112027127621</v>
          </cell>
          <cell r="Y151">
            <v>-118.22919894172695</v>
          </cell>
          <cell r="AA151">
            <v>-62.346722196883199</v>
          </cell>
          <cell r="AC151">
            <v>617</v>
          </cell>
          <cell r="AE151">
            <v>5.3366000000000007</v>
          </cell>
          <cell r="AG151">
            <v>8649.92</v>
          </cell>
          <cell r="AH151" t="e">
            <v>#N/A</v>
          </cell>
          <cell r="AI151">
            <v>0</v>
          </cell>
          <cell r="AK151">
            <v>0.46589465153970827</v>
          </cell>
          <cell r="AM151">
            <v>53.865195068020832</v>
          </cell>
          <cell r="AO151">
            <v>347.29789753775805</v>
          </cell>
          <cell r="AP151">
            <v>402.51639620732294</v>
          </cell>
          <cell r="AR151">
            <v>-217.36752031957073</v>
          </cell>
          <cell r="AS151">
            <v>2.8333333333333321E-2</v>
          </cell>
          <cell r="AY151">
            <v>271.38663999999994</v>
          </cell>
          <cell r="AZ151">
            <v>23.292400000000001</v>
          </cell>
          <cell r="BA151">
            <v>2.6762866762866988E-2</v>
          </cell>
        </row>
        <row r="152">
          <cell r="A152" t="str">
            <v>EXPR2013</v>
          </cell>
          <cell r="B152" t="str">
            <v>EXPR</v>
          </cell>
          <cell r="C152" t="str">
            <v>2013e</v>
          </cell>
          <cell r="D152">
            <v>10</v>
          </cell>
          <cell r="E152">
            <v>11</v>
          </cell>
          <cell r="F152">
            <v>1809.6134646735793</v>
          </cell>
          <cell r="G152">
            <v>2186.5955326735793</v>
          </cell>
          <cell r="H152">
            <v>-2.4816328423849843E-2</v>
          </cell>
          <cell r="J152">
            <v>0.10555055677883954</v>
          </cell>
          <cell r="L152">
            <v>210.81996863447199</v>
          </cell>
          <cell r="N152">
            <v>0.11650000000000001</v>
          </cell>
          <cell r="P152">
            <v>9.641470746841764E-2</v>
          </cell>
          <cell r="R152">
            <v>0.51789451517029816</v>
          </cell>
          <cell r="S152">
            <v>320.0024740786393</v>
          </cell>
          <cell r="U152">
            <v>0.17683471101733972</v>
          </cell>
          <cell r="W152">
            <v>0.1463473556480599</v>
          </cell>
          <cell r="Y152">
            <v>-217.36752031957073</v>
          </cell>
          <cell r="AA152">
            <v>-125.26235376783684</v>
          </cell>
          <cell r="AC152">
            <v>628.5</v>
          </cell>
          <cell r="AE152">
            <v>5.4376999999999995</v>
          </cell>
          <cell r="AG152">
            <v>8653.7974683544289</v>
          </cell>
          <cell r="AH152" t="e">
            <v>#N/A</v>
          </cell>
          <cell r="AI152">
            <v>2.1105301925004265</v>
          </cell>
          <cell r="AK152">
            <v>0.50915270338685648</v>
          </cell>
          <cell r="AM152">
            <v>58.848865159651936</v>
          </cell>
          <cell r="AO152">
            <v>332.79023570141408</v>
          </cell>
          <cell r="AP152">
            <v>402.11772121918818</v>
          </cell>
          <cell r="AY152">
            <v>353.68966799999998</v>
          </cell>
          <cell r="AZ152">
            <v>23.292400000000001</v>
          </cell>
          <cell r="BA152">
            <v>1.8944646404077226E-2</v>
          </cell>
        </row>
        <row r="153">
          <cell r="C153" t="str">
            <v>2008 = Trough rent</v>
          </cell>
          <cell r="F153">
            <v>1846.3230000000001</v>
          </cell>
          <cell r="G153">
            <v>2073.355</v>
          </cell>
          <cell r="H153">
            <v>3.4999999999999996E-2</v>
          </cell>
          <cell r="J153">
            <v>0.13116760033858166</v>
          </cell>
          <cell r="L153">
            <v>171.43200000000002</v>
          </cell>
          <cell r="N153">
            <v>9.2850492573617951E-2</v>
          </cell>
          <cell r="P153">
            <v>8.2683380318372884E-2</v>
          </cell>
          <cell r="S153">
            <v>264.53200000000004</v>
          </cell>
          <cell r="U153">
            <v>0.14327503909120995</v>
          </cell>
          <cell r="W153">
            <v>0.12758644805158789</v>
          </cell>
          <cell r="Z153">
            <v>0</v>
          </cell>
          <cell r="AB153">
            <v>0</v>
          </cell>
          <cell r="AC153">
            <v>600</v>
          </cell>
          <cell r="AE153">
            <v>5.1974999999999998</v>
          </cell>
          <cell r="AG153">
            <v>8648.6042692939245</v>
          </cell>
          <cell r="AH153" t="e">
            <v>#N/A</v>
          </cell>
          <cell r="AI153" t="e">
            <v>#N/A</v>
          </cell>
          <cell r="AK153">
            <v>0.4408866666666667</v>
          </cell>
          <cell r="AM153">
            <v>50.896007696007707</v>
          </cell>
          <cell r="AO153">
            <v>355.23290043290046</v>
          </cell>
          <cell r="AP153">
            <v>398.91390091390093</v>
          </cell>
          <cell r="AR153">
            <v>-5.747083333487564E-2</v>
          </cell>
          <cell r="AS153">
            <v>42204</v>
          </cell>
          <cell r="AT153">
            <v>30818</v>
          </cell>
          <cell r="AU153">
            <v>21185</v>
          </cell>
          <cell r="AV153" t="str">
            <v>total rent expense</v>
          </cell>
        </row>
        <row r="155">
          <cell r="A155" t="str">
            <v>GES2008</v>
          </cell>
          <cell r="B155" t="str">
            <v>GES</v>
          </cell>
          <cell r="C155" t="str">
            <v>2008 (Retail est.)</v>
          </cell>
          <cell r="D155">
            <v>1</v>
          </cell>
          <cell r="E155">
            <v>1</v>
          </cell>
          <cell r="F155">
            <v>1059.172</v>
          </cell>
          <cell r="H155">
            <v>0.01</v>
          </cell>
          <cell r="J155">
            <v>0.16769880433172976</v>
          </cell>
          <cell r="L155">
            <v>79.7</v>
          </cell>
          <cell r="N155">
            <v>7.5247457447893254E-2</v>
          </cell>
          <cell r="P155" t="e">
            <v>#DIV/0!</v>
          </cell>
          <cell r="R155">
            <v>0.46</v>
          </cell>
          <cell r="S155">
            <v>116.36199999999999</v>
          </cell>
          <cell r="U155">
            <v>0.10986128787392416</v>
          </cell>
          <cell r="AC155">
            <v>486</v>
          </cell>
          <cell r="AE155">
            <v>1.9570000000000001</v>
          </cell>
          <cell r="AG155">
            <v>4026.7489711934159</v>
          </cell>
          <cell r="AH155" t="str">
            <v>New Space Productivity</v>
          </cell>
          <cell r="AI155">
            <v>0.43492320044160998</v>
          </cell>
          <cell r="AK155">
            <v>0.23942798353909464</v>
          </cell>
          <cell r="AM155">
            <v>59.459376596831881</v>
          </cell>
          <cell r="AO155">
            <v>541.222278998467</v>
          </cell>
          <cell r="AQ155" t="str">
            <v>We estimated the Retail segments in North America, Europe and Asia for this analysis</v>
          </cell>
          <cell r="AR155">
            <v>-102.48126410714487</v>
          </cell>
          <cell r="AY155">
            <v>77</v>
          </cell>
          <cell r="BB155" t="str">
            <v xml:space="preserve">   % Chg. from LY (Avg. Sq. Ft.)</v>
          </cell>
        </row>
        <row r="156">
          <cell r="A156" t="str">
            <v>GES2009</v>
          </cell>
          <cell r="B156" t="str">
            <v>GES</v>
          </cell>
          <cell r="C156" t="str">
            <v>2009 (Retail est.)</v>
          </cell>
          <cell r="D156">
            <v>2</v>
          </cell>
          <cell r="E156">
            <v>2</v>
          </cell>
          <cell r="F156">
            <v>1097.0414000000001</v>
          </cell>
          <cell r="H156">
            <v>-4.4999999999999998E-2</v>
          </cell>
          <cell r="J156">
            <v>0.17060220835099074</v>
          </cell>
          <cell r="L156">
            <v>90.25</v>
          </cell>
          <cell r="N156">
            <v>8.22667221127662E-2</v>
          </cell>
          <cell r="P156" t="e">
            <v>#DIV/0!</v>
          </cell>
          <cell r="R156">
            <v>0.46</v>
          </cell>
          <cell r="S156">
            <v>131.76499999999999</v>
          </cell>
          <cell r="U156">
            <v>0.12010941428463864</v>
          </cell>
          <cell r="Y156">
            <v>-102.48126410714487</v>
          </cell>
          <cell r="AA156">
            <v>0</v>
          </cell>
          <cell r="AC156">
            <v>544</v>
          </cell>
          <cell r="AE156" t="e">
            <v>#REF!</v>
          </cell>
          <cell r="AG156" t="e">
            <v>#REF!</v>
          </cell>
          <cell r="AH156">
            <v>0</v>
          </cell>
          <cell r="AI156">
            <v>0.78798285070589347</v>
          </cell>
          <cell r="AK156">
            <v>0.24221507352941174</v>
          </cell>
          <cell r="AM156" t="e">
            <v>#REF!</v>
          </cell>
          <cell r="AO156" t="e">
            <v>#REF!</v>
          </cell>
          <cell r="AR156">
            <v>-62.844299757922329</v>
          </cell>
          <cell r="AS156">
            <v>0.11934156378600824</v>
          </cell>
          <cell r="AY156">
            <v>187</v>
          </cell>
          <cell r="BA156" t="e">
            <v>#REF!</v>
          </cell>
          <cell r="BB156">
            <v>0</v>
          </cell>
          <cell r="BC156" t="e">
            <v>#REF!</v>
          </cell>
        </row>
        <row r="157">
          <cell r="A157" t="str">
            <v>GES2010</v>
          </cell>
          <cell r="B157" t="str">
            <v>GES</v>
          </cell>
          <cell r="C157" t="str">
            <v>2010 (Retail est.)</v>
          </cell>
          <cell r="D157">
            <v>3</v>
          </cell>
          <cell r="E157">
            <v>3</v>
          </cell>
          <cell r="F157">
            <v>1257.9251856000001</v>
          </cell>
          <cell r="H157">
            <v>2.9362094153340568E-2</v>
          </cell>
          <cell r="J157">
            <v>0.16501949508180375</v>
          </cell>
          <cell r="L157">
            <v>108.9</v>
          </cell>
          <cell r="N157">
            <v>8.6571126205774576E-2</v>
          </cell>
          <cell r="P157" t="e">
            <v>#DIV/0!</v>
          </cell>
          <cell r="R157">
            <v>0.46</v>
          </cell>
          <cell r="S157">
            <v>158.994</v>
          </cell>
          <cell r="U157">
            <v>0.12639384426043088</v>
          </cell>
          <cell r="Y157">
            <v>-62.844299757922329</v>
          </cell>
          <cell r="AA157">
            <v>0</v>
          </cell>
          <cell r="AC157">
            <v>649</v>
          </cell>
          <cell r="AE157">
            <v>2.3588819485573187</v>
          </cell>
          <cell r="AG157">
            <v>3634.6409068679795</v>
          </cell>
          <cell r="AH157">
            <v>0.96214405267680603</v>
          </cell>
          <cell r="AI157">
            <v>0</v>
          </cell>
          <cell r="AK157">
            <v>0.24498305084745764</v>
          </cell>
          <cell r="AM157">
            <v>67.402270850069456</v>
          </cell>
          <cell r="AO157">
            <v>533.27178427447006</v>
          </cell>
          <cell r="AR157">
            <v>20.175879807164677</v>
          </cell>
          <cell r="AS157">
            <v>0.19301470588235303</v>
          </cell>
          <cell r="AY157">
            <v>246</v>
          </cell>
          <cell r="BA157" t="e">
            <v>#REF!</v>
          </cell>
          <cell r="BB157">
            <v>0.1793647733844359</v>
          </cell>
        </row>
        <row r="158">
          <cell r="A158" t="str">
            <v>GES2011</v>
          </cell>
          <cell r="B158" t="str">
            <v>GES</v>
          </cell>
          <cell r="C158" t="str">
            <v>2011e (Retail est.)</v>
          </cell>
          <cell r="D158">
            <v>4</v>
          </cell>
          <cell r="E158">
            <v>4</v>
          </cell>
          <cell r="F158">
            <v>1387.4478457788143</v>
          </cell>
          <cell r="H158">
            <v>5.2110137308240311E-3</v>
          </cell>
          <cell r="J158">
            <v>0.17670686903107405</v>
          </cell>
          <cell r="L158">
            <v>118.19559509679691</v>
          </cell>
          <cell r="N158">
            <v>8.5189216629941375E-2</v>
          </cell>
          <cell r="P158" t="e">
            <v>#DIV/0!</v>
          </cell>
          <cell r="R158">
            <v>0.46</v>
          </cell>
          <cell r="S158">
            <v>172.56556884132348</v>
          </cell>
          <cell r="U158">
            <v>0.12437625627971441</v>
          </cell>
          <cell r="Y158">
            <v>20.175879807164677</v>
          </cell>
          <cell r="AA158">
            <v>0</v>
          </cell>
          <cell r="AC158">
            <v>734</v>
          </cell>
          <cell r="AE158">
            <v>2.6352000982941619</v>
          </cell>
          <cell r="AG158">
            <v>3590.1908696105747</v>
          </cell>
          <cell r="AH158">
            <v>0.74590303296455585</v>
          </cell>
          <cell r="AI158">
            <v>0</v>
          </cell>
          <cell r="AK158">
            <v>0.2351029548246914</v>
          </cell>
          <cell r="AM158">
            <v>65.484806619819864</v>
          </cell>
          <cell r="AO158">
            <v>526.50568990072054</v>
          </cell>
          <cell r="AS158">
            <v>0.13097072419106315</v>
          </cell>
          <cell r="AY158">
            <v>301</v>
          </cell>
          <cell r="BA158">
            <v>0.1171394566420918</v>
          </cell>
        </row>
        <row r="159">
          <cell r="C159" t="str">
            <v>2008 = Trough rent</v>
          </cell>
          <cell r="F159">
            <v>1059.172</v>
          </cell>
          <cell r="H159">
            <v>0.01</v>
          </cell>
          <cell r="I159">
            <v>0</v>
          </cell>
          <cell r="J159">
            <v>0.16769880433172976</v>
          </cell>
          <cell r="K159">
            <v>0</v>
          </cell>
          <cell r="L159">
            <v>79.7</v>
          </cell>
          <cell r="M159">
            <v>0</v>
          </cell>
          <cell r="N159">
            <v>7.5247457447893254E-2</v>
          </cell>
          <cell r="O159">
            <v>0</v>
          </cell>
          <cell r="P159" t="e">
            <v>#DIV/0!</v>
          </cell>
          <cell r="Q159">
            <v>0</v>
          </cell>
          <cell r="S159">
            <v>116.36199999999999</v>
          </cell>
          <cell r="U159">
            <v>0.10986128787392416</v>
          </cell>
          <cell r="Z159">
            <v>0</v>
          </cell>
          <cell r="AB159">
            <v>0</v>
          </cell>
          <cell r="AC159">
            <v>486</v>
          </cell>
          <cell r="AD159">
            <v>0</v>
          </cell>
          <cell r="AE159">
            <v>1.9570000000000001</v>
          </cell>
          <cell r="AF159">
            <v>0</v>
          </cell>
          <cell r="AG159">
            <v>4026.7489711934159</v>
          </cell>
          <cell r="AH159" t="e">
            <v>#N/A</v>
          </cell>
          <cell r="AI159" t="e">
            <v>#N/A</v>
          </cell>
          <cell r="AJ159">
            <v>0</v>
          </cell>
          <cell r="AK159">
            <v>0.23942798353909464</v>
          </cell>
          <cell r="AL159">
            <v>0</v>
          </cell>
          <cell r="AM159">
            <v>59.459376596831881</v>
          </cell>
          <cell r="AN159">
            <v>0</v>
          </cell>
          <cell r="AO159">
            <v>541.222278998467</v>
          </cell>
          <cell r="AR159">
            <v>2.90340401926098E-3</v>
          </cell>
          <cell r="AT159" t="str">
            <v>Adjusted Rent Expense Increase Assumption</v>
          </cell>
        </row>
        <row r="161">
          <cell r="C161">
            <v>1999</v>
          </cell>
          <cell r="D161">
            <v>3</v>
          </cell>
          <cell r="E161">
            <v>2</v>
          </cell>
          <cell r="F161">
            <v>469.63400000000001</v>
          </cell>
          <cell r="H161" t="e">
            <v>#REF!</v>
          </cell>
          <cell r="J161">
            <v>5.3551637413813344E-2</v>
          </cell>
          <cell r="L161">
            <v>39.473999999999997</v>
          </cell>
          <cell r="N161">
            <v>8.4052687837763013E-2</v>
          </cell>
          <cell r="P161" t="e">
            <v>#DIV/0!</v>
          </cell>
          <cell r="S161">
            <v>57.892512208355939</v>
          </cell>
          <cell r="U161">
            <v>0.12327155233299961</v>
          </cell>
          <cell r="AC161">
            <v>116.5</v>
          </cell>
          <cell r="AE161" t="e">
            <v>#REF!</v>
          </cell>
          <cell r="AG161">
            <v>5430.8943089430895</v>
          </cell>
          <cell r="AH161" t="e">
            <v>#REF!</v>
          </cell>
          <cell r="AK161">
            <v>0.49693143526485783</v>
          </cell>
          <cell r="AM161" t="e">
            <v>#REF!</v>
          </cell>
          <cell r="AO161">
            <v>610.32195121951224</v>
          </cell>
          <cell r="AY161">
            <v>278.55700000000002</v>
          </cell>
          <cell r="AZ161">
            <v>2.5049999999999999</v>
          </cell>
          <cell r="BA161" t="str">
            <v>Internet/Catalog/Other</v>
          </cell>
        </row>
        <row r="162">
          <cell r="C162">
            <v>2000</v>
          </cell>
          <cell r="D162">
            <v>4</v>
          </cell>
          <cell r="E162">
            <v>3</v>
          </cell>
          <cell r="F162">
            <v>502.89800000000002</v>
          </cell>
          <cell r="H162">
            <v>6.9999999999999993E-3</v>
          </cell>
          <cell r="J162">
            <v>7.288477254154184E-2</v>
          </cell>
          <cell r="L162">
            <v>45.137999999999998</v>
          </cell>
          <cell r="N162">
            <v>8.9755775525056758E-2</v>
          </cell>
          <cell r="P162" t="e">
            <v>#DIV/0!</v>
          </cell>
          <cell r="S162">
            <v>66.19932654559382</v>
          </cell>
          <cell r="U162">
            <v>0.13163569261678076</v>
          </cell>
          <cell r="Y162">
            <v>-83.641402837811569</v>
          </cell>
          <cell r="AA162">
            <v>0</v>
          </cell>
          <cell r="AC162">
            <v>134.5</v>
          </cell>
          <cell r="AE162">
            <v>0.88123250000000009</v>
          </cell>
          <cell r="AG162">
            <v>7496.3356164383558</v>
          </cell>
          <cell r="AH162" t="e">
            <v>#DIV/0!</v>
          </cell>
          <cell r="AK162">
            <v>0.49218830145422915</v>
          </cell>
          <cell r="AM162">
            <v>75.121294942701056</v>
          </cell>
          <cell r="AO162">
            <v>567</v>
          </cell>
          <cell r="AY162">
            <v>284.76</v>
          </cell>
          <cell r="AZ162">
            <v>38.317</v>
          </cell>
        </row>
        <row r="163">
          <cell r="C163">
            <v>2001</v>
          </cell>
          <cell r="D163">
            <v>5</v>
          </cell>
          <cell r="E163">
            <v>4</v>
          </cell>
          <cell r="F163">
            <v>483.08300000000008</v>
          </cell>
          <cell r="H163">
            <v>-0.14499999999999999</v>
          </cell>
          <cell r="J163">
            <v>2.5710209013548715E-2</v>
          </cell>
          <cell r="L163">
            <v>38.326000000000001</v>
          </cell>
          <cell r="N163">
            <v>7.9336263126626255E-2</v>
          </cell>
          <cell r="P163" t="e">
            <v>#DIV/0!</v>
          </cell>
          <cell r="S163">
            <v>56.208857042545723</v>
          </cell>
          <cell r="U163">
            <v>0.11635445056552542</v>
          </cell>
          <cell r="Y163">
            <v>152.81242051255347</v>
          </cell>
          <cell r="AA163">
            <v>0</v>
          </cell>
          <cell r="AC163">
            <v>161.5</v>
          </cell>
          <cell r="AE163">
            <v>1.2045345000000001</v>
          </cell>
          <cell r="AG163">
            <v>7427.1412429378543</v>
          </cell>
          <cell r="AH163">
            <v>0.28783217304471503</v>
          </cell>
          <cell r="AK163">
            <v>0.34804245846777537</v>
          </cell>
          <cell r="AM163">
            <v>46.664381171768611</v>
          </cell>
          <cell r="AO163">
            <v>412</v>
          </cell>
          <cell r="AY163">
            <v>258.197</v>
          </cell>
          <cell r="AZ163">
            <v>36.659999999999997</v>
          </cell>
        </row>
        <row r="164">
          <cell r="C164">
            <v>2002</v>
          </cell>
          <cell r="D164">
            <v>6</v>
          </cell>
          <cell r="E164">
            <v>5</v>
          </cell>
          <cell r="F164">
            <v>484.29200000000003</v>
          </cell>
          <cell r="H164">
            <v>-0.11199999999999999</v>
          </cell>
          <cell r="J164">
            <v>-7.3352560832126842E-3</v>
          </cell>
          <cell r="L164">
            <v>41.656999999999996</v>
          </cell>
          <cell r="N164">
            <v>8.6016287694201013E-2</v>
          </cell>
          <cell r="P164" t="e">
            <v>#DIV/0!</v>
          </cell>
          <cell r="S164">
            <v>61.094096900833037</v>
          </cell>
          <cell r="U164">
            <v>0.12615136508724703</v>
          </cell>
          <cell r="Y164">
            <v>-97.969145217216138</v>
          </cell>
          <cell r="AA164">
            <v>0</v>
          </cell>
          <cell r="AC164">
            <v>185.5</v>
          </cell>
          <cell r="AE164">
            <v>1.3755295000000001</v>
          </cell>
          <cell r="AG164">
            <v>7404.4072164948457</v>
          </cell>
          <cell r="AH164">
            <v>0.80658746168346129</v>
          </cell>
          <cell r="AK164">
            <v>0.32934823127133711</v>
          </cell>
          <cell r="AM164">
            <v>44.414966673439601</v>
          </cell>
          <cell r="AO164">
            <v>349</v>
          </cell>
          <cell r="AY164">
            <v>247.98699999999999</v>
          </cell>
          <cell r="AZ164">
            <v>36.064999999999998</v>
          </cell>
        </row>
        <row r="165">
          <cell r="C165">
            <v>2003</v>
          </cell>
          <cell r="D165">
            <v>7</v>
          </cell>
          <cell r="E165">
            <v>6</v>
          </cell>
          <cell r="F165">
            <v>487.09200000000004</v>
          </cell>
          <cell r="H165">
            <v>-2.5000000000000001E-2</v>
          </cell>
          <cell r="J165">
            <v>-4.4603711782481688E-2</v>
          </cell>
          <cell r="L165">
            <v>42.997</v>
          </cell>
          <cell r="N165">
            <v>8.8272851945833633E-2</v>
          </cell>
          <cell r="P165" t="e">
            <v>#DIV/0!</v>
          </cell>
          <cell r="S165">
            <v>63.059338993329291</v>
          </cell>
          <cell r="U165">
            <v>0.12946083900644906</v>
          </cell>
          <cell r="Y165">
            <v>-33.09473919202027</v>
          </cell>
          <cell r="AA165">
            <v>0</v>
          </cell>
          <cell r="AC165">
            <v>195</v>
          </cell>
          <cell r="AE165">
            <v>1.4415900000000001</v>
          </cell>
          <cell r="AG165">
            <v>7381.25</v>
          </cell>
          <cell r="AH165">
            <v>0.64094350180489401</v>
          </cell>
          <cell r="AK165">
            <v>0.32338122560681687</v>
          </cell>
          <cell r="AM165">
            <v>43.742908173148599</v>
          </cell>
          <cell r="AO165">
            <v>338</v>
          </cell>
          <cell r="AY165">
            <v>173.536</v>
          </cell>
          <cell r="AZ165">
            <v>29.337</v>
          </cell>
        </row>
        <row r="166">
          <cell r="C166">
            <v>2004</v>
          </cell>
          <cell r="D166">
            <v>8</v>
          </cell>
          <cell r="E166">
            <v>7</v>
          </cell>
          <cell r="F166">
            <v>579.79300000000001</v>
          </cell>
          <cell r="H166">
            <v>0.16300000000000001</v>
          </cell>
          <cell r="J166">
            <v>4.6805833258726504E-2</v>
          </cell>
          <cell r="L166">
            <v>46.582999999999998</v>
          </cell>
          <cell r="N166">
            <v>8.0344191806386064E-2</v>
          </cell>
          <cell r="P166" t="e">
            <v>#DIV/0!</v>
          </cell>
          <cell r="S166">
            <v>68.318561488621498</v>
          </cell>
          <cell r="U166">
            <v>0.11783267733246434</v>
          </cell>
          <cell r="Y166">
            <v>116.28161673984714</v>
          </cell>
          <cell r="AA166">
            <v>0</v>
          </cell>
          <cell r="AC166">
            <v>196.5</v>
          </cell>
          <cell r="AE166">
            <v>1.4517545000000001</v>
          </cell>
          <cell r="AG166">
            <v>7394.8426395939086</v>
          </cell>
          <cell r="AH166">
            <v>3.7886887830029083</v>
          </cell>
          <cell r="AK166">
            <v>0.34767715770290841</v>
          </cell>
          <cell r="AM166">
            <v>47.05930754037373</v>
          </cell>
          <cell r="AO166">
            <v>400</v>
          </cell>
          <cell r="AY166">
            <v>198.50200000000001</v>
          </cell>
          <cell r="AZ166">
            <v>25.920999999999999</v>
          </cell>
        </row>
        <row r="167">
          <cell r="A167" t="str">
            <v>JCG</v>
          </cell>
          <cell r="B167" t="str">
            <v>JCG</v>
          </cell>
          <cell r="C167" t="str">
            <v>2005 (ex. Internet/cat.)</v>
          </cell>
          <cell r="D167">
            <v>9</v>
          </cell>
          <cell r="E167">
            <v>8</v>
          </cell>
          <cell r="F167">
            <v>670.44699999999989</v>
          </cell>
          <cell r="H167">
            <v>0.13400000000000001</v>
          </cell>
          <cell r="J167">
            <v>8.3401175843590095E-2</v>
          </cell>
          <cell r="L167">
            <v>49.143999999999998</v>
          </cell>
          <cell r="N167">
            <v>7.3300350363265113E-2</v>
          </cell>
          <cell r="P167" t="e">
            <v>#DIV/0!</v>
          </cell>
          <cell r="R167">
            <v>0.46659857648973868</v>
          </cell>
          <cell r="S167">
            <v>72.074520443011721</v>
          </cell>
          <cell r="U167">
            <v>0.10750218949896373</v>
          </cell>
          <cell r="Y167">
            <v>103.30487833500615</v>
          </cell>
          <cell r="AA167">
            <v>0</v>
          </cell>
          <cell r="AC167">
            <v>200</v>
          </cell>
          <cell r="AE167">
            <v>1.467584</v>
          </cell>
          <cell r="AG167">
            <v>7282.6798029556649</v>
          </cell>
          <cell r="AH167">
            <v>2.1058142610667754</v>
          </cell>
          <cell r="AI167">
            <v>2.1058142610667754</v>
          </cell>
          <cell r="AK167">
            <v>0.36037260221505862</v>
          </cell>
          <cell r="AM167">
            <v>49.111001784573638</v>
          </cell>
          <cell r="AO167">
            <v>459</v>
          </cell>
          <cell r="AQ167" t="str">
            <v>Sales excl. Internet/Catlog/other ($454mm in '08); CAM constitute ~addt'l 50% of min. lease obligations (2008 10-K) imlpying gross up rate of ~47% in 2008A.</v>
          </cell>
          <cell r="AY167">
            <v>253.68200000000002</v>
          </cell>
          <cell r="AZ167">
            <v>29.059000000000001</v>
          </cell>
          <cell r="BA167">
            <v>1.0903703071008186E-2</v>
          </cell>
          <cell r="BB167">
            <v>1.0903703071008186E-2</v>
          </cell>
        </row>
        <row r="168">
          <cell r="A168" t="str">
            <v>JCG2006</v>
          </cell>
          <cell r="B168" t="str">
            <v>JCG</v>
          </cell>
          <cell r="C168" t="str">
            <v>2006  (ex. Internet/cat.)</v>
          </cell>
          <cell r="D168">
            <v>10</v>
          </cell>
          <cell r="E168">
            <v>9</v>
          </cell>
          <cell r="F168">
            <v>808.47800000000007</v>
          </cell>
          <cell r="H168">
            <v>0.13</v>
          </cell>
          <cell r="J168">
            <v>0.10903210742808156</v>
          </cell>
          <cell r="L168">
            <v>54.694000000000003</v>
          </cell>
          <cell r="N168">
            <v>6.7650573052080568E-2</v>
          </cell>
          <cell r="P168" t="e">
            <v>#DIV/0!</v>
          </cell>
          <cell r="R168">
            <v>0.46279299374702876</v>
          </cell>
          <cell r="S168">
            <v>80.006</v>
          </cell>
          <cell r="U168">
            <v>9.8958784283555021E-2</v>
          </cell>
          <cell r="Y168">
            <v>85.434052154087084</v>
          </cell>
          <cell r="AA168">
            <v>0</v>
          </cell>
          <cell r="AC168">
            <v>215</v>
          </cell>
          <cell r="AE168">
            <v>1.5111439999999998</v>
          </cell>
          <cell r="AG168">
            <v>6801.3392070484579</v>
          </cell>
          <cell r="AH168">
            <v>2.5572791593313657</v>
          </cell>
          <cell r="AI168">
            <v>2.5564485413890532</v>
          </cell>
          <cell r="AK168">
            <v>0.37212093023255816</v>
          </cell>
          <cell r="AM168">
            <v>52.943994748349603</v>
          </cell>
          <cell r="AO168">
            <v>535.03107579423283</v>
          </cell>
          <cell r="AR168" t="str">
            <v>DE-LVG</v>
          </cell>
          <cell r="AY168">
            <v>308.58</v>
          </cell>
          <cell r="AZ168">
            <v>35.042999999999999</v>
          </cell>
          <cell r="BA168">
            <v>2.9681435611181195E-2</v>
          </cell>
          <cell r="BB168">
            <v>2.9681435611181195E-2</v>
          </cell>
        </row>
        <row r="169">
          <cell r="A169" t="str">
            <v>JCG2007</v>
          </cell>
          <cell r="B169" t="str">
            <v>JCG</v>
          </cell>
          <cell r="C169" t="str">
            <v>2007  (ex. Internet/cat.)</v>
          </cell>
          <cell r="D169">
            <v>11</v>
          </cell>
          <cell r="E169">
            <v>10</v>
          </cell>
          <cell r="F169">
            <v>914.81</v>
          </cell>
          <cell r="H169">
            <v>0.06</v>
          </cell>
          <cell r="J169">
            <v>0.12922691017305474</v>
          </cell>
          <cell r="L169">
            <v>62.661999999999999</v>
          </cell>
          <cell r="N169">
            <v>6.8497283588941971E-2</v>
          </cell>
          <cell r="P169" t="e">
            <v>#DIV/0!</v>
          </cell>
          <cell r="R169">
            <v>0.46659857648973868</v>
          </cell>
          <cell r="S169">
            <v>91.9</v>
          </cell>
          <cell r="U169">
            <v>0.10045801860495623</v>
          </cell>
          <cell r="Y169">
            <v>-14.992343214012132</v>
          </cell>
          <cell r="AA169">
            <v>0</v>
          </cell>
          <cell r="AC169">
            <v>243.5</v>
          </cell>
          <cell r="AE169">
            <v>1.6159599999999998</v>
          </cell>
          <cell r="AG169">
            <v>6492.3692307692309</v>
          </cell>
          <cell r="AH169">
            <v>1.0305037149500145</v>
          </cell>
          <cell r="AI169">
            <v>1.031129201248854</v>
          </cell>
          <cell r="AK169">
            <v>0.37741273100616018</v>
          </cell>
          <cell r="AM169">
            <v>56.870219559890103</v>
          </cell>
          <cell r="AO169">
            <v>566.10930963637713</v>
          </cell>
          <cell r="AQ169" t="str">
            <v>Sales excl. Internet/Catlog/other ($467mm in '09, $454mm in '08); CAM constitute ~addt'l 50% of min. lease obligations (2009 10-K) imlpying gross up rate of ~47% in 2009A.</v>
          </cell>
          <cell r="AR169">
            <v>-128.07473952334462</v>
          </cell>
          <cell r="AY169">
            <v>377.44299999999998</v>
          </cell>
          <cell r="AZ169">
            <v>42.468999999999994</v>
          </cell>
          <cell r="BA169">
            <v>6.9362019767805094E-2</v>
          </cell>
          <cell r="BB169">
            <v>6.9362019767805094E-2</v>
          </cell>
        </row>
        <row r="170">
          <cell r="A170" t="str">
            <v>JCG2008</v>
          </cell>
          <cell r="B170" t="str">
            <v>JCG</v>
          </cell>
          <cell r="C170" t="str">
            <v>2008  (ex. Internet/cat.)</v>
          </cell>
          <cell r="D170">
            <v>12</v>
          </cell>
          <cell r="E170">
            <v>11</v>
          </cell>
          <cell r="F170">
            <v>974.24199999999996</v>
          </cell>
          <cell r="H170">
            <v>-4.0219360864634061E-2</v>
          </cell>
          <cell r="J170">
            <v>6.9177875461056276E-2</v>
          </cell>
          <cell r="L170">
            <v>74.921999999999997</v>
          </cell>
          <cell r="N170">
            <v>7.690286397014294E-2</v>
          </cell>
          <cell r="P170" t="e">
            <v>#DIV/0!</v>
          </cell>
          <cell r="R170">
            <v>0.47283841862203357</v>
          </cell>
          <cell r="S170">
            <v>110.348</v>
          </cell>
          <cell r="U170">
            <v>0.1132654925572907</v>
          </cell>
          <cell r="Y170">
            <v>-128.07473952334462</v>
          </cell>
          <cell r="AA170">
            <v>0</v>
          </cell>
          <cell r="AC170">
            <v>280</v>
          </cell>
          <cell r="AE170">
            <v>1.7760745</v>
          </cell>
          <cell r="AG170">
            <v>6213.7766666666666</v>
          </cell>
          <cell r="AH170">
            <v>1.0620655465784357</v>
          </cell>
          <cell r="AI170">
            <v>1.061591154427054</v>
          </cell>
          <cell r="AK170">
            <v>0.39410000000000001</v>
          </cell>
          <cell r="AM170">
            <v>62.130276629724712</v>
          </cell>
          <cell r="AO170">
            <v>548.56088525565792</v>
          </cell>
          <cell r="AR170">
            <v>-6.0841115974208382</v>
          </cell>
          <cell r="AS170">
            <v>0.14989733059548249</v>
          </cell>
          <cell r="AY170">
            <v>408.959</v>
          </cell>
          <cell r="AZ170">
            <v>44.769999999999996</v>
          </cell>
          <cell r="BA170">
            <v>9.9083207505136439E-2</v>
          </cell>
          <cell r="BB170">
            <v>9.9083207505136439E-2</v>
          </cell>
        </row>
        <row r="171">
          <cell r="A171" t="str">
            <v>JCG2009</v>
          </cell>
          <cell r="B171" t="str">
            <v>JCG</v>
          </cell>
          <cell r="C171" t="str">
            <v>2009  (ex. Internet/cat.)</v>
          </cell>
          <cell r="D171">
            <v>13</v>
          </cell>
          <cell r="E171">
            <v>12</v>
          </cell>
          <cell r="F171">
            <v>1110.9129999999998</v>
          </cell>
          <cell r="H171">
            <v>0.04</v>
          </cell>
          <cell r="J171">
            <v>3.4523527315379471E-2</v>
          </cell>
          <cell r="L171">
            <v>85.771000000000001</v>
          </cell>
          <cell r="N171">
            <v>7.7207666126870439E-2</v>
          </cell>
          <cell r="P171" t="e">
            <v>#DIV/0!</v>
          </cell>
          <cell r="R171">
            <v>0.47490410511711412</v>
          </cell>
          <cell r="S171">
            <v>126.504</v>
          </cell>
          <cell r="U171">
            <v>0.11387390371703278</v>
          </cell>
          <cell r="Y171">
            <v>-6.0841115974208382</v>
          </cell>
          <cell r="AA171">
            <v>0</v>
          </cell>
          <cell r="AC171">
            <v>310.5</v>
          </cell>
          <cell r="AE171">
            <v>1.9111365</v>
          </cell>
          <cell r="AG171">
            <v>6100.1246105918999</v>
          </cell>
          <cell r="AH171">
            <v>1.3183554539213476</v>
          </cell>
          <cell r="AI171">
            <v>0</v>
          </cell>
          <cell r="AK171">
            <v>0.4074202898550725</v>
          </cell>
          <cell r="AM171">
            <v>66.193074121079263</v>
          </cell>
          <cell r="AO171">
            <v>581.29442873389735</v>
          </cell>
          <cell r="AR171">
            <v>39.582260443175585</v>
          </cell>
          <cell r="AS171">
            <v>0.10892857142857149</v>
          </cell>
          <cell r="AY171">
            <v>428.20500000000004</v>
          </cell>
          <cell r="AZ171">
            <v>38.925000000000004</v>
          </cell>
          <cell r="BA171">
            <v>7.6045233462898043E-2</v>
          </cell>
          <cell r="BB171">
            <v>7.6045233462898043E-2</v>
          </cell>
          <cell r="BC171">
            <v>0</v>
          </cell>
        </row>
        <row r="172">
          <cell r="A172" t="str">
            <v>JCG2010</v>
          </cell>
          <cell r="B172" t="str">
            <v>JCG</v>
          </cell>
          <cell r="C172" t="str">
            <v>2010E  (ex. Internet/cat.)</v>
          </cell>
          <cell r="D172">
            <v>14</v>
          </cell>
          <cell r="E172">
            <v>13</v>
          </cell>
          <cell r="F172">
            <v>1254.8847180750513</v>
          </cell>
          <cell r="H172">
            <v>6.0537742549816559E-2</v>
          </cell>
          <cell r="J172">
            <v>7.4342264470130856E-2</v>
          </cell>
          <cell r="L172">
            <v>93.518964188794527</v>
          </cell>
          <cell r="N172">
            <v>7.4523948568159554E-2</v>
          </cell>
          <cell r="P172" t="e">
            <v>#DIV/0!</v>
          </cell>
          <cell r="R172">
            <v>0.47490410511711412</v>
          </cell>
          <cell r="S172">
            <v>137.93150418835344</v>
          </cell>
          <cell r="U172">
            <v>0.10991567767271522</v>
          </cell>
          <cell r="Y172">
            <v>39.582260443175585</v>
          </cell>
          <cell r="AA172">
            <v>0</v>
          </cell>
          <cell r="AC172">
            <v>328</v>
          </cell>
          <cell r="AE172">
            <v>1.9912364999999999</v>
          </cell>
          <cell r="AG172">
            <v>6042.7850746268659</v>
          </cell>
          <cell r="AH172">
            <v>0.81125378413280969</v>
          </cell>
          <cell r="AI172">
            <v>0</v>
          </cell>
          <cell r="AK172">
            <v>0.42052287862302878</v>
          </cell>
          <cell r="AM172">
            <v>69.26927272996123</v>
          </cell>
          <cell r="AO172">
            <v>611.30028938438932</v>
          </cell>
          <cell r="AR172">
            <v>109.568933891602</v>
          </cell>
          <cell r="AS172">
            <v>5.6360708534621606E-2</v>
          </cell>
          <cell r="AY172">
            <v>467.69704999999999</v>
          </cell>
          <cell r="BA172">
            <v>4.1912233898520501E-2</v>
          </cell>
          <cell r="BB172">
            <v>4.1912233898520501E-2</v>
          </cell>
        </row>
        <row r="173">
          <cell r="C173" t="str">
            <v>2006 = Trough rent</v>
          </cell>
          <cell r="D173">
            <v>12</v>
          </cell>
          <cell r="E173">
            <v>11</v>
          </cell>
          <cell r="F173">
            <v>808.47800000000007</v>
          </cell>
          <cell r="H173">
            <v>0.13</v>
          </cell>
          <cell r="I173">
            <v>0</v>
          </cell>
          <cell r="J173">
            <v>0.10903210742808156</v>
          </cell>
          <cell r="K173">
            <v>0</v>
          </cell>
          <cell r="L173">
            <v>54.694000000000003</v>
          </cell>
          <cell r="M173">
            <v>0</v>
          </cell>
          <cell r="N173">
            <v>6.7650573052080568E-2</v>
          </cell>
          <cell r="O173">
            <v>0</v>
          </cell>
          <cell r="P173" t="e">
            <v>#DIV/0!</v>
          </cell>
          <cell r="Q173">
            <v>0</v>
          </cell>
          <cell r="S173">
            <v>80.006</v>
          </cell>
          <cell r="U173">
            <v>9.8958784283555021E-2</v>
          </cell>
          <cell r="Z173">
            <v>0</v>
          </cell>
          <cell r="AB173">
            <v>0</v>
          </cell>
          <cell r="AC173">
            <v>215</v>
          </cell>
          <cell r="AD173">
            <v>0</v>
          </cell>
          <cell r="AE173">
            <v>1.5111439999999998</v>
          </cell>
          <cell r="AF173">
            <v>0</v>
          </cell>
          <cell r="AG173">
            <v>6801.3392070484579</v>
          </cell>
          <cell r="AH173">
            <v>2.5572791593313657</v>
          </cell>
          <cell r="AI173">
            <v>2.5572791593313657</v>
          </cell>
          <cell r="AJ173">
            <v>0</v>
          </cell>
          <cell r="AK173">
            <v>0.37212093023255816</v>
          </cell>
          <cell r="AL173">
            <v>0</v>
          </cell>
          <cell r="AM173">
            <v>52.943994748349603</v>
          </cell>
          <cell r="AN173">
            <v>0</v>
          </cell>
          <cell r="AO173">
            <v>535.03107579423283</v>
          </cell>
          <cell r="AR173">
            <v>-7.4508580112702089E-2</v>
          </cell>
        </row>
        <row r="175">
          <cell r="J175">
            <v>0.10147888822359201</v>
          </cell>
          <cell r="AI175">
            <v>0</v>
          </cell>
        </row>
        <row r="176">
          <cell r="C176">
            <v>1998</v>
          </cell>
          <cell r="D176">
            <v>10</v>
          </cell>
          <cell r="E176">
            <v>10</v>
          </cell>
          <cell r="F176">
            <v>9054.4619999999995</v>
          </cell>
          <cell r="H176">
            <v>0.17</v>
          </cell>
          <cell r="J176">
            <v>0.14720686883439346</v>
          </cell>
          <cell r="L176">
            <v>547.22900000000004</v>
          </cell>
          <cell r="N176">
            <v>6.0437494795383767E-2</v>
          </cell>
          <cell r="P176" t="str">
            <v>-</v>
          </cell>
          <cell r="S176">
            <v>793.48205000000007</v>
          </cell>
          <cell r="U176">
            <v>8.7634367453306466E-2</v>
          </cell>
          <cell r="AC176">
            <v>2298</v>
          </cell>
          <cell r="AE176">
            <v>17.034850000000002</v>
          </cell>
          <cell r="AG176">
            <v>7606.2449310624497</v>
          </cell>
          <cell r="AH176">
            <v>1.0123668543912279</v>
          </cell>
          <cell r="AI176">
            <v>0</v>
          </cell>
          <cell r="AK176">
            <v>0.34529244995648395</v>
          </cell>
          <cell r="AM176">
            <v>46.579925857873711</v>
          </cell>
          <cell r="AO176">
            <v>531.52578390769497</v>
          </cell>
        </row>
        <row r="177">
          <cell r="A177" t="str">
            <v>GPS1999</v>
          </cell>
          <cell r="C177">
            <v>1999</v>
          </cell>
          <cell r="D177">
            <v>11</v>
          </cell>
          <cell r="E177">
            <v>11</v>
          </cell>
          <cell r="F177">
            <v>11635.398000000001</v>
          </cell>
          <cell r="H177">
            <v>7.0000000000000007E-2</v>
          </cell>
          <cell r="J177">
            <v>0.15613604278942594</v>
          </cell>
          <cell r="L177">
            <v>676.47800000000007</v>
          </cell>
          <cell r="N177">
            <v>5.813965280775097E-2</v>
          </cell>
          <cell r="P177" t="str">
            <v>-</v>
          </cell>
          <cell r="S177">
            <v>980.89310000000012</v>
          </cell>
          <cell r="U177">
            <v>8.4302496571238908E-2</v>
          </cell>
          <cell r="AC177">
            <v>2742</v>
          </cell>
          <cell r="AE177">
            <v>21.367550000000001</v>
          </cell>
          <cell r="AG177">
            <v>7945.0298210735573</v>
          </cell>
          <cell r="AH177">
            <v>0.84549409389814545</v>
          </cell>
          <cell r="AI177">
            <v>0</v>
          </cell>
          <cell r="AK177">
            <v>0.35772906637490887</v>
          </cell>
          <cell r="AM177">
            <v>45.905735566314341</v>
          </cell>
          <cell r="AO177">
            <v>544.53589672189844</v>
          </cell>
        </row>
        <row r="178">
          <cell r="C178">
            <v>2000</v>
          </cell>
          <cell r="D178">
            <v>12</v>
          </cell>
          <cell r="E178">
            <v>12</v>
          </cell>
          <cell r="F178">
            <v>13673.46</v>
          </cell>
          <cell r="H178">
            <v>-0.05</v>
          </cell>
          <cell r="J178">
            <v>0.10566169791698651</v>
          </cell>
          <cell r="L178">
            <v>903.68100000000004</v>
          </cell>
          <cell r="N178">
            <v>6.6090148360400378E-2</v>
          </cell>
          <cell r="P178" t="str">
            <v>-</v>
          </cell>
          <cell r="S178">
            <v>1310.33745</v>
          </cell>
          <cell r="U178">
            <v>9.583071512258054E-2</v>
          </cell>
          <cell r="AC178">
            <v>2933</v>
          </cell>
          <cell r="AE178">
            <v>27.6757685</v>
          </cell>
          <cell r="AG178">
            <v>11015.95400280899</v>
          </cell>
          <cell r="AH178">
            <v>0.76267618195329734</v>
          </cell>
          <cell r="AI178">
            <v>0</v>
          </cell>
          <cell r="AK178">
            <v>0.44675671667234912</v>
          </cell>
          <cell r="AM178">
            <v>47.346018593846814</v>
          </cell>
          <cell r="AO178">
            <v>494.05890933073817</v>
          </cell>
        </row>
        <row r="179">
          <cell r="C179">
            <v>2001</v>
          </cell>
          <cell r="D179">
            <v>13</v>
          </cell>
          <cell r="E179">
            <v>13</v>
          </cell>
          <cell r="F179">
            <v>13847.873</v>
          </cell>
          <cell r="H179">
            <v>-0.129</v>
          </cell>
          <cell r="J179">
            <v>2.4373129360732805E-2</v>
          </cell>
          <cell r="L179">
            <v>950.88400000000001</v>
          </cell>
          <cell r="N179">
            <v>6.8666429855328684E-2</v>
          </cell>
          <cell r="P179" t="str">
            <v>-</v>
          </cell>
          <cell r="S179">
            <v>1378.7818</v>
          </cell>
          <cell r="U179">
            <v>9.9566323290226591E-2</v>
          </cell>
          <cell r="AC179">
            <v>2972.5</v>
          </cell>
          <cell r="AE179">
            <v>33.8534145</v>
          </cell>
          <cell r="AG179">
            <v>11731.802389409106</v>
          </cell>
          <cell r="AH179">
            <v>0.63506306317070149</v>
          </cell>
          <cell r="AI179">
            <v>0</v>
          </cell>
          <cell r="AK179">
            <v>0.46384585365853659</v>
          </cell>
          <cell r="AM179">
            <v>40.727998057625769</v>
          </cell>
          <cell r="AO179">
            <v>409.05395229778077</v>
          </cell>
          <cell r="AS179" t="str">
            <v xml:space="preserve">According to footnote D, rental expense for all operating leases is included in </v>
          </cell>
        </row>
        <row r="180">
          <cell r="C180">
            <v>2002</v>
          </cell>
          <cell r="D180">
            <v>14</v>
          </cell>
          <cell r="E180">
            <v>14</v>
          </cell>
          <cell r="F180">
            <v>14454.708999999999</v>
          </cell>
          <cell r="H180">
            <v>-2.7000000000000003E-2</v>
          </cell>
          <cell r="J180">
            <v>7.0055301701334727E-2</v>
          </cell>
          <cell r="L180">
            <v>938.64700000000005</v>
          </cell>
          <cell r="N180">
            <v>6.4937108038632951E-2</v>
          </cell>
          <cell r="P180" t="str">
            <v>-</v>
          </cell>
          <cell r="S180">
            <v>1361.0381500000001</v>
          </cell>
          <cell r="U180">
            <v>9.4158806656017779E-2</v>
          </cell>
          <cell r="AC180">
            <v>3107</v>
          </cell>
          <cell r="AE180">
            <v>36.792456000000001</v>
          </cell>
          <cell r="AG180">
            <v>11951.081167789542</v>
          </cell>
          <cell r="AH180">
            <v>0.81576020584434494</v>
          </cell>
          <cell r="AI180">
            <v>0</v>
          </cell>
          <cell r="AK180">
            <v>0.43805540714515612</v>
          </cell>
          <cell r="AM180">
            <v>36.992315761687671</v>
          </cell>
          <cell r="AO180">
            <v>392.87154410132331</v>
          </cell>
          <cell r="AS180" t="str">
            <v>amounts shown as rent expense. This does not include CAM, taxes or insurance.</v>
          </cell>
        </row>
        <row r="181">
          <cell r="C181">
            <v>2003</v>
          </cell>
          <cell r="D181">
            <v>15</v>
          </cell>
          <cell r="E181">
            <v>15</v>
          </cell>
          <cell r="F181">
            <v>15853.79</v>
          </cell>
          <cell r="G181">
            <v>15853.79</v>
          </cell>
          <cell r="H181">
            <v>7.2000000000000008E-2</v>
          </cell>
          <cell r="J181">
            <v>0.11858369512905123</v>
          </cell>
          <cell r="L181">
            <v>954.27099999999996</v>
          </cell>
          <cell r="N181">
            <v>6.0191979331125231E-2</v>
          </cell>
          <cell r="P181">
            <v>6.0191979331125231E-2</v>
          </cell>
          <cell r="S181">
            <v>1383.6929499999999</v>
          </cell>
          <cell r="U181">
            <v>8.7278370030131586E-2</v>
          </cell>
          <cell r="W181">
            <v>8.7278370030131586E-2</v>
          </cell>
          <cell r="Y181">
            <v>68.804366258861933</v>
          </cell>
          <cell r="AA181">
            <v>-872.78370030131589</v>
          </cell>
          <cell r="AC181">
            <v>3069.5</v>
          </cell>
          <cell r="AE181">
            <v>36.884861999999998</v>
          </cell>
          <cell r="AG181">
            <v>12084.117802779616</v>
          </cell>
          <cell r="AH181">
            <v>9.870676305541382</v>
          </cell>
          <cell r="AI181">
            <v>0</v>
          </cell>
          <cell r="AK181">
            <v>0.45078773415865775</v>
          </cell>
          <cell r="AM181">
            <v>37.513843755196916</v>
          </cell>
          <cell r="AO181">
            <v>429.81833577146097</v>
          </cell>
          <cell r="AP181">
            <v>429.81833577146097</v>
          </cell>
          <cell r="AS181" t="str">
            <v xml:space="preserve">Per footnote, minimum rent and % rent (or contingent rent) is included. </v>
          </cell>
        </row>
        <row r="182">
          <cell r="C182">
            <v>2004</v>
          </cell>
          <cell r="D182">
            <v>16</v>
          </cell>
          <cell r="E182">
            <v>16</v>
          </cell>
          <cell r="F182">
            <v>16267.401000000002</v>
          </cell>
          <cell r="G182">
            <v>16267.401000000002</v>
          </cell>
          <cell r="H182">
            <v>4.0000000000000001E-3</v>
          </cell>
          <cell r="J182">
            <v>0.12171870601825099</v>
          </cell>
          <cell r="L182">
            <v>966.67</v>
          </cell>
          <cell r="N182">
            <v>5.9423751833498163E-2</v>
          </cell>
          <cell r="P182">
            <v>5.9423751833498163E-2</v>
          </cell>
          <cell r="S182">
            <v>1401.6714999999999</v>
          </cell>
          <cell r="U182">
            <v>8.6164440158572331E-2</v>
          </cell>
          <cell r="W182">
            <v>8.6164440158572331E-2</v>
          </cell>
          <cell r="Y182">
            <v>11.139298715592549</v>
          </cell>
          <cell r="AA182">
            <v>11.139298715592549</v>
          </cell>
          <cell r="AC182">
            <v>3008</v>
          </cell>
          <cell r="AE182">
            <v>36.554566499999993</v>
          </cell>
          <cell r="AG182">
            <v>12221.419171676685</v>
          </cell>
          <cell r="AH182">
            <v>-2.4667400646572251</v>
          </cell>
          <cell r="AI182">
            <v>0</v>
          </cell>
          <cell r="AK182">
            <v>0.46598121675531912</v>
          </cell>
          <cell r="AM182">
            <v>38.344634725732561</v>
          </cell>
          <cell r="AO182">
            <v>445.01693105839473</v>
          </cell>
          <cell r="AP182">
            <v>445.01693105839473</v>
          </cell>
          <cell r="AS182" t="str">
            <v>Also included is rent expense on some HQ facilities and DC's. (2005-10K)</v>
          </cell>
        </row>
        <row r="183">
          <cell r="A183" t="str">
            <v>GPS</v>
          </cell>
          <cell r="B183" t="str">
            <v>GPS</v>
          </cell>
          <cell r="C183" t="str">
            <v>2005 (total revs.)</v>
          </cell>
          <cell r="D183">
            <v>17</v>
          </cell>
          <cell r="E183">
            <v>17</v>
          </cell>
          <cell r="F183">
            <v>16023.38</v>
          </cell>
          <cell r="G183">
            <v>16023.38</v>
          </cell>
          <cell r="H183">
            <v>-5.0999999999999997E-2</v>
          </cell>
          <cell r="J183">
            <v>0.10885774412140264</v>
          </cell>
          <cell r="L183">
            <v>1004.677</v>
          </cell>
          <cell r="N183">
            <v>6.2700691115108051E-2</v>
          </cell>
          <cell r="P183">
            <v>6.2700691115108051E-2</v>
          </cell>
          <cell r="R183">
            <v>0.45</v>
          </cell>
          <cell r="S183">
            <v>1456.7816499999999</v>
          </cell>
          <cell r="U183">
            <v>9.0916002116906675E-2</v>
          </cell>
          <cell r="W183">
            <v>9.0916002116906675E-2</v>
          </cell>
          <cell r="Y183">
            <v>-47.515619583343437</v>
          </cell>
          <cell r="AA183">
            <v>-47.515619583343437</v>
          </cell>
          <cell r="AC183">
            <v>3023.5</v>
          </cell>
          <cell r="AE183">
            <v>37.178078999999997</v>
          </cell>
          <cell r="AG183">
            <v>12369.875204716671</v>
          </cell>
          <cell r="AH183">
            <v>2.1105301925004265</v>
          </cell>
          <cell r="AI183">
            <v>2.1105301925004265</v>
          </cell>
          <cell r="AK183">
            <v>0.48181962956838098</v>
          </cell>
          <cell r="AM183">
            <v>39.183887096479623</v>
          </cell>
          <cell r="AO183">
            <v>414.98593835361964</v>
          </cell>
          <cell r="AP183">
            <v>430.98999278580266</v>
          </cell>
          <cell r="BA183">
            <v>1.7057034447392594E-2</v>
          </cell>
          <cell r="BB183">
            <v>1.7057034447392594E-2</v>
          </cell>
        </row>
        <row r="184">
          <cell r="A184" t="str">
            <v>GPS2006</v>
          </cell>
          <cell r="B184" t="str">
            <v>GPS</v>
          </cell>
          <cell r="C184" t="str">
            <v>2006 (ex. Internet/cat.)</v>
          </cell>
          <cell r="D184">
            <v>18</v>
          </cell>
          <cell r="E184">
            <v>18</v>
          </cell>
          <cell r="F184">
            <v>9094</v>
          </cell>
          <cell r="G184">
            <v>15923</v>
          </cell>
          <cell r="H184">
            <v>-7.0000000000000007E-2</v>
          </cell>
          <cell r="J184">
            <v>7.6932738805501472E-2</v>
          </cell>
          <cell r="L184">
            <v>1046.23</v>
          </cell>
          <cell r="N184">
            <v>0.11504618429733891</v>
          </cell>
          <cell r="P184">
            <v>6.5705583118759028E-2</v>
          </cell>
          <cell r="R184">
            <v>0.45</v>
          </cell>
          <cell r="S184">
            <v>1517.0335</v>
          </cell>
          <cell r="U184">
            <v>0.16681696723114142</v>
          </cell>
          <cell r="W184">
            <v>9.527309552220059E-2</v>
          </cell>
          <cell r="Y184">
            <v>-759.00965114234748</v>
          </cell>
          <cell r="AA184">
            <v>-43.570934052939158</v>
          </cell>
          <cell r="AC184">
            <v>3092</v>
          </cell>
          <cell r="AE184">
            <v>38.332614499999998</v>
          </cell>
          <cell r="AG184">
            <v>12424.145640370489</v>
          </cell>
          <cell r="AH184">
            <v>2.0523924039060359</v>
          </cell>
          <cell r="AI184">
            <v>-11.671668450412358</v>
          </cell>
          <cell r="AK184">
            <v>0.4906317917205692</v>
          </cell>
          <cell r="AM184">
            <v>39.575529083725819</v>
          </cell>
          <cell r="AO184">
            <v>396.34656279445801</v>
          </cell>
          <cell r="AP184">
            <v>415.39039816864044</v>
          </cell>
          <cell r="AQ184" t="str">
            <v>Sales exclude GPS' internet sales ($1,030mm in 2008).  We estimate GPS requires a positive comp to lvg.</v>
          </cell>
          <cell r="AR184" t="str">
            <v>DE-LVG</v>
          </cell>
          <cell r="AY184">
            <v>6829</v>
          </cell>
          <cell r="BA184">
            <v>3.1054199976281671E-2</v>
          </cell>
          <cell r="BB184">
            <v>3.1054199976281671E-2</v>
          </cell>
        </row>
        <row r="185">
          <cell r="A185" t="str">
            <v>GPS2007</v>
          </cell>
          <cell r="B185" t="str">
            <v>GPS</v>
          </cell>
          <cell r="C185" t="str">
            <v>2007 (ex. Internet/cat.)</v>
          </cell>
          <cell r="D185">
            <v>19</v>
          </cell>
          <cell r="E185">
            <v>19</v>
          </cell>
          <cell r="F185">
            <v>14860</v>
          </cell>
          <cell r="G185">
            <v>15763</v>
          </cell>
          <cell r="H185">
            <v>-0.04</v>
          </cell>
          <cell r="J185">
            <v>8.5262957558840322E-2</v>
          </cell>
          <cell r="L185">
            <v>1099</v>
          </cell>
          <cell r="N185">
            <v>7.3956931359353967E-2</v>
          </cell>
          <cell r="P185">
            <v>6.9720230920510051E-2</v>
          </cell>
          <cell r="R185">
            <v>0.45</v>
          </cell>
          <cell r="S185">
            <v>1593.55</v>
          </cell>
          <cell r="U185">
            <v>0.10723755047106326</v>
          </cell>
          <cell r="W185">
            <v>0.10109433483473958</v>
          </cell>
          <cell r="Y185">
            <v>595.79416760078163</v>
          </cell>
          <cell r="AA185">
            <v>-58.212393125389866</v>
          </cell>
          <cell r="AC185">
            <v>3149</v>
          </cell>
          <cell r="AE185">
            <v>39.25</v>
          </cell>
          <cell r="AG185">
            <v>12503.946952952321</v>
          </cell>
          <cell r="AH185">
            <v>1.2515183171112927</v>
          </cell>
          <cell r="AI185">
            <v>28.164697496739052</v>
          </cell>
          <cell r="AK185">
            <v>0.50604953953636078</v>
          </cell>
          <cell r="AM185">
            <v>40.6</v>
          </cell>
          <cell r="AO185">
            <v>378.59872611464971</v>
          </cell>
          <cell r="AP185">
            <v>401.60509554140128</v>
          </cell>
          <cell r="AQ185" t="str">
            <v>Sales exclude Internet sales (2011 $1,560M, 2010 $1,299M).  Excludes rent expense associated with equipment.  We estimate GPS requires a flat to slightly positive comp to leverage.</v>
          </cell>
          <cell r="AR185">
            <v>-49.57065073265057</v>
          </cell>
          <cell r="AY185">
            <v>903</v>
          </cell>
          <cell r="BA185">
            <v>2.3932244433783723E-2</v>
          </cell>
          <cell r="BB185">
            <v>2.3932244433783723E-2</v>
          </cell>
        </row>
        <row r="186">
          <cell r="A186" t="str">
            <v>GPS2008</v>
          </cell>
          <cell r="B186" t="str">
            <v>GPS</v>
          </cell>
          <cell r="C186">
            <v>2008</v>
          </cell>
          <cell r="D186">
            <v>20</v>
          </cell>
          <cell r="E186">
            <v>20</v>
          </cell>
          <cell r="F186">
            <v>14449</v>
          </cell>
          <cell r="G186">
            <v>14526</v>
          </cell>
          <cell r="H186">
            <v>-0.11838208207470713</v>
          </cell>
          <cell r="J186">
            <v>0.10656753407682776</v>
          </cell>
          <cell r="L186">
            <v>1118</v>
          </cell>
          <cell r="N186">
            <v>7.737559692712298E-2</v>
          </cell>
          <cell r="P186">
            <v>7.6965441277708935E-2</v>
          </cell>
          <cell r="R186">
            <v>0.45</v>
          </cell>
          <cell r="S186">
            <v>1621.1</v>
          </cell>
          <cell r="U186">
            <v>0.11219461554432832</v>
          </cell>
          <cell r="W186">
            <v>0.11159988985267795</v>
          </cell>
          <cell r="Y186">
            <v>-49.57065073265057</v>
          </cell>
          <cell r="AA186">
            <v>-105.05555017938373</v>
          </cell>
          <cell r="AC186">
            <v>3158</v>
          </cell>
          <cell r="AE186">
            <v>39.549999999999997</v>
          </cell>
          <cell r="AG186">
            <v>12543.664655446173</v>
          </cell>
          <cell r="AH186">
            <v>5.2211883989800194</v>
          </cell>
          <cell r="AI186">
            <v>11.869715406120086</v>
          </cell>
          <cell r="AK186">
            <v>0.51333122229259021</v>
          </cell>
          <cell r="AM186">
            <v>40.988621997471554</v>
          </cell>
          <cell r="AO186">
            <v>343.18584070796464</v>
          </cell>
          <cell r="AP186">
            <v>367.28192161820482</v>
          </cell>
          <cell r="AQ186" t="str">
            <v>Store sales exclude Internet sales ($1,927M in '12 $1,560M in '11).  Excludes rent expense associated with equipment.  We estimate GPS requires a flat to slightly positive comp to leverage.</v>
          </cell>
          <cell r="AR186">
            <v>-24.806164328308455</v>
          </cell>
          <cell r="AS186">
            <v>2.8580501746586773E-3</v>
          </cell>
          <cell r="AU186">
            <v>-74.376815060959018</v>
          </cell>
          <cell r="AY186">
            <v>77</v>
          </cell>
          <cell r="BA186">
            <v>7.6433121019108263E-3</v>
          </cell>
          <cell r="BB186">
            <v>7.6433121019108263E-3</v>
          </cell>
        </row>
        <row r="187">
          <cell r="A187" t="str">
            <v>GPS2009</v>
          </cell>
          <cell r="B187" t="str">
            <v>GPS</v>
          </cell>
          <cell r="C187">
            <v>2009</v>
          </cell>
          <cell r="D187">
            <v>21</v>
          </cell>
          <cell r="E187">
            <v>21</v>
          </cell>
          <cell r="F187">
            <v>14010</v>
          </cell>
          <cell r="G187">
            <v>14197</v>
          </cell>
          <cell r="H187">
            <v>-3.0030152268958239E-2</v>
          </cell>
          <cell r="J187">
            <v>0.12784391068535605</v>
          </cell>
          <cell r="L187">
            <v>1108</v>
          </cell>
          <cell r="N187">
            <v>7.9086366880799425E-2</v>
          </cell>
          <cell r="P187">
            <v>7.8044657321969427E-2</v>
          </cell>
          <cell r="R187">
            <v>0.45</v>
          </cell>
          <cell r="S187">
            <v>1606.6</v>
          </cell>
          <cell r="U187">
            <v>0.11467523197715916</v>
          </cell>
          <cell r="W187">
            <v>0.11316475311685567</v>
          </cell>
          <cell r="Y187">
            <v>-24.806164328308455</v>
          </cell>
          <cell r="AA187">
            <v>-15.64863264177721</v>
          </cell>
          <cell r="AC187">
            <v>3122</v>
          </cell>
          <cell r="AE187">
            <v>39.15</v>
          </cell>
          <cell r="AG187">
            <v>12536.348949919224</v>
          </cell>
          <cell r="AH187">
            <v>-0.72980716956131053</v>
          </cell>
          <cell r="AI187">
            <v>0</v>
          </cell>
          <cell r="AK187">
            <v>0.51460602178090964</v>
          </cell>
          <cell r="AM187">
            <v>41.037037037037038</v>
          </cell>
          <cell r="AO187">
            <v>338.85057471264366</v>
          </cell>
          <cell r="AP187">
            <v>362.6309067688378</v>
          </cell>
          <cell r="AR187">
            <v>6.3028815693444429</v>
          </cell>
          <cell r="AS187">
            <v>-1.1399620012666256E-2</v>
          </cell>
          <cell r="AU187">
            <v>-18.503282758964012</v>
          </cell>
          <cell r="AY187">
            <v>187</v>
          </cell>
          <cell r="BA187">
            <v>-1.0113780025284402E-2</v>
          </cell>
          <cell r="BB187">
            <v>-1.0113780025284402E-2</v>
          </cell>
          <cell r="BC187">
            <v>0</v>
          </cell>
        </row>
        <row r="188">
          <cell r="A188" t="str">
            <v>GPS2010</v>
          </cell>
          <cell r="B188" t="str">
            <v>GPS</v>
          </cell>
          <cell r="C188">
            <v>2010</v>
          </cell>
          <cell r="D188">
            <v>22</v>
          </cell>
          <cell r="E188">
            <v>22</v>
          </cell>
          <cell r="F188">
            <v>14418</v>
          </cell>
          <cell r="G188">
            <v>14664</v>
          </cell>
          <cell r="H188">
            <v>0.01</v>
          </cell>
          <cell r="J188">
            <v>0.13420621931260229</v>
          </cell>
          <cell r="L188">
            <v>1134</v>
          </cell>
          <cell r="N188">
            <v>7.8651685393258425E-2</v>
          </cell>
          <cell r="P188">
            <v>7.7332242225859243E-2</v>
          </cell>
          <cell r="R188">
            <v>0.45</v>
          </cell>
          <cell r="S188">
            <v>1644.3</v>
          </cell>
          <cell r="U188">
            <v>0.11404494382022472</v>
          </cell>
          <cell r="W188">
            <v>0.1121317512274959</v>
          </cell>
          <cell r="Y188">
            <v>6.3028815693444429</v>
          </cell>
          <cell r="AA188">
            <v>10.330018893597719</v>
          </cell>
          <cell r="AC188">
            <v>3081.5</v>
          </cell>
          <cell r="AE188">
            <v>38.5</v>
          </cell>
          <cell r="AG188">
            <v>12451.108213820078</v>
          </cell>
          <cell r="AH188">
            <v>-0.77663200784565334</v>
          </cell>
          <cell r="AI188">
            <v>0</v>
          </cell>
          <cell r="AK188">
            <v>0.53360376440045432</v>
          </cell>
          <cell r="AM188">
            <v>42.709090909090911</v>
          </cell>
          <cell r="AO188">
            <v>353.53246753246754</v>
          </cell>
          <cell r="AP188">
            <v>380.88311688311688</v>
          </cell>
          <cell r="AR188">
            <v>-75.686159776416488</v>
          </cell>
          <cell r="AS188">
            <v>-1.297245355541321E-2</v>
          </cell>
          <cell r="AY188">
            <v>246</v>
          </cell>
          <cell r="BA188">
            <v>-1.6602809706257937E-2</v>
          </cell>
          <cell r="BB188">
            <v>-1.6602809706257937E-2</v>
          </cell>
        </row>
        <row r="189">
          <cell r="A189" t="str">
            <v>GPS2011</v>
          </cell>
          <cell r="B189" t="str">
            <v>GPS</v>
          </cell>
          <cell r="C189">
            <v>2011</v>
          </cell>
          <cell r="D189">
            <v>23</v>
          </cell>
          <cell r="E189">
            <v>23</v>
          </cell>
          <cell r="F189">
            <v>14248</v>
          </cell>
          <cell r="G189">
            <v>14549</v>
          </cell>
          <cell r="H189">
            <v>-0.05</v>
          </cell>
          <cell r="J189">
            <v>9.8838408138016365E-2</v>
          </cell>
          <cell r="L189">
            <v>1195</v>
          </cell>
          <cell r="N189">
            <v>8.3871420550252665E-2</v>
          </cell>
          <cell r="P189">
            <v>8.2136229294109561E-2</v>
          </cell>
          <cell r="R189">
            <v>0.45</v>
          </cell>
          <cell r="S189">
            <v>1732.75</v>
          </cell>
          <cell r="U189">
            <v>0.12161355979786637</v>
          </cell>
          <cell r="W189">
            <v>0.11909753247645886</v>
          </cell>
          <cell r="Y189">
            <v>-75.686159776416488</v>
          </cell>
          <cell r="AA189">
            <v>-69.657812489629663</v>
          </cell>
          <cell r="AC189">
            <v>3052</v>
          </cell>
          <cell r="AE189">
            <v>37.700000000000003</v>
          </cell>
          <cell r="AG189">
            <v>12252.96442687747</v>
          </cell>
          <cell r="AH189">
            <v>-1.5475876295690207</v>
          </cell>
          <cell r="AI189">
            <v>0</v>
          </cell>
          <cell r="AK189">
            <v>0.56774246395806027</v>
          </cell>
          <cell r="AM189">
            <v>45.96153846153846</v>
          </cell>
          <cell r="AO189">
            <v>350.15915119363393</v>
          </cell>
          <cell r="AP189">
            <v>385.91511936339521</v>
          </cell>
          <cell r="AR189">
            <v>51.547239300110959</v>
          </cell>
          <cell r="AS189">
            <v>-9.5732597760830318E-3</v>
          </cell>
          <cell r="AY189">
            <v>301</v>
          </cell>
          <cell r="BA189">
            <v>-2.0779220779220675E-2</v>
          </cell>
        </row>
        <row r="190">
          <cell r="A190" t="str">
            <v>GPS2012</v>
          </cell>
          <cell r="B190" t="str">
            <v>GPS</v>
          </cell>
          <cell r="C190">
            <v>2012</v>
          </cell>
          <cell r="D190">
            <v>24</v>
          </cell>
          <cell r="E190">
            <v>24</v>
          </cell>
          <cell r="F190">
            <v>15256</v>
          </cell>
          <cell r="G190">
            <v>15651</v>
          </cell>
          <cell r="H190">
            <v>3.7896859694612504E-2</v>
          </cell>
          <cell r="J190">
            <v>0.12408152833684749</v>
          </cell>
          <cell r="L190">
            <v>1227</v>
          </cell>
          <cell r="N190">
            <v>8.0427372836916616E-2</v>
          </cell>
          <cell r="P190">
            <v>7.8397546482652861E-2</v>
          </cell>
          <cell r="R190">
            <v>0.44800000000000001</v>
          </cell>
          <cell r="S190">
            <v>1776.6959999999999</v>
          </cell>
          <cell r="U190">
            <v>0.11645883586785527</v>
          </cell>
          <cell r="W190">
            <v>0.11351964730688134</v>
          </cell>
          <cell r="Y190">
            <v>51.547239300110959</v>
          </cell>
          <cell r="AA190">
            <v>55.778851695775231</v>
          </cell>
          <cell r="AC190">
            <v>3065.5</v>
          </cell>
          <cell r="AE190">
            <v>37.049999999999997</v>
          </cell>
          <cell r="AG190">
            <v>11922.455573505655</v>
          </cell>
          <cell r="AH190" t="e">
            <v>#REF!</v>
          </cell>
          <cell r="AI190">
            <v>0</v>
          </cell>
          <cell r="AK190">
            <v>0.57957788289022993</v>
          </cell>
          <cell r="AM190">
            <v>47.954008097165996</v>
          </cell>
          <cell r="AO190">
            <v>374.73684210526318</v>
          </cell>
          <cell r="AP190">
            <v>422.42914979757086</v>
          </cell>
          <cell r="AR190">
            <v>-35.763130628160418</v>
          </cell>
          <cell r="AS190">
            <v>4.4233289646133933E-3</v>
          </cell>
          <cell r="AY190">
            <v>395</v>
          </cell>
          <cell r="BA190">
            <v>-1.7241379310344973E-2</v>
          </cell>
        </row>
        <row r="191">
          <cell r="A191" t="str">
            <v>GPS2013</v>
          </cell>
          <cell r="B191" t="str">
            <v>GPS</v>
          </cell>
          <cell r="C191" t="str">
            <v>2013e</v>
          </cell>
          <cell r="D191">
            <v>25</v>
          </cell>
          <cell r="E191">
            <v>25</v>
          </cell>
          <cell r="F191">
            <v>15477</v>
          </cell>
          <cell r="G191">
            <v>16148</v>
          </cell>
          <cell r="H191">
            <v>1.1890636611345059E-2</v>
          </cell>
          <cell r="J191">
            <v>0.13308149616051523</v>
          </cell>
          <cell r="L191">
            <v>1283</v>
          </cell>
          <cell r="N191">
            <v>8.2897202300187378E-2</v>
          </cell>
          <cell r="P191">
            <v>7.9452563784988856E-2</v>
          </cell>
          <cell r="R191">
            <v>0.44800000000000001</v>
          </cell>
          <cell r="S191">
            <v>1857.7839999999999</v>
          </cell>
          <cell r="U191">
            <v>0.12003514893067131</v>
          </cell>
          <cell r="W191">
            <v>0.11504731236066386</v>
          </cell>
          <cell r="Y191">
            <v>-35.763130628160418</v>
          </cell>
          <cell r="AA191">
            <v>-15.276650537825176</v>
          </cell>
          <cell r="AC191">
            <v>3129.5</v>
          </cell>
          <cell r="AE191">
            <v>37.049999999999997</v>
          </cell>
          <cell r="AG191">
            <v>11757.269279393173</v>
          </cell>
          <cell r="AH191" t="e">
            <v>#REF!</v>
          </cell>
          <cell r="AI191">
            <v>0</v>
          </cell>
          <cell r="AK191">
            <v>0.59363604409650095</v>
          </cell>
          <cell r="AM191">
            <v>50.142618083670719</v>
          </cell>
          <cell r="AO191">
            <v>374.79082321187587</v>
          </cell>
          <cell r="AP191">
            <v>435.84345479082327</v>
          </cell>
          <cell r="AY191">
            <v>671</v>
          </cell>
          <cell r="BA191">
            <v>0</v>
          </cell>
        </row>
        <row r="192">
          <cell r="C192" t="str">
            <v>2004 = Trough rent</v>
          </cell>
          <cell r="F192">
            <v>16267.401000000002</v>
          </cell>
          <cell r="G192">
            <v>16267.401000000002</v>
          </cell>
          <cell r="H192">
            <v>4.0000000000000001E-3</v>
          </cell>
          <cell r="J192">
            <v>0.12171870601825099</v>
          </cell>
          <cell r="L192">
            <v>966.67</v>
          </cell>
          <cell r="N192">
            <v>5.9423751833498163E-2</v>
          </cell>
          <cell r="P192">
            <v>5.9423751833498163E-2</v>
          </cell>
          <cell r="S192">
            <v>1401.6714999999999</v>
          </cell>
          <cell r="U192">
            <v>8.6164440158572331E-2</v>
          </cell>
          <cell r="W192">
            <v>8.6164440158572331E-2</v>
          </cell>
          <cell r="Z192">
            <v>0</v>
          </cell>
          <cell r="AB192">
            <v>0</v>
          </cell>
          <cell r="AC192">
            <v>3008</v>
          </cell>
          <cell r="AE192">
            <v>36.554566499999993</v>
          </cell>
          <cell r="AG192">
            <v>12221.419171676685</v>
          </cell>
          <cell r="AH192">
            <v>0.84549409389814545</v>
          </cell>
          <cell r="AI192">
            <v>0.84549409389814545</v>
          </cell>
          <cell r="AK192">
            <v>0.46598121675531912</v>
          </cell>
          <cell r="AM192">
            <v>38.344634725732561</v>
          </cell>
          <cell r="AO192">
            <v>445.01693105839473</v>
          </cell>
          <cell r="AP192">
            <v>445.01693105839473</v>
          </cell>
          <cell r="AR192">
            <v>6.1252046671050608E-3</v>
          </cell>
          <cell r="AT192" t="str">
            <v>Adjusted Rent Expense Increase Assumption</v>
          </cell>
        </row>
        <row r="194">
          <cell r="AI194">
            <v>0</v>
          </cell>
        </row>
        <row r="195">
          <cell r="AE195" t="str">
            <v>Average</v>
          </cell>
          <cell r="AI195">
            <v>0</v>
          </cell>
          <cell r="AS195" t="str">
            <v>occupancy's role in determining potential operating margin</v>
          </cell>
        </row>
        <row r="196">
          <cell r="Q196" t="str">
            <v>Rent Expense</v>
          </cell>
          <cell r="AE196" t="str">
            <v>Total</v>
          </cell>
          <cell r="AG196" t="str">
            <v>Sq. Ft.</v>
          </cell>
          <cell r="AI196">
            <v>0</v>
          </cell>
          <cell r="AL196" t="str">
            <v>Adjusted Rent</v>
          </cell>
          <cell r="AO196" t="str">
            <v>Sales</v>
          </cell>
        </row>
        <row r="197">
          <cell r="F197" t="str">
            <v>Sales</v>
          </cell>
          <cell r="H197" t="str">
            <v>Comp.</v>
          </cell>
          <cell r="J197" t="str">
            <v>Operating</v>
          </cell>
          <cell r="L197" t="str">
            <v>per 10-K</v>
          </cell>
          <cell r="S197" t="str">
            <v>w/ adjustment</v>
          </cell>
          <cell r="AC197" t="str">
            <v>Store</v>
          </cell>
          <cell r="AE197" t="str">
            <v>Sq. Ft.</v>
          </cell>
          <cell r="AG197" t="str">
            <v>per</v>
          </cell>
          <cell r="AI197">
            <v>0</v>
          </cell>
          <cell r="AK197" t="str">
            <v>per Avg</v>
          </cell>
          <cell r="AM197" t="str">
            <v>per Avg</v>
          </cell>
          <cell r="AO197" t="str">
            <v>per Avg</v>
          </cell>
        </row>
        <row r="198">
          <cell r="F198" t="str">
            <v>($ MM)</v>
          </cell>
          <cell r="H198" t="str">
            <v>Sales %</v>
          </cell>
          <cell r="J198" t="str">
            <v>Margin</v>
          </cell>
          <cell r="L198" t="str">
            <v>$ MM</v>
          </cell>
          <cell r="N198" t="str">
            <v>% Sales</v>
          </cell>
          <cell r="P198" t="str">
            <v>% Sales</v>
          </cell>
          <cell r="R198" t="str">
            <v>Adj.</v>
          </cell>
          <cell r="S198" t="str">
            <v>$ MM</v>
          </cell>
          <cell r="U198" t="str">
            <v>% Sales</v>
          </cell>
          <cell r="AC198" t="str">
            <v>Count</v>
          </cell>
          <cell r="AE198" t="str">
            <v>(MM)</v>
          </cell>
          <cell r="AG198" t="str">
            <v>Store</v>
          </cell>
          <cell r="AI198">
            <v>0</v>
          </cell>
          <cell r="AK198" t="str">
            <v>Store</v>
          </cell>
          <cell r="AM198" t="str">
            <v>Sq. Ft.</v>
          </cell>
          <cell r="AO198" t="str">
            <v>Sq. Ft.</v>
          </cell>
          <cell r="AS198" t="str">
            <v>Notes on Rent:</v>
          </cell>
        </row>
        <row r="199">
          <cell r="C199">
            <v>1998</v>
          </cell>
          <cell r="D199">
            <v>6</v>
          </cell>
          <cell r="E199">
            <v>6</v>
          </cell>
          <cell r="F199">
            <v>103.37</v>
          </cell>
          <cell r="H199">
            <v>4.0000000000000001E-3</v>
          </cell>
          <cell r="J199">
            <v>8.1638773338492829E-2</v>
          </cell>
          <cell r="L199">
            <v>7.5055139999999998</v>
          </cell>
          <cell r="N199">
            <v>7.2608242236625709E-2</v>
          </cell>
          <cell r="P199" t="str">
            <v>-</v>
          </cell>
          <cell r="S199">
            <v>12.0088224</v>
          </cell>
          <cell r="U199">
            <v>0.11617318757860114</v>
          </cell>
          <cell r="AC199">
            <v>133</v>
          </cell>
          <cell r="AE199">
            <v>0.19071955719557196</v>
          </cell>
          <cell r="AG199">
            <v>1424</v>
          </cell>
          <cell r="AH199">
            <v>0.87458067757331504</v>
          </cell>
          <cell r="AI199">
            <v>0</v>
          </cell>
          <cell r="AK199">
            <v>9.0291897744360902E-2</v>
          </cell>
          <cell r="AM199">
            <v>62.965867667601813</v>
          </cell>
          <cell r="AO199">
            <v>542</v>
          </cell>
        </row>
        <row r="200">
          <cell r="C200">
            <v>1999</v>
          </cell>
          <cell r="D200">
            <v>7</v>
          </cell>
          <cell r="E200">
            <v>7</v>
          </cell>
          <cell r="F200">
            <v>168.94900000000001</v>
          </cell>
          <cell r="H200">
            <v>0.22800000000000001</v>
          </cell>
          <cell r="J200">
            <v>0.11957454616481908</v>
          </cell>
          <cell r="L200">
            <v>10.364345</v>
          </cell>
          <cell r="N200">
            <v>6.1345997904693125E-2</v>
          </cell>
          <cell r="P200" t="str">
            <v>-</v>
          </cell>
          <cell r="S200">
            <v>16.582952000000002</v>
          </cell>
          <cell r="U200">
            <v>9.8153596647509014E-2</v>
          </cell>
          <cell r="AC200">
            <v>185</v>
          </cell>
          <cell r="AE200">
            <v>0.27118619582664527</v>
          </cell>
          <cell r="AG200">
            <v>1482.0707547169811</v>
          </cell>
          <cell r="AH200">
            <v>0.9632613866155374</v>
          </cell>
          <cell r="AI200">
            <v>0</v>
          </cell>
          <cell r="AK200">
            <v>8.9637578378378394E-2</v>
          </cell>
          <cell r="AM200">
            <v>61.149690711398122</v>
          </cell>
          <cell r="AO200">
            <v>623</v>
          </cell>
        </row>
        <row r="201">
          <cell r="A201" t="str">
            <v>HOTT2000</v>
          </cell>
          <cell r="C201">
            <v>2000</v>
          </cell>
          <cell r="D201">
            <v>8</v>
          </cell>
          <cell r="E201">
            <v>8</v>
          </cell>
          <cell r="F201">
            <v>257.18799999999999</v>
          </cell>
          <cell r="H201">
            <v>0.16699999999999998</v>
          </cell>
          <cell r="J201">
            <v>0.13598223867365503</v>
          </cell>
          <cell r="L201">
            <v>16.093</v>
          </cell>
          <cell r="N201">
            <v>6.2572903867987625E-2</v>
          </cell>
          <cell r="P201" t="str">
            <v>-</v>
          </cell>
          <cell r="S201">
            <v>25.748800000000003</v>
          </cell>
          <cell r="U201">
            <v>0.1001166461887802</v>
          </cell>
          <cell r="AC201">
            <v>243</v>
          </cell>
          <cell r="AE201">
            <v>0.38646609865470849</v>
          </cell>
          <cell r="AG201">
            <v>1558.3941605839416</v>
          </cell>
          <cell r="AH201">
            <v>0.80096093047601291</v>
          </cell>
          <cell r="AI201">
            <v>0</v>
          </cell>
          <cell r="AK201">
            <v>0.10596213991769549</v>
          </cell>
          <cell r="AM201">
            <v>66.626283882678919</v>
          </cell>
          <cell r="AO201">
            <v>669</v>
          </cell>
        </row>
        <row r="202">
          <cell r="C202">
            <v>2001</v>
          </cell>
          <cell r="D202">
            <v>9</v>
          </cell>
          <cell r="E202">
            <v>9</v>
          </cell>
          <cell r="F202">
            <v>336.09300000000002</v>
          </cell>
          <cell r="H202">
            <v>3.9E-2</v>
          </cell>
          <cell r="J202">
            <v>0.13136542564111722</v>
          </cell>
          <cell r="L202">
            <v>21.783999999999999</v>
          </cell>
          <cell r="N202">
            <v>6.4815393358385917E-2</v>
          </cell>
          <cell r="P202" t="str">
            <v>-</v>
          </cell>
          <cell r="S202">
            <v>34.854399999999998</v>
          </cell>
          <cell r="U202">
            <v>0.10370462937341747</v>
          </cell>
          <cell r="AC202">
            <v>313</v>
          </cell>
          <cell r="AE202">
            <v>0.50714999999999999</v>
          </cell>
          <cell r="AG202">
            <v>1668.4659090909092</v>
          </cell>
          <cell r="AH202">
            <v>0.83955481404444587</v>
          </cell>
          <cell r="AI202">
            <v>0</v>
          </cell>
          <cell r="AK202">
            <v>0.11135591054313099</v>
          </cell>
          <cell r="AM202">
            <v>68.726017943409246</v>
          </cell>
          <cell r="AO202">
            <v>663.3824213743469</v>
          </cell>
          <cell r="AS202" t="str">
            <v xml:space="preserve">Total rent expense as reported in footnote 5 includes only minimum rent and </v>
          </cell>
        </row>
        <row r="203">
          <cell r="C203">
            <v>2002</v>
          </cell>
          <cell r="D203">
            <v>10</v>
          </cell>
          <cell r="E203">
            <v>10</v>
          </cell>
          <cell r="F203">
            <v>443.25</v>
          </cell>
          <cell r="H203">
            <v>0.05</v>
          </cell>
          <cell r="J203">
            <v>0.12094303440496341</v>
          </cell>
          <cell r="L203">
            <v>30.786999999999999</v>
          </cell>
          <cell r="N203">
            <v>6.9457416807670619E-2</v>
          </cell>
          <cell r="P203" t="str">
            <v>-</v>
          </cell>
          <cell r="S203">
            <v>49.2592</v>
          </cell>
          <cell r="U203">
            <v>0.11113186689227299</v>
          </cell>
          <cell r="AC203">
            <v>398.5</v>
          </cell>
          <cell r="AE203">
            <v>0.6859615</v>
          </cell>
          <cell r="AG203">
            <v>1763.1977528089888</v>
          </cell>
          <cell r="AH203">
            <v>0.74228900100459638</v>
          </cell>
          <cell r="AI203">
            <v>0</v>
          </cell>
          <cell r="AK203">
            <v>0.12361154328732747</v>
          </cell>
          <cell r="AM203">
            <v>71.810444172158356</v>
          </cell>
          <cell r="AO203">
            <v>645.33119343380429</v>
          </cell>
          <cell r="AS203" t="str">
            <v>contingent (percentage) rent. It does not include CAM, RE taxes, or insurance.</v>
          </cell>
        </row>
        <row r="204">
          <cell r="C204">
            <v>2003</v>
          </cell>
          <cell r="D204">
            <v>11</v>
          </cell>
          <cell r="E204">
            <v>11</v>
          </cell>
          <cell r="F204">
            <v>572.03899999999999</v>
          </cell>
          <cell r="H204">
            <v>7.400000000000001E-2</v>
          </cell>
          <cell r="J204">
            <v>0.13252592917615758</v>
          </cell>
          <cell r="L204">
            <v>38.572000000000003</v>
          </cell>
          <cell r="N204">
            <v>6.7428969003861625E-2</v>
          </cell>
          <cell r="P204" t="str">
            <v>-</v>
          </cell>
          <cell r="S204">
            <v>61.71520000000001</v>
          </cell>
          <cell r="U204">
            <v>0.10788635040617862</v>
          </cell>
          <cell r="AC204">
            <v>499.5</v>
          </cell>
          <cell r="AE204">
            <v>0.8916115</v>
          </cell>
          <cell r="AG204">
            <v>1802.5270758122745</v>
          </cell>
          <cell r="AH204">
            <v>0.69733374263571046</v>
          </cell>
          <cell r="AI204">
            <v>0</v>
          </cell>
          <cell r="AK204">
            <v>0.12355395395395398</v>
          </cell>
          <cell r="AM204">
            <v>69.217590845340169</v>
          </cell>
          <cell r="AO204">
            <v>641.57875935875654</v>
          </cell>
          <cell r="AS204" t="str">
            <v>Minimum rent does include HQ/DC rent, and other leases (copiers, vehicles, etc.)</v>
          </cell>
        </row>
        <row r="205">
          <cell r="C205">
            <v>2004</v>
          </cell>
          <cell r="D205">
            <v>12</v>
          </cell>
          <cell r="E205">
            <v>12</v>
          </cell>
          <cell r="F205">
            <v>656.46799999999996</v>
          </cell>
          <cell r="H205">
            <v>-2.8999999999999998E-2</v>
          </cell>
          <cell r="J205">
            <v>9.6534789205262039E-2</v>
          </cell>
          <cell r="L205">
            <v>44.341000000000001</v>
          </cell>
          <cell r="N205">
            <v>6.7544800355843704E-2</v>
          </cell>
          <cell r="P205" t="str">
            <v>-</v>
          </cell>
          <cell r="S205">
            <v>70.945599999999999</v>
          </cell>
          <cell r="U205">
            <v>0.10807168056934992</v>
          </cell>
          <cell r="AC205">
            <v>611</v>
          </cell>
          <cell r="AE205">
            <v>1.1065</v>
          </cell>
          <cell r="AG205">
            <v>1817.9640718562873</v>
          </cell>
          <cell r="AH205">
            <v>0.71346169999899167</v>
          </cell>
          <cell r="AI205">
            <v>0</v>
          </cell>
          <cell r="AK205">
            <v>0.11611391162029459</v>
          </cell>
          <cell r="AM205">
            <v>64.117126073203792</v>
          </cell>
          <cell r="AO205">
            <v>593.28332580207859</v>
          </cell>
          <cell r="AT205" t="str">
            <v>Adjusted Rent Expense Increase Assumption</v>
          </cell>
        </row>
        <row r="206">
          <cell r="A206" t="str">
            <v>HOTT</v>
          </cell>
          <cell r="B206" t="str">
            <v>HOTT</v>
          </cell>
          <cell r="C206" t="str">
            <v>2005 (total revs.)</v>
          </cell>
          <cell r="D206">
            <v>13</v>
          </cell>
          <cell r="E206">
            <v>13</v>
          </cell>
          <cell r="F206">
            <v>725.14200000000005</v>
          </cell>
          <cell r="H206">
            <v>-3.4042722666732861E-2</v>
          </cell>
          <cell r="J206">
            <v>4.6472277153991957E-2</v>
          </cell>
          <cell r="L206">
            <v>50.71</v>
          </cell>
          <cell r="N206">
            <v>6.993113073025696E-2</v>
          </cell>
          <cell r="P206" t="str">
            <v>-</v>
          </cell>
          <cell r="R206">
            <v>0.6</v>
          </cell>
          <cell r="S206">
            <v>81.13600000000001</v>
          </cell>
          <cell r="U206">
            <v>0.11088980916841115</v>
          </cell>
          <cell r="Y206">
            <v>-28.181285990612341</v>
          </cell>
          <cell r="AA206">
            <v>0</v>
          </cell>
          <cell r="AC206">
            <v>725.5</v>
          </cell>
          <cell r="AE206">
            <v>1.33355</v>
          </cell>
          <cell r="AG206">
            <v>1855.3001277139208</v>
          </cell>
          <cell r="AH206">
            <v>0.64503913201248819</v>
          </cell>
          <cell r="AI206">
            <v>0.64503913201248819</v>
          </cell>
          <cell r="AK206">
            <v>0.11183459682977258</v>
          </cell>
          <cell r="AM206">
            <v>60.842113156612058</v>
          </cell>
          <cell r="AO206">
            <v>543.76813767762746</v>
          </cell>
          <cell r="AQ206" t="str">
            <v>We estimate achieves lvg. at +LSD comp.</v>
          </cell>
          <cell r="BB206">
            <v>0.20519656574785361</v>
          </cell>
        </row>
        <row r="207">
          <cell r="A207" t="str">
            <v>HOTT2006</v>
          </cell>
          <cell r="B207" t="str">
            <v>HOTT</v>
          </cell>
          <cell r="C207" t="str">
            <v>2006 (total revs.)</v>
          </cell>
          <cell r="D207">
            <v>14</v>
          </cell>
          <cell r="E207">
            <v>14</v>
          </cell>
          <cell r="F207">
            <v>751.55799999999999</v>
          </cell>
          <cell r="H207">
            <v>-6.6000000000000003E-2</v>
          </cell>
          <cell r="J207">
            <v>2.8699049175180191E-2</v>
          </cell>
          <cell r="L207">
            <v>52.305</v>
          </cell>
          <cell r="N207">
            <v>6.9595427099438764E-2</v>
          </cell>
          <cell r="P207" t="str">
            <v>-</v>
          </cell>
          <cell r="R207">
            <v>0.6</v>
          </cell>
          <cell r="S207">
            <v>83.688000000000002</v>
          </cell>
          <cell r="U207">
            <v>0.11135268335910203</v>
          </cell>
          <cell r="Y207">
            <v>-4.628741906908818</v>
          </cell>
          <cell r="AA207">
            <v>0</v>
          </cell>
          <cell r="AC207">
            <v>804</v>
          </cell>
          <cell r="AE207">
            <v>1.4969999999999999</v>
          </cell>
          <cell r="AG207">
            <v>1868.2424242424242</v>
          </cell>
          <cell r="AH207">
            <v>0.77638635651709942</v>
          </cell>
          <cell r="AI207">
            <v>0.65985622194357585</v>
          </cell>
          <cell r="AK207">
            <v>0.10408955223880598</v>
          </cell>
          <cell r="AM207">
            <v>55.90380761523047</v>
          </cell>
          <cell r="AO207">
            <v>502.04275217100871</v>
          </cell>
          <cell r="AR207" t="str">
            <v>LVG</v>
          </cell>
          <cell r="BB207">
            <v>0.12256758276780011</v>
          </cell>
        </row>
        <row r="208">
          <cell r="A208" t="str">
            <v>HOTT2007</v>
          </cell>
          <cell r="B208" t="str">
            <v>HOTT</v>
          </cell>
          <cell r="C208" t="str">
            <v>2007 (total revs.)</v>
          </cell>
          <cell r="D208">
            <v>15</v>
          </cell>
          <cell r="E208">
            <v>15</v>
          </cell>
          <cell r="F208">
            <v>728.12199999999996</v>
          </cell>
          <cell r="H208">
            <v>-4.3672477963857703E-2</v>
          </cell>
          <cell r="J208">
            <v>3.3369407873955148E-2</v>
          </cell>
          <cell r="L208">
            <v>54.707000000000001</v>
          </cell>
          <cell r="N208">
            <v>7.5134386819791191E-2</v>
          </cell>
          <cell r="P208" t="str">
            <v>-</v>
          </cell>
          <cell r="S208">
            <v>87.531200000000013</v>
          </cell>
          <cell r="U208">
            <v>0.12021501891166593</v>
          </cell>
          <cell r="Y208">
            <v>-88.623355525638971</v>
          </cell>
          <cell r="AA208">
            <v>0</v>
          </cell>
          <cell r="AC208">
            <v>833</v>
          </cell>
          <cell r="AE208">
            <v>1.5644499999999999</v>
          </cell>
          <cell r="AG208">
            <v>1887.7526753864447</v>
          </cell>
          <cell r="AH208">
            <v>-4.2119313612750689E-2</v>
          </cell>
          <cell r="AI208">
            <v>0.25599600043235293</v>
          </cell>
          <cell r="AK208">
            <v>0.1050794717887155</v>
          </cell>
          <cell r="AM208">
            <v>55.950142222506322</v>
          </cell>
          <cell r="AO208">
            <v>465.41723928537186</v>
          </cell>
          <cell r="AR208">
            <v>50.09401586675191</v>
          </cell>
          <cell r="BB208">
            <v>4.5056780227120896E-2</v>
          </cell>
        </row>
        <row r="209">
          <cell r="A209" t="str">
            <v>HOTT2008</v>
          </cell>
          <cell r="B209" t="str">
            <v>HOTT</v>
          </cell>
          <cell r="C209" t="str">
            <v>2008 (total revs.)</v>
          </cell>
          <cell r="D209">
            <v>16</v>
          </cell>
          <cell r="E209">
            <v>16</v>
          </cell>
          <cell r="F209">
            <v>761.07400000000007</v>
          </cell>
          <cell r="H209">
            <v>0.01</v>
          </cell>
          <cell r="J209">
            <v>4.0496719110099784E-2</v>
          </cell>
          <cell r="L209">
            <v>54.8</v>
          </cell>
          <cell r="N209">
            <v>7.2003510828119205E-2</v>
          </cell>
          <cell r="P209" t="str">
            <v>-</v>
          </cell>
          <cell r="S209">
            <v>87.68</v>
          </cell>
          <cell r="U209">
            <v>0.11520561732499074</v>
          </cell>
          <cell r="Y209">
            <v>50.09401586675191</v>
          </cell>
          <cell r="AA209">
            <v>0</v>
          </cell>
          <cell r="AC209">
            <v>840.5</v>
          </cell>
          <cell r="AE209">
            <v>1.5904499999999999</v>
          </cell>
          <cell r="AG209">
            <v>1896.7857142857142</v>
          </cell>
          <cell r="AH209">
            <v>1.1089599247168989</v>
          </cell>
          <cell r="AI209">
            <v>1.1089599247169124</v>
          </cell>
          <cell r="AK209">
            <v>0.10431885782272457</v>
          </cell>
          <cell r="AM209">
            <v>55.129051526297594</v>
          </cell>
          <cell r="AO209">
            <v>478.52746078153979</v>
          </cell>
          <cell r="AR209">
            <v>59.576173249907413</v>
          </cell>
          <cell r="BB209">
            <v>1.6619259164562639E-2</v>
          </cell>
        </row>
        <row r="210">
          <cell r="A210" t="str">
            <v>HOTT2009</v>
          </cell>
          <cell r="B210" t="str">
            <v>HOTT</v>
          </cell>
          <cell r="C210" t="str">
            <v>2009E (total revs.)</v>
          </cell>
          <cell r="D210">
            <v>17</v>
          </cell>
          <cell r="E210">
            <v>17</v>
          </cell>
          <cell r="F210">
            <v>736.71</v>
          </cell>
          <cell r="H210">
            <v>-4.6097709933385057E-2</v>
          </cell>
          <cell r="J210">
            <v>2.6125612520530563E-2</v>
          </cell>
          <cell r="L210">
            <v>50.3025588</v>
          </cell>
          <cell r="N210">
            <v>6.8279999999999993E-2</v>
          </cell>
          <cell r="P210" t="str">
            <v>-</v>
          </cell>
          <cell r="S210">
            <v>80.484094080000006</v>
          </cell>
          <cell r="U210">
            <v>0.109248</v>
          </cell>
          <cell r="Y210">
            <v>59.576173249907413</v>
          </cell>
          <cell r="AA210">
            <v>0</v>
          </cell>
          <cell r="AC210">
            <v>838</v>
          </cell>
          <cell r="AE210">
            <v>1.5897515</v>
          </cell>
          <cell r="AG210">
            <v>1897.3720095693782</v>
          </cell>
          <cell r="AH210">
            <v>12.064675922680625</v>
          </cell>
          <cell r="AI210">
            <v>0</v>
          </cell>
          <cell r="AK210">
            <v>9.6043071694510748E-2</v>
          </cell>
          <cell r="AM210">
            <v>50.626839528064608</v>
          </cell>
          <cell r="AO210">
            <v>463.41204899004651</v>
          </cell>
          <cell r="BA210">
            <v>-8.207009489051087E-2</v>
          </cell>
          <cell r="BB210">
            <v>-4.3918387877639464E-4</v>
          </cell>
          <cell r="BC210">
            <v>-8.1630911011734475E-2</v>
          </cell>
        </row>
        <row r="212">
          <cell r="C212" t="str">
            <v>1999 = Trough rent</v>
          </cell>
          <cell r="F212">
            <v>168.94900000000001</v>
          </cell>
          <cell r="H212">
            <v>0.22800000000000001</v>
          </cell>
          <cell r="I212">
            <v>0</v>
          </cell>
          <cell r="J212">
            <v>0.11957454616481908</v>
          </cell>
          <cell r="K212">
            <v>0</v>
          </cell>
          <cell r="L212">
            <v>10.364345</v>
          </cell>
          <cell r="M212">
            <v>0</v>
          </cell>
          <cell r="N212">
            <v>6.1345997904693125E-2</v>
          </cell>
          <cell r="O212">
            <v>0</v>
          </cell>
          <cell r="P212" t="str">
            <v>-</v>
          </cell>
          <cell r="Q212">
            <v>0</v>
          </cell>
          <cell r="S212">
            <v>16.582952000000002</v>
          </cell>
          <cell r="T212">
            <v>0</v>
          </cell>
          <cell r="U212">
            <v>9.8153596647509014E-2</v>
          </cell>
          <cell r="Z212">
            <v>0</v>
          </cell>
          <cell r="AB212">
            <v>0</v>
          </cell>
          <cell r="AC212">
            <v>185</v>
          </cell>
          <cell r="AD212">
            <v>0</v>
          </cell>
          <cell r="AE212">
            <v>0.27118619582664527</v>
          </cell>
          <cell r="AF212">
            <v>0</v>
          </cell>
          <cell r="AG212">
            <v>1482.0707547169811</v>
          </cell>
          <cell r="AH212">
            <v>0.9632613866155374</v>
          </cell>
          <cell r="AI212">
            <v>0.9632613866155374</v>
          </cell>
          <cell r="AJ212">
            <v>0</v>
          </cell>
          <cell r="AK212">
            <v>8.9637578378378394E-2</v>
          </cell>
          <cell r="AL212">
            <v>0</v>
          </cell>
          <cell r="AM212">
            <v>61.149690711398122</v>
          </cell>
          <cell r="AN212">
            <v>0</v>
          </cell>
          <cell r="AO212">
            <v>623</v>
          </cell>
          <cell r="AR212">
            <v>-9.3448933644288523E-2</v>
          </cell>
        </row>
        <row r="214">
          <cell r="A214" t="str">
            <v>KORS2008</v>
          </cell>
          <cell r="B214" t="str">
            <v>KORS</v>
          </cell>
          <cell r="C214">
            <v>2008</v>
          </cell>
          <cell r="D214">
            <v>5</v>
          </cell>
          <cell r="E214">
            <v>6</v>
          </cell>
          <cell r="F214">
            <v>114.03099999999995</v>
          </cell>
          <cell r="G214">
            <v>397.07399999999996</v>
          </cell>
          <cell r="H214">
            <v>0</v>
          </cell>
          <cell r="J214">
            <v>6.1041518709359033E-2</v>
          </cell>
          <cell r="L214">
            <v>20.265000000000001</v>
          </cell>
          <cell r="N214">
            <v>0.17771483193166779</v>
          </cell>
          <cell r="P214">
            <v>5.1035827075054024E-2</v>
          </cell>
          <cell r="R214">
            <v>0.22500000000000001</v>
          </cell>
          <cell r="S214">
            <v>24.824625000000001</v>
          </cell>
          <cell r="U214">
            <v>0.21770066911629304</v>
          </cell>
          <cell r="W214">
            <v>6.2518888166941178E-2</v>
          </cell>
          <cell r="AC214">
            <v>37</v>
          </cell>
          <cell r="AE214">
            <v>9.3181E-2</v>
          </cell>
          <cell r="AG214">
            <v>2518.4054054054054</v>
          </cell>
          <cell r="AH214" t="e">
            <v>#N/A</v>
          </cell>
          <cell r="AI214">
            <v>0</v>
          </cell>
          <cell r="AK214">
            <v>0.67093581081081088</v>
          </cell>
          <cell r="AM214">
            <v>266.41294899174727</v>
          </cell>
          <cell r="AO214">
            <v>1223.758062265912</v>
          </cell>
          <cell r="AP214">
            <v>1223.758062265912</v>
          </cell>
          <cell r="AQ214" t="str">
            <v>For KORS only sales/sqft calculated with store sales only. store sales excl. Licensing/Wholesale/Other sales ($675M in '11). Note FY12 is currently in 4Q, data represents FY estimates.</v>
          </cell>
          <cell r="AR214">
            <v>1487.6586056199717</v>
          </cell>
          <cell r="AU214">
            <v>1487.6586056199717</v>
          </cell>
          <cell r="AY214">
            <v>20.015999999999998</v>
          </cell>
          <cell r="AZ214">
            <v>263.02699999999999</v>
          </cell>
        </row>
        <row r="215">
          <cell r="A215" t="str">
            <v>KORS2009</v>
          </cell>
          <cell r="B215" t="str">
            <v>KORS</v>
          </cell>
          <cell r="C215">
            <v>2009</v>
          </cell>
          <cell r="D215">
            <v>6</v>
          </cell>
          <cell r="E215">
            <v>7</v>
          </cell>
          <cell r="F215">
            <v>483.45299999999997</v>
          </cell>
          <cell r="G215">
            <v>508.09999999999997</v>
          </cell>
          <cell r="H215">
            <v>0</v>
          </cell>
          <cell r="J215">
            <v>0.11055894508954933</v>
          </cell>
          <cell r="L215">
            <v>27.317</v>
          </cell>
          <cell r="N215">
            <v>5.6503941437947437E-2</v>
          </cell>
          <cell r="P215">
            <v>5.3763038771895297E-2</v>
          </cell>
          <cell r="R215">
            <v>0.22</v>
          </cell>
          <cell r="S215">
            <v>33.326740000000001</v>
          </cell>
          <cell r="U215">
            <v>6.8934808554295873E-2</v>
          </cell>
          <cell r="W215">
            <v>6.559090730171227E-2</v>
          </cell>
          <cell r="Y215">
            <v>1487.6586056199717</v>
          </cell>
          <cell r="AA215">
            <v>-30.720191347710923</v>
          </cell>
          <cell r="AC215">
            <v>90</v>
          </cell>
          <cell r="AE215">
            <v>9.3387871572530881E-2</v>
          </cell>
          <cell r="AG215">
            <v>1037.6430174725654</v>
          </cell>
          <cell r="AH215" t="e">
            <v>#N/A</v>
          </cell>
          <cell r="AI215">
            <v>3.6379999999999999</v>
          </cell>
          <cell r="AK215">
            <v>0.37029711111111113</v>
          </cell>
          <cell r="AM215">
            <v>356.86368517475381</v>
          </cell>
          <cell r="AO215">
            <v>5176.8285523513623</v>
          </cell>
          <cell r="AP215">
            <v>5176.8285523513623</v>
          </cell>
          <cell r="AR215">
            <v>-62.997325311370673</v>
          </cell>
          <cell r="AS215">
            <v>1.4324324324324325</v>
          </cell>
          <cell r="AU215">
            <v>1424.6612803086009</v>
          </cell>
          <cell r="AY215">
            <v>24.646999999999998</v>
          </cell>
          <cell r="AZ215">
            <v>0</v>
          </cell>
          <cell r="BA215">
            <v>2.2201046622261078E-3</v>
          </cell>
        </row>
        <row r="216">
          <cell r="A216" t="str">
            <v>KORS2010</v>
          </cell>
          <cell r="B216" t="str">
            <v>KORS</v>
          </cell>
          <cell r="C216">
            <v>2010</v>
          </cell>
          <cell r="D216">
            <v>7</v>
          </cell>
          <cell r="E216">
            <v>8</v>
          </cell>
          <cell r="F216">
            <v>757.79900000000009</v>
          </cell>
          <cell r="G216">
            <v>803.33860000000004</v>
          </cell>
          <cell r="H216">
            <v>0</v>
          </cell>
          <cell r="J216">
            <v>0.17037099922747398</v>
          </cell>
          <cell r="L216">
            <v>46.923999999999999</v>
          </cell>
          <cell r="N216">
            <v>6.1921432992125873E-2</v>
          </cell>
          <cell r="P216">
            <v>5.8411235312233217E-2</v>
          </cell>
          <cell r="R216">
            <v>0.215</v>
          </cell>
          <cell r="S216">
            <v>57.012660000000004</v>
          </cell>
          <cell r="U216">
            <v>7.523454108543294E-2</v>
          </cell>
          <cell r="W216">
            <v>7.0969650904363371E-2</v>
          </cell>
          <cell r="Y216">
            <v>-62.997325311370673</v>
          </cell>
          <cell r="AA216">
            <v>-53.78743602651101</v>
          </cell>
          <cell r="AC216">
            <v>136</v>
          </cell>
          <cell r="AE216">
            <v>4.1039723788682526E-4</v>
          </cell>
          <cell r="AG216">
            <v>3.017626749167833</v>
          </cell>
          <cell r="AH216" t="e">
            <v>#N/A</v>
          </cell>
          <cell r="AI216">
            <v>4.024</v>
          </cell>
          <cell r="AK216">
            <v>0.41921073529411768</v>
          </cell>
          <cell r="AM216">
            <v>138920.67181924434</v>
          </cell>
          <cell r="AO216">
            <v>1846501.2189214036</v>
          </cell>
          <cell r="AP216">
            <v>1846501.2189214036</v>
          </cell>
          <cell r="AR216">
            <v>42.284862719047105</v>
          </cell>
          <cell r="AS216">
            <v>0.51111111111111107</v>
          </cell>
          <cell r="AY216">
            <v>45.5396</v>
          </cell>
          <cell r="AZ216">
            <v>0</v>
          </cell>
          <cell r="BA216">
            <v>-0.99560545463799244</v>
          </cell>
        </row>
        <row r="217">
          <cell r="A217" t="str">
            <v>KORS2011</v>
          </cell>
          <cell r="B217" t="str">
            <v>KORS</v>
          </cell>
          <cell r="C217">
            <v>2011</v>
          </cell>
          <cell r="D217">
            <v>8</v>
          </cell>
          <cell r="E217">
            <v>9</v>
          </cell>
          <cell r="F217">
            <v>1236.702</v>
          </cell>
          <cell r="G217">
            <v>1301.857</v>
          </cell>
          <cell r="H217">
            <v>0</v>
          </cell>
          <cell r="J217">
            <v>0.20914048163507978</v>
          </cell>
          <cell r="L217">
            <v>72.572999999999993</v>
          </cell>
          <cell r="N217">
            <v>5.8682689928535731E-2</v>
          </cell>
          <cell r="P217">
            <v>5.5745753949934591E-2</v>
          </cell>
          <cell r="R217">
            <v>0.21</v>
          </cell>
          <cell r="S217">
            <v>87.813329999999993</v>
          </cell>
          <cell r="U217">
            <v>7.100605481352823E-2</v>
          </cell>
          <cell r="W217">
            <v>6.7452362279420849E-2</v>
          </cell>
          <cell r="Y217">
            <v>42.284862719047105</v>
          </cell>
          <cell r="AA217">
            <v>35.172886249425218</v>
          </cell>
          <cell r="AC217">
            <v>201.5</v>
          </cell>
          <cell r="AE217">
            <v>4.265324118147954E-4</v>
          </cell>
          <cell r="AG217">
            <v>2.1167861628525824</v>
          </cell>
          <cell r="AH217" t="e">
            <v>#N/A</v>
          </cell>
          <cell r="AI217">
            <v>4.2779999999999996</v>
          </cell>
          <cell r="AK217">
            <v>0.4357981637717121</v>
          </cell>
          <cell r="AM217">
            <v>205877.27349106921</v>
          </cell>
          <cell r="AO217">
            <v>2899432.647423259</v>
          </cell>
          <cell r="AP217">
            <v>2899432.647423259</v>
          </cell>
          <cell r="AR217">
            <v>37.976276349204056</v>
          </cell>
          <cell r="AS217">
            <v>0.48161764705882359</v>
          </cell>
          <cell r="AY217">
            <v>65.155000000000001</v>
          </cell>
          <cell r="AZ217">
            <v>0</v>
          </cell>
          <cell r="BA217">
            <v>3.9315990553571156E-2</v>
          </cell>
        </row>
        <row r="218">
          <cell r="A218" t="str">
            <v>KORS2012</v>
          </cell>
          <cell r="B218" t="str">
            <v>KORS</v>
          </cell>
          <cell r="C218">
            <v>2012</v>
          </cell>
          <cell r="D218">
            <v>9</v>
          </cell>
          <cell r="E218">
            <v>10</v>
          </cell>
          <cell r="F218">
            <v>2094.9360000000001</v>
          </cell>
          <cell r="G218">
            <v>2181.8760000000002</v>
          </cell>
          <cell r="H218">
            <v>0</v>
          </cell>
          <cell r="J218">
            <v>0.27807961145283255</v>
          </cell>
          <cell r="L218">
            <v>116.26536217988766</v>
          </cell>
          <cell r="N218">
            <v>5.5498288339065081E-2</v>
          </cell>
          <cell r="P218">
            <v>5.3286878896824409E-2</v>
          </cell>
          <cell r="R218">
            <v>0.21099999999999999</v>
          </cell>
          <cell r="S218">
            <v>140.79735359984397</v>
          </cell>
          <cell r="U218">
            <v>6.7208427178607824E-2</v>
          </cell>
          <cell r="W218">
            <v>6.4530410344054365E-2</v>
          </cell>
          <cell r="Y218">
            <v>37.976276349204056</v>
          </cell>
          <cell r="AA218">
            <v>29.219519353664847</v>
          </cell>
          <cell r="AC218">
            <v>270.5</v>
          </cell>
          <cell r="AE218">
            <v>3.4961665288653766E-4</v>
          </cell>
          <cell r="AG218">
            <v>1.2924830051258325</v>
          </cell>
          <cell r="AH218" t="e">
            <v>#N/A</v>
          </cell>
          <cell r="AI218">
            <v>4.4009999999999998</v>
          </cell>
          <cell r="AK218">
            <v>0.52050777670921988</v>
          </cell>
          <cell r="AM218">
            <v>402719.24245421297</v>
          </cell>
          <cell r="AO218">
            <v>5992094.4345859783</v>
          </cell>
          <cell r="AP218">
            <v>5992094.4345859783</v>
          </cell>
          <cell r="AR218">
            <v>32.241586930621821</v>
          </cell>
          <cell r="AS218">
            <v>0.3424317617866004</v>
          </cell>
          <cell r="AY218">
            <v>86.94</v>
          </cell>
          <cell r="AZ218">
            <v>0</v>
          </cell>
          <cell r="BA218">
            <v>-0.18032805197851021</v>
          </cell>
        </row>
        <row r="219">
          <cell r="A219" t="str">
            <v>KORS2013</v>
          </cell>
          <cell r="B219" t="str">
            <v>KORS</v>
          </cell>
          <cell r="C219" t="str">
            <v>2013e</v>
          </cell>
          <cell r="D219">
            <v>10</v>
          </cell>
          <cell r="E219">
            <v>11</v>
          </cell>
          <cell r="F219">
            <v>2846.5395983040257</v>
          </cell>
          <cell r="G219">
            <v>2986.8905983040258</v>
          </cell>
          <cell r="H219">
            <v>0</v>
          </cell>
          <cell r="J219">
            <v>0.26883880286089917</v>
          </cell>
          <cell r="L219">
            <v>150.39946648441122</v>
          </cell>
          <cell r="N219">
            <v>5.2835894703175582E-2</v>
          </cell>
          <cell r="P219">
            <v>5.035318888807274E-2</v>
          </cell>
          <cell r="R219">
            <v>0.21099999999999999</v>
          </cell>
          <cell r="S219">
            <v>182.13375391262201</v>
          </cell>
          <cell r="U219">
            <v>6.3984268485545642E-2</v>
          </cell>
          <cell r="W219">
            <v>6.0977711743456099E-2</v>
          </cell>
          <cell r="Y219">
            <v>32.241586930621821</v>
          </cell>
          <cell r="AA219">
            <v>35.526986005982657</v>
          </cell>
          <cell r="AC219">
            <v>354.5</v>
          </cell>
          <cell r="AE219">
            <v>1.6521559532391717E-4</v>
          </cell>
          <cell r="AG219">
            <v>0.46605245507451948</v>
          </cell>
          <cell r="AH219" t="e">
            <v>#N/A</v>
          </cell>
          <cell r="AI219">
            <v>0</v>
          </cell>
          <cell r="AK219">
            <v>0.51377645673518202</v>
          </cell>
          <cell r="AM219">
            <v>1102400.4940667711</v>
          </cell>
          <cell r="AO219">
            <v>17229242.752315108</v>
          </cell>
          <cell r="AP219">
            <v>17229242.752315108</v>
          </cell>
          <cell r="AY219">
            <v>140.351</v>
          </cell>
          <cell r="AZ219">
            <v>0</v>
          </cell>
          <cell r="BA219">
            <v>-0.52743785526276077</v>
          </cell>
        </row>
        <row r="220">
          <cell r="C220" t="str">
            <v>2012e = Trough rent</v>
          </cell>
          <cell r="F220">
            <v>2846.5395983040257</v>
          </cell>
          <cell r="G220">
            <v>2986.8905983040258</v>
          </cell>
          <cell r="H220">
            <v>0</v>
          </cell>
          <cell r="J220">
            <v>0.26883880286089917</v>
          </cell>
          <cell r="L220">
            <v>150.39946648441122</v>
          </cell>
          <cell r="N220">
            <v>5.2835894703175582E-2</v>
          </cell>
          <cell r="P220">
            <v>5.035318888807274E-2</v>
          </cell>
          <cell r="S220">
            <v>182.13375391262201</v>
          </cell>
          <cell r="U220">
            <v>6.3984268485545642E-2</v>
          </cell>
          <cell r="W220">
            <v>6.0977711743456099E-2</v>
          </cell>
          <cell r="Z220">
            <v>0</v>
          </cell>
          <cell r="AB220">
            <v>0</v>
          </cell>
          <cell r="AC220">
            <v>354.5</v>
          </cell>
          <cell r="AE220">
            <v>1.6521559532391717E-4</v>
          </cell>
          <cell r="AG220">
            <v>0.46605245507451948</v>
          </cell>
          <cell r="AH220">
            <v>0.71346169999899167</v>
          </cell>
          <cell r="AI220">
            <v>0.71346169999899167</v>
          </cell>
          <cell r="AK220">
            <v>0.51377645673518202</v>
          </cell>
          <cell r="AM220">
            <v>1102400.4940667711</v>
          </cell>
          <cell r="AO220">
            <v>17229242.752315108</v>
          </cell>
          <cell r="AP220">
            <v>17229242.752315108</v>
          </cell>
          <cell r="AR220">
            <v>-0.15827985777134984</v>
          </cell>
          <cell r="AS220">
            <v>42204</v>
          </cell>
          <cell r="AT220">
            <v>30818</v>
          </cell>
          <cell r="AU220">
            <v>21185</v>
          </cell>
          <cell r="AV220" t="str">
            <v>total rent expense</v>
          </cell>
        </row>
        <row r="223">
          <cell r="AI223">
            <v>0</v>
          </cell>
        </row>
        <row r="224">
          <cell r="C224">
            <v>1998</v>
          </cell>
          <cell r="D224">
            <v>10</v>
          </cell>
          <cell r="E224">
            <v>20</v>
          </cell>
          <cell r="F224">
            <v>5824</v>
          </cell>
          <cell r="H224">
            <v>0.06</v>
          </cell>
          <cell r="J224">
            <v>7.2743971904971033E-2</v>
          </cell>
          <cell r="L224">
            <v>728.88199999999995</v>
          </cell>
          <cell r="N224">
            <v>0.12515144230769229</v>
          </cell>
          <cell r="P224" t="str">
            <v>-</v>
          </cell>
          <cell r="S224">
            <v>1056.8788999999999</v>
          </cell>
          <cell r="U224">
            <v>0.18146959134615384</v>
          </cell>
          <cell r="AC224">
            <v>5511</v>
          </cell>
          <cell r="AE224">
            <v>34.197499999999991</v>
          </cell>
          <cell r="AG224">
            <v>6112.0401337792637</v>
          </cell>
          <cell r="AH224">
            <v>-0.59071831008957132</v>
          </cell>
          <cell r="AI224">
            <v>0</v>
          </cell>
          <cell r="AK224">
            <v>0.19177624750499001</v>
          </cell>
          <cell r="AM224">
            <v>30.905150961327589</v>
          </cell>
          <cell r="AO224">
            <v>236.20384531032977</v>
          </cell>
          <cell r="AY224">
            <v>759</v>
          </cell>
          <cell r="AZ224" t="e">
            <v>#N/A</v>
          </cell>
        </row>
        <row r="225">
          <cell r="C225">
            <v>1999</v>
          </cell>
          <cell r="D225">
            <v>11</v>
          </cell>
          <cell r="E225">
            <v>21</v>
          </cell>
          <cell r="F225">
            <v>6330.0669999999991</v>
          </cell>
          <cell r="H225">
            <v>0.08</v>
          </cell>
          <cell r="J225">
            <v>0.10142919829788487</v>
          </cell>
          <cell r="L225">
            <v>721.11500000000001</v>
          </cell>
          <cell r="N225">
            <v>0.11391901539114832</v>
          </cell>
          <cell r="P225" t="str">
            <v>-</v>
          </cell>
          <cell r="S225">
            <v>1045.6167499999999</v>
          </cell>
          <cell r="U225">
            <v>0.16518257231716504</v>
          </cell>
          <cell r="Y225">
            <v>162.87019028988797</v>
          </cell>
          <cell r="AA225">
            <v>0</v>
          </cell>
          <cell r="AC225">
            <v>5202.5</v>
          </cell>
          <cell r="AE225">
            <v>31.192499999999995</v>
          </cell>
          <cell r="AG225">
            <v>5870.9934302209831</v>
          </cell>
          <cell r="AH225">
            <v>-7.8447952616746072E-2</v>
          </cell>
          <cell r="AI225">
            <v>0</v>
          </cell>
          <cell r="AK225">
            <v>0.20098351753964439</v>
          </cell>
          <cell r="AM225">
            <v>33.521415404343998</v>
          </cell>
          <cell r="AO225">
            <v>202.93554540354251</v>
          </cell>
          <cell r="AY225">
            <v>955.99300000000005</v>
          </cell>
          <cell r="AZ225" t="e">
            <v>#N/A</v>
          </cell>
        </row>
        <row r="226">
          <cell r="C226">
            <v>2000</v>
          </cell>
          <cell r="D226">
            <v>12</v>
          </cell>
          <cell r="E226">
            <v>22</v>
          </cell>
          <cell r="F226">
            <v>6959.6849999999995</v>
          </cell>
          <cell r="H226">
            <v>0.05</v>
          </cell>
          <cell r="J226">
            <v>9.9657008851657555E-2</v>
          </cell>
          <cell r="L226">
            <v>711</v>
          </cell>
          <cell r="N226">
            <v>0.10215979602525115</v>
          </cell>
          <cell r="P226" t="str">
            <v>-</v>
          </cell>
          <cell r="S226">
            <v>1030.95</v>
          </cell>
          <cell r="U226">
            <v>0.14813170423661418</v>
          </cell>
          <cell r="Y226">
            <v>170.50868080550867</v>
          </cell>
          <cell r="AA226">
            <v>0</v>
          </cell>
          <cell r="AC226">
            <v>5076</v>
          </cell>
          <cell r="AE226">
            <v>29.259999999999998</v>
          </cell>
          <cell r="AG226">
            <v>5659.9727042308441</v>
          </cell>
          <cell r="AH226">
            <v>-0.7984096220623913</v>
          </cell>
          <cell r="AI226">
            <v>0</v>
          </cell>
          <cell r="AK226">
            <v>0.20310283687943265</v>
          </cell>
          <cell r="AM226">
            <v>35.234107997265895</v>
          </cell>
          <cell r="AO226">
            <v>237.85663021189336</v>
          </cell>
          <cell r="AY226">
            <v>962.44299999999998</v>
          </cell>
          <cell r="AZ226" t="e">
            <v>#N/A</v>
          </cell>
        </row>
        <row r="227">
          <cell r="C227">
            <v>2001</v>
          </cell>
          <cell r="D227">
            <v>13</v>
          </cell>
          <cell r="E227">
            <v>23</v>
          </cell>
          <cell r="F227">
            <v>6811.4380000000001</v>
          </cell>
          <cell r="G227">
            <v>6811.4380000000001</v>
          </cell>
          <cell r="H227">
            <v>-0.03</v>
          </cell>
          <cell r="J227">
            <v>8.6788245324810775E-2</v>
          </cell>
          <cell r="L227">
            <v>535</v>
          </cell>
          <cell r="N227">
            <v>7.8544354363939015E-2</v>
          </cell>
          <cell r="P227">
            <v>7.8544354363939015E-2</v>
          </cell>
          <cell r="S227">
            <v>775.75</v>
          </cell>
          <cell r="U227">
            <v>0.11388931382771156</v>
          </cell>
          <cell r="Y227">
            <v>342.42390408902617</v>
          </cell>
          <cell r="AA227">
            <v>0</v>
          </cell>
          <cell r="AC227">
            <v>4871.5</v>
          </cell>
          <cell r="AE227">
            <v>27.106249999999996</v>
          </cell>
          <cell r="AG227">
            <v>5457.8456870394448</v>
          </cell>
          <cell r="AH227">
            <v>-0.11818363136128313</v>
          </cell>
          <cell r="AI227">
            <v>0</v>
          </cell>
          <cell r="AK227">
            <v>0.15924253310068767</v>
          </cell>
          <cell r="AM227">
            <v>28.618860963799865</v>
          </cell>
          <cell r="AO227">
            <v>251.28662208900167</v>
          </cell>
          <cell r="AS227" t="str">
            <v>Total rent expense as reported in footnote 7 includes minimum rent and contingent</v>
          </cell>
          <cell r="AY227">
            <v>869.07500000000005</v>
          </cell>
          <cell r="AZ227" t="e">
            <v>#N/A</v>
          </cell>
        </row>
        <row r="228">
          <cell r="C228">
            <v>2002</v>
          </cell>
          <cell r="D228">
            <v>14</v>
          </cell>
          <cell r="E228">
            <v>24</v>
          </cell>
          <cell r="F228">
            <v>7139</v>
          </cell>
          <cell r="G228">
            <v>7139</v>
          </cell>
          <cell r="H228">
            <v>0.03</v>
          </cell>
          <cell r="J228">
            <v>0.10322909618321845</v>
          </cell>
          <cell r="L228">
            <v>536</v>
          </cell>
          <cell r="N228">
            <v>7.5080543493486487E-2</v>
          </cell>
          <cell r="P228">
            <v>7.5080543493486487E-2</v>
          </cell>
          <cell r="S228">
            <v>777.19999999999993</v>
          </cell>
          <cell r="U228">
            <v>0.10886678806555539</v>
          </cell>
          <cell r="Y228">
            <v>50.225257621561717</v>
          </cell>
          <cell r="AA228">
            <v>0</v>
          </cell>
          <cell r="AC228">
            <v>4325</v>
          </cell>
          <cell r="AE228">
            <v>22.776874999999997</v>
          </cell>
          <cell r="AG228">
            <v>5047.3860257680863</v>
          </cell>
          <cell r="AH228">
            <v>-0.11326157930742181</v>
          </cell>
          <cell r="AI228">
            <v>0</v>
          </cell>
          <cell r="AK228">
            <v>0.17969942196531791</v>
          </cell>
          <cell r="AM228">
            <v>34.122328019098319</v>
          </cell>
          <cell r="AO228">
            <v>313.43193480229405</v>
          </cell>
          <cell r="AS228" t="str">
            <v>(percentage) rent. It does not include CAM, RE taxes, or insurance.</v>
          </cell>
          <cell r="AY228">
            <v>939</v>
          </cell>
          <cell r="AZ228" t="e">
            <v>#N/A</v>
          </cell>
        </row>
        <row r="229">
          <cell r="C229">
            <v>2003</v>
          </cell>
          <cell r="D229">
            <v>15</v>
          </cell>
          <cell r="E229">
            <v>25</v>
          </cell>
          <cell r="F229">
            <v>7452.4710000000005</v>
          </cell>
          <cell r="G229">
            <v>7452.4710000000005</v>
          </cell>
          <cell r="H229">
            <v>0.04</v>
          </cell>
          <cell r="J229">
            <v>0.10779854380260956</v>
          </cell>
          <cell r="L229">
            <v>560</v>
          </cell>
          <cell r="N229">
            <v>7.5142862011807893E-2</v>
          </cell>
          <cell r="P229">
            <v>7.5142862011807893E-2</v>
          </cell>
          <cell r="S229">
            <v>812</v>
          </cell>
          <cell r="U229">
            <v>0.10895714991712144</v>
          </cell>
          <cell r="W229">
            <v>0.10895714991712144</v>
          </cell>
          <cell r="Y229">
            <v>-0.90361851566050921</v>
          </cell>
          <cell r="AA229">
            <v>-1089.5714991712143</v>
          </cell>
          <cell r="AC229">
            <v>3973.5</v>
          </cell>
          <cell r="AE229">
            <v>20.209374999999998</v>
          </cell>
          <cell r="AG229">
            <v>5125.9268729225259</v>
          </cell>
          <cell r="AH229">
            <v>-3.4683402898325215E-2</v>
          </cell>
          <cell r="AI229">
            <v>0</v>
          </cell>
          <cell r="AK229">
            <v>0.20435384421794389</v>
          </cell>
          <cell r="AM229">
            <v>40.179372197309419</v>
          </cell>
          <cell r="AO229">
            <v>368.76306169785067</v>
          </cell>
          <cell r="AP229">
            <v>368.76306169785067</v>
          </cell>
          <cell r="AT229" t="str">
            <v>Adjusted Rent Expense Increase Assumption</v>
          </cell>
          <cell r="AY229">
            <v>995.3</v>
          </cell>
          <cell r="AZ229" t="e">
            <v>#N/A</v>
          </cell>
        </row>
        <row r="230">
          <cell r="C230">
            <v>2004</v>
          </cell>
          <cell r="D230">
            <v>16</v>
          </cell>
          <cell r="E230">
            <v>26</v>
          </cell>
          <cell r="F230">
            <v>7771.6320000000005</v>
          </cell>
          <cell r="G230">
            <v>7771.6320000000005</v>
          </cell>
          <cell r="H230">
            <v>0.04</v>
          </cell>
          <cell r="J230">
            <v>0.10913838741742408</v>
          </cell>
          <cell r="L230">
            <v>570</v>
          </cell>
          <cell r="N230">
            <v>7.3343668356916539E-2</v>
          </cell>
          <cell r="P230">
            <v>7.3343668356916539E-2</v>
          </cell>
          <cell r="S230">
            <v>826.5</v>
          </cell>
          <cell r="U230">
            <v>0.10634831911752897</v>
          </cell>
          <cell r="W230">
            <v>0.10634831911752897</v>
          </cell>
          <cell r="Y230">
            <v>26.08830799592468</v>
          </cell>
          <cell r="AA230">
            <v>26.08830799592468</v>
          </cell>
          <cell r="AC230">
            <v>3845</v>
          </cell>
          <cell r="AE230">
            <v>19.899374999999999</v>
          </cell>
          <cell r="AG230">
            <v>5226.5811061127279</v>
          </cell>
          <cell r="AH230">
            <v>-0.18424419002295231</v>
          </cell>
          <cell r="AI230">
            <v>0</v>
          </cell>
          <cell r="AK230">
            <v>0.21495448634590378</v>
          </cell>
          <cell r="AM230">
            <v>41.533967775369831</v>
          </cell>
          <cell r="AO230">
            <v>390.5465372656177</v>
          </cell>
          <cell r="AP230">
            <v>390.5465372656177</v>
          </cell>
          <cell r="AS230" t="str">
            <v>2005-10K</v>
          </cell>
          <cell r="AY230">
            <v>1119.201</v>
          </cell>
          <cell r="AZ230" t="e">
            <v>#N/A</v>
          </cell>
        </row>
        <row r="231">
          <cell r="A231" t="str">
            <v>LTD</v>
          </cell>
          <cell r="B231" t="str">
            <v>LTD</v>
          </cell>
          <cell r="C231" t="str">
            <v>2005 (net retail sales)</v>
          </cell>
          <cell r="D231">
            <v>17</v>
          </cell>
          <cell r="E231">
            <v>27</v>
          </cell>
          <cell r="F231">
            <v>7845.9229999999989</v>
          </cell>
          <cell r="G231">
            <v>7845.9229999999989</v>
          </cell>
          <cell r="H231">
            <v>-0.01</v>
          </cell>
          <cell r="J231">
            <v>0.1016377206317208</v>
          </cell>
          <cell r="L231">
            <v>596</v>
          </cell>
          <cell r="N231">
            <v>7.5963019264909948E-2</v>
          </cell>
          <cell r="P231">
            <v>7.5963019264909948E-2</v>
          </cell>
          <cell r="R231">
            <v>0.45</v>
          </cell>
          <cell r="S231">
            <v>864.19999999999993</v>
          </cell>
          <cell r="U231">
            <v>0.11014637793411942</v>
          </cell>
          <cell r="W231">
            <v>0.11014637793411942</v>
          </cell>
          <cell r="Y231">
            <v>-37.98058816590455</v>
          </cell>
          <cell r="AA231">
            <v>-37.98058816590455</v>
          </cell>
          <cell r="AC231">
            <v>3684.5</v>
          </cell>
          <cell r="AE231">
            <v>19.458125000000003</v>
          </cell>
          <cell r="AG231">
            <v>5338.4401114206139</v>
          </cell>
          <cell r="AH231">
            <v>-0.88207800362780864</v>
          </cell>
          <cell r="AI231" t="str">
            <v>NA</v>
          </cell>
          <cell r="AK231">
            <v>0.23455014248880443</v>
          </cell>
          <cell r="AM231">
            <v>44.413323483120791</v>
          </cell>
          <cell r="AO231">
            <v>403.22091671217026</v>
          </cell>
          <cell r="AP231">
            <v>403.22091671217026</v>
          </cell>
          <cell r="AQ231" t="str">
            <v>LTD's net retail sales excl. Direct/Other ($2,588mm in 08A). Rent exp. is "total store rent" only &amp; excl. equip. ($64mm in '08). Apparel div's incl. in 2006 &amp; 1H07.</v>
          </cell>
          <cell r="AY231">
            <v>1225.5999999999999</v>
          </cell>
          <cell r="AZ231" t="e">
            <v>#N/A</v>
          </cell>
          <cell r="BA231">
            <v>-2.2174063255755327E-2</v>
          </cell>
          <cell r="BB231">
            <v>-2.2174063255755661E-2</v>
          </cell>
        </row>
        <row r="232">
          <cell r="A232" t="str">
            <v>LTD2006</v>
          </cell>
          <cell r="B232" t="str">
            <v>LTD</v>
          </cell>
          <cell r="C232" t="str">
            <v>2006 (net retail sales)</v>
          </cell>
          <cell r="D232">
            <v>18</v>
          </cell>
          <cell r="E232">
            <v>28</v>
          </cell>
          <cell r="F232">
            <v>8520.7049999999999</v>
          </cell>
          <cell r="G232">
            <v>8520.7049999999999</v>
          </cell>
          <cell r="H232">
            <v>7.0000000000000007E-2</v>
          </cell>
          <cell r="J232">
            <v>0.11021733644006292</v>
          </cell>
          <cell r="L232">
            <v>567</v>
          </cell>
          <cell r="N232">
            <v>6.6543789510375026E-2</v>
          </cell>
          <cell r="P232">
            <v>6.6543789510375026E-2</v>
          </cell>
          <cell r="R232">
            <v>0.47500000000000009</v>
          </cell>
          <cell r="S232">
            <v>836.32500000000005</v>
          </cell>
          <cell r="U232">
            <v>9.815208952780316E-2</v>
          </cell>
          <cell r="W232">
            <v>9.815208952780316E-2</v>
          </cell>
          <cell r="Y232">
            <v>119.94288406316264</v>
          </cell>
          <cell r="AA232">
            <v>119.94288406316264</v>
          </cell>
          <cell r="AC232">
            <v>3678</v>
          </cell>
          <cell r="AE232">
            <v>18.814375000000002</v>
          </cell>
          <cell r="AG232">
            <v>4902.7482740308023</v>
          </cell>
          <cell r="AH232">
            <v>-0.4837450928793528</v>
          </cell>
          <cell r="AI232">
            <v>-0.4837450928793528</v>
          </cell>
          <cell r="AK232">
            <v>0.2273858075040783</v>
          </cell>
          <cell r="AM232">
            <v>44.451383583031593</v>
          </cell>
          <cell r="AO232">
            <v>452.88270272065904</v>
          </cell>
          <cell r="AP232">
            <v>452.88270272065904</v>
          </cell>
          <cell r="AR232" t="str">
            <v>LVG</v>
          </cell>
          <cell r="AX232" t="e">
            <v>#N/A</v>
          </cell>
          <cell r="AY232">
            <v>1415.663</v>
          </cell>
          <cell r="AZ232" t="e">
            <v>#N/A</v>
          </cell>
          <cell r="BA232">
            <v>-3.3083865994282591E-2</v>
          </cell>
          <cell r="BB232">
            <v>-3.308386599428248E-2</v>
          </cell>
        </row>
        <row r="233">
          <cell r="A233" t="str">
            <v>LTD2007</v>
          </cell>
          <cell r="B233" t="str">
            <v>LTD</v>
          </cell>
          <cell r="C233" t="str">
            <v>2007 (net retail sales)</v>
          </cell>
          <cell r="D233">
            <v>19</v>
          </cell>
          <cell r="E233">
            <v>29</v>
          </cell>
          <cell r="F233">
            <v>8371.8388199644869</v>
          </cell>
          <cell r="G233">
            <v>8371.8388199644869</v>
          </cell>
          <cell r="H233">
            <v>-0.02</v>
          </cell>
          <cell r="J233">
            <v>8.5367200562184539E-2</v>
          </cell>
          <cell r="L233">
            <v>489</v>
          </cell>
          <cell r="N233">
            <v>5.8410106849390388E-2</v>
          </cell>
          <cell r="P233">
            <v>5.8410106849390388E-2</v>
          </cell>
          <cell r="R233">
            <v>0.47499999999999987</v>
          </cell>
          <cell r="S233">
            <v>721.27499999999998</v>
          </cell>
          <cell r="U233">
            <v>8.6154907602850814E-2</v>
          </cell>
          <cell r="W233">
            <v>8.6154907602850814E-2</v>
          </cell>
          <cell r="Y233">
            <v>119.97181924952346</v>
          </cell>
          <cell r="AA233">
            <v>119.97181924952346</v>
          </cell>
          <cell r="AC233">
            <v>3346</v>
          </cell>
          <cell r="AE233">
            <v>15.675625</v>
          </cell>
          <cell r="AG233">
            <v>4404.4771018455231</v>
          </cell>
          <cell r="AH233">
            <v>-1.5158732680578674E-2</v>
          </cell>
          <cell r="AI233">
            <v>-1.5158732680578674E-2</v>
          </cell>
          <cell r="AK233">
            <v>0.21556335923490735</v>
          </cell>
          <cell r="AM233">
            <v>46.012519437024039</v>
          </cell>
          <cell r="AO233">
            <v>534.06730640497506</v>
          </cell>
          <cell r="AP233">
            <v>534.06730640497506</v>
          </cell>
          <cell r="AQ233" t="str">
            <v>LTD's net retail sales excl. Internet/Other (2011 $2,711M, 2010 $2,682M). Rent expense is "total store rent" only &amp; excludes equipment ($62M in 2010).</v>
          </cell>
          <cell r="AR233">
            <v>47.653217836071406</v>
          </cell>
          <cell r="AX233" t="e">
            <v>#N/A</v>
          </cell>
          <cell r="AY233">
            <v>1396.4</v>
          </cell>
          <cell r="AZ233" t="e">
            <v>#N/A</v>
          </cell>
          <cell r="BA233">
            <v>-0.16682722652227355</v>
          </cell>
          <cell r="BB233">
            <v>-0.16682722652227355</v>
          </cell>
        </row>
        <row r="234">
          <cell r="A234" t="str">
            <v>LTD2008</v>
          </cell>
          <cell r="B234" t="str">
            <v>LTD</v>
          </cell>
          <cell r="C234">
            <v>2008</v>
          </cell>
          <cell r="D234">
            <v>20</v>
          </cell>
          <cell r="E234">
            <v>30</v>
          </cell>
          <cell r="F234">
            <v>7519.8810000000003</v>
          </cell>
          <cell r="G234">
            <v>9042.6810000000005</v>
          </cell>
          <cell r="H234">
            <v>-0.09</v>
          </cell>
          <cell r="J234">
            <v>7.9342509151876559E-2</v>
          </cell>
          <cell r="L234">
            <v>428</v>
          </cell>
          <cell r="N234">
            <v>5.6915794279191384E-2</v>
          </cell>
          <cell r="P234">
            <v>4.733109572260704E-2</v>
          </cell>
          <cell r="R234">
            <v>0.47034794660442047</v>
          </cell>
          <cell r="S234">
            <v>612.04</v>
          </cell>
          <cell r="U234">
            <v>8.1389585819243673E-2</v>
          </cell>
          <cell r="W234">
            <v>6.7683466883328061E-2</v>
          </cell>
          <cell r="Y234">
            <v>47.653217836071406</v>
          </cell>
          <cell r="AA234">
            <v>184.71440719522752</v>
          </cell>
          <cell r="AC234">
            <v>2970</v>
          </cell>
          <cell r="AE234">
            <v>13.254999999999999</v>
          </cell>
          <cell r="AG234">
            <v>4519.7412076974124</v>
          </cell>
          <cell r="AH234">
            <v>0.90004897981150833</v>
          </cell>
          <cell r="AI234">
            <v>7.6186651709888767E-2</v>
          </cell>
          <cell r="AK234">
            <v>0.20607407407407405</v>
          </cell>
          <cell r="AM234">
            <v>46.174273858921161</v>
          </cell>
          <cell r="AO234">
            <v>486.97178423236517</v>
          </cell>
          <cell r="AP234">
            <v>682.20905318747646</v>
          </cell>
          <cell r="AQ234" t="str">
            <v>LTD's store sales excl. Internet/Other ($2,220M in '12, $2,711M in '11). Rent expense is "total store rent" only &amp; excludes equipment ($67M in '12). L Brands sold Mast apparel sourcing division on 11/3/2011, a negative 100bps 2012 rent margin impact. Mast generated $914M in revenue over those 12 months prior to sale.</v>
          </cell>
          <cell r="AR234">
            <v>-111.57675050987679</v>
          </cell>
          <cell r="AS234">
            <v>-0.1123729826658697</v>
          </cell>
          <cell r="AU234">
            <v>-63.923532673805383</v>
          </cell>
          <cell r="AX234" t="e">
            <v>#N/A</v>
          </cell>
          <cell r="AY234">
            <v>1522.8</v>
          </cell>
          <cell r="AZ234" t="e">
            <v>#N/A</v>
          </cell>
          <cell r="BA234">
            <v>-0.15441968023603536</v>
          </cell>
          <cell r="BB234">
            <v>-0.15441968023603536</v>
          </cell>
        </row>
        <row r="235">
          <cell r="A235" t="str">
            <v>LTD2009</v>
          </cell>
          <cell r="B235" t="str">
            <v>LTD</v>
          </cell>
          <cell r="C235">
            <v>2009</v>
          </cell>
          <cell r="D235">
            <v>21</v>
          </cell>
          <cell r="E235">
            <v>31</v>
          </cell>
          <cell r="F235">
            <v>7244.9470000000001</v>
          </cell>
          <cell r="G235">
            <v>8632.4470000000001</v>
          </cell>
          <cell r="H235">
            <v>-0.04</v>
          </cell>
          <cell r="J235">
            <v>9.9424870327071535E-2</v>
          </cell>
          <cell r="L235">
            <v>447</v>
          </cell>
          <cell r="N235">
            <v>6.1698173913487565E-2</v>
          </cell>
          <cell r="P235">
            <v>5.1781377864237102E-2</v>
          </cell>
          <cell r="R235">
            <v>0.5</v>
          </cell>
          <cell r="S235">
            <v>670.5</v>
          </cell>
          <cell r="U235">
            <v>9.2547260870231352E-2</v>
          </cell>
          <cell r="W235">
            <v>7.767206679635566E-2</v>
          </cell>
          <cell r="Y235">
            <v>-111.57675050987679</v>
          </cell>
          <cell r="AA235">
            <v>-99.885999130275991</v>
          </cell>
          <cell r="AC235">
            <v>2992.5</v>
          </cell>
          <cell r="AE235">
            <v>13.645</v>
          </cell>
          <cell r="AG235">
            <v>4600.3029283069664</v>
          </cell>
          <cell r="AH235">
            <v>0.55268004935408455</v>
          </cell>
          <cell r="AI235">
            <v>0</v>
          </cell>
          <cell r="AK235">
            <v>0.22406015037593985</v>
          </cell>
          <cell r="AM235">
            <v>49.138878710150237</v>
          </cell>
          <cell r="AO235">
            <v>461.82359838768787</v>
          </cell>
          <cell r="AP235">
            <v>632.64543788933679</v>
          </cell>
          <cell r="AR235">
            <v>72.973770023941753</v>
          </cell>
          <cell r="AS235">
            <v>7.575757575757569E-3</v>
          </cell>
          <cell r="AU235">
            <v>-38.602980485935035</v>
          </cell>
          <cell r="AX235" t="e">
            <v>#N/A</v>
          </cell>
          <cell r="AY235">
            <v>1387.5</v>
          </cell>
          <cell r="AZ235" t="e">
            <v>#N/A</v>
          </cell>
          <cell r="BA235">
            <v>2.9422859298378068E-2</v>
          </cell>
          <cell r="BB235">
            <v>2.9422859298378068E-2</v>
          </cell>
          <cell r="BC235">
            <v>0</v>
          </cell>
        </row>
        <row r="236">
          <cell r="A236" t="str">
            <v>LTD2010</v>
          </cell>
          <cell r="B236" t="str">
            <v>LTD</v>
          </cell>
          <cell r="C236">
            <v>2010</v>
          </cell>
          <cell r="D236">
            <v>22</v>
          </cell>
          <cell r="E236">
            <v>32</v>
          </cell>
          <cell r="F236">
            <v>8111.4479999999985</v>
          </cell>
          <cell r="G236">
            <v>9613.5479999999989</v>
          </cell>
          <cell r="H236">
            <v>0.09</v>
          </cell>
          <cell r="J236">
            <v>0.13356869529831561</v>
          </cell>
          <cell r="L236">
            <v>461</v>
          </cell>
          <cell r="N236">
            <v>5.683325591189145E-2</v>
          </cell>
          <cell r="P236">
            <v>4.7953159437077765E-2</v>
          </cell>
          <cell r="R236">
            <v>0.5</v>
          </cell>
          <cell r="S236">
            <v>691.5</v>
          </cell>
          <cell r="U236">
            <v>8.5249883867837176E-2</v>
          </cell>
          <cell r="W236">
            <v>7.1929739155616651E-2</v>
          </cell>
          <cell r="Y236">
            <v>72.973770023941753</v>
          </cell>
          <cell r="AA236">
            <v>57.423276407390091</v>
          </cell>
          <cell r="AC236">
            <v>2969.5</v>
          </cell>
          <cell r="AE236">
            <v>13.693124999999998</v>
          </cell>
          <cell r="AG236">
            <v>4622.2203504043118</v>
          </cell>
          <cell r="AH236">
            <v>2.8391356542486434</v>
          </cell>
          <cell r="AI236">
            <v>0</v>
          </cell>
          <cell r="AK236">
            <v>0.23286748610877253</v>
          </cell>
          <cell r="AM236">
            <v>50.499794604956875</v>
          </cell>
          <cell r="AO236">
            <v>506.22673787028168</v>
          </cell>
          <cell r="AP236">
            <v>702.07114884294128</v>
          </cell>
          <cell r="AR236">
            <v>958.01072728132135</v>
          </cell>
          <cell r="AS236">
            <v>-7.6858813700918516E-3</v>
          </cell>
          <cell r="AX236" t="e">
            <v>#N/A</v>
          </cell>
          <cell r="AY236">
            <v>1502.1</v>
          </cell>
          <cell r="AZ236" t="e">
            <v>#N/A</v>
          </cell>
          <cell r="BA236">
            <v>3.5269329424696405E-3</v>
          </cell>
          <cell r="BB236">
            <v>3.5269329424696405E-3</v>
          </cell>
        </row>
        <row r="237">
          <cell r="A237" t="str">
            <v>LTD2011</v>
          </cell>
          <cell r="B237" t="str">
            <v>LTD</v>
          </cell>
          <cell r="C237">
            <v>2011</v>
          </cell>
          <cell r="D237">
            <v>23</v>
          </cell>
          <cell r="E237">
            <v>33</v>
          </cell>
          <cell r="F237">
            <v>8806.6419999999998</v>
          </cell>
          <cell r="G237">
            <v>10364.092000000001</v>
          </cell>
          <cell r="H237">
            <v>9.5188161934013527E-2</v>
          </cell>
          <cell r="J237" t="e">
            <v>#REF!</v>
          </cell>
          <cell r="L237">
            <v>-61.947028644670468</v>
          </cell>
          <cell r="N237">
            <v>-7.0341259068633045E-3</v>
          </cell>
          <cell r="P237">
            <v>-5.9770820873329246E-3</v>
          </cell>
          <cell r="R237">
            <v>0.5</v>
          </cell>
          <cell r="S237">
            <v>-92.920542967005701</v>
          </cell>
          <cell r="U237">
            <v>-1.0551188860294958E-2</v>
          </cell>
          <cell r="W237">
            <v>-8.9656231309993874E-3</v>
          </cell>
          <cell r="Y237">
            <v>958.01072728132135</v>
          </cell>
          <cell r="AA237">
            <v>808.95362286616034</v>
          </cell>
          <cell r="AC237">
            <v>2954.5</v>
          </cell>
          <cell r="AE237">
            <v>13.698124999999999</v>
          </cell>
          <cell r="AG237">
            <v>4650.6290377422647</v>
          </cell>
          <cell r="AH237">
            <v>24.292760383321991</v>
          </cell>
          <cell r="AI237">
            <v>0</v>
          </cell>
          <cell r="AK237">
            <v>-3.1450513781352413E-2</v>
          </cell>
          <cell r="AM237">
            <v>-6.7834497763019179</v>
          </cell>
          <cell r="AO237">
            <v>558.69996806132224</v>
          </cell>
          <cell r="AP237">
            <v>756.60661586896026</v>
          </cell>
          <cell r="AR237">
            <v>7.9841551889418136</v>
          </cell>
          <cell r="AS237">
            <v>-5.0513554470449362E-3</v>
          </cell>
          <cell r="AX237" t="e">
            <v>#N/A</v>
          </cell>
          <cell r="AY237">
            <v>1557.4499999999998</v>
          </cell>
          <cell r="AZ237" t="e">
            <v>#N/A</v>
          </cell>
          <cell r="BA237">
            <v>3.6514674334764408E-4</v>
          </cell>
          <cell r="BB237">
            <v>3.6514674334764408E-4</v>
          </cell>
        </row>
        <row r="238">
          <cell r="A238" t="str">
            <v>LTD2012</v>
          </cell>
          <cell r="B238" t="str">
            <v>LTD</v>
          </cell>
          <cell r="C238">
            <v>2012</v>
          </cell>
          <cell r="D238">
            <v>24</v>
          </cell>
          <cell r="E238">
            <v>34</v>
          </cell>
          <cell r="F238">
            <v>8865.2999999999993</v>
          </cell>
          <cell r="G238">
            <v>10458.5</v>
          </cell>
          <cell r="H238">
            <v>0.06</v>
          </cell>
          <cell r="J238" t="e">
            <v>#REF!</v>
          </cell>
          <cell r="L238">
            <v>-66.944542716450741</v>
          </cell>
          <cell r="N238">
            <v>-7.5513003188217818E-3</v>
          </cell>
          <cell r="P238">
            <v>-6.4009698060382217E-3</v>
          </cell>
          <cell r="R238">
            <v>0.503</v>
          </cell>
          <cell r="S238">
            <v>-100.61764770282547</v>
          </cell>
          <cell r="U238">
            <v>-1.1349604379189139E-2</v>
          </cell>
          <cell r="W238">
            <v>-9.6206576184754474E-3</v>
          </cell>
          <cell r="Y238">
            <v>7.9841551889418136</v>
          </cell>
          <cell r="AA238">
            <v>6.5503448747606008</v>
          </cell>
          <cell r="AC238">
            <v>2908.5</v>
          </cell>
          <cell r="AE238">
            <v>13.619375</v>
          </cell>
          <cell r="AG238">
            <v>4715.3164116828921</v>
          </cell>
          <cell r="AH238">
            <v>-2.8585517329570109</v>
          </cell>
          <cell r="AI238">
            <v>3.081</v>
          </cell>
          <cell r="AK238">
            <v>-3.4594343373844066E-2</v>
          </cell>
          <cell r="AM238">
            <v>-7.387831504957127</v>
          </cell>
          <cell r="AO238">
            <v>604.88091413886457</v>
          </cell>
          <cell r="AP238">
            <v>767.91335872607954</v>
          </cell>
          <cell r="AR238">
            <v>-5.0402104358982136</v>
          </cell>
          <cell r="AS238">
            <v>-1.5569470299543031E-2</v>
          </cell>
          <cell r="AX238" t="e">
            <v>#N/A</v>
          </cell>
          <cell r="AY238">
            <v>1593.2</v>
          </cell>
          <cell r="AZ238" t="e">
            <v>#N/A</v>
          </cell>
          <cell r="BA238">
            <v>-5.7489619929734781E-3</v>
          </cell>
          <cell r="BB238">
            <v>-5.7489619929735891E-3</v>
          </cell>
        </row>
        <row r="239">
          <cell r="A239" t="str">
            <v>LTD2013</v>
          </cell>
          <cell r="B239" t="str">
            <v>LTD</v>
          </cell>
          <cell r="C239" t="str">
            <v>2013e</v>
          </cell>
          <cell r="D239">
            <v>25</v>
          </cell>
          <cell r="E239">
            <v>35</v>
          </cell>
          <cell r="F239">
            <v>9277.0785938034642</v>
          </cell>
          <cell r="G239">
            <v>10848.76057508401</v>
          </cell>
          <cell r="H239">
            <v>2.5951323724957436E-2</v>
          </cell>
          <cell r="J239" t="e">
            <v>#REF!</v>
          </cell>
          <cell r="L239">
            <v>-66.942999999999998</v>
          </cell>
          <cell r="N239">
            <v>-7.2159569764466518E-3</v>
          </cell>
          <cell r="P239">
            <v>-6.1705666317077518E-3</v>
          </cell>
          <cell r="R239">
            <v>0.503</v>
          </cell>
          <cell r="S239">
            <v>-100.615329</v>
          </cell>
          <cell r="U239">
            <v>-1.0845583335599318E-2</v>
          </cell>
          <cell r="W239">
            <v>-9.2743616474567515E-3</v>
          </cell>
          <cell r="Y239">
            <v>-5.0402104358982136</v>
          </cell>
          <cell r="AA239">
            <v>-3.4629597101869596</v>
          </cell>
          <cell r="AC239">
            <v>2893</v>
          </cell>
          <cell r="AE239">
            <v>13.747499999999999</v>
          </cell>
          <cell r="AG239">
            <v>4792.9553264604801</v>
          </cell>
          <cell r="AH239">
            <v>-9.6572497479951253E-2</v>
          </cell>
          <cell r="AI239">
            <v>3.3959999999999999</v>
          </cell>
          <cell r="AK239">
            <v>-3.4778890079502245E-2</v>
          </cell>
          <cell r="AM239">
            <v>-7.3188091653027829</v>
          </cell>
          <cell r="AO239">
            <v>613.91401599879782</v>
          </cell>
          <cell r="AP239">
            <v>789.14424986972256</v>
          </cell>
          <cell r="AY239">
            <v>1571.6819812805456</v>
          </cell>
          <cell r="AZ239" t="e">
            <v>#N/A</v>
          </cell>
          <cell r="BA239">
            <v>9.4075535771647179E-3</v>
          </cell>
          <cell r="BB239">
            <v>9.4075535771649399E-3</v>
          </cell>
        </row>
        <row r="240">
          <cell r="C240" t="str">
            <v>2007 = Trough rent</v>
          </cell>
          <cell r="F240">
            <v>8865.2999999999993</v>
          </cell>
          <cell r="G240">
            <v>10458.5</v>
          </cell>
          <cell r="H240">
            <v>0.06</v>
          </cell>
          <cell r="J240" t="e">
            <v>#REF!</v>
          </cell>
          <cell r="L240">
            <v>-66.944542716450741</v>
          </cell>
          <cell r="N240">
            <v>-7.5513003188217818E-3</v>
          </cell>
          <cell r="P240">
            <v>-6.4009698060382217E-3</v>
          </cell>
          <cell r="S240">
            <v>-100.61764770282547</v>
          </cell>
          <cell r="U240">
            <v>-1.1349604379189139E-2</v>
          </cell>
          <cell r="W240">
            <v>-9.6206576184754474E-3</v>
          </cell>
          <cell r="Z240">
            <v>0</v>
          </cell>
          <cell r="AB240">
            <v>0</v>
          </cell>
          <cell r="AC240">
            <v>2908.5</v>
          </cell>
          <cell r="AE240">
            <v>13.619375</v>
          </cell>
          <cell r="AG240">
            <v>4715.3164116828921</v>
          </cell>
          <cell r="AH240">
            <v>-7.8447952616746072E-2</v>
          </cell>
          <cell r="AI240">
            <v>-7.8447952616746072E-2</v>
          </cell>
          <cell r="AK240">
            <v>-3.4594343373844066E-2</v>
          </cell>
          <cell r="AM240">
            <v>-7.387831504957127</v>
          </cell>
          <cell r="AO240">
            <v>604.88091413886457</v>
          </cell>
          <cell r="AP240">
            <v>767.91335872607954</v>
          </cell>
          <cell r="AR240" t="e">
            <v>#REF!</v>
          </cell>
        </row>
        <row r="242">
          <cell r="A242" t="str">
            <v>LULU2005</v>
          </cell>
          <cell r="C242" t="str">
            <v>2005 (net retail sales)</v>
          </cell>
          <cell r="D242">
            <v>2</v>
          </cell>
          <cell r="E242">
            <v>3</v>
          </cell>
          <cell r="F242">
            <v>84.13</v>
          </cell>
          <cell r="G242">
            <v>84.13</v>
          </cell>
          <cell r="H242">
            <v>0.12</v>
          </cell>
          <cell r="J242" t="e">
            <v>#N/A</v>
          </cell>
          <cell r="L242">
            <v>3.415</v>
          </cell>
          <cell r="N242">
            <v>4.0591941043622966E-2</v>
          </cell>
          <cell r="P242">
            <v>4.0591941043622966E-2</v>
          </cell>
          <cell r="R242">
            <v>0</v>
          </cell>
          <cell r="S242">
            <v>3.415</v>
          </cell>
          <cell r="U242">
            <v>4.0591941043622966E-2</v>
          </cell>
          <cell r="W242">
            <v>4.0591941043622966E-2</v>
          </cell>
          <cell r="AC242">
            <v>26.5</v>
          </cell>
          <cell r="AE242">
            <v>5.9450000000000003E-2</v>
          </cell>
          <cell r="AG242" t="e">
            <v>#N/A</v>
          </cell>
          <cell r="AH242" t="e">
            <v>#REF!</v>
          </cell>
          <cell r="AI242">
            <v>0</v>
          </cell>
          <cell r="AK242">
            <v>0.1288679245283019</v>
          </cell>
          <cell r="AM242">
            <v>57.443229604709835</v>
          </cell>
          <cell r="AO242" t="e">
            <v>#N/A</v>
          </cell>
          <cell r="AP242">
            <v>1415.1387720773757</v>
          </cell>
          <cell r="AR242">
            <v>-370.20910329177184</v>
          </cell>
          <cell r="AX242" t="e">
            <v>#N/A</v>
          </cell>
          <cell r="AY242" t="e">
            <v>#N/A</v>
          </cell>
        </row>
        <row r="243">
          <cell r="A243" t="str">
            <v>LULU2006</v>
          </cell>
          <cell r="C243" t="str">
            <v>2006 (net retail sales)</v>
          </cell>
          <cell r="D243">
            <v>3</v>
          </cell>
          <cell r="E243">
            <v>4</v>
          </cell>
          <cell r="F243">
            <v>119.81263200000001</v>
          </cell>
          <cell r="G243">
            <v>119.81263200000001</v>
          </cell>
          <cell r="H243" t="e">
            <v>#N/A</v>
          </cell>
          <cell r="J243" t="e">
            <v>#N/A</v>
          </cell>
          <cell r="L243">
            <v>9.2989999999999995</v>
          </cell>
          <cell r="N243">
            <v>7.7612851372800148E-2</v>
          </cell>
          <cell r="P243">
            <v>7.7612851372800148E-2</v>
          </cell>
          <cell r="R243">
            <v>0</v>
          </cell>
          <cell r="S243">
            <v>9.2989999999999995</v>
          </cell>
          <cell r="U243">
            <v>7.7612851372800148E-2</v>
          </cell>
          <cell r="W243">
            <v>7.7612851372800148E-2</v>
          </cell>
          <cell r="Y243">
            <v>-370.20910329177184</v>
          </cell>
          <cell r="AA243">
            <v>-370.20910329177184</v>
          </cell>
          <cell r="AC243">
            <v>40</v>
          </cell>
          <cell r="AE243">
            <v>9.8599999999999993E-2</v>
          </cell>
          <cell r="AG243" t="e">
            <v>#N/A</v>
          </cell>
          <cell r="AH243" t="e">
            <v>#REF!</v>
          </cell>
          <cell r="AI243">
            <v>0</v>
          </cell>
          <cell r="AK243">
            <v>0.23247499999999999</v>
          </cell>
          <cell r="AM243">
            <v>94.310344827586206</v>
          </cell>
          <cell r="AO243" t="e">
            <v>#N/A</v>
          </cell>
          <cell r="AP243">
            <v>1215.1382555780935</v>
          </cell>
          <cell r="AR243">
            <v>-14.334231755733507</v>
          </cell>
          <cell r="AX243" t="e">
            <v>#N/A</v>
          </cell>
          <cell r="AY243" t="e">
            <v>#N/A</v>
          </cell>
          <cell r="BA243">
            <v>0.65853658536585336</v>
          </cell>
        </row>
        <row r="244">
          <cell r="A244" t="str">
            <v>LULU2007</v>
          </cell>
          <cell r="C244" t="str">
            <v>2007 (net retail sales)</v>
          </cell>
          <cell r="D244">
            <v>4</v>
          </cell>
          <cell r="E244">
            <v>5</v>
          </cell>
          <cell r="F244">
            <v>240.441439</v>
          </cell>
          <cell r="G244">
            <v>240.441439</v>
          </cell>
          <cell r="H244" t="e">
            <v>#N/A</v>
          </cell>
          <cell r="J244" t="e">
            <v>#N/A</v>
          </cell>
          <cell r="L244">
            <v>19.006</v>
          </cell>
          <cell r="N244">
            <v>7.9046274548373499E-2</v>
          </cell>
          <cell r="P244">
            <v>7.9046274548373499E-2</v>
          </cell>
          <cell r="R244">
            <v>0</v>
          </cell>
          <cell r="S244">
            <v>19.006</v>
          </cell>
          <cell r="U244">
            <v>7.9046274548373499E-2</v>
          </cell>
          <cell r="W244">
            <v>7.9046274548373499E-2</v>
          </cell>
          <cell r="Y244">
            <v>-14.334231755733507</v>
          </cell>
          <cell r="AA244">
            <v>-14.334231755733507</v>
          </cell>
          <cell r="AC244">
            <v>62</v>
          </cell>
          <cell r="AE244">
            <v>0.16239999999999999</v>
          </cell>
          <cell r="AG244" t="e">
            <v>#N/A</v>
          </cell>
          <cell r="AH244" t="e">
            <v>#REF!</v>
          </cell>
          <cell r="AI244">
            <v>3.081</v>
          </cell>
          <cell r="AK244">
            <v>0.30654838709677418</v>
          </cell>
          <cell r="AM244">
            <v>117.03201970443351</v>
          </cell>
          <cell r="AO244" t="e">
            <v>#N/A</v>
          </cell>
          <cell r="AP244">
            <v>1480.5507327586208</v>
          </cell>
          <cell r="AQ244" t="str">
            <v xml:space="preserve">10K rent expense adjusted based on corporate-owned stores' percent of total revenue.  Net retail sales exclude Internet/Other (2011 $184M, 2010 $121M). </v>
          </cell>
          <cell r="AR244">
            <v>-134.63230724789943</v>
          </cell>
          <cell r="AX244" t="e">
            <v>#N/A</v>
          </cell>
          <cell r="AY244" t="e">
            <v>#N/A</v>
          </cell>
          <cell r="BA244">
            <v>0.64705882352941169</v>
          </cell>
        </row>
        <row r="245">
          <cell r="A245" t="str">
            <v>LULU2008</v>
          </cell>
          <cell r="B245" t="str">
            <v>LULU</v>
          </cell>
          <cell r="C245">
            <v>2008</v>
          </cell>
          <cell r="D245">
            <v>5</v>
          </cell>
          <cell r="E245">
            <v>6</v>
          </cell>
          <cell r="F245">
            <v>353.488</v>
          </cell>
          <cell r="G245">
            <v>353.488</v>
          </cell>
          <cell r="H245" t="e">
            <v>#N/A</v>
          </cell>
          <cell r="J245" t="e">
            <v>#N/A</v>
          </cell>
          <cell r="L245">
            <v>32.701000000000001</v>
          </cell>
          <cell r="N245">
            <v>9.2509505273163442E-2</v>
          </cell>
          <cell r="P245">
            <v>9.2509505273163442E-2</v>
          </cell>
          <cell r="R245">
            <v>0</v>
          </cell>
          <cell r="S245">
            <v>32.701000000000001</v>
          </cell>
          <cell r="U245">
            <v>9.2509505273163442E-2</v>
          </cell>
          <cell r="W245">
            <v>9.2509505273163442E-2</v>
          </cell>
          <cell r="Y245">
            <v>-134.63230724789943</v>
          </cell>
          <cell r="AA245">
            <v>-134.63230724789943</v>
          </cell>
          <cell r="AC245">
            <v>95</v>
          </cell>
          <cell r="AE245">
            <v>0.24714999999999998</v>
          </cell>
          <cell r="AG245" t="e">
            <v>#N/A</v>
          </cell>
          <cell r="AH245" t="e">
            <v>#REF!</v>
          </cell>
          <cell r="AI245">
            <v>3.3959999999999999</v>
          </cell>
          <cell r="AK245">
            <v>0.34422105263157893</v>
          </cell>
          <cell r="AM245">
            <v>132.31236091442446</v>
          </cell>
          <cell r="AO245" t="e">
            <v>#N/A</v>
          </cell>
          <cell r="AP245">
            <v>1430.2569289904918</v>
          </cell>
          <cell r="AQ245" t="str">
            <v xml:space="preserve">10K rent expense adjusted based on corporate-owned stores' percent of total revenue.  Exclude Internet/Other ($197 in '12,  $106M in '11). </v>
          </cell>
          <cell r="AR245">
            <v>5.7048147531049693</v>
          </cell>
          <cell r="AS245">
            <v>0.532258064516129</v>
          </cell>
          <cell r="AU245">
            <v>-128.92749249479448</v>
          </cell>
          <cell r="AX245">
            <v>0</v>
          </cell>
          <cell r="AY245">
            <v>0</v>
          </cell>
          <cell r="BA245">
            <v>0.52185960591133007</v>
          </cell>
        </row>
        <row r="246">
          <cell r="A246" t="str">
            <v>LULU2009</v>
          </cell>
          <cell r="B246" t="str">
            <v>LULU</v>
          </cell>
          <cell r="C246">
            <v>2009</v>
          </cell>
          <cell r="D246">
            <v>6</v>
          </cell>
          <cell r="E246">
            <v>7</v>
          </cell>
          <cell r="F246">
            <v>452.89800000000002</v>
          </cell>
          <cell r="G246">
            <v>452.89800000000002</v>
          </cell>
          <cell r="H246" t="e">
            <v>#N/A</v>
          </cell>
          <cell r="J246" t="e">
            <v>#N/A</v>
          </cell>
          <cell r="L246">
            <v>41.639000000000003</v>
          </cell>
          <cell r="N246">
            <v>9.1939023797852945E-2</v>
          </cell>
          <cell r="P246">
            <v>9.1939023797852945E-2</v>
          </cell>
          <cell r="R246">
            <v>0</v>
          </cell>
          <cell r="S246">
            <v>41.639000000000003</v>
          </cell>
          <cell r="U246">
            <v>9.1939023797852945E-2</v>
          </cell>
          <cell r="W246">
            <v>9.1939023797852945E-2</v>
          </cell>
          <cell r="Y246">
            <v>5.7048147531049693</v>
          </cell>
          <cell r="AA246">
            <v>5.7048147531049693</v>
          </cell>
          <cell r="AC246">
            <v>118.5</v>
          </cell>
          <cell r="AE246">
            <v>0.30127999999999999</v>
          </cell>
          <cell r="AG246" t="e">
            <v>#N/A</v>
          </cell>
          <cell r="AH246" t="e">
            <v>#REF!</v>
          </cell>
          <cell r="AI246">
            <v>4.2779999999999996</v>
          </cell>
          <cell r="AK246">
            <v>0.35138396624472579</v>
          </cell>
          <cell r="AM246">
            <v>138.20698353690921</v>
          </cell>
          <cell r="AO246" t="e">
            <v>#N/A</v>
          </cell>
          <cell r="AP246">
            <v>1503.2461497610198</v>
          </cell>
          <cell r="AR246">
            <v>173.70101886496542</v>
          </cell>
          <cell r="AS246">
            <v>0.24736842105263168</v>
          </cell>
          <cell r="AU246">
            <v>179.4058336180704</v>
          </cell>
          <cell r="AX246">
            <v>0</v>
          </cell>
          <cell r="AY246">
            <v>0</v>
          </cell>
          <cell r="BA246">
            <v>0.2190167914222132</v>
          </cell>
        </row>
        <row r="247">
          <cell r="A247" t="str">
            <v>LULU2010</v>
          </cell>
          <cell r="B247" t="str">
            <v>LULU</v>
          </cell>
          <cell r="C247">
            <v>2010</v>
          </cell>
          <cell r="D247">
            <v>7</v>
          </cell>
          <cell r="E247">
            <v>8</v>
          </cell>
          <cell r="F247">
            <v>711.70400000000006</v>
          </cell>
          <cell r="G247">
            <v>711.70400000000006</v>
          </cell>
          <cell r="H247" t="e">
            <v>#N/A</v>
          </cell>
          <cell r="J247" t="e">
            <v>#N/A</v>
          </cell>
          <cell r="L247">
            <v>53.070999999999998</v>
          </cell>
          <cell r="N247">
            <v>7.4568921911356403E-2</v>
          </cell>
          <cell r="P247">
            <v>7.4568921911356403E-2</v>
          </cell>
          <cell r="R247">
            <v>0</v>
          </cell>
          <cell r="S247">
            <v>53.070999999999998</v>
          </cell>
          <cell r="U247">
            <v>7.4568921911356403E-2</v>
          </cell>
          <cell r="W247">
            <v>7.4568921911356403E-2</v>
          </cell>
          <cell r="Y247">
            <v>173.70101886496542</v>
          </cell>
          <cell r="AA247">
            <v>173.70101886496542</v>
          </cell>
          <cell r="AC247">
            <v>130.5</v>
          </cell>
          <cell r="AE247">
            <v>0.34408000000000005</v>
          </cell>
          <cell r="AG247" t="e">
            <v>#N/A</v>
          </cell>
          <cell r="AH247" t="e">
            <v>#REF!</v>
          </cell>
          <cell r="AI247">
            <v>4.4009999999999998</v>
          </cell>
          <cell r="AK247">
            <v>0.40667432950191568</v>
          </cell>
          <cell r="AM247">
            <v>154.24029295512668</v>
          </cell>
          <cell r="AO247" t="e">
            <v>#N/A</v>
          </cell>
          <cell r="AP247">
            <v>2068.4259474540804</v>
          </cell>
          <cell r="AR247">
            <v>75.081858688960253</v>
          </cell>
          <cell r="AS247">
            <v>0.10126582278481022</v>
          </cell>
          <cell r="AU247">
            <v>248.78287755392569</v>
          </cell>
          <cell r="AX247">
            <v>0</v>
          </cell>
          <cell r="AY247">
            <v>0</v>
          </cell>
          <cell r="BA247">
            <v>0.14206054168879478</v>
          </cell>
        </row>
        <row r="248">
          <cell r="A248" t="str">
            <v>LULU2011</v>
          </cell>
          <cell r="B248" t="str">
            <v>LULU</v>
          </cell>
          <cell r="C248">
            <v>2011</v>
          </cell>
          <cell r="D248">
            <v>8</v>
          </cell>
          <cell r="E248">
            <v>9</v>
          </cell>
          <cell r="F248">
            <v>1000.8389999999999</v>
          </cell>
          <cell r="G248">
            <v>1000.8389999999999</v>
          </cell>
          <cell r="H248" t="e">
            <v>#N/A</v>
          </cell>
          <cell r="J248" t="e">
            <v>#N/A</v>
          </cell>
          <cell r="L248">
            <v>67.117000000000004</v>
          </cell>
          <cell r="N248">
            <v>6.7060736042460378E-2</v>
          </cell>
          <cell r="P248">
            <v>6.7060736042460378E-2</v>
          </cell>
          <cell r="R248">
            <v>0</v>
          </cell>
          <cell r="S248">
            <v>67.117000000000004</v>
          </cell>
          <cell r="U248">
            <v>6.7060736042460378E-2</v>
          </cell>
          <cell r="W248">
            <v>6.7060736042460378E-2</v>
          </cell>
          <cell r="Y248">
            <v>75.081858688960253</v>
          </cell>
          <cell r="AA248">
            <v>75.081858688960253</v>
          </cell>
          <cell r="AC248">
            <v>155.5</v>
          </cell>
          <cell r="AE248">
            <v>0.434</v>
          </cell>
          <cell r="AG248" t="e">
            <v>#N/A</v>
          </cell>
          <cell r="AH248" t="e">
            <v>#REF!</v>
          </cell>
          <cell r="AI248">
            <v>0</v>
          </cell>
          <cell r="AK248">
            <v>0.43162057877813509</v>
          </cell>
          <cell r="AM248">
            <v>154.64746543778804</v>
          </cell>
          <cell r="AO248" t="e">
            <v>#N/A</v>
          </cell>
          <cell r="AP248">
            <v>2306.0806451612902</v>
          </cell>
          <cell r="AR248">
            <v>69.100308982571818</v>
          </cell>
          <cell r="AS248">
            <v>0.1915708812260537</v>
          </cell>
          <cell r="AY248">
            <v>0</v>
          </cell>
          <cell r="BA248">
            <v>0.26133457335503341</v>
          </cell>
        </row>
        <row r="249">
          <cell r="A249" t="str">
            <v>LULU2012</v>
          </cell>
          <cell r="B249" t="str">
            <v>LULU</v>
          </cell>
          <cell r="C249">
            <v>2012</v>
          </cell>
          <cell r="D249">
            <v>9</v>
          </cell>
          <cell r="E249">
            <v>10</v>
          </cell>
          <cell r="F249">
            <v>1370.3579999999999</v>
          </cell>
          <cell r="G249">
            <v>1370.3579999999999</v>
          </cell>
          <cell r="H249" t="e">
            <v>#N/A</v>
          </cell>
          <cell r="J249" t="e">
            <v>#N/A</v>
          </cell>
          <cell r="L249">
            <v>82.427999999999997</v>
          </cell>
          <cell r="N249">
            <v>6.0150705144203197E-2</v>
          </cell>
          <cell r="P249">
            <v>6.0150705144203197E-2</v>
          </cell>
          <cell r="R249">
            <v>0</v>
          </cell>
          <cell r="S249">
            <v>82.427999999999997</v>
          </cell>
          <cell r="U249">
            <v>6.0150705144203197E-2</v>
          </cell>
          <cell r="W249">
            <v>6.0150705144203197E-2</v>
          </cell>
          <cell r="Y249">
            <v>69.100308982571818</v>
          </cell>
          <cell r="AA249">
            <v>69.100308982571818</v>
          </cell>
          <cell r="AC249">
            <v>192.5</v>
          </cell>
          <cell r="AE249">
            <v>0.54800000000000004</v>
          </cell>
          <cell r="AG249" t="e">
            <v>#N/A</v>
          </cell>
          <cell r="AH249" t="e">
            <v>#REF!</v>
          </cell>
          <cell r="AI249">
            <v>0.31430417733017996</v>
          </cell>
          <cell r="AK249">
            <v>0.42819740259740258</v>
          </cell>
          <cell r="AM249">
            <v>150.41605839416056</v>
          </cell>
          <cell r="AO249" t="e">
            <v>#N/A</v>
          </cell>
          <cell r="AP249">
            <v>2500.6532846715327</v>
          </cell>
          <cell r="AS249">
            <v>0.23794212218649524</v>
          </cell>
          <cell r="AY249">
            <v>0</v>
          </cell>
          <cell r="BA249">
            <v>0.26267281105990792</v>
          </cell>
        </row>
        <row r="250">
          <cell r="A250" t="str">
            <v>LULU2013</v>
          </cell>
          <cell r="B250" t="str">
            <v>LULU</v>
          </cell>
          <cell r="C250" t="str">
            <v>2013e</v>
          </cell>
          <cell r="D250">
            <v>10</v>
          </cell>
          <cell r="E250">
            <v>11</v>
          </cell>
          <cell r="F250">
            <v>1591.1879999999999</v>
          </cell>
          <cell r="G250">
            <v>1591.1879999999999</v>
          </cell>
          <cell r="H250" t="e">
            <v>#N/A</v>
          </cell>
          <cell r="J250" t="e">
            <v>#N/A</v>
          </cell>
          <cell r="L250">
            <v>95.573999999999998</v>
          </cell>
          <cell r="N250">
            <v>6.0064555539634544E-2</v>
          </cell>
          <cell r="P250">
            <v>6.0064555539634544E-2</v>
          </cell>
          <cell r="R250">
            <v>0</v>
          </cell>
          <cell r="S250">
            <v>95.573999999999998</v>
          </cell>
          <cell r="U250">
            <v>6.0064555539634544E-2</v>
          </cell>
          <cell r="W250">
            <v>6.0064555539634544E-2</v>
          </cell>
          <cell r="Y250">
            <v>0.86149604568652727</v>
          </cell>
          <cell r="AA250">
            <v>0.86149604568652727</v>
          </cell>
          <cell r="AC250">
            <v>232.5</v>
          </cell>
          <cell r="AE250">
            <v>0.67100000000000004</v>
          </cell>
          <cell r="AG250" t="e">
            <v>#N/A</v>
          </cell>
          <cell r="AH250" t="e">
            <v>#REF!</v>
          </cell>
          <cell r="AI250">
            <v>0.7362238983900814</v>
          </cell>
          <cell r="AK250">
            <v>0.41107096774193547</v>
          </cell>
          <cell r="AM250">
            <v>142.43517138599105</v>
          </cell>
          <cell r="AO250" t="e">
            <v>#N/A</v>
          </cell>
          <cell r="AP250">
            <v>2371.3681073025332</v>
          </cell>
          <cell r="AY250">
            <v>0</v>
          </cell>
          <cell r="BA250">
            <v>0.22445255474452552</v>
          </cell>
        </row>
        <row r="251">
          <cell r="C251" t="str">
            <v>2005 = Trough rent</v>
          </cell>
          <cell r="F251">
            <v>84.13</v>
          </cell>
          <cell r="G251">
            <v>84.13</v>
          </cell>
          <cell r="H251">
            <v>0.12</v>
          </cell>
          <cell r="J251" t="e">
            <v>#N/A</v>
          </cell>
          <cell r="L251">
            <v>3.415</v>
          </cell>
          <cell r="N251">
            <v>4.0591941043622966E-2</v>
          </cell>
          <cell r="P251">
            <v>4.0591941043622966E-2</v>
          </cell>
          <cell r="S251">
            <v>3.415</v>
          </cell>
          <cell r="U251">
            <v>4.0591941043622966E-2</v>
          </cell>
          <cell r="W251">
            <v>4.0591941043622966E-2</v>
          </cell>
          <cell r="Z251">
            <v>0</v>
          </cell>
          <cell r="AB251">
            <v>0</v>
          </cell>
          <cell r="AC251">
            <v>26.5</v>
          </cell>
          <cell r="AE251">
            <v>5.9450000000000003E-2</v>
          </cell>
          <cell r="AG251" t="e">
            <v>#N/A</v>
          </cell>
          <cell r="AH251">
            <v>2.8391356542486434</v>
          </cell>
          <cell r="AI251">
            <v>2.8391356542486434</v>
          </cell>
          <cell r="AK251">
            <v>0.1288679245283019</v>
          </cell>
          <cell r="AM251">
            <v>57.443229604709835</v>
          </cell>
          <cell r="AO251" t="e">
            <v>#N/A</v>
          </cell>
          <cell r="AP251">
            <v>1415.1387720773757</v>
          </cell>
          <cell r="AR251" t="e">
            <v>#N/A</v>
          </cell>
        </row>
        <row r="253">
          <cell r="AI253">
            <v>0</v>
          </cell>
        </row>
        <row r="254">
          <cell r="C254">
            <v>1998</v>
          </cell>
          <cell r="D254">
            <v>6</v>
          </cell>
          <cell r="E254">
            <v>6</v>
          </cell>
          <cell r="F254">
            <v>283.85300000000001</v>
          </cell>
          <cell r="H254">
            <v>0.14000000000000001</v>
          </cell>
          <cell r="J254">
            <v>0.12490620144934172</v>
          </cell>
          <cell r="L254">
            <v>23.373000000000001</v>
          </cell>
          <cell r="N254">
            <v>8.2341916414482144E-2</v>
          </cell>
          <cell r="P254" t="str">
            <v>-</v>
          </cell>
          <cell r="S254">
            <v>35.0595</v>
          </cell>
          <cell r="U254">
            <v>0.12351287462172321</v>
          </cell>
          <cell r="AC254">
            <v>182</v>
          </cell>
          <cell r="AE254">
            <v>0.74307068062827231</v>
          </cell>
          <cell r="AG254">
            <v>4055</v>
          </cell>
          <cell r="AH254">
            <v>0.95290543931522975</v>
          </cell>
          <cell r="AI254">
            <v>3.081</v>
          </cell>
          <cell r="AK254">
            <v>0.19263461538461538</v>
          </cell>
          <cell r="AM254">
            <v>47.181918105498262</v>
          </cell>
          <cell r="AO254">
            <v>382</v>
          </cell>
        </row>
        <row r="255">
          <cell r="A255" t="str">
            <v>PLCE1999</v>
          </cell>
          <cell r="C255">
            <v>1999</v>
          </cell>
          <cell r="D255">
            <v>7</v>
          </cell>
          <cell r="E255">
            <v>7</v>
          </cell>
          <cell r="F255">
            <v>421.49599999999998</v>
          </cell>
          <cell r="H255">
            <v>0.15</v>
          </cell>
          <cell r="J255">
            <v>0.13721838404160419</v>
          </cell>
          <cell r="L255">
            <v>33.279000000000003</v>
          </cell>
          <cell r="N255">
            <v>7.8954485926319595E-2</v>
          </cell>
          <cell r="P255" t="str">
            <v>-</v>
          </cell>
          <cell r="S255">
            <v>49.918500000000009</v>
          </cell>
          <cell r="T255">
            <v>16.639500000000005</v>
          </cell>
          <cell r="U255">
            <v>0.11843172888947941</v>
          </cell>
          <cell r="AC255">
            <v>251</v>
          </cell>
          <cell r="AE255">
            <v>1.0181062801932366</v>
          </cell>
          <cell r="AG255">
            <v>4056.2003194949662</v>
          </cell>
          <cell r="AH255">
            <v>0.90483336640125767</v>
          </cell>
          <cell r="AI255">
            <v>3.3959999999999999</v>
          </cell>
          <cell r="AK255">
            <v>0.19887848605577693</v>
          </cell>
          <cell r="AM255">
            <v>49.030735760244475</v>
          </cell>
          <cell r="AO255">
            <v>414</v>
          </cell>
        </row>
        <row r="256">
          <cell r="C256">
            <v>2000</v>
          </cell>
          <cell r="D256">
            <v>8</v>
          </cell>
          <cell r="E256">
            <v>8</v>
          </cell>
          <cell r="F256">
            <v>587.38499999999999</v>
          </cell>
          <cell r="H256">
            <v>0.04</v>
          </cell>
          <cell r="J256">
            <v>0.12138546268631309</v>
          </cell>
          <cell r="L256">
            <v>48.161999999999999</v>
          </cell>
          <cell r="N256">
            <v>8.1993922214561143E-2</v>
          </cell>
          <cell r="P256" t="str">
            <v>-</v>
          </cell>
          <cell r="S256">
            <v>72.242999999999995</v>
          </cell>
          <cell r="T256">
            <v>24.080999999999996</v>
          </cell>
          <cell r="U256">
            <v>0.12299088332184172</v>
          </cell>
          <cell r="AC256">
            <v>346.5</v>
          </cell>
          <cell r="AE256">
            <v>1.4405000000000001</v>
          </cell>
          <cell r="AG256">
            <v>4157.2871572871572</v>
          </cell>
          <cell r="AH256">
            <v>0.83728668561396624</v>
          </cell>
          <cell r="AI256">
            <v>3.6379999999999999</v>
          </cell>
          <cell r="AK256">
            <v>0.20849350649350648</v>
          </cell>
          <cell r="AM256">
            <v>50.151336341548067</v>
          </cell>
          <cell r="AO256">
            <v>403</v>
          </cell>
        </row>
        <row r="257">
          <cell r="C257">
            <v>2001</v>
          </cell>
          <cell r="D257">
            <v>9</v>
          </cell>
          <cell r="E257">
            <v>9</v>
          </cell>
          <cell r="F257">
            <v>656.95600000000002</v>
          </cell>
          <cell r="H257">
            <v>-0.08</v>
          </cell>
          <cell r="J257">
            <v>0.11562418183257331</v>
          </cell>
          <cell r="L257">
            <v>63.048999999999999</v>
          </cell>
          <cell r="N257">
            <v>9.5971419699340588E-2</v>
          </cell>
          <cell r="P257" t="str">
            <v>-</v>
          </cell>
          <cell r="S257">
            <v>94.573499999999996</v>
          </cell>
          <cell r="T257">
            <v>31.524499999999996</v>
          </cell>
          <cell r="U257">
            <v>0.14395712954901088</v>
          </cell>
          <cell r="AC257">
            <v>460</v>
          </cell>
          <cell r="AE257">
            <v>1.9540000000000002</v>
          </cell>
          <cell r="AG257">
            <v>4247.826086956522</v>
          </cell>
          <cell r="AH257">
            <v>0.56325945814165801</v>
          </cell>
          <cell r="AI257">
            <v>4.024</v>
          </cell>
          <cell r="AK257">
            <v>0.20559456521739131</v>
          </cell>
          <cell r="AM257">
            <v>48.399948822927321</v>
          </cell>
          <cell r="AO257">
            <v>334</v>
          </cell>
          <cell r="AS257" t="str">
            <v>Total rent expense as reported in footnote 5 includes only minimum rent and</v>
          </cell>
        </row>
        <row r="258">
          <cell r="C258">
            <v>2002</v>
          </cell>
          <cell r="D258">
            <v>10</v>
          </cell>
          <cell r="E258">
            <v>10</v>
          </cell>
          <cell r="F258">
            <v>671.41399999999999</v>
          </cell>
          <cell r="H258">
            <v>-0.16</v>
          </cell>
          <cell r="J258">
            <v>1.9957879936968844E-2</v>
          </cell>
          <cell r="L258">
            <v>71.805999999999997</v>
          </cell>
          <cell r="N258">
            <v>0.10694742736970037</v>
          </cell>
          <cell r="P258" t="str">
            <v>-</v>
          </cell>
          <cell r="S258">
            <v>107.709</v>
          </cell>
          <cell r="T258">
            <v>35.903000000000006</v>
          </cell>
          <cell r="U258">
            <v>0.16042114105455055</v>
          </cell>
          <cell r="AC258">
            <v>581.5</v>
          </cell>
          <cell r="AE258">
            <v>2.5369999999999999</v>
          </cell>
          <cell r="AG258">
            <v>4362.8546861564919</v>
          </cell>
          <cell r="AH258">
            <v>0.59817887498631306</v>
          </cell>
          <cell r="AI258">
            <v>4.2779999999999996</v>
          </cell>
          <cell r="AK258">
            <v>0.18522613929492693</v>
          </cell>
          <cell r="AM258">
            <v>42.455262120614904</v>
          </cell>
          <cell r="AO258">
            <v>263</v>
          </cell>
          <cell r="AS258" t="str">
            <v>percentage (contingent) rent. It does not include CAM, taxes or insurance.</v>
          </cell>
        </row>
        <row r="259">
          <cell r="C259">
            <v>2003</v>
          </cell>
          <cell r="D259">
            <v>11</v>
          </cell>
          <cell r="E259">
            <v>11</v>
          </cell>
          <cell r="F259">
            <v>797.93799999999987</v>
          </cell>
          <cell r="G259">
            <v>797.93799999999987</v>
          </cell>
          <cell r="H259">
            <v>0.04</v>
          </cell>
          <cell r="J259">
            <v>4.5226571488010174E-2</v>
          </cell>
          <cell r="L259">
            <v>91.747</v>
          </cell>
          <cell r="N259">
            <v>0.11498011123671265</v>
          </cell>
          <cell r="P259">
            <v>0.11498011123671265</v>
          </cell>
          <cell r="S259">
            <v>137.62049999999999</v>
          </cell>
          <cell r="T259">
            <v>45.873499999999993</v>
          </cell>
          <cell r="U259">
            <v>0.17247016685506897</v>
          </cell>
          <cell r="W259">
            <v>0.17247016685506897</v>
          </cell>
          <cell r="Y259">
            <v>-120.4902580051842</v>
          </cell>
          <cell r="AA259">
            <v>-1724.7016685506896</v>
          </cell>
          <cell r="AC259">
            <v>667</v>
          </cell>
          <cell r="AE259">
            <v>2.9575</v>
          </cell>
          <cell r="AG259">
            <v>4434.0329835082466</v>
          </cell>
          <cell r="AH259">
            <v>0.86067255585926594</v>
          </cell>
          <cell r="AI259">
            <v>4.4009999999999998</v>
          </cell>
          <cell r="AK259">
            <v>0.20632758620689653</v>
          </cell>
          <cell r="AM259">
            <v>46.532713440405743</v>
          </cell>
          <cell r="AO259">
            <v>264.05342349957732</v>
          </cell>
          <cell r="AP259">
            <v>269.80152155536769</v>
          </cell>
          <cell r="AS259" t="str">
            <v>Minimum rent does include DC rent, and other leases (office equipment, auto leases, etc.)</v>
          </cell>
        </row>
        <row r="260">
          <cell r="C260">
            <v>2004</v>
          </cell>
          <cell r="D260">
            <v>12</v>
          </cell>
          <cell r="E260">
            <v>12</v>
          </cell>
          <cell r="F260">
            <v>1157.548</v>
          </cell>
          <cell r="G260">
            <v>1157.548</v>
          </cell>
          <cell r="H260">
            <v>0.16</v>
          </cell>
          <cell r="J260">
            <v>5.9695148710895748E-2</v>
          </cell>
          <cell r="L260">
            <v>108.91799999999999</v>
          </cell>
          <cell r="N260">
            <v>9.4093722247371156E-2</v>
          </cell>
          <cell r="P260">
            <v>9.4093722247371156E-2</v>
          </cell>
          <cell r="S260">
            <v>163.37699999999998</v>
          </cell>
          <cell r="T260">
            <v>54.458999999999989</v>
          </cell>
          <cell r="U260">
            <v>0.14114058337105673</v>
          </cell>
          <cell r="W260">
            <v>0.14114058337105673</v>
          </cell>
          <cell r="Y260">
            <v>313.29583484012244</v>
          </cell>
          <cell r="AA260">
            <v>313.29583484012244</v>
          </cell>
          <cell r="AC260">
            <v>873.5</v>
          </cell>
          <cell r="AE260">
            <v>3.2385000000000002</v>
          </cell>
          <cell r="AG260">
            <v>4494.7952810548231</v>
          </cell>
          <cell r="AH260">
            <v>0.24145908698828672</v>
          </cell>
          <cell r="AI260">
            <v>0</v>
          </cell>
          <cell r="AK260">
            <v>0.18703720663995418</v>
          </cell>
          <cell r="AM260">
            <v>50.448355720240841</v>
          </cell>
          <cell r="AO260">
            <v>244.06994066405758</v>
          </cell>
          <cell r="AP260">
            <v>357.43337965107298</v>
          </cell>
        </row>
        <row r="261">
          <cell r="A261" t="str">
            <v>PLCE</v>
          </cell>
          <cell r="B261" t="str">
            <v>PLCE</v>
          </cell>
          <cell r="C261" t="str">
            <v>2005 (CP &amp; Dis, total revs.)</v>
          </cell>
          <cell r="D261">
            <v>13</v>
          </cell>
          <cell r="E261">
            <v>13</v>
          </cell>
          <cell r="F261">
            <v>1668.7359999999999</v>
          </cell>
          <cell r="G261">
            <v>1668.7359999999999</v>
          </cell>
          <cell r="H261">
            <v>0.09</v>
          </cell>
          <cell r="J261">
            <v>6.152560980286869E-2</v>
          </cell>
          <cell r="L261">
            <v>158.059</v>
          </cell>
          <cell r="N261">
            <v>9.4717798381529494E-2</v>
          </cell>
          <cell r="P261">
            <v>9.4717798381529494E-2</v>
          </cell>
          <cell r="R261">
            <v>0.5</v>
          </cell>
          <cell r="S261">
            <v>237.08850000000001</v>
          </cell>
          <cell r="T261">
            <v>79.029500000000013</v>
          </cell>
          <cell r="U261">
            <v>0.14207669757229427</v>
          </cell>
          <cell r="W261">
            <v>0.14207669757229427</v>
          </cell>
          <cell r="Y261">
            <v>-9.3611420123754225</v>
          </cell>
          <cell r="AA261">
            <v>-9.3611420123754225</v>
          </cell>
          <cell r="AC261">
            <v>1087.5</v>
          </cell>
          <cell r="AE261">
            <v>3.5169999999999999</v>
          </cell>
          <cell r="AG261">
            <v>4532.2164948453601</v>
          </cell>
          <cell r="AH261">
            <v>0.31430417733017996</v>
          </cell>
          <cell r="AI261">
            <v>0.31430417733017996</v>
          </cell>
          <cell r="AK261">
            <v>0.21801241379310346</v>
          </cell>
          <cell r="AM261">
            <v>67.412141029286332</v>
          </cell>
          <cell r="AO261">
            <v>225.05866412405277</v>
          </cell>
          <cell r="AP261">
            <v>474.47711117429623</v>
          </cell>
          <cell r="AQ261" t="str">
            <v>2006 and before include Disney, all other years are CP-only.  We estimate achieves lvg. at +3-4% comp.</v>
          </cell>
          <cell r="BA261">
            <v>8.5996603365755764E-2</v>
          </cell>
          <cell r="BB261">
            <v>8.5996603365755764E-2</v>
          </cell>
        </row>
        <row r="262">
          <cell r="A262" t="str">
            <v>PLCE2006</v>
          </cell>
          <cell r="B262" t="str">
            <v>PLCE</v>
          </cell>
          <cell r="C262" t="str">
            <v>2006 (CP &amp; Dis, total revs)</v>
          </cell>
          <cell r="D262">
            <v>14</v>
          </cell>
          <cell r="E262">
            <v>14</v>
          </cell>
          <cell r="F262">
            <v>1365.229</v>
          </cell>
          <cell r="G262">
            <v>1405.4290000000001</v>
          </cell>
          <cell r="H262">
            <v>0.1</v>
          </cell>
          <cell r="J262">
            <v>8.2754091455349177E-2</v>
          </cell>
          <cell r="L262">
            <v>177.07300000000001</v>
          </cell>
          <cell r="N262">
            <v>0.1297020499857533</v>
          </cell>
          <cell r="P262">
            <v>0.125992134785891</v>
          </cell>
          <cell r="R262">
            <v>0.5</v>
          </cell>
          <cell r="S262">
            <v>265.60950000000003</v>
          </cell>
          <cell r="T262">
            <v>88.536500000000018</v>
          </cell>
          <cell r="U262">
            <v>0.19455307497862998</v>
          </cell>
          <cell r="W262">
            <v>0.1889882021788365</v>
          </cell>
          <cell r="Y262">
            <v>-524.763774063357</v>
          </cell>
          <cell r="AA262">
            <v>-469.11504606542223</v>
          </cell>
          <cell r="AC262">
            <v>1119</v>
          </cell>
          <cell r="AE262">
            <v>3.831</v>
          </cell>
          <cell r="AG262">
            <v>4593.5251798561158</v>
          </cell>
          <cell r="AH262">
            <v>1.3905544238341356</v>
          </cell>
          <cell r="AI262">
            <v>0.7362238983900814</v>
          </cell>
          <cell r="AK262">
            <v>0.23736327077747993</v>
          </cell>
          <cell r="AM262">
            <v>69.331636648394678</v>
          </cell>
          <cell r="AO262">
            <v>356.36361263377711</v>
          </cell>
          <cell r="AP262">
            <v>366.85695640824855</v>
          </cell>
          <cell r="AR262" t="str">
            <v>DE-LVG</v>
          </cell>
          <cell r="AY262">
            <v>40.200000000000003</v>
          </cell>
          <cell r="BA262">
            <v>8.9280636906454491E-2</v>
          </cell>
          <cell r="BB262">
            <v>8.9280636906454491E-2</v>
          </cell>
        </row>
        <row r="263">
          <cell r="A263" t="str">
            <v>PLCE2007</v>
          </cell>
          <cell r="B263" t="str">
            <v>PLCE</v>
          </cell>
          <cell r="C263" t="str">
            <v>2007 (CP only, ex. eComm)</v>
          </cell>
          <cell r="D263">
            <v>15</v>
          </cell>
          <cell r="E263">
            <v>15</v>
          </cell>
          <cell r="F263">
            <v>1465.8290000000002</v>
          </cell>
          <cell r="G263">
            <v>1520.3290000000002</v>
          </cell>
          <cell r="H263">
            <v>0.03</v>
          </cell>
          <cell r="J263">
            <v>3.7091971540370583E-2</v>
          </cell>
          <cell r="L263">
            <v>136.87300000000002</v>
          </cell>
          <cell r="N263">
            <v>9.3375830332187451E-2</v>
          </cell>
          <cell r="P263">
            <v>9.0028539875250682E-2</v>
          </cell>
          <cell r="R263">
            <v>0.53385985548647286</v>
          </cell>
          <cell r="S263">
            <v>209.94400000000002</v>
          </cell>
          <cell r="U263">
            <v>0.14322543761925846</v>
          </cell>
          <cell r="W263">
            <v>0.13809116316271017</v>
          </cell>
          <cell r="Y263">
            <v>513.27637359371511</v>
          </cell>
          <cell r="AA263">
            <v>508.97039016126325</v>
          </cell>
          <cell r="AC263">
            <v>885</v>
          </cell>
          <cell r="AE263">
            <v>4.1509999999999998</v>
          </cell>
          <cell r="AG263">
            <v>4690.3954802259886</v>
          </cell>
          <cell r="AH263">
            <v>0.61959716799550457</v>
          </cell>
          <cell r="AI263">
            <v>0.5230185536410018</v>
          </cell>
          <cell r="AK263">
            <v>0.23722485875706217</v>
          </cell>
          <cell r="AM263">
            <v>50.576728499156836</v>
          </cell>
          <cell r="AO263">
            <v>353.12671645386661</v>
          </cell>
          <cell r="AP263">
            <v>366.25608287159724</v>
          </cell>
          <cell r="AQ263" t="str">
            <v>Sales excl. Internet (2011 $176M, 2010 $151M). Adjustment includes 55% of minimum lease payments ($163M). Comparable Store Sales estimate indicated (excludes internet sales growth).</v>
          </cell>
          <cell r="AR263">
            <v>-35.740830889619822</v>
          </cell>
          <cell r="AY263">
            <v>54.5</v>
          </cell>
          <cell r="BA263">
            <v>8.3529104672409149E-2</v>
          </cell>
          <cell r="BB263">
            <v>8.3529104672409149E-2</v>
          </cell>
        </row>
        <row r="264">
          <cell r="A264" t="str">
            <v>PLCE2008</v>
          </cell>
          <cell r="B264" t="str">
            <v>PLCE</v>
          </cell>
          <cell r="C264">
            <v>2008</v>
          </cell>
          <cell r="D264">
            <v>16</v>
          </cell>
          <cell r="E264">
            <v>16</v>
          </cell>
          <cell r="F264">
            <v>1541.4409999999998</v>
          </cell>
          <cell r="G264">
            <v>1630.3409999999999</v>
          </cell>
          <cell r="H264">
            <v>0.05</v>
          </cell>
          <cell r="J264">
            <v>7.6369912797384074E-2</v>
          </cell>
          <cell r="L264">
            <v>145.374</v>
          </cell>
          <cell r="M264">
            <v>6.2108670081023831E-2</v>
          </cell>
          <cell r="N264">
            <v>9.4310453659919524E-2</v>
          </cell>
          <cell r="O264">
            <v>1.0009263900595311E-2</v>
          </cell>
          <cell r="P264">
            <v>8.9167848934670724E-2</v>
          </cell>
          <cell r="R264">
            <v>0.55655619299186943</v>
          </cell>
          <cell r="S264">
            <v>226.28280000000001</v>
          </cell>
          <cell r="U264">
            <v>0.14679952070822044</v>
          </cell>
          <cell r="W264">
            <v>0.13879476747502517</v>
          </cell>
          <cell r="Y264">
            <v>-35.740830889619822</v>
          </cell>
          <cell r="AA264">
            <v>-7.0360431231500371</v>
          </cell>
          <cell r="AC264">
            <v>910.5</v>
          </cell>
          <cell r="AE264">
            <v>4.3940254999999997</v>
          </cell>
          <cell r="AG264">
            <v>4825.9478308621638</v>
          </cell>
          <cell r="AH264">
            <v>0.38193141356258453</v>
          </cell>
          <cell r="AI264">
            <v>2.704011342187046E-2</v>
          </cell>
          <cell r="AK264">
            <v>0.24852586490939046</v>
          </cell>
          <cell r="AM264">
            <v>51.497834957944605</v>
          </cell>
          <cell r="AO264">
            <v>350.8038357993143</v>
          </cell>
          <cell r="AP264">
            <v>371.03585311464394</v>
          </cell>
          <cell r="AQ264" t="str">
            <v>Store sales exclude Internet ($215 in '12, $176M in '11). Adjustment includes 55% of minimum lease payments ($166M). Comparable Store Sales estimate indicated (excludes internet sales growth).</v>
          </cell>
          <cell r="AR264">
            <v>-90.652035496467391</v>
          </cell>
          <cell r="AS264">
            <v>2.8813559322033999E-2</v>
          </cell>
          <cell r="AU264">
            <v>-126.39286638608721</v>
          </cell>
          <cell r="AY264">
            <v>88.9</v>
          </cell>
          <cell r="BA264">
            <v>5.8546253914719237E-2</v>
          </cell>
          <cell r="BB264">
            <v>5.8546253914719237E-2</v>
          </cell>
        </row>
        <row r="265">
          <cell r="A265" t="str">
            <v>PLCE2009</v>
          </cell>
          <cell r="B265" t="str">
            <v>PLCE</v>
          </cell>
          <cell r="C265">
            <v>2009</v>
          </cell>
          <cell r="D265">
            <v>17</v>
          </cell>
          <cell r="E265">
            <v>17</v>
          </cell>
          <cell r="F265">
            <v>1524.087</v>
          </cell>
          <cell r="G265">
            <v>1643.587</v>
          </cell>
          <cell r="H265">
            <v>-2.0476756022042034E-2</v>
          </cell>
          <cell r="J265">
            <v>7.5680812758922966E-2</v>
          </cell>
          <cell r="L265">
            <v>149.274</v>
          </cell>
          <cell r="M265">
            <v>2.6827355648190165E-2</v>
          </cell>
          <cell r="N265">
            <v>9.7943227650390041E-2</v>
          </cell>
          <cell r="O265">
            <v>3.8519314132134053E-2</v>
          </cell>
          <cell r="P265">
            <v>9.0822086083669443E-2</v>
          </cell>
          <cell r="R265">
            <v>0.59137827083082106</v>
          </cell>
          <cell r="S265">
            <v>237.5514</v>
          </cell>
          <cell r="U265">
            <v>0.15586472425786718</v>
          </cell>
          <cell r="W265">
            <v>0.14453229430507786</v>
          </cell>
          <cell r="Y265">
            <v>-90.652035496467391</v>
          </cell>
          <cell r="AA265">
            <v>-57.375268300526862</v>
          </cell>
          <cell r="AC265">
            <v>932</v>
          </cell>
          <cell r="AE265">
            <v>4.6057885000000001</v>
          </cell>
          <cell r="AG265">
            <v>4941.8331545064375</v>
          </cell>
          <cell r="AH265">
            <v>0.19128056215647676</v>
          </cell>
          <cell r="AI265">
            <v>0</v>
          </cell>
          <cell r="AK265">
            <v>0.25488347639484976</v>
          </cell>
          <cell r="AM265">
            <v>51.576706138373481</v>
          </cell>
          <cell r="AO265">
            <v>330.90685775084984</v>
          </cell>
          <cell r="AP265">
            <v>356.85246945229898</v>
          </cell>
          <cell r="AR265">
            <v>-51.989026554680464</v>
          </cell>
          <cell r="AS265">
            <v>2.3613399231191545E-2</v>
          </cell>
          <cell r="AU265">
            <v>-142.64106205114786</v>
          </cell>
          <cell r="AY265">
            <v>119.5</v>
          </cell>
          <cell r="BA265">
            <v>4.8193393506706039E-2</v>
          </cell>
          <cell r="BB265">
            <v>4.8193393506706039E-2</v>
          </cell>
          <cell r="BC265">
            <v>0</v>
          </cell>
        </row>
        <row r="266">
          <cell r="A266" t="str">
            <v>PLCE2010</v>
          </cell>
          <cell r="B266" t="str">
            <v>PLCE</v>
          </cell>
          <cell r="C266">
            <v>2010</v>
          </cell>
          <cell r="D266">
            <v>18</v>
          </cell>
          <cell r="E266">
            <v>18</v>
          </cell>
          <cell r="F266">
            <v>1522.799</v>
          </cell>
          <cell r="G266">
            <v>1673.999</v>
          </cell>
          <cell r="H266">
            <v>-2.5000000000000001E-2</v>
          </cell>
          <cell r="J266">
            <v>7.6816652817594241E-2</v>
          </cell>
          <cell r="L266">
            <v>156.84399999999999</v>
          </cell>
          <cell r="M266">
            <v>5.0712113295014571E-2</v>
          </cell>
          <cell r="N266">
            <v>0.10299717822247059</v>
          </cell>
          <cell r="O266">
            <v>5.1600817058232051E-2</v>
          </cell>
          <cell r="P266">
            <v>9.3694201728913809E-2</v>
          </cell>
          <cell r="R266">
            <v>0.56376737395118703</v>
          </cell>
          <cell r="S266">
            <v>245.26752999999997</v>
          </cell>
          <cell r="U266">
            <v>0.16106362691333523</v>
          </cell>
          <cell r="W266">
            <v>0.14651593579207631</v>
          </cell>
          <cell r="Y266">
            <v>-51.989026554680464</v>
          </cell>
          <cell r="AA266">
            <v>-19.836414869984498</v>
          </cell>
          <cell r="AC266">
            <v>971</v>
          </cell>
          <cell r="AE266">
            <v>4.8101095000000003</v>
          </cell>
          <cell r="AG266">
            <v>4953.7687950566424</v>
          </cell>
          <cell r="AH266">
            <v>0.54449801312670665</v>
          </cell>
          <cell r="AI266">
            <v>0</v>
          </cell>
          <cell r="AK266">
            <v>0.25259271884654994</v>
          </cell>
          <cell r="AM266">
            <v>50.990009686889657</v>
          </cell>
          <cell r="AO266">
            <v>316.58302165470451</v>
          </cell>
          <cell r="AP266">
            <v>348.01681749656632</v>
          </cell>
          <cell r="AR266">
            <v>-34.779054307776669</v>
          </cell>
          <cell r="AS266">
            <v>4.1845493562231661E-2</v>
          </cell>
          <cell r="AY266">
            <v>151.19999999999999</v>
          </cell>
          <cell r="BA266">
            <v>4.4361785175328849E-2</v>
          </cell>
          <cell r="BB266">
            <v>4.4361785175328849E-2</v>
          </cell>
          <cell r="BC266">
            <v>0</v>
          </cell>
        </row>
        <row r="267">
          <cell r="A267" t="str">
            <v>PLCE2011</v>
          </cell>
          <cell r="B267" t="str">
            <v>PLCE</v>
          </cell>
          <cell r="C267">
            <v>2011</v>
          </cell>
          <cell r="D267">
            <v>19</v>
          </cell>
          <cell r="E267">
            <v>19</v>
          </cell>
          <cell r="F267">
            <v>1539.6632472717101</v>
          </cell>
          <cell r="G267">
            <v>1715.8619999999999</v>
          </cell>
          <cell r="H267">
            <v>-2.3904589063689273E-2</v>
          </cell>
          <cell r="J267">
            <v>6.2053358603430732E-2</v>
          </cell>
          <cell r="L267">
            <v>163.82</v>
          </cell>
          <cell r="M267">
            <v>4.4477315039147092E-2</v>
          </cell>
          <cell r="N267">
            <v>0.10639988990468516</v>
          </cell>
          <cell r="O267">
            <v>3.3036940826328465E-2</v>
          </cell>
          <cell r="P267">
            <v>9.5473878435445275E-2</v>
          </cell>
          <cell r="R267">
            <v>0.54644457331217189</v>
          </cell>
          <cell r="S267">
            <v>253.33855</v>
          </cell>
          <cell r="U267">
            <v>0.1645415323441129</v>
          </cell>
          <cell r="W267">
            <v>0.14764506119956036</v>
          </cell>
          <cell r="Y267">
            <v>-34.779054307776669</v>
          </cell>
          <cell r="AA267">
            <v>-11.291254074840552</v>
          </cell>
          <cell r="AC267">
            <v>1022</v>
          </cell>
          <cell r="AE267">
            <v>5.0307180000000002</v>
          </cell>
          <cell r="AG267">
            <v>4922.4246575342468</v>
          </cell>
          <cell r="AH267" t="e">
            <v>#REF!</v>
          </cell>
          <cell r="AI267">
            <v>0</v>
          </cell>
          <cell r="AK267">
            <v>0.2478850782778865</v>
          </cell>
          <cell r="AM267">
            <v>50.358328572581485</v>
          </cell>
          <cell r="AO267">
            <v>306.05238601561649</v>
          </cell>
          <cell r="AP267">
            <v>341.07695959105632</v>
          </cell>
          <cell r="AR267">
            <v>21.037297882090801</v>
          </cell>
          <cell r="AS267">
            <v>5.2523171987641559E-2</v>
          </cell>
          <cell r="AY267">
            <v>176.19875272828972</v>
          </cell>
          <cell r="BA267">
            <v>4.5863508928434937E-2</v>
          </cell>
          <cell r="BB267">
            <v>4.5863508928434937E-2</v>
          </cell>
        </row>
        <row r="268">
          <cell r="A268" t="str">
            <v>PLCE2012</v>
          </cell>
          <cell r="B268" t="str">
            <v>PLCE</v>
          </cell>
          <cell r="C268">
            <v>2012</v>
          </cell>
          <cell r="D268">
            <v>20</v>
          </cell>
          <cell r="E268">
            <v>20</v>
          </cell>
          <cell r="F268">
            <v>1594.4456642773432</v>
          </cell>
          <cell r="G268">
            <v>1809.4860000000001</v>
          </cell>
          <cell r="H268">
            <v>0.02</v>
          </cell>
          <cell r="J268">
            <v>6.3735779110753052E-2</v>
          </cell>
          <cell r="L268">
            <v>167.292</v>
          </cell>
          <cell r="M268">
            <v>2.1193993407398359E-2</v>
          </cell>
          <cell r="N268">
            <v>0.10492173157611012</v>
          </cell>
          <cell r="O268">
            <v>-1.3892479869097585E-2</v>
          </cell>
          <cell r="P268">
            <v>9.2452773881643732E-2</v>
          </cell>
          <cell r="R268">
            <v>0.5481807259163618</v>
          </cell>
          <cell r="S268">
            <v>258.99824999999998</v>
          </cell>
          <cell r="U268">
            <v>0.16243780255590382</v>
          </cell>
          <cell r="W268">
            <v>0.14313360258106445</v>
          </cell>
          <cell r="Y268">
            <v>21.037297882090801</v>
          </cell>
          <cell r="AA268">
            <v>45.114586184959172</v>
          </cell>
          <cell r="AC268">
            <v>1072</v>
          </cell>
          <cell r="AE268">
            <v>5.2347429999999999</v>
          </cell>
          <cell r="AG268">
            <v>4883.1557835820895</v>
          </cell>
          <cell r="AH268" t="e">
            <v>#REF!</v>
          </cell>
          <cell r="AI268">
            <v>0</v>
          </cell>
          <cell r="AK268">
            <v>0.2416028451492537</v>
          </cell>
          <cell r="AM268">
            <v>49.476784247096752</v>
          </cell>
          <cell r="AO268">
            <v>304.58910098878653</v>
          </cell>
          <cell r="AP268">
            <v>345.6685457146607</v>
          </cell>
          <cell r="AR268">
            <v>-42.386626215511484</v>
          </cell>
          <cell r="AS268">
            <v>4.8923679060665304E-2</v>
          </cell>
          <cell r="AY268">
            <v>215.04033572265695</v>
          </cell>
          <cell r="BA268">
            <v>4.0555841134406689E-2</v>
          </cell>
          <cell r="BB268">
            <v>4.0555841134406689E-2</v>
          </cell>
        </row>
        <row r="269">
          <cell r="A269" t="str">
            <v>PLCE2013</v>
          </cell>
          <cell r="B269" t="str">
            <v>PLCE</v>
          </cell>
          <cell r="C269" t="str">
            <v>2013e</v>
          </cell>
          <cell r="D269">
            <v>21</v>
          </cell>
          <cell r="E269">
            <v>21</v>
          </cell>
          <cell r="F269">
            <v>1568.1226578943113</v>
          </cell>
          <cell r="G269">
            <v>1810.0853655980659</v>
          </cell>
          <cell r="H269">
            <v>-1.3539310674990351E-2</v>
          </cell>
          <cell r="J269">
            <v>5.9647972720880363E-2</v>
          </cell>
          <cell r="L269">
            <v>170.08164158249932</v>
          </cell>
          <cell r="M269">
            <v>1.6675283830065446E-2</v>
          </cell>
          <cell r="N269">
            <v>0.10846195017096839</v>
          </cell>
          <cell r="O269">
            <v>3.3741518955872296E-2</v>
          </cell>
          <cell r="P269">
            <v>9.3963326158544497E-2</v>
          </cell>
          <cell r="R269">
            <v>0.53672753361637993</v>
          </cell>
          <cell r="S269">
            <v>261.36914158249931</v>
          </cell>
          <cell r="U269">
            <v>0.16667646517745496</v>
          </cell>
          <cell r="W269">
            <v>0.14439603045801155</v>
          </cell>
          <cell r="Y269">
            <v>-42.386626215511484</v>
          </cell>
          <cell r="AA269">
            <v>-12.624278769471086</v>
          </cell>
          <cell r="AC269">
            <v>1117.5</v>
          </cell>
          <cell r="AE269">
            <v>5.3942430000000003</v>
          </cell>
          <cell r="AG269">
            <v>4827.0630872483225</v>
          </cell>
          <cell r="AH269" t="e">
            <v>#REF!</v>
          </cell>
          <cell r="AI269">
            <v>0</v>
          </cell>
          <cell r="AK269">
            <v>0.23388737501789647</v>
          </cell>
          <cell r="AM269">
            <v>48.453349539963121</v>
          </cell>
          <cell r="AO269">
            <v>290.70300650050638</v>
          </cell>
          <cell r="AP269">
            <v>335.55873652671295</v>
          </cell>
          <cell r="AY269">
            <v>241.9627077037546</v>
          </cell>
          <cell r="BA269">
            <v>3.0469499648788867E-2</v>
          </cell>
          <cell r="BB269">
            <v>3.0469499648788867E-2</v>
          </cell>
        </row>
        <row r="270">
          <cell r="C270" t="str">
            <v>2007 = Trough rent</v>
          </cell>
          <cell r="F270">
            <v>1465.8290000000002</v>
          </cell>
          <cell r="G270">
            <v>1520.3290000000002</v>
          </cell>
          <cell r="H270">
            <v>0.03</v>
          </cell>
          <cell r="J270">
            <v>3.7091971540370583E-2</v>
          </cell>
          <cell r="L270">
            <v>136.87300000000002</v>
          </cell>
          <cell r="N270">
            <v>9.3375830332187451E-2</v>
          </cell>
          <cell r="P270">
            <v>9.0028539875250682E-2</v>
          </cell>
          <cell r="S270">
            <v>209.94400000000002</v>
          </cell>
          <cell r="U270">
            <v>0.14322543761925846</v>
          </cell>
          <cell r="W270">
            <v>0.13809116316271017</v>
          </cell>
          <cell r="Z270">
            <v>0</v>
          </cell>
          <cell r="AB270">
            <v>0</v>
          </cell>
          <cell r="AC270">
            <v>885</v>
          </cell>
          <cell r="AE270">
            <v>4.1509999999999998</v>
          </cell>
          <cell r="AG270">
            <v>4690.3954802259886</v>
          </cell>
          <cell r="AH270">
            <v>0.90483336640125767</v>
          </cell>
          <cell r="AI270">
            <v>0.90483336640125767</v>
          </cell>
          <cell r="AK270">
            <v>0.23722485875706217</v>
          </cell>
          <cell r="AM270">
            <v>50.576728499156836</v>
          </cell>
          <cell r="AO270">
            <v>353.12671645386661</v>
          </cell>
          <cell r="AP270">
            <v>366.25608287159724</v>
          </cell>
          <cell r="AR270">
            <v>3.8588841218552383E-2</v>
          </cell>
          <cell r="AT270" t="str">
            <v>or little higher - my est based on lower sq ft productivity from neg comp</v>
          </cell>
        </row>
        <row r="272">
          <cell r="AS272" t="str">
            <v>occupancy's role in determining potential operating margin</v>
          </cell>
        </row>
        <row r="273">
          <cell r="L273" t="str">
            <v>Rent Expense</v>
          </cell>
          <cell r="Y273" t="str">
            <v>Rent</v>
          </cell>
          <cell r="AA273" t="str">
            <v>Rent</v>
          </cell>
          <cell r="AC273" t="str">
            <v>Average</v>
          </cell>
          <cell r="AL273" t="str">
            <v>Adjusted Rent</v>
          </cell>
          <cell r="AO273" t="str">
            <v>Sales</v>
          </cell>
          <cell r="AP273" t="str">
            <v>Total Sales</v>
          </cell>
          <cell r="AQ273" t="str">
            <v>Key CAM adj.</v>
          </cell>
          <cell r="AR273" t="str">
            <v>Bps</v>
          </cell>
        </row>
        <row r="274">
          <cell r="F274" t="str">
            <v>Store Sales</v>
          </cell>
          <cell r="G274" t="str">
            <v>Total Sales</v>
          </cell>
          <cell r="H274" t="str">
            <v>Comp.</v>
          </cell>
          <cell r="J274" t="str">
            <v>Operating</v>
          </cell>
          <cell r="L274" t="str">
            <v>per 10-K</v>
          </cell>
          <cell r="U274" t="str">
            <v>% Store</v>
          </cell>
          <cell r="W274" t="str">
            <v>% Total</v>
          </cell>
          <cell r="Y274" t="str">
            <v>Levg. or</v>
          </cell>
          <cell r="AA274" t="str">
            <v>Levg. or</v>
          </cell>
          <cell r="AC274" t="str">
            <v>Store</v>
          </cell>
          <cell r="AE274" t="str">
            <v>Sq. Ft.</v>
          </cell>
          <cell r="AG274" t="str">
            <v>Sq. Ft. /</v>
          </cell>
          <cell r="AH274" t="str">
            <v>New Sq. Ft.</v>
          </cell>
          <cell r="AI274" t="str">
            <v>Adj. New SF</v>
          </cell>
          <cell r="AK274" t="str">
            <v>per Avg</v>
          </cell>
          <cell r="AM274" t="str">
            <v>per Avg</v>
          </cell>
          <cell r="AO274" t="str">
            <v>per Avg</v>
          </cell>
          <cell r="AP274" t="str">
            <v>per Avg</v>
          </cell>
          <cell r="AQ274" t="str">
            <v>Assumptions &amp;</v>
          </cell>
          <cell r="AR274" t="str">
            <v>Lvg</v>
          </cell>
        </row>
        <row r="275">
          <cell r="F275" t="str">
            <v>($ MM)</v>
          </cell>
          <cell r="G275" t="str">
            <v>($ MM)</v>
          </cell>
          <cell r="H275" t="str">
            <v>Sales %</v>
          </cell>
          <cell r="J275" t="str">
            <v>Margin</v>
          </cell>
          <cell r="L275" t="str">
            <v>$ MM</v>
          </cell>
          <cell r="N275" t="str">
            <v>% Sales</v>
          </cell>
          <cell r="P275" t="str">
            <v>% Sales</v>
          </cell>
          <cell r="R275" t="str">
            <v>Adj.</v>
          </cell>
          <cell r="S275" t="str">
            <v>$ MM</v>
          </cell>
          <cell r="U275" t="str">
            <v>Sales</v>
          </cell>
          <cell r="W275" t="str">
            <v>Sales</v>
          </cell>
          <cell r="Y275" t="str">
            <v>(Delevg)</v>
          </cell>
          <cell r="AA275" t="str">
            <v>(De-levg)</v>
          </cell>
          <cell r="AC275" t="str">
            <v>Count</v>
          </cell>
          <cell r="AE275" t="str">
            <v>(MM)</v>
          </cell>
          <cell r="AG275" t="str">
            <v>Store</v>
          </cell>
          <cell r="AH275" t="str">
            <v>Productivity</v>
          </cell>
          <cell r="AI275" t="str">
            <v>Productivity</v>
          </cell>
          <cell r="AK275" t="str">
            <v>Store</v>
          </cell>
          <cell r="AM275" t="str">
            <v>Sq. Ft.</v>
          </cell>
          <cell r="AO275" t="str">
            <v>Sq. Ft.</v>
          </cell>
          <cell r="AP275" t="str">
            <v>Sq. Ft.</v>
          </cell>
          <cell r="AQ275" t="str">
            <v>Other</v>
          </cell>
          <cell r="AR275" t="str">
            <v>(De-Lvg)</v>
          </cell>
          <cell r="AS275" t="str">
            <v>Notes on Rent:</v>
          </cell>
        </row>
        <row r="277">
          <cell r="AI277">
            <v>0</v>
          </cell>
        </row>
        <row r="278">
          <cell r="C278">
            <v>1998</v>
          </cell>
          <cell r="D278">
            <v>6</v>
          </cell>
          <cell r="E278">
            <v>10</v>
          </cell>
          <cell r="F278">
            <v>321.12522999999999</v>
          </cell>
          <cell r="H278">
            <v>8.5999999999999993E-2</v>
          </cell>
          <cell r="J278">
            <v>0.11801102018673525</v>
          </cell>
          <cell r="L278">
            <v>39.094115000000002</v>
          </cell>
          <cell r="N278">
            <v>0.12174102607882914</v>
          </cell>
          <cell r="P278" t="e">
            <v>#DIV/0!</v>
          </cell>
          <cell r="S278">
            <v>39.094115000000002</v>
          </cell>
          <cell r="U278">
            <v>0.12174102607882914</v>
          </cell>
          <cell r="AC278">
            <v>307</v>
          </cell>
          <cell r="AE278">
            <v>0.79683679900744409</v>
          </cell>
          <cell r="AG278">
            <v>2597.9736842105262</v>
          </cell>
          <cell r="AH278">
            <v>0.75997612897812572</v>
          </cell>
          <cell r="AI278">
            <v>0</v>
          </cell>
          <cell r="AK278">
            <v>0.12734239413680781</v>
          </cell>
          <cell r="AM278">
            <v>49.061633509768143</v>
          </cell>
          <cell r="AO278">
            <v>403</v>
          </cell>
        </row>
        <row r="279">
          <cell r="C279">
            <v>1999</v>
          </cell>
          <cell r="D279">
            <v>7</v>
          </cell>
          <cell r="E279">
            <v>11</v>
          </cell>
          <cell r="F279">
            <v>436.80787899999996</v>
          </cell>
          <cell r="H279">
            <v>7.8E-2</v>
          </cell>
          <cell r="J279">
            <v>0.1293581725891898</v>
          </cell>
          <cell r="L279">
            <v>51.698739000000003</v>
          </cell>
          <cell r="N279">
            <v>0.11835578405397768</v>
          </cell>
          <cell r="P279" t="e">
            <v>#DIV/0!</v>
          </cell>
          <cell r="S279">
            <v>51.698739000000003</v>
          </cell>
          <cell r="U279">
            <v>0.11835578405397768</v>
          </cell>
          <cell r="AC279">
            <v>396</v>
          </cell>
          <cell r="AE279">
            <v>1.0975072336683416</v>
          </cell>
          <cell r="AG279">
            <v>2787.4955555555557</v>
          </cell>
          <cell r="AH279">
            <v>0.74799655487924677</v>
          </cell>
          <cell r="AI279">
            <v>0</v>
          </cell>
          <cell r="AK279">
            <v>0.13055237121212121</v>
          </cell>
          <cell r="AM279">
            <v>47.105602053483118</v>
          </cell>
          <cell r="AO279">
            <v>398</v>
          </cell>
        </row>
        <row r="280">
          <cell r="C280">
            <v>2000</v>
          </cell>
          <cell r="D280">
            <v>8</v>
          </cell>
          <cell r="E280">
            <v>12</v>
          </cell>
          <cell r="F280">
            <v>589.43799999999999</v>
          </cell>
          <cell r="H280">
            <v>3.5000000000000003E-2</v>
          </cell>
          <cell r="J280">
            <v>0.10794010565996763</v>
          </cell>
          <cell r="L280">
            <v>71.174610999999999</v>
          </cell>
          <cell r="N280">
            <v>0.12074995334539002</v>
          </cell>
          <cell r="P280" t="e">
            <v>#DIV/0!</v>
          </cell>
          <cell r="S280">
            <v>71.174610999999999</v>
          </cell>
          <cell r="U280">
            <v>0.12074995334539002</v>
          </cell>
          <cell r="AC280">
            <v>519.5</v>
          </cell>
          <cell r="AE280">
            <v>1.5092479999999999</v>
          </cell>
          <cell r="AG280">
            <v>2995.1154499151103</v>
          </cell>
          <cell r="AH280">
            <v>0.8381001867454233</v>
          </cell>
          <cell r="AI280">
            <v>0</v>
          </cell>
          <cell r="AK280">
            <v>0.1370059884504331</v>
          </cell>
          <cell r="AM280">
            <v>47.15898977504029</v>
          </cell>
          <cell r="AO280">
            <v>390.55079085743364</v>
          </cell>
        </row>
        <row r="281">
          <cell r="C281">
            <v>2001</v>
          </cell>
          <cell r="D281">
            <v>9</v>
          </cell>
          <cell r="E281">
            <v>13</v>
          </cell>
          <cell r="F281">
            <v>684.84</v>
          </cell>
          <cell r="H281">
            <v>-2.5000000000000001E-2</v>
          </cell>
          <cell r="J281">
            <v>7.0677852356993365E-2</v>
          </cell>
          <cell r="L281">
            <v>91.479995000000002</v>
          </cell>
          <cell r="N281">
            <v>0.13357863880614451</v>
          </cell>
          <cell r="P281" t="e">
            <v>#DIV/0!</v>
          </cell>
          <cell r="S281">
            <v>91.479995000000002</v>
          </cell>
          <cell r="U281">
            <v>0.13357863880614451</v>
          </cell>
          <cell r="AC281">
            <v>653.5</v>
          </cell>
          <cell r="AE281">
            <v>2.041636</v>
          </cell>
          <cell r="AG281">
            <v>3230.0125348189413</v>
          </cell>
          <cell r="AH281">
            <v>0.52970150781392722</v>
          </cell>
          <cell r="AI281">
            <v>0</v>
          </cell>
          <cell r="AK281">
            <v>0.13998469013006887</v>
          </cell>
          <cell r="AM281">
            <v>44.807201185715769</v>
          </cell>
          <cell r="AO281">
            <v>335.4368751334714</v>
          </cell>
          <cell r="AS281" t="str">
            <v xml:space="preserve">Rental expense according to footnote 7 includes CAM, minimum rent, and </v>
          </cell>
        </row>
        <row r="282">
          <cell r="C282">
            <v>2002</v>
          </cell>
          <cell r="D282">
            <v>10</v>
          </cell>
          <cell r="E282">
            <v>14</v>
          </cell>
          <cell r="F282">
            <v>846.39300000000003</v>
          </cell>
          <cell r="H282">
            <v>9.6999999999999989E-2</v>
          </cell>
          <cell r="J282">
            <v>9.5980236131442478E-2</v>
          </cell>
          <cell r="L282">
            <v>111.3</v>
          </cell>
          <cell r="N282">
            <v>0.13149919718145117</v>
          </cell>
          <cell r="P282" t="e">
            <v>#DIV/0!</v>
          </cell>
          <cell r="S282">
            <v>111.3</v>
          </cell>
          <cell r="U282">
            <v>0.13149919718145117</v>
          </cell>
          <cell r="AC282">
            <v>754.5</v>
          </cell>
          <cell r="AE282">
            <v>2.4832459999999998</v>
          </cell>
          <cell r="AG282">
            <v>3346.8305941845765</v>
          </cell>
          <cell r="AH282">
            <v>0.64215254777460662</v>
          </cell>
          <cell r="AI282">
            <v>0</v>
          </cell>
          <cell r="AK282">
            <v>0.14751491053677931</v>
          </cell>
          <cell r="AM282">
            <v>44.820368179391011</v>
          </cell>
          <cell r="AO282">
            <v>340.84138260969718</v>
          </cell>
          <cell r="AS282" t="str">
            <v>contingent (percentage) rent. This number also includes taxes and insurance.</v>
          </cell>
        </row>
        <row r="283">
          <cell r="C283">
            <v>2003</v>
          </cell>
          <cell r="D283">
            <v>11</v>
          </cell>
          <cell r="E283">
            <v>15</v>
          </cell>
          <cell r="F283">
            <v>1041.4559999999999</v>
          </cell>
          <cell r="H283">
            <v>0.13100000000000001</v>
          </cell>
          <cell r="J283">
            <v>0.12312282035918935</v>
          </cell>
          <cell r="L283">
            <v>120</v>
          </cell>
          <cell r="N283">
            <v>0.11522330276075035</v>
          </cell>
          <cell r="P283" t="e">
            <v>#DIV/0!</v>
          </cell>
          <cell r="S283">
            <v>120</v>
          </cell>
          <cell r="U283">
            <v>0.11522330276075035</v>
          </cell>
          <cell r="AC283">
            <v>834</v>
          </cell>
          <cell r="AE283">
            <v>2.8219889999999999</v>
          </cell>
          <cell r="AG283">
            <v>3416.9156214367158</v>
          </cell>
          <cell r="AH283">
            <v>0.72311821413936017</v>
          </cell>
          <cell r="AI283">
            <v>0</v>
          </cell>
          <cell r="AK283">
            <v>0.14388489208633093</v>
          </cell>
          <cell r="AM283">
            <v>42.523199062788692</v>
          </cell>
          <cell r="AO283">
            <v>368.80370547156627</v>
          </cell>
          <cell r="AS283" t="str">
            <v>This is a fully loaded number, and landlord passthru's account for approx 40%</v>
          </cell>
        </row>
        <row r="284">
          <cell r="C284">
            <v>2004</v>
          </cell>
          <cell r="D284">
            <v>12</v>
          </cell>
          <cell r="E284">
            <v>16</v>
          </cell>
          <cell r="F284">
            <v>1229.7619999999999</v>
          </cell>
          <cell r="H284">
            <v>7.2999999999999995E-2</v>
          </cell>
          <cell r="J284">
            <v>0.13824870178132018</v>
          </cell>
          <cell r="L284">
            <v>138</v>
          </cell>
          <cell r="N284">
            <v>0.11221683545271362</v>
          </cell>
          <cell r="P284" t="e">
            <v>#DIV/0!</v>
          </cell>
          <cell r="S284">
            <v>138</v>
          </cell>
          <cell r="U284">
            <v>0.11221683545271362</v>
          </cell>
          <cell r="AC284">
            <v>933.5</v>
          </cell>
          <cell r="AE284">
            <v>3.2222425000000001</v>
          </cell>
          <cell r="AG284">
            <v>3482.6767676767677</v>
          </cell>
          <cell r="AH284">
            <v>0.76568465239276695</v>
          </cell>
          <cell r="AI284">
            <v>0</v>
          </cell>
          <cell r="AK284">
            <v>0.14783074450990893</v>
          </cell>
          <cell r="AM284">
            <v>42.827316690162206</v>
          </cell>
          <cell r="AO284">
            <v>381.64787411251632</v>
          </cell>
          <cell r="AS284" t="str">
            <v>of minimum rent.</v>
          </cell>
        </row>
        <row r="285">
          <cell r="A285" t="str">
            <v>PSUN2005</v>
          </cell>
          <cell r="B285" t="str">
            <v>PSUN</v>
          </cell>
          <cell r="C285" t="str">
            <v>2005 (total revs.)</v>
          </cell>
          <cell r="D285">
            <v>13</v>
          </cell>
          <cell r="E285">
            <v>17</v>
          </cell>
          <cell r="F285">
            <v>1391.4839999999999</v>
          </cell>
          <cell r="H285">
            <v>3.2000000000000001E-2</v>
          </cell>
          <cell r="J285">
            <v>0.14177166248408174</v>
          </cell>
          <cell r="L285">
            <v>161</v>
          </cell>
          <cell r="N285">
            <v>0.11570380974556661</v>
          </cell>
          <cell r="P285" t="e">
            <v>#DIV/0!</v>
          </cell>
          <cell r="R285" t="str">
            <v>0%</v>
          </cell>
          <cell r="S285">
            <v>161</v>
          </cell>
          <cell r="U285">
            <v>0.11570380974556661</v>
          </cell>
          <cell r="Y285">
            <v>-34.869742928529959</v>
          </cell>
          <cell r="AA285">
            <v>0</v>
          </cell>
          <cell r="AC285">
            <v>1047.5</v>
          </cell>
          <cell r="AE285">
            <v>3.6894204999999998</v>
          </cell>
          <cell r="AG285">
            <v>3557.4579185520365</v>
          </cell>
          <cell r="AH285">
            <v>0.68632270501834947</v>
          </cell>
          <cell r="AI285">
            <v>0.68632270501834947</v>
          </cell>
          <cell r="AK285">
            <v>0.15369928400954655</v>
          </cell>
          <cell r="AM285">
            <v>43.638289536256444</v>
          </cell>
          <cell r="AO285">
            <v>377.1551656960761</v>
          </cell>
          <cell r="AQ285" t="str">
            <v>PacSun only rent exp. incl. CAM. We est. can lvg on slightly positive comp.</v>
          </cell>
          <cell r="AS285" t="str">
            <v>2005-10K</v>
          </cell>
          <cell r="BB285">
            <v>0.14498536345417823</v>
          </cell>
        </row>
        <row r="286">
          <cell r="A286" t="str">
            <v>PSUN2006</v>
          </cell>
          <cell r="B286" t="str">
            <v>PSUN</v>
          </cell>
          <cell r="C286" t="str">
            <v>2006 (total revs.)</v>
          </cell>
          <cell r="D286">
            <v>14</v>
          </cell>
          <cell r="E286">
            <v>18</v>
          </cell>
          <cell r="F286">
            <v>1434.7329999999999</v>
          </cell>
          <cell r="H286">
            <v>-4.7E-2</v>
          </cell>
          <cell r="J286">
            <v>4.2582138976381009E-2</v>
          </cell>
          <cell r="L286">
            <v>180</v>
          </cell>
          <cell r="N286">
            <v>0.12545888329047983</v>
          </cell>
          <cell r="P286" t="e">
            <v>#DIV/0!</v>
          </cell>
          <cell r="R286" t="str">
            <v>0%</v>
          </cell>
          <cell r="S286">
            <v>180</v>
          </cell>
          <cell r="U286">
            <v>0.12545888329047983</v>
          </cell>
          <cell r="Y286">
            <v>-97.550735449132148</v>
          </cell>
          <cell r="AA286">
            <v>0</v>
          </cell>
          <cell r="AC286">
            <v>1152</v>
          </cell>
          <cell r="AE286">
            <v>4.1276215000000001</v>
          </cell>
          <cell r="AG286">
            <v>3606.5487906588828</v>
          </cell>
          <cell r="AH286">
            <v>0.65740242452252129</v>
          </cell>
          <cell r="AI286">
            <v>-6.7246080654527587</v>
          </cell>
          <cell r="AK286">
            <v>0.15625</v>
          </cell>
          <cell r="AM286">
            <v>43.608649678755668</v>
          </cell>
          <cell r="AO286">
            <v>347.59315988638974</v>
          </cell>
          <cell r="AR286" t="str">
            <v>DE-LVG</v>
          </cell>
          <cell r="BB286">
            <v>0.11877231126134857</v>
          </cell>
        </row>
        <row r="287">
          <cell r="A287" t="str">
            <v>PSUN2007</v>
          </cell>
          <cell r="B287" t="str">
            <v>PSUN</v>
          </cell>
          <cell r="C287" t="str">
            <v>2007 (PacSun only, total revs.)</v>
          </cell>
          <cell r="E287">
            <v>19</v>
          </cell>
          <cell r="F287">
            <v>1306</v>
          </cell>
          <cell r="H287">
            <v>3.4000000000000002E-2</v>
          </cell>
          <cell r="J287">
            <v>5.6049004594180662E-2</v>
          </cell>
          <cell r="L287">
            <v>158</v>
          </cell>
          <cell r="N287">
            <v>0.12098009188361408</v>
          </cell>
          <cell r="P287" t="e">
            <v>#DIV/0!</v>
          </cell>
          <cell r="S287">
            <v>158</v>
          </cell>
          <cell r="U287">
            <v>0.12098009188361408</v>
          </cell>
          <cell r="Y287">
            <v>44.78791406865745</v>
          </cell>
          <cell r="AA287">
            <v>0</v>
          </cell>
          <cell r="AC287">
            <v>954</v>
          </cell>
          <cell r="AE287">
            <v>3.6579999999999999</v>
          </cell>
          <cell r="AG287">
            <v>3834.3815513626832</v>
          </cell>
          <cell r="AH287">
            <v>-0.84289252467834408</v>
          </cell>
          <cell r="AI287">
            <v>-0.47762448326231066</v>
          </cell>
          <cell r="AK287">
            <v>0.16561844863731656</v>
          </cell>
          <cell r="AM287">
            <v>43.193001640240567</v>
          </cell>
          <cell r="AO287">
            <v>346.28888911055031</v>
          </cell>
          <cell r="AR287">
            <v>-105.05850675357337</v>
          </cell>
          <cell r="BB287">
            <v>2.0109523123668316E-2</v>
          </cell>
        </row>
        <row r="288">
          <cell r="A288" t="str">
            <v>PSUN2008</v>
          </cell>
          <cell r="B288" t="str">
            <v>PSUN</v>
          </cell>
          <cell r="C288" t="str">
            <v>2008 (PacSun only, total revs.)</v>
          </cell>
          <cell r="D288">
            <v>16</v>
          </cell>
          <cell r="E288">
            <v>20</v>
          </cell>
          <cell r="F288">
            <v>1254.8870000000002</v>
          </cell>
          <cell r="H288">
            <v>-5.2000000000000005E-2</v>
          </cell>
          <cell r="J288">
            <v>-3.5148184657263964E-2</v>
          </cell>
          <cell r="L288">
            <v>165</v>
          </cell>
          <cell r="N288">
            <v>0.13148594255897142</v>
          </cell>
          <cell r="P288" t="e">
            <v>#DIV/0!</v>
          </cell>
          <cell r="S288">
            <v>165</v>
          </cell>
          <cell r="U288">
            <v>0.13148594255897142</v>
          </cell>
          <cell r="Y288">
            <v>-105.05850675357337</v>
          </cell>
          <cell r="AA288">
            <v>0</v>
          </cell>
          <cell r="AC288">
            <v>932</v>
          </cell>
          <cell r="AE288">
            <v>3.5199999999999996</v>
          </cell>
          <cell r="AG288">
            <v>3776.8240343347634</v>
          </cell>
          <cell r="AH288">
            <v>-1.793857454547541</v>
          </cell>
          <cell r="AI288">
            <v>-1.793857454547541</v>
          </cell>
          <cell r="AK288">
            <v>0.17703862660944206</v>
          </cell>
          <cell r="AM288">
            <v>46.875000000000007</v>
          </cell>
          <cell r="AO288">
            <v>329.49638965471974</v>
          </cell>
          <cell r="AR288">
            <v>-179.42321713444343</v>
          </cell>
          <cell r="BB288">
            <v>-9.5502663974430524E-2</v>
          </cell>
        </row>
        <row r="289">
          <cell r="A289" t="str">
            <v>PSUN2009</v>
          </cell>
          <cell r="B289" t="str">
            <v>PSUN</v>
          </cell>
          <cell r="C289" t="str">
            <v>2009E (PacSun only, total revs.)</v>
          </cell>
          <cell r="D289">
            <v>17</v>
          </cell>
          <cell r="E289">
            <v>21</v>
          </cell>
          <cell r="F289">
            <v>1069.978298807788</v>
          </cell>
          <cell r="H289">
            <v>-0.16815330518714891</v>
          </cell>
          <cell r="J289">
            <v>-5.6341057225284763E-2</v>
          </cell>
          <cell r="L289">
            <v>159.88499999999999</v>
          </cell>
          <cell r="N289">
            <v>0.14942826427241576</v>
          </cell>
          <cell r="P289" t="e">
            <v>#DIV/0!</v>
          </cell>
          <cell r="S289">
            <v>159.88499999999999</v>
          </cell>
          <cell r="U289">
            <v>0.14942826427241576</v>
          </cell>
          <cell r="Y289">
            <v>-179.42321713444343</v>
          </cell>
          <cell r="AA289">
            <v>0</v>
          </cell>
          <cell r="AC289">
            <v>911</v>
          </cell>
          <cell r="AE289">
            <v>3.4734999999999996</v>
          </cell>
          <cell r="AG289">
            <v>3850.5617977528086</v>
          </cell>
          <cell r="AH289">
            <v>0</v>
          </cell>
          <cell r="AI289">
            <v>0</v>
          </cell>
          <cell r="AK289">
            <v>0.17550493962678373</v>
          </cell>
          <cell r="AM289">
            <v>46.029940981718731</v>
          </cell>
          <cell r="AO289">
            <v>308.04039119268407</v>
          </cell>
          <cell r="BA289">
            <v>-3.1000000000000028E-2</v>
          </cell>
          <cell r="BB289">
            <v>-8.7961139556255841E-2</v>
          </cell>
          <cell r="BC289">
            <v>5.6961139556255813E-2</v>
          </cell>
        </row>
        <row r="291">
          <cell r="C291" t="str">
            <v>2004 = Trough rent</v>
          </cell>
          <cell r="F291">
            <v>1229.7619999999999</v>
          </cell>
          <cell r="H291">
            <v>7.2999999999999995E-2</v>
          </cell>
          <cell r="I291">
            <v>0</v>
          </cell>
          <cell r="J291">
            <v>0.13824870178132018</v>
          </cell>
          <cell r="K291">
            <v>0</v>
          </cell>
          <cell r="L291">
            <v>138</v>
          </cell>
          <cell r="M291">
            <v>0</v>
          </cell>
          <cell r="N291">
            <v>0.11221683545271362</v>
          </cell>
          <cell r="O291">
            <v>0</v>
          </cell>
          <cell r="P291" t="e">
            <v>#DIV/0!</v>
          </cell>
          <cell r="Q291">
            <v>0</v>
          </cell>
          <cell r="S291">
            <v>138</v>
          </cell>
          <cell r="T291">
            <v>0</v>
          </cell>
          <cell r="U291">
            <v>0.11221683545271362</v>
          </cell>
          <cell r="Z291">
            <v>0</v>
          </cell>
          <cell r="AB291">
            <v>0</v>
          </cell>
          <cell r="AC291">
            <v>933.5</v>
          </cell>
          <cell r="AD291">
            <v>0</v>
          </cell>
          <cell r="AE291">
            <v>3.2222425000000001</v>
          </cell>
          <cell r="AF291">
            <v>0</v>
          </cell>
          <cell r="AG291">
            <v>3482.6767676767677</v>
          </cell>
          <cell r="AH291">
            <v>0.76568465239276695</v>
          </cell>
          <cell r="AI291">
            <v>0.76568465239276695</v>
          </cell>
          <cell r="AJ291">
            <v>0</v>
          </cell>
          <cell r="AK291">
            <v>0.14783074450990893</v>
          </cell>
          <cell r="AL291">
            <v>0</v>
          </cell>
          <cell r="AM291">
            <v>42.827316690162206</v>
          </cell>
          <cell r="AN291">
            <v>0</v>
          </cell>
          <cell r="AO291">
            <v>381.64787411251632</v>
          </cell>
          <cell r="AR291">
            <v>-0.19458975900660494</v>
          </cell>
        </row>
        <row r="292">
          <cell r="AS292">
            <v>0</v>
          </cell>
          <cell r="AT292" t="str">
            <v>Adjusted Rent Expense Increase Assumption</v>
          </cell>
        </row>
        <row r="293">
          <cell r="AI293">
            <v>0</v>
          </cell>
        </row>
        <row r="294">
          <cell r="C294">
            <v>1998</v>
          </cell>
          <cell r="F294">
            <v>2182.3609999999999</v>
          </cell>
          <cell r="J294">
            <v>0.10065887357774446</v>
          </cell>
          <cell r="L294">
            <v>106.696</v>
          </cell>
          <cell r="N294">
            <v>4.8890169866488635E-2</v>
          </cell>
          <cell r="P294">
            <v>4.8890169866488635E-2</v>
          </cell>
          <cell r="S294">
            <v>141.90568000000002</v>
          </cell>
          <cell r="U294">
            <v>6.5023925922429893E-2</v>
          </cell>
          <cell r="AC294">
            <v>337</v>
          </cell>
          <cell r="AE294">
            <v>9.367874999999998</v>
          </cell>
          <cell r="AG294">
            <v>27997.851002865329</v>
          </cell>
          <cell r="AI294">
            <v>0</v>
          </cell>
          <cell r="AK294">
            <v>0.42108510385756681</v>
          </cell>
          <cell r="AM294">
            <v>15.148118436678548</v>
          </cell>
          <cell r="AO294">
            <v>232.96222462404765</v>
          </cell>
        </row>
        <row r="295">
          <cell r="C295">
            <v>1999</v>
          </cell>
          <cell r="F295">
            <v>2468.6379999999999</v>
          </cell>
          <cell r="J295">
            <v>0.10335942329333012</v>
          </cell>
          <cell r="L295">
            <v>118.089</v>
          </cell>
          <cell r="N295">
            <v>4.7835689153290194E-2</v>
          </cell>
          <cell r="P295">
            <v>4.7835689153290194E-2</v>
          </cell>
          <cell r="S295">
            <v>157.05837</v>
          </cell>
          <cell r="U295">
            <v>6.3621466573875962E-2</v>
          </cell>
          <cell r="AC295">
            <v>363.5</v>
          </cell>
          <cell r="AE295">
            <v>10.231874999999999</v>
          </cell>
          <cell r="AG295">
            <v>28287.037037037033</v>
          </cell>
          <cell r="AI295">
            <v>0</v>
          </cell>
          <cell r="AK295">
            <v>0.43207254470426409</v>
          </cell>
          <cell r="AM295">
            <v>15.349910940076967</v>
          </cell>
          <cell r="AO295">
            <v>241.26936656282453</v>
          </cell>
        </row>
        <row r="296">
          <cell r="C296">
            <v>2000</v>
          </cell>
          <cell r="F296">
            <v>2709.0389999999998</v>
          </cell>
          <cell r="J296">
            <v>9.3262592380545198E-2</v>
          </cell>
          <cell r="L296">
            <v>129.64500000000001</v>
          </cell>
          <cell r="N296">
            <v>4.7856453893797772E-2</v>
          </cell>
          <cell r="P296">
            <v>4.7856453893797772E-2</v>
          </cell>
          <cell r="S296">
            <v>172.42785000000003</v>
          </cell>
          <cell r="U296">
            <v>6.3649083678751051E-2</v>
          </cell>
          <cell r="AC296">
            <v>393.5</v>
          </cell>
          <cell r="AE296">
            <v>11.177499999999998</v>
          </cell>
          <cell r="AG296">
            <v>28514.669926650367</v>
          </cell>
          <cell r="AI296">
            <v>0</v>
          </cell>
          <cell r="AK296">
            <v>0.43819021601016528</v>
          </cell>
          <cell r="AM296">
            <v>15.426334153433242</v>
          </cell>
          <cell r="AO296">
            <v>242.36537687318275</v>
          </cell>
        </row>
        <row r="297">
          <cell r="A297" t="str">
            <v>ROSTold</v>
          </cell>
          <cell r="C297">
            <v>2001</v>
          </cell>
          <cell r="F297">
            <v>2986.5960000000005</v>
          </cell>
          <cell r="J297">
            <v>8.6304608992980758E-2</v>
          </cell>
          <cell r="L297">
            <v>143.89599999999999</v>
          </cell>
          <cell r="N297">
            <v>4.8180604273226096E-2</v>
          </cell>
          <cell r="P297">
            <v>4.8180604273226096E-2</v>
          </cell>
          <cell r="Q297">
            <v>0</v>
          </cell>
          <cell r="S297">
            <v>191.38167999999999</v>
          </cell>
          <cell r="T297">
            <v>47.485680000000002</v>
          </cell>
          <cell r="U297">
            <v>6.4080203683390707E-2</v>
          </cell>
          <cell r="AC297">
            <v>430.5</v>
          </cell>
          <cell r="AE297">
            <v>12.383749999999999</v>
          </cell>
          <cell r="AF297">
            <v>0</v>
          </cell>
          <cell r="AG297">
            <v>28993.362831858401</v>
          </cell>
          <cell r="AI297">
            <v>0</v>
          </cell>
          <cell r="AJ297">
            <v>0</v>
          </cell>
          <cell r="AK297">
            <v>0.44455674796747963</v>
          </cell>
          <cell r="AL297">
            <v>0</v>
          </cell>
          <cell r="AM297">
            <v>15.454259008781669</v>
          </cell>
          <cell r="AN297">
            <v>0</v>
          </cell>
          <cell r="AO297">
            <v>241.17056626627641</v>
          </cell>
          <cell r="AS297" t="str">
            <v xml:space="preserve">Minimum rentals as reported in footnote C do not include CAM, RE taxes, </v>
          </cell>
        </row>
        <row r="298">
          <cell r="C298" t="str">
            <v>2002 (Trough rent)</v>
          </cell>
          <cell r="F298">
            <v>3531.3490000000002</v>
          </cell>
          <cell r="J298">
            <v>9.3112009036773302E-2</v>
          </cell>
          <cell r="L298">
            <v>163.57400000000001</v>
          </cell>
          <cell r="M298">
            <v>0</v>
          </cell>
          <cell r="N298">
            <v>4.6320542093120788E-2</v>
          </cell>
          <cell r="O298">
            <v>0</v>
          </cell>
          <cell r="P298">
            <v>4.6320542093120788E-2</v>
          </cell>
          <cell r="Q298">
            <v>0</v>
          </cell>
          <cell r="S298">
            <v>217.55342000000002</v>
          </cell>
          <cell r="T298">
            <v>53.979420000000005</v>
          </cell>
          <cell r="U298">
            <v>6.1606320983850653E-2</v>
          </cell>
          <cell r="Z298">
            <v>0</v>
          </cell>
          <cell r="AB298">
            <v>0</v>
          </cell>
          <cell r="AC298">
            <v>479.5</v>
          </cell>
          <cell r="AD298">
            <v>0</v>
          </cell>
          <cell r="AE298">
            <v>13.954374999999999</v>
          </cell>
          <cell r="AF298">
            <v>0</v>
          </cell>
          <cell r="AG298">
            <v>29400</v>
          </cell>
          <cell r="AI298">
            <v>0</v>
          </cell>
          <cell r="AJ298">
            <v>0</v>
          </cell>
          <cell r="AK298">
            <v>0.45370890510948908</v>
          </cell>
          <cell r="AL298">
            <v>0</v>
          </cell>
          <cell r="AM298">
            <v>15.5903377972858</v>
          </cell>
          <cell r="AN298">
            <v>0</v>
          </cell>
          <cell r="AO298">
            <v>253.063931562682</v>
          </cell>
          <cell r="AS298" t="str">
            <v>Insurance, or other landlord passthrus. Estimate 30% for these costs given</v>
          </cell>
        </row>
        <row r="299">
          <cell r="C299">
            <v>2003</v>
          </cell>
          <cell r="F299">
            <v>3920.5829999999996</v>
          </cell>
          <cell r="J299">
            <v>9.5246803855446871E-2</v>
          </cell>
          <cell r="L299">
            <v>186.24</v>
          </cell>
          <cell r="M299">
            <v>0</v>
          </cell>
          <cell r="N299">
            <v>4.7503139201491212E-2</v>
          </cell>
          <cell r="O299">
            <v>0</v>
          </cell>
          <cell r="P299">
            <v>4.7503139201491212E-2</v>
          </cell>
          <cell r="Q299">
            <v>0</v>
          </cell>
          <cell r="S299">
            <v>247.69920000000002</v>
          </cell>
          <cell r="T299">
            <v>61.45920000000001</v>
          </cell>
          <cell r="U299">
            <v>6.3179175137983309E-2</v>
          </cell>
          <cell r="Z299">
            <v>0</v>
          </cell>
          <cell r="AB299">
            <v>0</v>
          </cell>
          <cell r="AC299">
            <v>537.5</v>
          </cell>
          <cell r="AD299">
            <v>0</v>
          </cell>
          <cell r="AE299">
            <v>15.727499999999999</v>
          </cell>
          <cell r="AF299">
            <v>0</v>
          </cell>
          <cell r="AG299">
            <v>29400</v>
          </cell>
          <cell r="AI299">
            <v>0</v>
          </cell>
          <cell r="AJ299">
            <v>0</v>
          </cell>
          <cell r="AK299">
            <v>0.46083572093023262</v>
          </cell>
          <cell r="AL299">
            <v>0</v>
          </cell>
          <cell r="AM299">
            <v>15.749432522651409</v>
          </cell>
          <cell r="AN299">
            <v>0</v>
          </cell>
          <cell r="AO299">
            <v>249.28202193609917</v>
          </cell>
          <cell r="AS299" t="str">
            <v>lower cost of operating in a strip center vs. a mall.</v>
          </cell>
        </row>
        <row r="300">
          <cell r="C300">
            <v>2004</v>
          </cell>
          <cell r="F300">
            <v>4239.99</v>
          </cell>
          <cell r="J300">
            <v>6.9744975813622059E-2</v>
          </cell>
          <cell r="L300">
            <v>216.16300000000001</v>
          </cell>
          <cell r="M300">
            <v>0</v>
          </cell>
          <cell r="N300">
            <v>5.0981959863112887E-2</v>
          </cell>
          <cell r="O300">
            <v>0</v>
          </cell>
          <cell r="P300">
            <v>5.0981959863112887E-2</v>
          </cell>
          <cell r="Q300">
            <v>0</v>
          </cell>
          <cell r="S300">
            <v>287.49679000000003</v>
          </cell>
          <cell r="T300">
            <v>71.333790000000022</v>
          </cell>
          <cell r="U300">
            <v>6.7806006617940145E-2</v>
          </cell>
          <cell r="Z300">
            <v>0</v>
          </cell>
          <cell r="AB300">
            <v>0</v>
          </cell>
          <cell r="AC300">
            <v>608.5</v>
          </cell>
          <cell r="AD300">
            <v>0</v>
          </cell>
          <cell r="AE300">
            <v>17.858750000000001</v>
          </cell>
          <cell r="AF300">
            <v>0</v>
          </cell>
          <cell r="AG300">
            <v>29400</v>
          </cell>
          <cell r="AI300">
            <v>0</v>
          </cell>
          <cell r="AJ300">
            <v>0</v>
          </cell>
          <cell r="AK300">
            <v>0.47246801972062452</v>
          </cell>
          <cell r="AL300">
            <v>0</v>
          </cell>
          <cell r="AM300">
            <v>16.098371386575209</v>
          </cell>
          <cell r="AN300">
            <v>0</v>
          </cell>
          <cell r="AO300">
            <v>237.41807237348635</v>
          </cell>
        </row>
        <row r="301">
          <cell r="C301">
            <v>2005</v>
          </cell>
          <cell r="F301">
            <v>4944.1790000000001</v>
          </cell>
          <cell r="J301">
            <v>6.5823668600995366E-2</v>
          </cell>
          <cell r="L301">
            <v>246.214</v>
          </cell>
          <cell r="M301">
            <v>0</v>
          </cell>
          <cell r="N301">
            <v>4.9798763353834881E-2</v>
          </cell>
          <cell r="O301">
            <v>0</v>
          </cell>
          <cell r="P301">
            <v>4.9798763353834881E-2</v>
          </cell>
          <cell r="Q301">
            <v>0</v>
          </cell>
          <cell r="S301">
            <v>327.46462000000002</v>
          </cell>
          <cell r="T301">
            <v>81.250620000000026</v>
          </cell>
          <cell r="U301">
            <v>6.6232355260600395E-2</v>
          </cell>
          <cell r="Z301">
            <v>0</v>
          </cell>
          <cell r="AB301">
            <v>0</v>
          </cell>
          <cell r="AC301">
            <v>691.5</v>
          </cell>
          <cell r="AD301">
            <v>0</v>
          </cell>
          <cell r="AE301">
            <v>20.357499999999998</v>
          </cell>
          <cell r="AF301">
            <v>0</v>
          </cell>
          <cell r="AG301">
            <v>29494.209809264299</v>
          </cell>
          <cell r="AI301">
            <v>0</v>
          </cell>
          <cell r="AJ301">
            <v>0</v>
          </cell>
          <cell r="AK301">
            <v>0.4735569342010123</v>
          </cell>
          <cell r="AL301">
            <v>0</v>
          </cell>
          <cell r="AM301">
            <v>16.085699128085476</v>
          </cell>
          <cell r="AN301">
            <v>0</v>
          </cell>
          <cell r="AO301">
            <v>242.86769004052564</v>
          </cell>
        </row>
        <row r="302">
          <cell r="C302">
            <v>2006</v>
          </cell>
          <cell r="F302">
            <v>5570.21</v>
          </cell>
          <cell r="J302">
            <v>6.9952479349970648E-2</v>
          </cell>
          <cell r="L302">
            <v>274.21100000000001</v>
          </cell>
          <cell r="M302">
            <v>0</v>
          </cell>
          <cell r="N302">
            <v>4.9228126049107666E-2</v>
          </cell>
          <cell r="O302">
            <v>0</v>
          </cell>
          <cell r="P302">
            <v>4.9228126049107666E-2</v>
          </cell>
          <cell r="Q302">
            <v>0</v>
          </cell>
          <cell r="S302">
            <v>364.70063000000005</v>
          </cell>
          <cell r="T302">
            <v>90.489630000000034</v>
          </cell>
          <cell r="U302">
            <v>6.5473407645313203E-2</v>
          </cell>
          <cell r="Z302">
            <v>0</v>
          </cell>
          <cell r="AB302">
            <v>0</v>
          </cell>
          <cell r="AC302">
            <v>765.5</v>
          </cell>
          <cell r="AD302">
            <v>0</v>
          </cell>
          <cell r="AE302">
            <v>22.475624999999997</v>
          </cell>
          <cell r="AF302">
            <v>0</v>
          </cell>
          <cell r="AG302">
            <v>29237.76662484316</v>
          </cell>
          <cell r="AI302">
            <v>0</v>
          </cell>
          <cell r="AJ302">
            <v>0</v>
          </cell>
          <cell r="AK302">
            <v>0.47642146309601574</v>
          </cell>
          <cell r="AL302">
            <v>0</v>
          </cell>
          <cell r="AM302">
            <v>16.226495592447378</v>
          </cell>
          <cell r="AN302">
            <v>0</v>
          </cell>
          <cell r="AO302">
            <v>247.83337504518786</v>
          </cell>
        </row>
        <row r="303">
          <cell r="C303" t="str">
            <v>2007E</v>
          </cell>
          <cell r="F303">
            <v>5975.2120000000004</v>
          </cell>
          <cell r="J303">
            <v>7.0472980707630153E-2</v>
          </cell>
          <cell r="L303">
            <v>301.58199999999999</v>
          </cell>
          <cell r="M303">
            <v>0</v>
          </cell>
          <cell r="N303">
            <v>5.0472184083175622E-2</v>
          </cell>
          <cell r="O303">
            <v>0</v>
          </cell>
          <cell r="P303">
            <v>5.0472184083175622E-2</v>
          </cell>
          <cell r="Q303">
            <v>0</v>
          </cell>
          <cell r="S303">
            <v>401.10406</v>
          </cell>
          <cell r="T303">
            <v>99.52206000000001</v>
          </cell>
          <cell r="U303">
            <v>6.7128004830623575E-2</v>
          </cell>
          <cell r="Z303">
            <v>0</v>
          </cell>
          <cell r="AB303">
            <v>0</v>
          </cell>
          <cell r="AC303">
            <v>843.5</v>
          </cell>
          <cell r="AD303">
            <v>0</v>
          </cell>
          <cell r="AE303">
            <v>24.838749999999997</v>
          </cell>
          <cell r="AF303">
            <v>0</v>
          </cell>
          <cell r="AG303">
            <v>29634.831460674159</v>
          </cell>
          <cell r="AI303">
            <v>0</v>
          </cell>
          <cell r="AJ303">
            <v>0</v>
          </cell>
          <cell r="AK303">
            <v>0.47552348547717843</v>
          </cell>
          <cell r="AL303">
            <v>0</v>
          </cell>
          <cell r="AM303">
            <v>16.148319057923608</v>
          </cell>
          <cell r="AN303">
            <v>0</v>
          </cell>
          <cell r="AO303">
            <v>240.56009259725232</v>
          </cell>
        </row>
        <row r="304">
          <cell r="A304" t="str">
            <v>CHECK</v>
          </cell>
          <cell r="C304" t="str">
            <v>2002 = Trough rent</v>
          </cell>
          <cell r="F304">
            <v>9721.0650000000005</v>
          </cell>
          <cell r="H304">
            <v>0.06</v>
          </cell>
          <cell r="I304">
            <v>0</v>
          </cell>
          <cell r="J304">
            <v>0.13082424610883689</v>
          </cell>
          <cell r="L304">
            <v>406.6</v>
          </cell>
          <cell r="M304">
            <v>0</v>
          </cell>
          <cell r="N304">
            <v>4.1826692857212661E-2</v>
          </cell>
          <cell r="O304">
            <v>0</v>
          </cell>
          <cell r="P304">
            <v>4.1826692857212661E-2</v>
          </cell>
          <cell r="Q304">
            <v>0</v>
          </cell>
          <cell r="S304">
            <v>530.20640000000003</v>
          </cell>
          <cell r="T304">
            <v>0</v>
          </cell>
          <cell r="U304">
            <v>5.4542007485805309E-2</v>
          </cell>
          <cell r="Z304">
            <v>0</v>
          </cell>
          <cell r="AB304">
            <v>0</v>
          </cell>
          <cell r="AC304">
            <v>1162</v>
          </cell>
          <cell r="AD304">
            <v>0</v>
          </cell>
          <cell r="AE304">
            <v>33.981400000000001</v>
          </cell>
          <cell r="AF304">
            <v>0</v>
          </cell>
          <cell r="AG304">
            <v>29199.749791492912</v>
          </cell>
          <cell r="AI304">
            <v>0</v>
          </cell>
          <cell r="AJ304">
            <v>0</v>
          </cell>
          <cell r="AK304">
            <v>0.45628777969018935</v>
          </cell>
          <cell r="AL304">
            <v>0</v>
          </cell>
          <cell r="AM304">
            <v>15.602841554497461</v>
          </cell>
          <cell r="AN304">
            <v>0</v>
          </cell>
          <cell r="AO304">
            <v>286.07017368325023</v>
          </cell>
          <cell r="AS304" t="str">
            <v>Minimum rentals include rent expense on DC's, HQ, and stores.</v>
          </cell>
        </row>
        <row r="305">
          <cell r="AI305">
            <v>0</v>
          </cell>
        </row>
        <row r="306">
          <cell r="AI306">
            <v>0</v>
          </cell>
        </row>
        <row r="307">
          <cell r="C307">
            <v>1998</v>
          </cell>
          <cell r="F307">
            <v>7948.8710000000001</v>
          </cell>
          <cell r="J307">
            <v>8.8716749837807252E-2</v>
          </cell>
          <cell r="L307">
            <v>318.10000000000002</v>
          </cell>
          <cell r="N307">
            <v>4.0018261712889795E-2</v>
          </cell>
          <cell r="P307">
            <v>4.0018261712889795E-2</v>
          </cell>
          <cell r="S307">
            <v>423.07300000000004</v>
          </cell>
          <cell r="U307">
            <v>5.3224288078143431E-2</v>
          </cell>
          <cell r="AC307">
            <v>1208.5</v>
          </cell>
          <cell r="AE307">
            <v>36.0715</v>
          </cell>
          <cell r="AG307">
            <v>29796.147672552172</v>
          </cell>
          <cell r="AI307">
            <v>0</v>
          </cell>
          <cell r="AK307">
            <v>0.35008109226313616</v>
          </cell>
          <cell r="AM307">
            <v>11.728733210429287</v>
          </cell>
          <cell r="AO307">
            <v>220.36430422910053</v>
          </cell>
        </row>
        <row r="308">
          <cell r="C308">
            <v>1999</v>
          </cell>
          <cell r="F308">
            <v>8795.3469999999998</v>
          </cell>
          <cell r="J308">
            <v>9.79247322476305E-2</v>
          </cell>
          <cell r="L308">
            <v>352.6</v>
          </cell>
          <cell r="N308">
            <v>4.0089379077368981E-2</v>
          </cell>
          <cell r="P308">
            <v>4.0089379077368981E-2</v>
          </cell>
          <cell r="S308">
            <v>468.95800000000008</v>
          </cell>
          <cell r="U308">
            <v>5.3318874172900751E-2</v>
          </cell>
          <cell r="AC308">
            <v>1301.5</v>
          </cell>
          <cell r="AE308">
            <v>38.645500000000006</v>
          </cell>
          <cell r="AG308">
            <v>29598.378776713344</v>
          </cell>
          <cell r="AI308">
            <v>0</v>
          </cell>
          <cell r="AK308">
            <v>0.36032116788321172</v>
          </cell>
          <cell r="AM308">
            <v>12.134866931466794</v>
          </cell>
          <cell r="AO308">
            <v>227.59045684491076</v>
          </cell>
        </row>
        <row r="309">
          <cell r="C309">
            <v>2000</v>
          </cell>
          <cell r="F309">
            <v>9579.0059999999994</v>
          </cell>
          <cell r="J309">
            <v>9.2686652456423935E-2</v>
          </cell>
          <cell r="L309">
            <v>390.6</v>
          </cell>
          <cell r="N309">
            <v>4.077667348783371E-2</v>
          </cell>
          <cell r="P309">
            <v>4.077667348783371E-2</v>
          </cell>
          <cell r="S309">
            <v>519.49800000000005</v>
          </cell>
          <cell r="U309">
            <v>5.4232975738818835E-2</v>
          </cell>
          <cell r="AC309">
            <v>1425</v>
          </cell>
          <cell r="AE309">
            <v>42.072000000000003</v>
          </cell>
          <cell r="AG309">
            <v>29456.798392498324</v>
          </cell>
          <cell r="AI309">
            <v>0</v>
          </cell>
          <cell r="AK309">
            <v>0.36456000000000005</v>
          </cell>
          <cell r="AM309">
            <v>12.347832287507131</v>
          </cell>
          <cell r="AO309">
            <v>227.68126069594976</v>
          </cell>
        </row>
        <row r="310">
          <cell r="A310" t="str">
            <v>TJXold</v>
          </cell>
          <cell r="C310">
            <v>2001</v>
          </cell>
          <cell r="F310">
            <v>10708.998</v>
          </cell>
          <cell r="J310">
            <v>8.4012248391492766E-2</v>
          </cell>
          <cell r="L310">
            <v>446.6</v>
          </cell>
          <cell r="N310">
            <v>4.1703248053646107E-2</v>
          </cell>
          <cell r="P310">
            <v>4.1703248053646107E-2</v>
          </cell>
          <cell r="S310">
            <v>593.97800000000007</v>
          </cell>
          <cell r="U310">
            <v>5.5465319911349321E-2</v>
          </cell>
          <cell r="AC310">
            <v>1579</v>
          </cell>
          <cell r="AE310">
            <v>46.483999999999995</v>
          </cell>
          <cell r="AG310">
            <v>29422.822822822822</v>
          </cell>
          <cell r="AI310">
            <v>0</v>
          </cell>
          <cell r="AK310">
            <v>0.37617352754908173</v>
          </cell>
          <cell r="AM310">
            <v>12.778117201617764</v>
          </cell>
          <cell r="AO310">
            <v>230.38030289992258</v>
          </cell>
          <cell r="AS310" t="str">
            <v>Minimum rentals as reported in footnote D is net of sublease income (less than</v>
          </cell>
        </row>
        <row r="311">
          <cell r="C311">
            <v>2002</v>
          </cell>
          <cell r="F311">
            <v>11981.206999999999</v>
          </cell>
          <cell r="J311">
            <v>8.0383971331102005E-2</v>
          </cell>
          <cell r="L311">
            <v>524.70000000000005</v>
          </cell>
          <cell r="N311">
            <v>4.3793584402639911E-2</v>
          </cell>
          <cell r="P311">
            <v>4.3793584402639911E-2</v>
          </cell>
          <cell r="S311">
            <v>697.85100000000011</v>
          </cell>
          <cell r="U311">
            <v>5.8245467255511087E-2</v>
          </cell>
          <cell r="AC311">
            <v>1754</v>
          </cell>
          <cell r="AE311">
            <v>51.407499999999999</v>
          </cell>
          <cell r="AG311">
            <v>29205.642973412912</v>
          </cell>
          <cell r="AI311">
            <v>0</v>
          </cell>
          <cell r="AK311">
            <v>0.39786259977194988</v>
          </cell>
          <cell r="AM311">
            <v>13.574886932840542</v>
          </cell>
          <cell r="AO311">
            <v>233.06340514516361</v>
          </cell>
          <cell r="AS311" t="str">
            <v>1% of expense) and do not include CAM, RE taxes, insurance, or other landlord</v>
          </cell>
        </row>
        <row r="312">
          <cell r="C312">
            <v>2003</v>
          </cell>
          <cell r="F312">
            <v>13327.938</v>
          </cell>
          <cell r="J312">
            <v>7.6080035786481051E-2</v>
          </cell>
          <cell r="L312">
            <v>597.79999999999995</v>
          </cell>
          <cell r="N312">
            <v>4.4853149827077526E-2</v>
          </cell>
          <cell r="P312">
            <v>4.4853149827077526E-2</v>
          </cell>
          <cell r="S312">
            <v>795.07399999999996</v>
          </cell>
          <cell r="U312">
            <v>5.9654689270013106E-2</v>
          </cell>
          <cell r="AC312">
            <v>1952.5</v>
          </cell>
          <cell r="AE312">
            <v>57.158000000000001</v>
          </cell>
          <cell r="AG312">
            <v>29335.596508244424</v>
          </cell>
          <cell r="AI312">
            <v>0</v>
          </cell>
          <cell r="AK312">
            <v>0.40720819462227908</v>
          </cell>
          <cell r="AM312">
            <v>13.910108821162391</v>
          </cell>
          <cell r="AO312">
            <v>233.17712306238846</v>
          </cell>
          <cell r="AS312" t="str">
            <v xml:space="preserve">passthrus. Estimate 30% for these costs given lower cost of operating in a strip </v>
          </cell>
        </row>
        <row r="313">
          <cell r="C313">
            <v>2004</v>
          </cell>
          <cell r="F313">
            <v>14913.483</v>
          </cell>
          <cell r="J313">
            <v>6.8039639029997254E-2</v>
          </cell>
          <cell r="L313">
            <v>713.3</v>
          </cell>
          <cell r="N313">
            <v>4.7829202608136542E-2</v>
          </cell>
          <cell r="P313">
            <v>4.7829202608136542E-2</v>
          </cell>
          <cell r="S313">
            <v>948.68899999999996</v>
          </cell>
          <cell r="U313">
            <v>6.3612839468821597E-2</v>
          </cell>
          <cell r="AC313">
            <v>2143</v>
          </cell>
          <cell r="AE313">
            <v>62.599717339192452</v>
          </cell>
          <cell r="AG313">
            <v>29095.96883020904</v>
          </cell>
          <cell r="AI313">
            <v>0</v>
          </cell>
          <cell r="AK313">
            <v>0.44269202053196449</v>
          </cell>
          <cell r="AM313">
            <v>15.154844787231083</v>
          </cell>
          <cell r="AO313">
            <v>238.23562843250988</v>
          </cell>
        </row>
        <row r="314">
          <cell r="C314">
            <v>2005</v>
          </cell>
          <cell r="F314">
            <v>16057.935000000001</v>
          </cell>
          <cell r="J314">
            <v>6.4700660452293626E-2</v>
          </cell>
          <cell r="L314">
            <v>774.9</v>
          </cell>
          <cell r="N314">
            <v>4.8256516170977148E-2</v>
          </cell>
          <cell r="P314">
            <v>4.8256516170977148E-2</v>
          </cell>
          <cell r="S314">
            <v>1030.617</v>
          </cell>
          <cell r="U314">
            <v>6.4181166507399606E-2</v>
          </cell>
          <cell r="AC314">
            <v>2302.5</v>
          </cell>
          <cell r="AE314">
            <v>67.642217339192456</v>
          </cell>
          <cell r="AG314">
            <v>29640.907181856372</v>
          </cell>
          <cell r="AI314">
            <v>0</v>
          </cell>
          <cell r="AK314">
            <v>0.44760781758957652</v>
          </cell>
          <cell r="AM314">
            <v>15.236298284427351</v>
          </cell>
          <cell r="AO314">
            <v>237.39515988184351</v>
          </cell>
        </row>
        <row r="315">
          <cell r="C315">
            <v>2006</v>
          </cell>
          <cell r="F315">
            <v>17404.637000000002</v>
          </cell>
          <cell r="J315">
            <v>7.2818180580267233E-2</v>
          </cell>
          <cell r="L315">
            <v>837.6</v>
          </cell>
          <cell r="N315">
            <v>4.8125105970322733E-2</v>
          </cell>
          <cell r="P315">
            <v>4.8125105970322733E-2</v>
          </cell>
          <cell r="S315">
            <v>837.6</v>
          </cell>
          <cell r="U315">
            <v>4.8125105970322733E-2</v>
          </cell>
          <cell r="AC315">
            <v>2423.5</v>
          </cell>
          <cell r="AE315">
            <v>72.137500000000003</v>
          </cell>
          <cell r="AG315">
            <v>29886.455798864554</v>
          </cell>
          <cell r="AI315">
            <v>0</v>
          </cell>
          <cell r="AK315">
            <v>0.34561584485248609</v>
          </cell>
          <cell r="AM315">
            <v>11.611159244498353</v>
          </cell>
          <cell r="AO315">
            <v>241.27031017154741</v>
          </cell>
        </row>
        <row r="316">
          <cell r="C316" t="str">
            <v>2007E</v>
          </cell>
          <cell r="F316">
            <v>18471.973000000002</v>
          </cell>
          <cell r="J316">
            <v>7.8795643540622337E-2</v>
          </cell>
          <cell r="L316">
            <v>896.6</v>
          </cell>
          <cell r="N316">
            <v>4.8538399227846418E-2</v>
          </cell>
          <cell r="P316">
            <v>4.8538399227846418E-2</v>
          </cell>
          <cell r="S316">
            <v>1192.4780000000001</v>
          </cell>
          <cell r="U316">
            <v>6.4556070973035742E-2</v>
          </cell>
          <cell r="AC316">
            <v>2514.5</v>
          </cell>
          <cell r="AE316">
            <v>74.97</v>
          </cell>
          <cell r="AG316">
            <v>29746.390948107692</v>
          </cell>
          <cell r="AI316">
            <v>0</v>
          </cell>
          <cell r="AK316">
            <v>0.47424060449393518</v>
          </cell>
          <cell r="AM316">
            <v>15.906069094304389</v>
          </cell>
          <cell r="AO316">
            <v>246.39152994531148</v>
          </cell>
        </row>
        <row r="317">
          <cell r="A317" t="str">
            <v>CHECK</v>
          </cell>
          <cell r="C317" t="str">
            <v>1998 = Trough rent</v>
          </cell>
          <cell r="F317">
            <v>17404.637000000002</v>
          </cell>
          <cell r="H317">
            <v>0.03</v>
          </cell>
          <cell r="J317">
            <v>7.2818180580267233E-2</v>
          </cell>
          <cell r="L317">
            <v>837.6</v>
          </cell>
          <cell r="N317">
            <v>4.8125105970322733E-2</v>
          </cell>
          <cell r="P317">
            <v>4.8125105970322733E-2</v>
          </cell>
          <cell r="S317">
            <v>837.6</v>
          </cell>
          <cell r="U317">
            <v>4.8125105970322733E-2</v>
          </cell>
          <cell r="AC317">
            <v>2423.5</v>
          </cell>
          <cell r="AE317">
            <v>72.137500000000003</v>
          </cell>
          <cell r="AG317">
            <v>29886.455798864554</v>
          </cell>
          <cell r="AI317">
            <v>0</v>
          </cell>
          <cell r="AK317">
            <v>0.34561584485248609</v>
          </cell>
          <cell r="AM317">
            <v>11.611159244498353</v>
          </cell>
          <cell r="AO317">
            <v>241.27031017154741</v>
          </cell>
          <cell r="AS317" t="str">
            <v xml:space="preserve">center vs. a mall. Minimum rent includes rent expense on DC's, HQ (ex. capital </v>
          </cell>
        </row>
        <row r="318">
          <cell r="AI318">
            <v>0</v>
          </cell>
        </row>
        <row r="319">
          <cell r="AI319">
            <v>0</v>
          </cell>
        </row>
        <row r="320">
          <cell r="C320">
            <v>1998</v>
          </cell>
          <cell r="D320">
            <v>11</v>
          </cell>
          <cell r="E320">
            <v>12</v>
          </cell>
          <cell r="F320">
            <v>972.97400000000016</v>
          </cell>
          <cell r="H320">
            <v>3.6000000000000004E-2</v>
          </cell>
          <cell r="J320">
            <v>5.8595959189176441E-2</v>
          </cell>
          <cell r="L320">
            <v>67.316000000000003</v>
          </cell>
          <cell r="N320">
            <v>6.9185815859416577E-2</v>
          </cell>
          <cell r="P320" t="e">
            <v>#DIV/0!</v>
          </cell>
          <cell r="S320">
            <v>96.261880000000005</v>
          </cell>
          <cell r="U320">
            <v>9.893571667896571E-2</v>
          </cell>
          <cell r="AC320">
            <v>620.5</v>
          </cell>
          <cell r="AE320">
            <v>2.624285</v>
          </cell>
          <cell r="AG320">
            <v>4239.545454545454</v>
          </cell>
          <cell r="AH320">
            <v>0.58006686834613874</v>
          </cell>
          <cell r="AI320">
            <v>0</v>
          </cell>
          <cell r="AK320">
            <v>0.15513598710717164</v>
          </cell>
          <cell r="AM320">
            <v>36.681183636685802</v>
          </cell>
          <cell r="AO320">
            <v>370.75774925360622</v>
          </cell>
          <cell r="AY320">
            <v>169.27199999999999</v>
          </cell>
          <cell r="AZ320" t="str">
            <v>Catalog/Internet Sales</v>
          </cell>
        </row>
        <row r="321">
          <cell r="C321">
            <v>1999</v>
          </cell>
          <cell r="D321">
            <v>12</v>
          </cell>
          <cell r="E321">
            <v>13</v>
          </cell>
          <cell r="F321">
            <v>1117.6640000000002</v>
          </cell>
          <cell r="H321">
            <v>8.6999999999999994E-2</v>
          </cell>
          <cell r="J321">
            <v>7.7612332633889128E-2</v>
          </cell>
          <cell r="L321">
            <v>72.718999999999994</v>
          </cell>
          <cell r="N321">
            <v>6.5063382197154046E-2</v>
          </cell>
          <cell r="P321" t="e">
            <v>#DIV/0!</v>
          </cell>
          <cell r="S321">
            <v>103.98816999999998</v>
          </cell>
          <cell r="U321">
            <v>9.3040636541930274E-2</v>
          </cell>
          <cell r="AC321">
            <v>655.5</v>
          </cell>
          <cell r="AE321">
            <v>2.7668889999999999</v>
          </cell>
          <cell r="AG321">
            <v>4203.4888558692419</v>
          </cell>
          <cell r="AH321">
            <v>0.80017082045803423</v>
          </cell>
          <cell r="AI321">
            <v>0</v>
          </cell>
          <cell r="AK321">
            <v>0.15863946605644544</v>
          </cell>
          <cell r="AM321">
            <v>37.583065312703177</v>
          </cell>
          <cell r="AO321">
            <v>397.53275248844466</v>
          </cell>
          <cell r="AY321">
            <v>190.994</v>
          </cell>
        </row>
        <row r="322">
          <cell r="C322">
            <v>2000</v>
          </cell>
          <cell r="D322">
            <v>13</v>
          </cell>
          <cell r="E322">
            <v>14</v>
          </cell>
          <cell r="F322">
            <v>1325.961</v>
          </cell>
          <cell r="H322">
            <v>0.16300000000000001</v>
          </cell>
          <cell r="J322">
            <v>0.12016519163684423</v>
          </cell>
          <cell r="L322">
            <v>78.466999999999999</v>
          </cell>
          <cell r="N322">
            <v>5.9177456953862138E-2</v>
          </cell>
          <cell r="P322" t="e">
            <v>#DIV/0!</v>
          </cell>
          <cell r="R322">
            <v>50</v>
          </cell>
          <cell r="S322">
            <v>112.20780999999999</v>
          </cell>
          <cell r="U322">
            <v>8.4623763444022865E-2</v>
          </cell>
          <cell r="Y322">
            <v>84.168730979074098</v>
          </cell>
          <cell r="AA322">
            <v>0</v>
          </cell>
          <cell r="AC322">
            <v>697.5</v>
          </cell>
          <cell r="AE322">
            <v>2.9128375000000002</v>
          </cell>
          <cell r="AG322">
            <v>4150.5914127423821</v>
          </cell>
          <cell r="AH322">
            <v>0.80565545961892249</v>
          </cell>
          <cell r="AI322">
            <v>0</v>
          </cell>
          <cell r="AK322">
            <v>0.16087141218637993</v>
          </cell>
          <cell r="AM322">
            <v>38.521822793066896</v>
          </cell>
          <cell r="AO322">
            <v>455.21282941461715</v>
          </cell>
          <cell r="AY322">
            <v>269.03500000000003</v>
          </cell>
        </row>
        <row r="323">
          <cell r="A323" t="str">
            <v>TLB2001</v>
          </cell>
          <cell r="C323">
            <v>2001</v>
          </cell>
          <cell r="D323">
            <v>14</v>
          </cell>
          <cell r="E323">
            <v>15</v>
          </cell>
          <cell r="F323">
            <v>1346.0290000000002</v>
          </cell>
          <cell r="H323">
            <v>-2.6000000000000002E-2</v>
          </cell>
          <cell r="J323">
            <v>0.1302414306117223</v>
          </cell>
          <cell r="L323">
            <v>84.375</v>
          </cell>
          <cell r="N323">
            <v>6.268438495753062E-2</v>
          </cell>
          <cell r="P323" t="e">
            <v>#DIV/0!</v>
          </cell>
          <cell r="S323">
            <v>120.65625</v>
          </cell>
          <cell r="U323">
            <v>8.9638670489268796E-2</v>
          </cell>
          <cell r="Y323">
            <v>-50.149070452459313</v>
          </cell>
          <cell r="AA323">
            <v>0</v>
          </cell>
          <cell r="AC323">
            <v>761</v>
          </cell>
          <cell r="AE323">
            <v>3.145597</v>
          </cell>
          <cell r="AG323">
            <v>4118.0837500000007</v>
          </cell>
          <cell r="AH323">
            <v>0.51477447107119634</v>
          </cell>
          <cell r="AI323">
            <v>0</v>
          </cell>
          <cell r="AK323">
            <v>0.15854960578186597</v>
          </cell>
          <cell r="AM323">
            <v>38.357186251131346</v>
          </cell>
          <cell r="AO323">
            <v>427.90891522340593</v>
          </cell>
          <cell r="AS323" t="str">
            <v>Rent expense reported in footnote 13 includes only minimum rent and percentage</v>
          </cell>
          <cell r="AY323">
            <v>266.48399999999998</v>
          </cell>
        </row>
        <row r="324">
          <cell r="C324">
            <v>2002</v>
          </cell>
          <cell r="D324">
            <v>15</v>
          </cell>
          <cell r="E324">
            <v>16</v>
          </cell>
          <cell r="F324">
            <v>1321.414</v>
          </cell>
          <cell r="H324">
            <v>-6.5872368711950471E-2</v>
          </cell>
          <cell r="J324">
            <v>0.12295748118827028</v>
          </cell>
          <cell r="L324">
            <v>100.07299999999999</v>
          </cell>
          <cell r="N324">
            <v>7.5731754015017236E-2</v>
          </cell>
          <cell r="P324" t="e">
            <v>#DIV/0!</v>
          </cell>
          <cell r="S324">
            <v>143.10439</v>
          </cell>
          <cell r="U324">
            <v>0.10829640824147466</v>
          </cell>
          <cell r="Y324">
            <v>-186.57737752205861</v>
          </cell>
          <cell r="AA324">
            <v>0</v>
          </cell>
          <cell r="AC324">
            <v>843</v>
          </cell>
          <cell r="AE324">
            <v>3.45275</v>
          </cell>
          <cell r="AG324">
            <v>4075.6580135440186</v>
          </cell>
          <cell r="AH324">
            <v>0.68895002975963471</v>
          </cell>
          <cell r="AI324">
            <v>0</v>
          </cell>
          <cell r="AK324">
            <v>0.16975609727164886</v>
          </cell>
          <cell r="AM324">
            <v>41.446496271088265</v>
          </cell>
          <cell r="AO324">
            <v>390.38853088118168</v>
          </cell>
          <cell r="AS324" t="str">
            <v xml:space="preserve">(contingent) rent. CAM, taxes, and insurance costs are not included. </v>
          </cell>
          <cell r="AY324">
            <v>247.42099999999999</v>
          </cell>
        </row>
        <row r="325">
          <cell r="C325">
            <v>2003</v>
          </cell>
          <cell r="D325">
            <v>16</v>
          </cell>
          <cell r="E325">
            <v>17</v>
          </cell>
          <cell r="F325">
            <v>1355.3900000000003</v>
          </cell>
          <cell r="H325">
            <v>-3.8198786916022825E-2</v>
          </cell>
          <cell r="J325">
            <v>0.10446579173433505</v>
          </cell>
          <cell r="L325">
            <v>115.36799999999999</v>
          </cell>
          <cell r="N325">
            <v>8.511793653487186E-2</v>
          </cell>
          <cell r="P325" t="e">
            <v>#DIV/0!</v>
          </cell>
          <cell r="S325">
            <v>164.97623999999999</v>
          </cell>
          <cell r="U325">
            <v>0.12171864924486675</v>
          </cell>
          <cell r="Y325">
            <v>-134.22241003392094</v>
          </cell>
          <cell r="AA325">
            <v>0</v>
          </cell>
          <cell r="AC325" t="str">
            <v>N/A</v>
          </cell>
          <cell r="AE325">
            <v>3.7707715000000004</v>
          </cell>
          <cell r="AG325">
            <v>7515.3154875717028</v>
          </cell>
          <cell r="AH325">
            <v>0.71263224132942471</v>
          </cell>
          <cell r="AI325">
            <v>0</v>
          </cell>
          <cell r="AK325" t="e">
            <v>#VALUE!</v>
          </cell>
          <cell r="AM325">
            <v>43.751322507874043</v>
          </cell>
          <cell r="AO325">
            <v>367.27232079695091</v>
          </cell>
          <cell r="AS325" t="str">
            <v>40% mall based. Village, free standing, strip locations lower cost.</v>
          </cell>
          <cell r="AY325">
            <v>239.39999999999998</v>
          </cell>
        </row>
        <row r="326">
          <cell r="C326">
            <v>2004</v>
          </cell>
          <cell r="D326">
            <v>17</v>
          </cell>
          <cell r="E326">
            <v>18</v>
          </cell>
          <cell r="F326">
            <v>1454.6429999999998</v>
          </cell>
          <cell r="H326">
            <v>1.6678949539392276E-2</v>
          </cell>
          <cell r="J326">
            <v>8.3703263493738828E-2</v>
          </cell>
          <cell r="L326">
            <v>124.01</v>
          </cell>
          <cell r="N326">
            <v>8.5251157844227085E-2</v>
          </cell>
          <cell r="P326" t="e">
            <v>#DIV/0!</v>
          </cell>
          <cell r="S326">
            <v>177.33430000000001</v>
          </cell>
          <cell r="U326">
            <v>0.12190915571724474</v>
          </cell>
          <cell r="Y326">
            <v>-1.905064723779909</v>
          </cell>
          <cell r="AA326">
            <v>0</v>
          </cell>
          <cell r="AC326">
            <v>537.5</v>
          </cell>
          <cell r="AE326">
            <v>4.0667920000000004</v>
          </cell>
          <cell r="AG326">
            <v>7614.264492753623</v>
          </cell>
          <cell r="AH326">
            <v>0.42863561876343226</v>
          </cell>
          <cell r="AI326">
            <v>0</v>
          </cell>
          <cell r="AK326">
            <v>0.32992427906976746</v>
          </cell>
          <cell r="AM326">
            <v>43.605451176258832</v>
          </cell>
          <cell r="AO326">
            <v>357.67750108685169</v>
          </cell>
          <cell r="AT326" t="str">
            <v>Adjusted Rent Expense Increase Assumption</v>
          </cell>
          <cell r="AY326">
            <v>243.2</v>
          </cell>
        </row>
        <row r="327">
          <cell r="A327" t="str">
            <v>TLB</v>
          </cell>
          <cell r="B327" t="str">
            <v>TLB</v>
          </cell>
          <cell r="C327" t="str">
            <v>2005 (ex. catalog/internet)</v>
          </cell>
          <cell r="D327">
            <v>18</v>
          </cell>
          <cell r="E327">
            <v>19</v>
          </cell>
          <cell r="F327">
            <v>1543.6069999999997</v>
          </cell>
          <cell r="H327">
            <v>2.6000000000000002E-2</v>
          </cell>
          <cell r="J327">
            <v>8.4124458284446632E-2</v>
          </cell>
          <cell r="L327">
            <v>126.904</v>
          </cell>
          <cell r="N327">
            <v>8.2212635729172007E-2</v>
          </cell>
          <cell r="P327" t="e">
            <v>#DIV/0!</v>
          </cell>
          <cell r="R327">
            <v>0.43</v>
          </cell>
          <cell r="S327">
            <v>181.47271999999998</v>
          </cell>
          <cell r="U327">
            <v>0.11756406909271597</v>
          </cell>
          <cell r="Y327">
            <v>43.450866245287742</v>
          </cell>
          <cell r="AA327">
            <v>0</v>
          </cell>
          <cell r="AC327">
            <v>558.5</v>
          </cell>
          <cell r="AE327">
            <v>4.0954864999999998</v>
          </cell>
          <cell r="AG327">
            <v>7058.2283185840715</v>
          </cell>
          <cell r="AH327">
            <v>4.9875786230984609</v>
          </cell>
          <cell r="AI327">
            <v>4.9875786230984609</v>
          </cell>
          <cell r="AK327">
            <v>0.32492877350044758</v>
          </cell>
          <cell r="AM327">
            <v>44.31041831049864</v>
          </cell>
          <cell r="AO327">
            <v>376.90491715697266</v>
          </cell>
          <cell r="AY327">
            <v>264.99900000000002</v>
          </cell>
          <cell r="BA327">
            <v>7.0558071325013128E-3</v>
          </cell>
          <cell r="BB327">
            <v>7.0558071325013128E-3</v>
          </cell>
        </row>
        <row r="328">
          <cell r="A328" t="str">
            <v>TLB2006</v>
          </cell>
          <cell r="B328" t="str">
            <v>TLB</v>
          </cell>
          <cell r="C328" t="str">
            <v>2006 (ex. cat/int., TLB only)</v>
          </cell>
          <cell r="D328">
            <v>20</v>
          </cell>
          <cell r="E328">
            <v>20</v>
          </cell>
          <cell r="F328">
            <v>1510.8999999999999</v>
          </cell>
          <cell r="H328">
            <v>0</v>
          </cell>
          <cell r="J328">
            <v>3.4231676537281146E-2</v>
          </cell>
          <cell r="L328">
            <v>119.7</v>
          </cell>
          <cell r="N328">
            <v>7.9224303395327295E-2</v>
          </cell>
          <cell r="P328" t="e">
            <v>#DIV/0!</v>
          </cell>
          <cell r="S328">
            <v>171.17099999999999</v>
          </cell>
          <cell r="U328">
            <v>0.11329075385531803</v>
          </cell>
          <cell r="Y328">
            <v>42.733152373979344</v>
          </cell>
          <cell r="AA328">
            <v>0</v>
          </cell>
          <cell r="AC328">
            <v>574.5</v>
          </cell>
          <cell r="AE328">
            <v>4.5221070000000001</v>
          </cell>
          <cell r="AG328">
            <v>8658.073630136987</v>
          </cell>
          <cell r="AH328">
            <v>1.3003546528055958</v>
          </cell>
          <cell r="AI328">
            <v>-0.20340786898966789</v>
          </cell>
          <cell r="AK328">
            <v>0.29794778067885114</v>
          </cell>
          <cell r="AM328">
            <v>37.852045517719944</v>
          </cell>
          <cell r="AO328">
            <v>387.58481389316972</v>
          </cell>
          <cell r="AR328" t="str">
            <v>DE-LVG</v>
          </cell>
          <cell r="AY328">
            <v>0</v>
          </cell>
          <cell r="BA328">
            <v>0.10416845471227898</v>
          </cell>
          <cell r="BB328">
            <v>0.10416845471227898</v>
          </cell>
        </row>
        <row r="329">
          <cell r="A329" t="str">
            <v>TLB2007</v>
          </cell>
          <cell r="B329" t="str">
            <v>TLB</v>
          </cell>
          <cell r="C329" t="str">
            <v>2007 (ex. cat/internet)</v>
          </cell>
          <cell r="D329">
            <v>22</v>
          </cell>
          <cell r="E329">
            <v>21</v>
          </cell>
          <cell r="F329">
            <v>1445.3309999999999</v>
          </cell>
          <cell r="H329">
            <v>-5.7000000000000002E-2</v>
          </cell>
          <cell r="J329">
            <v>2.060985355201498E-2</v>
          </cell>
          <cell r="L329">
            <v>121.8</v>
          </cell>
          <cell r="N329">
            <v>8.4271353759104314E-2</v>
          </cell>
          <cell r="P329" t="e">
            <v>#DIV/0!</v>
          </cell>
          <cell r="R329">
            <v>0.43</v>
          </cell>
          <cell r="S329">
            <v>174.17399999999998</v>
          </cell>
          <cell r="U329">
            <v>0.12050803587551917</v>
          </cell>
          <cell r="Y329">
            <v>-72.17282020201138</v>
          </cell>
          <cell r="AA329">
            <v>0</v>
          </cell>
          <cell r="AC329">
            <v>590</v>
          </cell>
          <cell r="AE329">
            <v>4.6354140000000008</v>
          </cell>
          <cell r="AG329">
            <v>7071.330536912752</v>
          </cell>
          <cell r="AH329">
            <v>-4.7241269119223421</v>
          </cell>
          <cell r="AI329">
            <v>0.54288620063301307</v>
          </cell>
          <cell r="AK329">
            <v>0.2952101694915254</v>
          </cell>
          <cell r="AM329">
            <v>37.574637346308215</v>
          </cell>
          <cell r="AO329">
            <v>311.80192319391529</v>
          </cell>
          <cell r="AQ329" t="str">
            <v>Sales exclude Catalog/Internet sales (2010 $222M, 2009 $208M). We estimate achieves leverage at slightly negative comp.</v>
          </cell>
          <cell r="AR329">
            <v>-242.40623139852897</v>
          </cell>
          <cell r="AY329">
            <v>262.7</v>
          </cell>
          <cell r="BA329">
            <v>2.505624037644405E-2</v>
          </cell>
          <cell r="BB329">
            <v>2.505624037644405E-2</v>
          </cell>
        </row>
        <row r="330">
          <cell r="A330" t="str">
            <v>TLB2008</v>
          </cell>
          <cell r="B330" t="str">
            <v>TLB</v>
          </cell>
          <cell r="C330" t="str">
            <v>2008 (ex. cat/internet)</v>
          </cell>
          <cell r="D330">
            <v>23</v>
          </cell>
          <cell r="E330">
            <v>22</v>
          </cell>
          <cell r="F330">
            <v>1261.5730000000001</v>
          </cell>
          <cell r="H330">
            <v>-0.14199999999999999</v>
          </cell>
          <cell r="J330">
            <v>-6.5804557341305761E-2</v>
          </cell>
          <cell r="L330">
            <v>127.7</v>
          </cell>
          <cell r="N330">
            <v>0.10122283847228816</v>
          </cell>
          <cell r="P330" t="e">
            <v>#DIV/0!</v>
          </cell>
          <cell r="R330">
            <v>0.43</v>
          </cell>
          <cell r="S330">
            <v>182.61099999999999</v>
          </cell>
          <cell r="U330">
            <v>0.14474865901537207</v>
          </cell>
          <cell r="Y330">
            <v>-242.40623139852897</v>
          </cell>
          <cell r="AA330">
            <v>0</v>
          </cell>
          <cell r="AC330">
            <v>591.5</v>
          </cell>
          <cell r="AE330">
            <v>4.2110205000000001</v>
          </cell>
          <cell r="AG330">
            <v>7167.8500851788749</v>
          </cell>
          <cell r="AH330">
            <v>-0.16231796349067013</v>
          </cell>
          <cell r="AI330">
            <v>-0.16231796349067013</v>
          </cell>
          <cell r="AK330">
            <v>0.30872527472527472</v>
          </cell>
          <cell r="AM330">
            <v>43.365022801480066</v>
          </cell>
          <cell r="AO330">
            <v>299.58842518102205</v>
          </cell>
          <cell r="AR330">
            <v>-305.46734834987626</v>
          </cell>
          <cell r="AS330">
            <v>2.5423728813558366E-3</v>
          </cell>
          <cell r="AU330">
            <v>-547.87357974840529</v>
          </cell>
          <cell r="AY330">
            <v>233.6</v>
          </cell>
          <cell r="BA330">
            <v>-9.1554605478604612E-2</v>
          </cell>
          <cell r="BB330">
            <v>-9.1554605478604612E-2</v>
          </cell>
        </row>
        <row r="331">
          <cell r="A331" t="str">
            <v>TLB2009</v>
          </cell>
          <cell r="B331" t="str">
            <v>TLB</v>
          </cell>
          <cell r="C331" t="str">
            <v>2009 (ex. cat/internet)</v>
          </cell>
          <cell r="D331">
            <v>24</v>
          </cell>
          <cell r="E331">
            <v>23</v>
          </cell>
          <cell r="F331">
            <v>1027.865</v>
          </cell>
          <cell r="H331">
            <v>-0.16500000000000001</v>
          </cell>
          <cell r="J331">
            <v>5.3041682313181328E-3</v>
          </cell>
          <cell r="L331">
            <v>126</v>
          </cell>
          <cell r="N331">
            <v>0.12258419150374805</v>
          </cell>
          <cell r="P331" t="e">
            <v>#DIV/0!</v>
          </cell>
          <cell r="R331">
            <v>0.43</v>
          </cell>
          <cell r="S331">
            <v>180.17999999999998</v>
          </cell>
          <cell r="U331">
            <v>0.17529539385035969</v>
          </cell>
          <cell r="Y331">
            <v>-305.46734834987626</v>
          </cell>
          <cell r="AA331">
            <v>0</v>
          </cell>
          <cell r="AC331">
            <v>583.5</v>
          </cell>
          <cell r="AE331">
            <v>4.1897039999999999</v>
          </cell>
          <cell r="AG331">
            <v>7192.8965517241377</v>
          </cell>
          <cell r="AH331">
            <v>4.0005869456344563</v>
          </cell>
          <cell r="AI331">
            <v>0</v>
          </cell>
          <cell r="AK331">
            <v>0.30879177377892025</v>
          </cell>
          <cell r="AM331">
            <v>43.005424726901943</v>
          </cell>
          <cell r="AO331">
            <v>245.33117375356352</v>
          </cell>
          <cell r="AR331">
            <v>1.8375642410795034</v>
          </cell>
          <cell r="AS331">
            <v>-1.3524936601859716E-2</v>
          </cell>
          <cell r="AU331">
            <v>-303.62978410879674</v>
          </cell>
          <cell r="AY331">
            <v>207.74200000000002</v>
          </cell>
          <cell r="BA331">
            <v>-5.0620746206294642E-3</v>
          </cell>
          <cell r="BB331">
            <v>-5.0620746206294642E-3</v>
          </cell>
          <cell r="BC331">
            <v>0</v>
          </cell>
        </row>
        <row r="332">
          <cell r="A332" t="str">
            <v>TLB2010</v>
          </cell>
          <cell r="B332" t="str">
            <v>TLB</v>
          </cell>
          <cell r="C332" t="str">
            <v>2010 (ex. cat/internet)</v>
          </cell>
          <cell r="D332">
            <v>25</v>
          </cell>
          <cell r="E332">
            <v>24</v>
          </cell>
          <cell r="F332">
            <v>991.37899999999991</v>
          </cell>
          <cell r="H332">
            <v>-1.7000000000000001E-2</v>
          </cell>
          <cell r="J332">
            <v>4.855406987288341E-2</v>
          </cell>
          <cell r="L332">
            <v>121.4</v>
          </cell>
          <cell r="N332">
            <v>0.12245569050786835</v>
          </cell>
          <cell r="P332" t="e">
            <v>#DIV/0!</v>
          </cell>
          <cell r="R332">
            <v>0.43</v>
          </cell>
          <cell r="S332">
            <v>173.602</v>
          </cell>
          <cell r="U332">
            <v>0.17511163742625174</v>
          </cell>
          <cell r="Y332">
            <v>1.8375642410795034</v>
          </cell>
          <cell r="AA332">
            <v>0</v>
          </cell>
          <cell r="AC332">
            <v>574</v>
          </cell>
          <cell r="AE332">
            <v>4.1130554999999998</v>
          </cell>
          <cell r="AG332">
            <v>7137.7306338028175</v>
          </cell>
          <cell r="AH332">
            <v>1.011062836663472</v>
          </cell>
          <cell r="AI332">
            <v>0</v>
          </cell>
          <cell r="AK332">
            <v>0.30244250871080142</v>
          </cell>
          <cell r="AM332">
            <v>42.207551052982389</v>
          </cell>
          <cell r="AO332">
            <v>241.0322447630478</v>
          </cell>
          <cell r="AR332">
            <v>52.479777721540501</v>
          </cell>
          <cell r="AS332">
            <v>-1.6281062553556103E-2</v>
          </cell>
          <cell r="AY332">
            <v>221.72300000000001</v>
          </cell>
          <cell r="BA332">
            <v>-1.8294490493839244E-2</v>
          </cell>
          <cell r="BB332">
            <v>-1.8294490493839244E-2</v>
          </cell>
        </row>
        <row r="333">
          <cell r="A333" t="str">
            <v>TLB2011</v>
          </cell>
          <cell r="B333" t="str">
            <v>TLB</v>
          </cell>
          <cell r="C333" t="str">
            <v>2011 (ex. cat/internet)</v>
          </cell>
          <cell r="D333">
            <v>26</v>
          </cell>
          <cell r="E333">
            <v>25</v>
          </cell>
          <cell r="F333">
            <v>919.12393499999996</v>
          </cell>
          <cell r="H333">
            <v>-7.4970367722391601E-2</v>
          </cell>
          <cell r="J333">
            <v>-2.994072671744278E-2</v>
          </cell>
          <cell r="L333">
            <v>109.1788498425</v>
          </cell>
          <cell r="N333">
            <v>0.1187857759818865</v>
          </cell>
          <cell r="P333" t="e">
            <v>#DIV/0!</v>
          </cell>
          <cell r="R333">
            <v>0.43</v>
          </cell>
          <cell r="S333">
            <v>156.125755274775</v>
          </cell>
          <cell r="U333">
            <v>0.16986365965409769</v>
          </cell>
          <cell r="Y333">
            <v>52.479777721540501</v>
          </cell>
          <cell r="AA333">
            <v>0</v>
          </cell>
          <cell r="AC333">
            <v>535</v>
          </cell>
          <cell r="AE333">
            <v>3.8099080000000005</v>
          </cell>
          <cell r="AG333">
            <v>7102.758964143427</v>
          </cell>
          <cell r="AH333" t="e">
            <v>#REF!</v>
          </cell>
          <cell r="AI333">
            <v>0</v>
          </cell>
          <cell r="AK333">
            <v>0.29182384163509345</v>
          </cell>
          <cell r="AM333">
            <v>40.978878039778124</v>
          </cell>
          <cell r="AO333">
            <v>241.24570330832131</v>
          </cell>
          <cell r="AS333">
            <v>-6.7944250871080136E-2</v>
          </cell>
          <cell r="AY333">
            <v>212.26310999999998</v>
          </cell>
          <cell r="BA333">
            <v>-7.3703722208464995E-2</v>
          </cell>
          <cell r="BB333">
            <v>-7.3703722208464995E-2</v>
          </cell>
        </row>
        <row r="334">
          <cell r="A334" t="str">
            <v>TLB2012</v>
          </cell>
          <cell r="B334" t="str">
            <v>TLB</v>
          </cell>
          <cell r="C334" t="str">
            <v>2012e (ex. cat/internet)</v>
          </cell>
          <cell r="D334">
            <v>27</v>
          </cell>
          <cell r="E334">
            <v>26</v>
          </cell>
          <cell r="F334">
            <v>915</v>
          </cell>
          <cell r="H334">
            <v>0</v>
          </cell>
          <cell r="J334">
            <v>2.000000000000053E-3</v>
          </cell>
          <cell r="L334">
            <v>0</v>
          </cell>
          <cell r="N334">
            <v>0</v>
          </cell>
          <cell r="P334" t="e">
            <v>#DIV/0!</v>
          </cell>
          <cell r="R334">
            <v>0.43</v>
          </cell>
          <cell r="S334">
            <v>0</v>
          </cell>
          <cell r="U334">
            <v>0</v>
          </cell>
          <cell r="Y334">
            <v>0</v>
          </cell>
          <cell r="AA334">
            <v>0</v>
          </cell>
          <cell r="AC334">
            <v>494.5</v>
          </cell>
          <cell r="AE334">
            <v>3.4999100000000007</v>
          </cell>
          <cell r="AG334">
            <v>7051.81724845996</v>
          </cell>
          <cell r="AH334" t="e">
            <v>#REF!</v>
          </cell>
          <cell r="AI334">
            <v>0</v>
          </cell>
          <cell r="AK334">
            <v>0</v>
          </cell>
          <cell r="AM334">
            <v>0</v>
          </cell>
          <cell r="AO334">
            <v>261.43529405041841</v>
          </cell>
          <cell r="AS334">
            <v>-7.5700934579439272E-2</v>
          </cell>
          <cell r="AY334">
            <v>220.11684506999995</v>
          </cell>
          <cell r="BA334">
            <v>-8.1366269211749942E-2</v>
          </cell>
          <cell r="BB334">
            <v>-8.1366269211749942E-2</v>
          </cell>
        </row>
        <row r="335">
          <cell r="C335" t="str">
            <v>2006 = Trough rent</v>
          </cell>
          <cell r="F335">
            <v>1510.8999999999999</v>
          </cell>
          <cell r="H335">
            <v>0</v>
          </cell>
          <cell r="I335">
            <v>0</v>
          </cell>
          <cell r="J335">
            <v>3.4231676537281146E-2</v>
          </cell>
          <cell r="K335">
            <v>0</v>
          </cell>
          <cell r="L335">
            <v>119.7</v>
          </cell>
          <cell r="M335">
            <v>0</v>
          </cell>
          <cell r="N335">
            <v>7.9224303395327295E-2</v>
          </cell>
          <cell r="O335">
            <v>0</v>
          </cell>
          <cell r="P335" t="e">
            <v>#DIV/0!</v>
          </cell>
          <cell r="Q335">
            <v>0</v>
          </cell>
          <cell r="S335">
            <v>171.17099999999999</v>
          </cell>
          <cell r="T335">
            <v>0</v>
          </cell>
          <cell r="U335">
            <v>0.11329075385531803</v>
          </cell>
          <cell r="Z335">
            <v>0</v>
          </cell>
          <cell r="AB335">
            <v>0</v>
          </cell>
          <cell r="AC335">
            <v>574.5</v>
          </cell>
          <cell r="AD335">
            <v>0</v>
          </cell>
          <cell r="AE335">
            <v>4.5221070000000001</v>
          </cell>
          <cell r="AF335">
            <v>0</v>
          </cell>
          <cell r="AG335">
            <v>8658.073630136987</v>
          </cell>
          <cell r="AH335">
            <v>0.80565545961892249</v>
          </cell>
          <cell r="AI335">
            <v>0.80565545961892249</v>
          </cell>
          <cell r="AJ335">
            <v>0</v>
          </cell>
          <cell r="AK335">
            <v>0.29794778067885114</v>
          </cell>
          <cell r="AL335">
            <v>0</v>
          </cell>
          <cell r="AM335">
            <v>37.852045517719944</v>
          </cell>
          <cell r="AN335">
            <v>0</v>
          </cell>
          <cell r="AO335">
            <v>387.58481389316972</v>
          </cell>
          <cell r="AR335">
            <v>-2.8927508305963013E-2</v>
          </cell>
        </row>
        <row r="337">
          <cell r="A337" t="str">
            <v>TEA2008</v>
          </cell>
          <cell r="B337" t="str">
            <v>TEA</v>
          </cell>
          <cell r="C337" t="str">
            <v>2008 (ex. direct)</v>
          </cell>
          <cell r="D337">
            <v>5</v>
          </cell>
          <cell r="E337">
            <v>6</v>
          </cell>
          <cell r="F337">
            <v>60.274104043392505</v>
          </cell>
          <cell r="H337">
            <v>0.03</v>
          </cell>
          <cell r="J337">
            <v>7.4536884796667618E-2</v>
          </cell>
          <cell r="L337">
            <v>6.27</v>
          </cell>
          <cell r="N337">
            <v>0.10402477315110489</v>
          </cell>
          <cell r="P337" t="e">
            <v>#DIV/0!</v>
          </cell>
          <cell r="R337">
            <v>0.4</v>
          </cell>
          <cell r="S337">
            <v>8.7779999999999987</v>
          </cell>
          <cell r="U337">
            <v>0.14563468241154684</v>
          </cell>
          <cell r="AC337">
            <v>73</v>
          </cell>
          <cell r="AE337">
            <v>6.5500000000000003E-2</v>
          </cell>
          <cell r="AG337">
            <v>0.88505747126436785</v>
          </cell>
          <cell r="AH337" t="e">
            <v>#N/A</v>
          </cell>
          <cell r="AI337">
            <v>0</v>
          </cell>
          <cell r="AK337">
            <v>0.12024657534246573</v>
          </cell>
          <cell r="AM337">
            <v>134.01526717557249</v>
          </cell>
          <cell r="AO337">
            <v>920.21532890675587</v>
          </cell>
          <cell r="AQ337" t="str">
            <v>TEA net retail sales excl. Internet/Catalog and Other sales (2011 $13M, 2010 $9M).</v>
          </cell>
          <cell r="AR337">
            <v>48.350967070117377</v>
          </cell>
          <cell r="AU337">
            <v>48.350967070117377</v>
          </cell>
          <cell r="AY337">
            <v>3.5868959566074952</v>
          </cell>
          <cell r="AZ337">
            <v>0</v>
          </cell>
          <cell r="BB337">
            <v>0.35051546391752586</v>
          </cell>
        </row>
        <row r="338">
          <cell r="A338" t="str">
            <v>TEA2009</v>
          </cell>
          <cell r="B338" t="str">
            <v>TEA</v>
          </cell>
          <cell r="C338" t="str">
            <v>2009 (ex. direct)</v>
          </cell>
          <cell r="D338">
            <v>6</v>
          </cell>
          <cell r="E338">
            <v>7</v>
          </cell>
          <cell r="F338">
            <v>84.666442307692307</v>
          </cell>
          <cell r="H338">
            <v>6.9000000000000006E-2</v>
          </cell>
          <cell r="J338">
            <v>0.13512884713389905</v>
          </cell>
          <cell r="L338">
            <v>8.5150000000000006</v>
          </cell>
          <cell r="N338">
            <v>0.10057113264609652</v>
          </cell>
          <cell r="P338" t="e">
            <v>#DIV/0!</v>
          </cell>
          <cell r="R338">
            <v>0.4</v>
          </cell>
          <cell r="S338">
            <v>11.920999999999999</v>
          </cell>
          <cell r="U338">
            <v>0.1407995857045351</v>
          </cell>
          <cell r="Y338">
            <v>48.350967070117377</v>
          </cell>
          <cell r="AA338">
            <v>0</v>
          </cell>
          <cell r="AC338">
            <v>97.5</v>
          </cell>
          <cell r="AE338">
            <v>8.5999999999999993E-2</v>
          </cell>
          <cell r="AG338">
            <v>0.87962962962962965</v>
          </cell>
          <cell r="AH338" t="e">
            <v>#N/A</v>
          </cell>
          <cell r="AI338">
            <v>0</v>
          </cell>
          <cell r="AK338">
            <v>0.12226666666666666</v>
          </cell>
          <cell r="AM338">
            <v>138.61627906976744</v>
          </cell>
          <cell r="AO338">
            <v>984.49351520572452</v>
          </cell>
          <cell r="AQ338" t="str">
            <v>TEA net retail sales excl. Internet/Catalog and Other sales (2011 $13M, 2010 $9M).</v>
          </cell>
          <cell r="AR338">
            <v>64.757834074289093</v>
          </cell>
          <cell r="AS338">
            <v>0.33561643835616439</v>
          </cell>
          <cell r="AU338">
            <v>113.10880114440647</v>
          </cell>
          <cell r="AY338">
            <v>5.595557692307688</v>
          </cell>
          <cell r="AZ338">
            <v>0</v>
          </cell>
          <cell r="BA338">
            <v>0.31297709923664097</v>
          </cell>
          <cell r="BB338">
            <v>0.31297709923664119</v>
          </cell>
          <cell r="BC338">
            <v>0</v>
          </cell>
        </row>
        <row r="339">
          <cell r="A339" t="str">
            <v>TEA2010</v>
          </cell>
          <cell r="B339" t="str">
            <v>TEA</v>
          </cell>
          <cell r="C339" t="str">
            <v>2010 (ex. direct)</v>
          </cell>
          <cell r="D339">
            <v>7</v>
          </cell>
          <cell r="E339">
            <v>8</v>
          </cell>
          <cell r="F339">
            <v>115.97199999999999</v>
          </cell>
          <cell r="H339">
            <v>8.6999999999999994E-2</v>
          </cell>
          <cell r="J339">
            <v>0.18842671670636166</v>
          </cell>
          <cell r="L339">
            <v>11.127000000000001</v>
          </cell>
          <cell r="N339">
            <v>9.5945573069361578E-2</v>
          </cell>
          <cell r="P339" t="e">
            <v>#DIV/0!</v>
          </cell>
          <cell r="R339">
            <v>0.4</v>
          </cell>
          <cell r="S339">
            <v>15.5778</v>
          </cell>
          <cell r="U339">
            <v>0.13432380229710619</v>
          </cell>
          <cell r="Y339">
            <v>64.757834074289093</v>
          </cell>
          <cell r="AA339">
            <v>0</v>
          </cell>
          <cell r="AC339">
            <v>127</v>
          </cell>
          <cell r="AE339">
            <v>0.1125</v>
          </cell>
          <cell r="AG339">
            <v>0.8904109589041096</v>
          </cell>
          <cell r="AH339" t="e">
            <v>#N/A</v>
          </cell>
          <cell r="AI339">
            <v>0</v>
          </cell>
          <cell r="AK339">
            <v>0.12265984251968504</v>
          </cell>
          <cell r="AM339">
            <v>138.46933333333334</v>
          </cell>
          <cell r="AO339">
            <v>1030.862222222222</v>
          </cell>
          <cell r="AR339">
            <v>46.980996825169981</v>
          </cell>
          <cell r="AS339">
            <v>0.3025641025641026</v>
          </cell>
          <cell r="AY339">
            <v>8.729000000000001</v>
          </cell>
          <cell r="AZ339">
            <v>0</v>
          </cell>
          <cell r="BA339">
            <v>0.30813953488372103</v>
          </cell>
          <cell r="BB339">
            <v>0.30813953488372103</v>
          </cell>
          <cell r="BC339">
            <v>0</v>
          </cell>
        </row>
        <row r="340">
          <cell r="A340" t="str">
            <v>TEA2011</v>
          </cell>
          <cell r="B340" t="str">
            <v>TEA</v>
          </cell>
          <cell r="C340" t="str">
            <v>2011 (ex. direct)</v>
          </cell>
          <cell r="D340">
            <v>8</v>
          </cell>
          <cell r="E340">
            <v>9</v>
          </cell>
          <cell r="F340">
            <v>154.61748399999999</v>
          </cell>
          <cell r="H340">
            <v>5.5244243202004134E-2</v>
          </cell>
          <cell r="J340">
            <v>0.18791790600832833</v>
          </cell>
          <cell r="L340">
            <v>14.316000000000001</v>
          </cell>
          <cell r="N340">
            <v>9.2589787581849423E-2</v>
          </cell>
          <cell r="P340" t="e">
            <v>#DIV/0!</v>
          </cell>
          <cell r="R340">
            <v>0.4</v>
          </cell>
          <cell r="S340">
            <v>20.042400000000001</v>
          </cell>
          <cell r="U340">
            <v>0.12962570261458919</v>
          </cell>
          <cell r="Y340">
            <v>46.980996825169981</v>
          </cell>
          <cell r="AA340">
            <v>0</v>
          </cell>
          <cell r="AC340">
            <v>173</v>
          </cell>
          <cell r="AE340">
            <v>0.15511000000000003</v>
          </cell>
          <cell r="AG340">
            <v>0.90110000000000001</v>
          </cell>
          <cell r="AH340" t="e">
            <v>#N/A</v>
          </cell>
          <cell r="AI340">
            <v>0</v>
          </cell>
          <cell r="AK340">
            <v>0.11585202312138729</v>
          </cell>
          <cell r="AM340">
            <v>129.21410611823865</v>
          </cell>
          <cell r="AO340">
            <v>996.82473083618061</v>
          </cell>
          <cell r="AR340">
            <v>-35.442973854107883</v>
          </cell>
          <cell r="AS340">
            <v>0.36220472440944884</v>
          </cell>
          <cell r="AY340">
            <v>12.282588000000001</v>
          </cell>
          <cell r="AZ340">
            <v>1.1999280000000008</v>
          </cell>
          <cell r="BA340">
            <v>0.37875555555555573</v>
          </cell>
          <cell r="BB340">
            <v>0.37875555555555573</v>
          </cell>
          <cell r="BC340">
            <v>0</v>
          </cell>
        </row>
        <row r="341">
          <cell r="A341" t="str">
            <v>TEA2012</v>
          </cell>
          <cell r="B341" t="str">
            <v>TEA</v>
          </cell>
          <cell r="C341" t="str">
            <v>2012 (ex. direct)</v>
          </cell>
          <cell r="D341">
            <v>9</v>
          </cell>
          <cell r="E341">
            <v>10</v>
          </cell>
          <cell r="F341">
            <v>211.73057145393938</v>
          </cell>
          <cell r="H341">
            <v>7.9845857404125514E-3</v>
          </cell>
          <cell r="J341">
            <v>0.15199208134269537</v>
          </cell>
          <cell r="L341">
            <v>20.43200014530515</v>
          </cell>
          <cell r="N341">
            <v>9.6500000000000002E-2</v>
          </cell>
          <cell r="P341" t="e">
            <v>#DIV/0!</v>
          </cell>
          <cell r="R341">
            <v>0.38</v>
          </cell>
          <cell r="S341">
            <v>28.196160200521103</v>
          </cell>
          <cell r="U341">
            <v>0.13316999999999998</v>
          </cell>
          <cell r="Y341">
            <v>-35.442973854107883</v>
          </cell>
          <cell r="AA341">
            <v>0</v>
          </cell>
          <cell r="AC341">
            <v>253</v>
          </cell>
          <cell r="AE341">
            <v>0.22950999999999999</v>
          </cell>
          <cell r="AG341">
            <v>0.91111111111111109</v>
          </cell>
          <cell r="AH341" t="e">
            <v>#N/A</v>
          </cell>
          <cell r="AI341">
            <v>0.75818087950057389</v>
          </cell>
          <cell r="AK341">
            <v>0.11144727351984626</v>
          </cell>
          <cell r="AM341">
            <v>122.85373273722759</v>
          </cell>
          <cell r="AO341">
            <v>922.5330985749614</v>
          </cell>
          <cell r="AS341">
            <v>0.46242774566473988</v>
          </cell>
          <cell r="AY341">
            <v>16.79919752</v>
          </cell>
          <cell r="AZ341">
            <v>1.1999280000000008</v>
          </cell>
          <cell r="BA341">
            <v>0.47965959641544686</v>
          </cell>
          <cell r="BB341">
            <v>0.47965959641544686</v>
          </cell>
        </row>
        <row r="342">
          <cell r="A342" t="str">
            <v>TEA2013</v>
          </cell>
          <cell r="C342" t="str">
            <v>2013e (ex. direct)</v>
          </cell>
        </row>
        <row r="343">
          <cell r="C343" t="str">
            <v>2011 = Trough rent</v>
          </cell>
          <cell r="F343">
            <v>154.61748399999999</v>
          </cell>
          <cell r="H343">
            <v>5.5244243202004134E-2</v>
          </cell>
          <cell r="I343">
            <v>0</v>
          </cell>
          <cell r="J343">
            <v>0.18791790600832833</v>
          </cell>
          <cell r="K343">
            <v>0</v>
          </cell>
          <cell r="L343">
            <v>14.316000000000001</v>
          </cell>
          <cell r="M343">
            <v>0</v>
          </cell>
          <cell r="N343">
            <v>9.2589787581849423E-2</v>
          </cell>
          <cell r="O343">
            <v>0</v>
          </cell>
          <cell r="P343" t="e">
            <v>#DIV/0!</v>
          </cell>
          <cell r="Q343">
            <v>0</v>
          </cell>
          <cell r="S343">
            <v>20.042400000000001</v>
          </cell>
          <cell r="U343">
            <v>0.12962570261458919</v>
          </cell>
          <cell r="Z343">
            <v>0</v>
          </cell>
          <cell r="AB343">
            <v>0</v>
          </cell>
          <cell r="AC343">
            <v>173</v>
          </cell>
          <cell r="AD343">
            <v>0</v>
          </cell>
          <cell r="AE343">
            <v>0.15511000000000003</v>
          </cell>
          <cell r="AF343">
            <v>0</v>
          </cell>
          <cell r="AG343">
            <v>0.90110000000000001</v>
          </cell>
          <cell r="AH343">
            <v>0.80565545961892249</v>
          </cell>
          <cell r="AI343">
            <v>0.80565545961892249</v>
          </cell>
          <cell r="AJ343">
            <v>0</v>
          </cell>
          <cell r="AK343">
            <v>0.11585202312138729</v>
          </cell>
          <cell r="AL343">
            <v>0</v>
          </cell>
          <cell r="AM343">
            <v>129.21410611823865</v>
          </cell>
          <cell r="AN343">
            <v>0</v>
          </cell>
          <cell r="AO343">
            <v>996.82473083618061</v>
          </cell>
          <cell r="AR343">
            <v>-5.2789058874429279E-2</v>
          </cell>
        </row>
        <row r="345">
          <cell r="AI345">
            <v>0</v>
          </cell>
        </row>
        <row r="346">
          <cell r="AI346">
            <v>0</v>
          </cell>
        </row>
        <row r="347">
          <cell r="C347">
            <v>1998</v>
          </cell>
          <cell r="D347">
            <v>6</v>
          </cell>
          <cell r="E347">
            <v>6</v>
          </cell>
          <cell r="F347">
            <v>376.94299999999998</v>
          </cell>
          <cell r="H347">
            <v>0.15</v>
          </cell>
          <cell r="J347">
            <v>7.3966090363795062E-2</v>
          </cell>
          <cell r="L347">
            <v>30.170999999999999</v>
          </cell>
          <cell r="N347">
            <v>8.0041279450739244E-2</v>
          </cell>
          <cell r="P347" t="e">
            <v>#DIV/0!</v>
          </cell>
          <cell r="S347">
            <v>44.501630614657209</v>
          </cell>
          <cell r="U347">
            <v>0.11805931033248319</v>
          </cell>
          <cell r="AC347">
            <v>315.5</v>
          </cell>
          <cell r="AE347">
            <v>1.2606789297658862</v>
          </cell>
          <cell r="AG347">
            <v>4014.7335423197492</v>
          </cell>
          <cell r="AH347">
            <v>1.4820735153636422</v>
          </cell>
          <cell r="AI347">
            <v>0</v>
          </cell>
          <cell r="AK347">
            <v>0.14105112714629861</v>
          </cell>
          <cell r="AM347">
            <v>35.299733789412471</v>
          </cell>
          <cell r="AO347">
            <v>299</v>
          </cell>
        </row>
        <row r="348">
          <cell r="C348">
            <v>1999</v>
          </cell>
          <cell r="D348">
            <v>7</v>
          </cell>
          <cell r="E348">
            <v>7</v>
          </cell>
          <cell r="F348">
            <v>450.42600000000004</v>
          </cell>
          <cell r="H348">
            <v>0.09</v>
          </cell>
          <cell r="J348">
            <v>9.4255216173133927E-2</v>
          </cell>
          <cell r="L348">
            <v>34.628999999999998</v>
          </cell>
          <cell r="N348">
            <v>7.6880553076420971E-2</v>
          </cell>
          <cell r="P348" t="e">
            <v>#DIV/0!</v>
          </cell>
          <cell r="S348">
            <v>51.077092789598105</v>
          </cell>
          <cell r="U348">
            <v>0.11339730119841683</v>
          </cell>
          <cell r="AC348">
            <v>335.5</v>
          </cell>
          <cell r="AE348">
            <v>1.3690759878419454</v>
          </cell>
          <cell r="AG348">
            <v>4080.7033914812082</v>
          </cell>
          <cell r="AH348">
            <v>1.2205260961442157</v>
          </cell>
          <cell r="AI348">
            <v>0</v>
          </cell>
          <cell r="AK348">
            <v>0.15224170727152939</v>
          </cell>
          <cell r="AM348">
            <v>37.30771209427914</v>
          </cell>
          <cell r="AO348">
            <v>329</v>
          </cell>
        </row>
        <row r="349">
          <cell r="C349" t="str">
            <v>2000 (Trough rent)</v>
          </cell>
          <cell r="D349">
            <v>8</v>
          </cell>
          <cell r="E349">
            <v>8</v>
          </cell>
          <cell r="F349">
            <v>536.04</v>
          </cell>
          <cell r="H349">
            <v>0.04</v>
          </cell>
          <cell r="J349">
            <v>0.10145310435931297</v>
          </cell>
          <cell r="L349">
            <v>39.603999999999999</v>
          </cell>
          <cell r="N349">
            <v>7.3882546078650857E-2</v>
          </cell>
          <cell r="P349" t="e">
            <v>#DIV/0!</v>
          </cell>
          <cell r="S349">
            <v>58.415119779353816</v>
          </cell>
          <cell r="U349">
            <v>0.10897529993909749</v>
          </cell>
          <cell r="AC349">
            <v>379</v>
          </cell>
          <cell r="AE349">
            <v>1.5550000000000002</v>
          </cell>
          <cell r="AG349">
            <v>4102.9023746701851</v>
          </cell>
          <cell r="AH349">
            <v>1.1050852556033259</v>
          </cell>
          <cell r="AI349">
            <v>0</v>
          </cell>
          <cell r="AK349">
            <v>0.15412960363945599</v>
          </cell>
          <cell r="AM349">
            <v>37.565993427237174</v>
          </cell>
          <cell r="AO349">
            <v>341</v>
          </cell>
          <cell r="AY349">
            <v>9</v>
          </cell>
        </row>
        <row r="350">
          <cell r="C350">
            <v>2001</v>
          </cell>
          <cell r="D350">
            <v>9</v>
          </cell>
          <cell r="E350">
            <v>9</v>
          </cell>
          <cell r="F350">
            <v>592.78899999999999</v>
          </cell>
          <cell r="H350">
            <v>0</v>
          </cell>
          <cell r="J350">
            <v>0.11041515607552153</v>
          </cell>
          <cell r="L350">
            <v>45.048999999999999</v>
          </cell>
          <cell r="N350">
            <v>7.5994999907218252E-2</v>
          </cell>
          <cell r="P350" t="e">
            <v>#DIV/0!</v>
          </cell>
          <cell r="S350">
            <v>66.446387509850268</v>
          </cell>
          <cell r="U350">
            <v>0.11209112771972872</v>
          </cell>
          <cell r="AC350">
            <v>436</v>
          </cell>
          <cell r="AE350">
            <v>1.7847500000000001</v>
          </cell>
          <cell r="AG350">
            <v>4093.4633027522941</v>
          </cell>
          <cell r="AH350">
            <v>0.71653249042935319</v>
          </cell>
          <cell r="AI350">
            <v>0</v>
          </cell>
          <cell r="AK350">
            <v>0.15239997135286759</v>
          </cell>
          <cell r="AM350">
            <v>37.230081249390821</v>
          </cell>
          <cell r="AO350">
            <v>336</v>
          </cell>
          <cell r="AT350" t="str">
            <v>Adjusted Rent Expense Increase Assumption</v>
          </cell>
          <cell r="AY350">
            <v>9.9</v>
          </cell>
        </row>
        <row r="351">
          <cell r="A351" t="str">
            <v>TOO2002</v>
          </cell>
          <cell r="C351" t="str">
            <v>2002 (peak op mgn)</v>
          </cell>
          <cell r="D351">
            <v>10</v>
          </cell>
          <cell r="E351">
            <v>10</v>
          </cell>
          <cell r="F351">
            <v>637.3549999999999</v>
          </cell>
          <cell r="H351">
            <v>-0.03</v>
          </cell>
          <cell r="J351">
            <v>0.11932103389424743</v>
          </cell>
          <cell r="L351">
            <v>54.423000000000002</v>
          </cell>
          <cell r="N351">
            <v>8.5388833538608794E-2</v>
          </cell>
          <cell r="P351" t="e">
            <v>#DIV/0!</v>
          </cell>
          <cell r="S351">
            <v>80.272852836879437</v>
          </cell>
          <cell r="U351">
            <v>0.12594684726232547</v>
          </cell>
          <cell r="AC351">
            <v>494</v>
          </cell>
          <cell r="AE351">
            <v>2.0114999999999998</v>
          </cell>
          <cell r="AG351">
            <v>4071.8623481781374</v>
          </cell>
          <cell r="AH351">
            <v>0.82787376081242559</v>
          </cell>
          <cell r="AI351">
            <v>0</v>
          </cell>
          <cell r="AK351">
            <v>0.16249565351595027</v>
          </cell>
          <cell r="AM351">
            <v>39.906961390444664</v>
          </cell>
          <cell r="AO351">
            <v>319</v>
          </cell>
          <cell r="AS351" t="str">
            <v>Total rent expense as reported in footnote 4 includes minimum and percentage (contingent) rent.</v>
          </cell>
          <cell r="AY351">
            <v>10.1</v>
          </cell>
        </row>
        <row r="352">
          <cell r="C352">
            <v>2003</v>
          </cell>
          <cell r="D352">
            <v>11</v>
          </cell>
          <cell r="E352">
            <v>11</v>
          </cell>
          <cell r="F352">
            <v>591.18100000000004</v>
          </cell>
          <cell r="H352">
            <v>-0.13</v>
          </cell>
          <cell r="J352">
            <v>7.7421865734840375E-2</v>
          </cell>
          <cell r="L352">
            <v>53.137999999999998</v>
          </cell>
          <cell r="N352">
            <v>8.9884485462151179E-2</v>
          </cell>
          <cell r="P352" t="e">
            <v>#DIV/0!</v>
          </cell>
          <cell r="S352">
            <v>78.377503152088252</v>
          </cell>
          <cell r="U352">
            <v>0.1325778452827277</v>
          </cell>
          <cell r="AC352">
            <v>540</v>
          </cell>
          <cell r="AE352">
            <v>2.21475</v>
          </cell>
          <cell r="AG352">
            <v>4101.3888888888887</v>
          </cell>
          <cell r="AH352">
            <v>0.56959067138662667</v>
          </cell>
          <cell r="AI352">
            <v>0</v>
          </cell>
          <cell r="AK352">
            <v>0.14514352435571898</v>
          </cell>
          <cell r="AM352">
            <v>35.388871498854613</v>
          </cell>
          <cell r="AO352">
            <v>260</v>
          </cell>
          <cell r="AS352" t="str">
            <v>Does not include CAM, taxes, insurance or other landlord passthru charges. Does incl $4.6, $1.3</v>
          </cell>
          <cell r="AY352">
            <v>7.5</v>
          </cell>
        </row>
        <row r="353">
          <cell r="C353">
            <v>2004</v>
          </cell>
          <cell r="D353">
            <v>12</v>
          </cell>
          <cell r="E353">
            <v>12</v>
          </cell>
          <cell r="F353">
            <v>668.48400000000004</v>
          </cell>
          <cell r="H353">
            <v>0.04</v>
          </cell>
          <cell r="J353">
            <v>9.5258599005081226E-2</v>
          </cell>
          <cell r="L353">
            <v>54.936</v>
          </cell>
          <cell r="N353">
            <v>8.2179977381657596E-2</v>
          </cell>
          <cell r="P353" t="e">
            <v>#DIV/0!</v>
          </cell>
          <cell r="S353">
            <v>81.029517730496451</v>
          </cell>
          <cell r="U353">
            <v>0.12121384764705878</v>
          </cell>
          <cell r="AC353">
            <v>580.5</v>
          </cell>
          <cell r="AE353">
            <v>2.4009999999999998</v>
          </cell>
          <cell r="AG353">
            <v>4136.0895779500424</v>
          </cell>
          <cell r="AH353">
            <v>1.0792556027623441</v>
          </cell>
          <cell r="AI353">
            <v>0</v>
          </cell>
          <cell r="AK353">
            <v>0.13958573252454168</v>
          </cell>
          <cell r="AM353">
            <v>33.748237288836506</v>
          </cell>
          <cell r="AO353">
            <v>271</v>
          </cell>
          <cell r="AS353" t="str">
            <v>&amp; $1.1 mm in equipent and other leasing expenses in 2002, 2001, and 2000, respectively.</v>
          </cell>
          <cell r="AY353">
            <v>7.35</v>
          </cell>
          <cell r="BC353" t="str">
            <v>Too</v>
          </cell>
          <cell r="BD353" t="str">
            <v>Justice</v>
          </cell>
          <cell r="BE353" t="str">
            <v>Total EOY</v>
          </cell>
          <cell r="BG353" t="str">
            <v>Too</v>
          </cell>
          <cell r="BH353" t="str">
            <v>Justice</v>
          </cell>
          <cell r="BI353" t="str">
            <v>Store Mix</v>
          </cell>
          <cell r="BK353" t="str">
            <v>Too</v>
          </cell>
          <cell r="BL353" t="str">
            <v>Justice</v>
          </cell>
          <cell r="BM353" t="str">
            <v>Gross Up Total</v>
          </cell>
        </row>
        <row r="354">
          <cell r="A354" t="str">
            <v>TOO</v>
          </cell>
          <cell r="B354" t="str">
            <v>TWB</v>
          </cell>
          <cell r="C354" t="str">
            <v>2005 (ex. catalog/internet)</v>
          </cell>
          <cell r="D354">
            <v>13</v>
          </cell>
          <cell r="E354">
            <v>13</v>
          </cell>
          <cell r="F354">
            <v>749.23599999999999</v>
          </cell>
          <cell r="H354">
            <v>6.6501985009667086E-2</v>
          </cell>
          <cell r="J354">
            <v>0.10945251314095128</v>
          </cell>
          <cell r="L354">
            <v>60.719000000000001</v>
          </cell>
          <cell r="N354">
            <v>8.10412206567757E-2</v>
          </cell>
          <cell r="P354" t="e">
            <v>#DIV/0!</v>
          </cell>
          <cell r="R354">
            <v>0.47498029944838455</v>
          </cell>
          <cell r="S354">
            <v>89.559328802206466</v>
          </cell>
          <cell r="U354">
            <v>0.11953420391199364</v>
          </cell>
          <cell r="Y354">
            <v>16.796437350651424</v>
          </cell>
          <cell r="AA354">
            <v>0</v>
          </cell>
          <cell r="AC354">
            <v>634.5</v>
          </cell>
          <cell r="AE354">
            <v>2.6360000000000001</v>
          </cell>
          <cell r="AG354">
            <v>4154.4523246650915</v>
          </cell>
          <cell r="AH354">
            <v>0.554766004130825</v>
          </cell>
          <cell r="AI354" t="e">
            <v>#DIV/0!</v>
          </cell>
          <cell r="AK354">
            <v>0.14114945437699994</v>
          </cell>
          <cell r="AM354">
            <v>33.975466161686825</v>
          </cell>
          <cell r="AO354">
            <v>287.533004552352</v>
          </cell>
          <cell r="AQ354" t="str">
            <v>CAM exp. for trad. malls likely greater than those of off-mall power centers; Sales exclude internet. Assume 33% gross up heritage Justice &amp; 50% gross up at heritage Ltoo (~65% mix).</v>
          </cell>
          <cell r="AY354">
            <v>8.6999999999999993</v>
          </cell>
          <cell r="BB354">
            <v>9.7875885047896904E-2</v>
          </cell>
          <cell r="BC354">
            <v>666</v>
          </cell>
          <cell r="BD354" t="e">
            <v>#REF!</v>
          </cell>
          <cell r="BE354">
            <v>-7</v>
          </cell>
          <cell r="BG354">
            <v>-95.142857142857139</v>
          </cell>
          <cell r="BH354" t="e">
            <v>#REF!</v>
          </cell>
          <cell r="BI354" t="e">
            <v>#REF!</v>
          </cell>
          <cell r="BK354">
            <v>0.5</v>
          </cell>
          <cell r="BL354">
            <v>0.25</v>
          </cell>
          <cell r="BM354" t="e">
            <v>#REF!</v>
          </cell>
        </row>
        <row r="355">
          <cell r="A355" t="str">
            <v>TOO2006</v>
          </cell>
          <cell r="B355" t="str">
            <v>TWB</v>
          </cell>
          <cell r="C355" t="str">
            <v>2006 (ex. catalog/internet)</v>
          </cell>
          <cell r="D355">
            <v>14</v>
          </cell>
          <cell r="E355">
            <v>14</v>
          </cell>
          <cell r="F355">
            <v>873.67700000000002</v>
          </cell>
          <cell r="H355">
            <v>5.9767763143587394E-2</v>
          </cell>
          <cell r="J355">
            <v>0.1082844281087541</v>
          </cell>
          <cell r="L355">
            <v>68.863</v>
          </cell>
          <cell r="N355">
            <v>7.8819746885862851E-2</v>
          </cell>
          <cell r="P355" t="e">
            <v>#DIV/0!</v>
          </cell>
          <cell r="R355">
            <v>0.45479106628242072</v>
          </cell>
          <cell r="S355">
            <v>100.18127719740633</v>
          </cell>
          <cell r="U355">
            <v>0.11466626361619492</v>
          </cell>
          <cell r="Y355">
            <v>48.6794029579872</v>
          </cell>
          <cell r="AA355">
            <v>0</v>
          </cell>
          <cell r="AC355">
            <v>694</v>
          </cell>
          <cell r="AE355">
            <v>2.8914999999999997</v>
          </cell>
          <cell r="AG355">
            <v>4166.4265129682999</v>
          </cell>
          <cell r="AH355">
            <v>1.096918573731529</v>
          </cell>
          <cell r="AI355">
            <v>-3.1314968038155975</v>
          </cell>
          <cell r="AK355">
            <v>0.14435342535649326</v>
          </cell>
          <cell r="AM355">
            <v>34.646819020372241</v>
          </cell>
          <cell r="AO355">
            <v>305.61369531385094</v>
          </cell>
          <cell r="AR355" t="str">
            <v>DE-LVG</v>
          </cell>
          <cell r="AY355">
            <v>10.004999999999999</v>
          </cell>
          <cell r="BB355">
            <v>9.6927162367222985E-2</v>
          </cell>
          <cell r="BC355">
            <v>722</v>
          </cell>
          <cell r="BD355" t="e">
            <v>#REF!</v>
          </cell>
          <cell r="BE355">
            <v>-23</v>
          </cell>
          <cell r="BG355">
            <v>-31.391304347826086</v>
          </cell>
          <cell r="BH355" t="e">
            <v>#REF!</v>
          </cell>
          <cell r="BI355" t="e">
            <v>#REF!</v>
          </cell>
          <cell r="BK355">
            <v>0.5</v>
          </cell>
          <cell r="BL355">
            <v>0.25</v>
          </cell>
          <cell r="BM355" t="e">
            <v>#REF!</v>
          </cell>
        </row>
        <row r="356">
          <cell r="A356" t="str">
            <v>TOO2007</v>
          </cell>
          <cell r="B356" t="str">
            <v>TWB</v>
          </cell>
          <cell r="C356" t="str">
            <v>2007 (ex. catalog/internet)</v>
          </cell>
          <cell r="D356">
            <v>15</v>
          </cell>
          <cell r="E356">
            <v>15</v>
          </cell>
          <cell r="F356">
            <v>995.61835000000019</v>
          </cell>
          <cell r="H356">
            <v>4.2569622984237887E-2</v>
          </cell>
          <cell r="J356">
            <v>8.7556799011899514E-2</v>
          </cell>
          <cell r="L356">
            <v>88.5</v>
          </cell>
          <cell r="N356">
            <v>8.8889482601440584E-2</v>
          </cell>
          <cell r="P356" t="e">
            <v>#DIV/0!</v>
          </cell>
          <cell r="R356">
            <v>0.43302429667519182</v>
          </cell>
          <cell r="S356">
            <v>126.82265025575448</v>
          </cell>
          <cell r="U356">
            <v>0.12738078828675109</v>
          </cell>
          <cell r="Y356">
            <v>-127.1452467055617</v>
          </cell>
          <cell r="AA356">
            <v>0</v>
          </cell>
          <cell r="AC356">
            <v>782</v>
          </cell>
          <cell r="AE356">
            <v>3.258</v>
          </cell>
          <cell r="AG356">
            <v>4166.2404092071611</v>
          </cell>
          <cell r="AH356">
            <v>0.76530433931676778</v>
          </cell>
          <cell r="AI356">
            <v>0.87994420617141123</v>
          </cell>
          <cell r="AK356">
            <v>0.16217730211733311</v>
          </cell>
          <cell r="AM356">
            <v>38.92653476235558</v>
          </cell>
          <cell r="AO356">
            <v>311.13014119091469</v>
          </cell>
          <cell r="AR356">
            <v>-250.66771363226658</v>
          </cell>
          <cell r="AY356">
            <v>18.04365</v>
          </cell>
          <cell r="BB356">
            <v>0.12675082137298999</v>
          </cell>
        </row>
        <row r="357">
          <cell r="A357" t="str">
            <v>TOO2008</v>
          </cell>
          <cell r="B357" t="str">
            <v>TWB</v>
          </cell>
          <cell r="C357" t="str">
            <v>2008 (ex. catalog/internet)</v>
          </cell>
          <cell r="D357">
            <v>16</v>
          </cell>
          <cell r="E357">
            <v>16</v>
          </cell>
          <cell r="F357">
            <v>972.13756875000013</v>
          </cell>
          <cell r="H357">
            <v>-0.12</v>
          </cell>
          <cell r="J357">
            <v>4.1685844701136723E-3</v>
          </cell>
          <cell r="L357">
            <v>98.8</v>
          </cell>
          <cell r="N357">
            <v>0.10163170643331851</v>
          </cell>
          <cell r="P357" t="e">
            <v>#DIV/0!</v>
          </cell>
          <cell r="R357">
            <v>0.5</v>
          </cell>
          <cell r="S357">
            <v>148.19999999999999</v>
          </cell>
          <cell r="U357">
            <v>0.15244755964997775</v>
          </cell>
          <cell r="Y357">
            <v>-250.66771363226658</v>
          </cell>
          <cell r="AA357">
            <v>0</v>
          </cell>
          <cell r="AC357">
            <v>878</v>
          </cell>
          <cell r="AE357">
            <v>3.6669999999999998</v>
          </cell>
          <cell r="AG357">
            <v>4176.5375854214117</v>
          </cell>
          <cell r="AH357">
            <v>0.76802675205506166</v>
          </cell>
          <cell r="AI357">
            <v>0.76802675205506166</v>
          </cell>
          <cell r="AK357">
            <v>0.16879271070615032</v>
          </cell>
          <cell r="AM357">
            <v>40.414507772020727</v>
          </cell>
          <cell r="AO357">
            <v>271.35587673847834</v>
          </cell>
          <cell r="AR357">
            <v>-173.95575495684656</v>
          </cell>
          <cell r="AY357">
            <v>22.924431249999998</v>
          </cell>
          <cell r="BB357">
            <v>0.12553713934929389</v>
          </cell>
        </row>
        <row r="358">
          <cell r="A358" t="str">
            <v>TOO2009</v>
          </cell>
          <cell r="B358" t="str">
            <v>TWB</v>
          </cell>
          <cell r="C358" t="str">
            <v>2009E (ex. catalog/internet)</v>
          </cell>
          <cell r="D358">
            <v>17</v>
          </cell>
          <cell r="E358">
            <v>17</v>
          </cell>
          <cell r="F358">
            <v>891.22543403751649</v>
          </cell>
          <cell r="H358">
            <v>-8.3892059167547842E-2</v>
          </cell>
          <cell r="J358">
            <v>3.0777196465136616E-2</v>
          </cell>
          <cell r="L358">
            <v>100.91234789232369</v>
          </cell>
          <cell r="N358">
            <v>0.11322875676377493</v>
          </cell>
          <cell r="P358" t="e">
            <v>#DIV/0!</v>
          </cell>
          <cell r="S358">
            <v>151.36852183848555</v>
          </cell>
          <cell r="U358">
            <v>0.1698431351456624</v>
          </cell>
          <cell r="Y358">
            <v>-173.95575495684656</v>
          </cell>
          <cell r="AA358">
            <v>0</v>
          </cell>
          <cell r="AC358">
            <v>901</v>
          </cell>
          <cell r="AE358">
            <v>3.7701500000000001</v>
          </cell>
          <cell r="AG358">
            <v>4184.406215316315</v>
          </cell>
          <cell r="AH358">
            <v>2.3495180442905102E-2</v>
          </cell>
          <cell r="AI358">
            <v>0</v>
          </cell>
          <cell r="AK358">
            <v>0.1680005791770095</v>
          </cell>
          <cell r="AM358">
            <v>40.149204100230904</v>
          </cell>
          <cell r="AO358">
            <v>242.77674437025487</v>
          </cell>
          <cell r="AY358">
            <v>24.079308749999996</v>
          </cell>
          <cell r="BB358">
            <v>2.8129260976274884E-2</v>
          </cell>
          <cell r="BC358">
            <v>-2.8129260976274884E-2</v>
          </cell>
        </row>
        <row r="360">
          <cell r="C360" t="str">
            <v>2000 = Trough rent</v>
          </cell>
          <cell r="F360">
            <v>536.04</v>
          </cell>
          <cell r="H360">
            <v>0.04</v>
          </cell>
          <cell r="I360">
            <v>0</v>
          </cell>
          <cell r="J360">
            <v>0.10145310435931297</v>
          </cell>
          <cell r="K360">
            <v>0</v>
          </cell>
          <cell r="L360">
            <v>39.603999999999999</v>
          </cell>
          <cell r="M360">
            <v>0</v>
          </cell>
          <cell r="N360">
            <v>7.3882546078650857E-2</v>
          </cell>
          <cell r="O360">
            <v>0</v>
          </cell>
          <cell r="P360" t="e">
            <v>#DIV/0!</v>
          </cell>
          <cell r="Q360">
            <v>0</v>
          </cell>
          <cell r="S360">
            <v>58.415119779353816</v>
          </cell>
          <cell r="T360">
            <v>0</v>
          </cell>
          <cell r="U360">
            <v>0.10897529993909749</v>
          </cell>
          <cell r="Z360">
            <v>0</v>
          </cell>
          <cell r="AB360">
            <v>0</v>
          </cell>
          <cell r="AC360">
            <v>379</v>
          </cell>
          <cell r="AD360">
            <v>0</v>
          </cell>
          <cell r="AE360">
            <v>1.5550000000000002</v>
          </cell>
          <cell r="AF360">
            <v>0</v>
          </cell>
          <cell r="AG360">
            <v>4102.9023746701851</v>
          </cell>
          <cell r="AH360">
            <v>1.1050852556033259</v>
          </cell>
          <cell r="AI360">
            <v>1.1050852556033259</v>
          </cell>
          <cell r="AJ360">
            <v>0</v>
          </cell>
          <cell r="AK360">
            <v>0.15412960363945599</v>
          </cell>
          <cell r="AL360">
            <v>0</v>
          </cell>
          <cell r="AM360">
            <v>37.565993427237174</v>
          </cell>
          <cell r="AN360">
            <v>0</v>
          </cell>
          <cell r="AO360">
            <v>341</v>
          </cell>
          <cell r="AR360">
            <v>-7.0675907894176354E-2</v>
          </cell>
          <cell r="AS360" t="str">
            <v>The y-o-y increase of $3+mm relates to the leasing of new POS terminals in 2002.</v>
          </cell>
        </row>
        <row r="362">
          <cell r="A362" t="str">
            <v>TEST2009</v>
          </cell>
          <cell r="J362">
            <v>999999</v>
          </cell>
          <cell r="N362">
            <v>-999999</v>
          </cell>
          <cell r="P362" t="str">
            <v>-</v>
          </cell>
          <cell r="U362">
            <v>-999999</v>
          </cell>
          <cell r="AI362">
            <v>0</v>
          </cell>
          <cell r="AM362">
            <v>999999</v>
          </cell>
          <cell r="AO362">
            <v>999999</v>
          </cell>
        </row>
        <row r="363">
          <cell r="A363" t="str">
            <v>TEST2010</v>
          </cell>
          <cell r="J363">
            <v>999999</v>
          </cell>
          <cell r="N363">
            <v>-999999</v>
          </cell>
          <cell r="P363" t="str">
            <v>-</v>
          </cell>
          <cell r="U363">
            <v>-999999</v>
          </cell>
          <cell r="AM363">
            <v>999999</v>
          </cell>
          <cell r="AO363">
            <v>999999</v>
          </cell>
        </row>
        <row r="364">
          <cell r="P364" t="str">
            <v>-</v>
          </cell>
          <cell r="AY364" t="str">
            <v>Direct Marketing</v>
          </cell>
          <cell r="AZ364" t="str">
            <v>Other Sales</v>
          </cell>
        </row>
        <row r="365">
          <cell r="D365">
            <v>18</v>
          </cell>
          <cell r="E365">
            <v>150</v>
          </cell>
          <cell r="F365">
            <v>2113.402</v>
          </cell>
          <cell r="G365">
            <v>2560.7339999999995</v>
          </cell>
          <cell r="L365">
            <v>188.32599999999999</v>
          </cell>
          <cell r="P365">
            <v>7.3543757375814922E-2</v>
          </cell>
          <cell r="S365">
            <v>216.57489999999999</v>
          </cell>
          <cell r="U365">
            <v>0.10247690690176312</v>
          </cell>
          <cell r="W365">
            <v>8.4575320982187147E-2</v>
          </cell>
          <cell r="AE365">
            <v>0.76850000000000007</v>
          </cell>
          <cell r="AY365">
            <v>174.078</v>
          </cell>
          <cell r="AZ365">
            <v>49.587999999999994</v>
          </cell>
        </row>
        <row r="366">
          <cell r="B366" t="str">
            <v>TIF</v>
          </cell>
          <cell r="C366" t="str">
            <v>2007 (ex. other./internet)</v>
          </cell>
          <cell r="D366">
            <v>19</v>
          </cell>
          <cell r="E366">
            <v>157</v>
          </cell>
          <cell r="F366">
            <v>2593.5160000000001</v>
          </cell>
          <cell r="G366">
            <v>2938.7709999999997</v>
          </cell>
          <cell r="H366">
            <v>7.0000000000000007E-2</v>
          </cell>
          <cell r="J366">
            <v>0.1854516735056933</v>
          </cell>
          <cell r="L366">
            <v>176.79599999999999</v>
          </cell>
          <cell r="N366">
            <v>6.8168463198222021E-2</v>
          </cell>
          <cell r="P366">
            <v>6.0159842328646913E-2</v>
          </cell>
          <cell r="R366">
            <v>0.15</v>
          </cell>
          <cell r="S366">
            <v>203.61982</v>
          </cell>
          <cell r="U366">
            <v>7.8511110014358884E-2</v>
          </cell>
          <cell r="W366">
            <v>6.9287406198033127E-2</v>
          </cell>
          <cell r="Y366">
            <v>239.6579688740423</v>
          </cell>
          <cell r="AA366">
            <v>152.8791478415402</v>
          </cell>
          <cell r="AC366">
            <v>175.5</v>
          </cell>
          <cell r="AE366">
            <v>0.82600000000000007</v>
          </cell>
          <cell r="AG366">
            <v>4673.9130434782619</v>
          </cell>
          <cell r="AH366" t="e">
            <v>#N/A</v>
          </cell>
          <cell r="AI366" t="e">
            <v>#DIV/0!</v>
          </cell>
          <cell r="AK366">
            <v>1.1602268945868945</v>
          </cell>
          <cell r="AM366">
            <v>246.51309927360774</v>
          </cell>
          <cell r="AO366">
            <v>3459.0883777239706</v>
          </cell>
          <cell r="AP366">
            <v>3557.8341404358348</v>
          </cell>
          <cell r="AQ366" t="str">
            <v>Revs excl. Other (mainly wholesale and license revenue) and Internet (2011 $234M, 2010 $229M). Rent expense incl. fees paid to department stores for use of facilities and excl. office, distrib &amp; mfg. facilities / equip.</v>
          </cell>
          <cell r="AY366">
            <v>182.12700000000001</v>
          </cell>
          <cell r="AZ366">
            <v>81.563999999999993</v>
          </cell>
          <cell r="BA366">
            <v>7.4821080026024722E-2</v>
          </cell>
          <cell r="BB366">
            <v>7.4821080026024722E-2</v>
          </cell>
        </row>
        <row r="367">
          <cell r="A367" t="str">
            <v>TIF2008</v>
          </cell>
          <cell r="B367" t="str">
            <v>TIF</v>
          </cell>
          <cell r="C367">
            <v>2008</v>
          </cell>
          <cell r="D367">
            <v>20</v>
          </cell>
          <cell r="E367">
            <v>164</v>
          </cell>
          <cell r="F367">
            <v>2593.1092699999999</v>
          </cell>
          <cell r="G367">
            <v>2848.8589999999999</v>
          </cell>
          <cell r="H367">
            <v>-0.09</v>
          </cell>
          <cell r="J367">
            <v>0.17287552665821646</v>
          </cell>
          <cell r="L367">
            <v>185.916</v>
          </cell>
          <cell r="N367">
            <v>7.1696168823614598E-2</v>
          </cell>
          <cell r="P367">
            <v>6.525981103311887E-2</v>
          </cell>
          <cell r="R367">
            <v>0.15309473095376402</v>
          </cell>
          <cell r="S367">
            <v>214.37876</v>
          </cell>
          <cell r="U367">
            <v>8.2672474500081514E-2</v>
          </cell>
          <cell r="W367">
            <v>7.5250744245327697E-2</v>
          </cell>
          <cell r="Y367">
            <v>-41.613644857226298</v>
          </cell>
          <cell r="AA367">
            <v>-59.633380472945696</v>
          </cell>
          <cell r="AC367">
            <v>195</v>
          </cell>
          <cell r="AE367">
            <v>0.89750000000000008</v>
          </cell>
          <cell r="AG367">
            <v>4538.8349514563106</v>
          </cell>
          <cell r="AH367" t="e">
            <v>#N/A</v>
          </cell>
          <cell r="AI367">
            <v>-3.1314968038155975</v>
          </cell>
          <cell r="AK367">
            <v>1.0993782564102563</v>
          </cell>
          <cell r="AM367">
            <v>238.86212813370472</v>
          </cell>
          <cell r="AO367">
            <v>3071.0841225626737</v>
          </cell>
          <cell r="AP367">
            <v>3174.2161559888577</v>
          </cell>
          <cell r="AQ367" t="str">
            <v>Store sales exclude Other (mainly wholesale and license revenue) and Internet ($260 in '12, $234M in '11). Rent expense incl. fees paid to department stores for use of facilities and excl. office, distrib &amp; mfg. facilities / equip.</v>
          </cell>
          <cell r="AR367">
            <v>-100.94140440030847</v>
          </cell>
          <cell r="AS367">
            <v>0.11111111111111116</v>
          </cell>
          <cell r="AU367">
            <v>-142.55504925753476</v>
          </cell>
          <cell r="AY367">
            <v>163.18872999999999</v>
          </cell>
          <cell r="AZ367">
            <v>92.561000000000007</v>
          </cell>
          <cell r="BA367">
            <v>8.6561743341404318E-2</v>
          </cell>
          <cell r="BB367">
            <v>8.6561743341404318E-2</v>
          </cell>
        </row>
        <row r="368">
          <cell r="A368" t="str">
            <v>TIF2009</v>
          </cell>
          <cell r="B368" t="str">
            <v>TIF</v>
          </cell>
          <cell r="C368">
            <v>2009</v>
          </cell>
          <cell r="D368">
            <v>21</v>
          </cell>
          <cell r="E368">
            <v>171</v>
          </cell>
          <cell r="F368">
            <v>2494.8095837000005</v>
          </cell>
          <cell r="G368">
            <v>2709.7300000000005</v>
          </cell>
          <cell r="H368">
            <v>-0.08</v>
          </cell>
          <cell r="J368">
            <v>0.16240584855317702</v>
          </cell>
          <cell r="L368">
            <v>197.63099999999997</v>
          </cell>
          <cell r="N368">
            <v>7.9216867407931602E-2</v>
          </cell>
          <cell r="P368">
            <v>7.2933834736302119E-2</v>
          </cell>
          <cell r="R368">
            <v>0.17104624274531832</v>
          </cell>
          <cell r="S368">
            <v>231.43503999999996</v>
          </cell>
          <cell r="U368">
            <v>9.276661494011236E-2</v>
          </cell>
          <cell r="W368">
            <v>8.5408893136954572E-2</v>
          </cell>
          <cell r="Y368">
            <v>-100.94140440030847</v>
          </cell>
          <cell r="AA368">
            <v>-101.58148891626875</v>
          </cell>
          <cell r="AC368">
            <v>213</v>
          </cell>
          <cell r="AE368">
            <v>0.95860000000000012</v>
          </cell>
          <cell r="AG368">
            <v>4464.545454545455</v>
          </cell>
          <cell r="AH368" t="e">
            <v>#N/A</v>
          </cell>
          <cell r="AI368">
            <v>0.87994420617141123</v>
          </cell>
          <cell r="AK368">
            <v>1.0865494835680749</v>
          </cell>
          <cell r="AM368">
            <v>241.4302524514917</v>
          </cell>
          <cell r="AO368">
            <v>2771.2048821197582</v>
          </cell>
          <cell r="AP368">
            <v>2826.7577717504696</v>
          </cell>
          <cell r="AR368">
            <v>25.173222495804559</v>
          </cell>
          <cell r="AS368">
            <v>9.2307692307692202E-2</v>
          </cell>
          <cell r="AU368">
            <v>-75.768181904503905</v>
          </cell>
          <cell r="AY368">
            <v>161.66741630000001</v>
          </cell>
          <cell r="AZ368">
            <v>53.253</v>
          </cell>
          <cell r="BA368">
            <v>6.8077994428969335E-2</v>
          </cell>
          <cell r="BB368">
            <v>6.8077994428969335E-2</v>
          </cell>
        </row>
        <row r="369">
          <cell r="A369" t="str">
            <v>TIF2010</v>
          </cell>
          <cell r="B369" t="str">
            <v>TIF</v>
          </cell>
          <cell r="C369">
            <v>2010</v>
          </cell>
          <cell r="D369">
            <v>22</v>
          </cell>
          <cell r="E369">
            <v>178</v>
          </cell>
          <cell r="F369">
            <v>2856.1557915349995</v>
          </cell>
          <cell r="G369">
            <v>3085.2899999999995</v>
          </cell>
          <cell r="H369">
            <v>0.08</v>
          </cell>
          <cell r="J369">
            <v>0.1984954412713229</v>
          </cell>
          <cell r="L369">
            <v>221.68899999999999</v>
          </cell>
          <cell r="N369">
            <v>7.7617964908299503E-2</v>
          </cell>
          <cell r="P369">
            <v>7.1853537268781881E-2</v>
          </cell>
          <cell r="R369">
            <v>0.16273716783421821</v>
          </cell>
          <cell r="S369">
            <v>257.76603999999998</v>
          </cell>
          <cell r="U369">
            <v>9.0249292690531904E-2</v>
          </cell>
          <cell r="W369">
            <v>8.3546778422773874E-2</v>
          </cell>
          <cell r="Y369">
            <v>25.173222495804559</v>
          </cell>
          <cell r="AA369">
            <v>18.621147141806986</v>
          </cell>
          <cell r="AC369">
            <v>226.5</v>
          </cell>
          <cell r="AE369">
            <v>1.01065</v>
          </cell>
          <cell r="AG369">
            <v>4459.6566523605152</v>
          </cell>
          <cell r="AK369">
            <v>1.1380399116997792</v>
          </cell>
          <cell r="AM369">
            <v>255.04976005540985</v>
          </cell>
          <cell r="AO369">
            <v>2999.1945777469937</v>
          </cell>
          <cell r="AP369">
            <v>3052.7779152030866</v>
          </cell>
          <cell r="AR369">
            <v>21.654484675192737</v>
          </cell>
          <cell r="AS369">
            <v>6.3380281690140761E-2</v>
          </cell>
          <cell r="AY369">
            <v>174.98020846500003</v>
          </cell>
          <cell r="AZ369">
            <v>54.154000000000003</v>
          </cell>
          <cell r="BA369">
            <v>5.4297934487794519E-2</v>
          </cell>
          <cell r="BB369">
            <v>5.4297934487794519E-2</v>
          </cell>
        </row>
        <row r="370">
          <cell r="A370" t="str">
            <v>TIF2011</v>
          </cell>
          <cell r="B370" t="str">
            <v>TIF</v>
          </cell>
          <cell r="C370">
            <v>2011</v>
          </cell>
          <cell r="D370">
            <v>23</v>
          </cell>
          <cell r="E370">
            <v>185</v>
          </cell>
          <cell r="F370">
            <v>3409.40267933425</v>
          </cell>
          <cell r="G370">
            <v>3642.9369999999999</v>
          </cell>
          <cell r="H370">
            <v>0.13678577190955957</v>
          </cell>
          <cell r="J370">
            <v>0.20619187210758799</v>
          </cell>
          <cell r="L370">
            <v>259.899</v>
          </cell>
          <cell r="N370">
            <v>7.6230068561672554E-2</v>
          </cell>
          <cell r="P370">
            <v>7.1343259573250925E-2</v>
          </cell>
          <cell r="R370">
            <v>0.1555</v>
          </cell>
          <cell r="S370">
            <v>300.31329449999998</v>
          </cell>
          <cell r="U370">
            <v>8.8083844223012631E-2</v>
          </cell>
          <cell r="W370">
            <v>8.2437136436891434E-2</v>
          </cell>
          <cell r="Y370">
            <v>21.654484675192737</v>
          </cell>
          <cell r="AA370">
            <v>11.096419858824397</v>
          </cell>
          <cell r="AC370">
            <v>240.5</v>
          </cell>
          <cell r="AE370">
            <v>1.0528999999999999</v>
          </cell>
          <cell r="AG370">
            <v>4301.2096774193542</v>
          </cell>
          <cell r="AK370">
            <v>1.2487039272349272</v>
          </cell>
          <cell r="AM370">
            <v>285.2248974261563</v>
          </cell>
          <cell r="AO370">
            <v>3411.1909962959448</v>
          </cell>
          <cell r="AP370">
            <v>3459.9078734922596</v>
          </cell>
          <cell r="AR370">
            <v>-42.725174219932079</v>
          </cell>
          <cell r="AS370">
            <v>6.1810154525386407E-2</v>
          </cell>
          <cell r="AY370">
            <v>182.24032066575</v>
          </cell>
          <cell r="AZ370">
            <v>51.293999999999997</v>
          </cell>
          <cell r="BA370">
            <v>4.1804779102557754E-2</v>
          </cell>
          <cell r="BB370">
            <v>4.1804779102557754E-2</v>
          </cell>
        </row>
        <row r="371">
          <cell r="A371" t="str">
            <v>TIF2012</v>
          </cell>
          <cell r="B371" t="str">
            <v>TIF</v>
          </cell>
          <cell r="C371">
            <v>2012</v>
          </cell>
          <cell r="D371">
            <v>24</v>
          </cell>
          <cell r="E371">
            <v>192</v>
          </cell>
          <cell r="F371">
            <v>3533.8881498960477</v>
          </cell>
          <cell r="G371">
            <v>3794.2489999999998</v>
          </cell>
          <cell r="H371">
            <v>0.01</v>
          </cell>
          <cell r="J371">
            <v>0.18381455361943019</v>
          </cell>
          <cell r="L371">
            <v>280.15199999999999</v>
          </cell>
          <cell r="N371">
            <v>7.9275853710378721E-2</v>
          </cell>
          <cell r="P371">
            <v>7.3835955415683052E-2</v>
          </cell>
          <cell r="R371">
            <v>0.1649999</v>
          </cell>
          <cell r="S371">
            <v>326.3770519848</v>
          </cell>
          <cell r="U371">
            <v>9.2356361645005838E-2</v>
          </cell>
          <cell r="W371">
            <v>8.6018880675675216E-2</v>
          </cell>
          <cell r="Y371">
            <v>-42.725174219932079</v>
          </cell>
          <cell r="AA371">
            <v>-35.817442387837822</v>
          </cell>
          <cell r="AC371">
            <v>262</v>
          </cell>
          <cell r="AE371">
            <v>1.1093500000000001</v>
          </cell>
          <cell r="AG371">
            <v>4173.913043478261</v>
          </cell>
          <cell r="AK371">
            <v>1.2457139388732825</v>
          </cell>
          <cell r="AM371">
            <v>294.20566276179744</v>
          </cell>
          <cell r="AO371">
            <v>3365.8830179294127</v>
          </cell>
          <cell r="AP371">
            <v>3420.2451886239687</v>
          </cell>
          <cell r="AR371">
            <v>-1.0906929343781901</v>
          </cell>
          <cell r="AS371">
            <v>8.9397089397089458E-2</v>
          </cell>
          <cell r="AY371">
            <v>187.58085010395183</v>
          </cell>
          <cell r="AZ371">
            <v>72.78</v>
          </cell>
          <cell r="BA371">
            <v>5.36138284737393E-2</v>
          </cell>
          <cell r="BB371">
            <v>5.0170956406116574E-2</v>
          </cell>
        </row>
        <row r="372">
          <cell r="A372" t="str">
            <v>TIF2013</v>
          </cell>
          <cell r="B372" t="str">
            <v>TIF</v>
          </cell>
          <cell r="C372" t="str">
            <v>2013e</v>
          </cell>
          <cell r="D372">
            <v>25</v>
          </cell>
          <cell r="E372">
            <v>199</v>
          </cell>
          <cell r="F372">
            <v>3740.2792243929298</v>
          </cell>
          <cell r="G372">
            <v>4031.13</v>
          </cell>
          <cell r="H372">
            <v>0.06</v>
          </cell>
          <cell r="J372">
            <v>0.1816621416837946</v>
          </cell>
          <cell r="L372">
            <v>296.86400000000003</v>
          </cell>
          <cell r="N372">
            <v>7.9369475429520345E-2</v>
          </cell>
          <cell r="P372">
            <v>7.3642874330522717E-2</v>
          </cell>
          <cell r="R372">
            <v>0.1649999</v>
          </cell>
          <cell r="S372">
            <v>345.84653031360006</v>
          </cell>
          <cell r="U372">
            <v>9.2465430938443657E-2</v>
          </cell>
          <cell r="W372">
            <v>8.5793941230771525E-2</v>
          </cell>
          <cell r="Y372">
            <v>-1.0906929343781901</v>
          </cell>
          <cell r="AA372">
            <v>2.2493944490369069</v>
          </cell>
          <cell r="AC372">
            <v>282.5</v>
          </cell>
          <cell r="AE372">
            <v>1.164825</v>
          </cell>
          <cell r="AG372">
            <v>4099.9999999999991</v>
          </cell>
          <cell r="AK372">
            <v>1.2242355055348675</v>
          </cell>
          <cell r="AM372">
            <v>296.90857451857579</v>
          </cell>
          <cell r="AO372">
            <v>3365.2222436846732</v>
          </cell>
          <cell r="AP372">
            <v>3460.7172751271651</v>
          </cell>
          <cell r="AY372">
            <v>193.20827560707039</v>
          </cell>
          <cell r="AZ372">
            <v>97.642500000000013</v>
          </cell>
          <cell r="BA372">
            <v>5.00067607157344E-2</v>
          </cell>
          <cell r="BB372">
            <v>5.3449094485518378E-2</v>
          </cell>
        </row>
        <row r="373">
          <cell r="C373" t="str">
            <v>2007 = Trough rent</v>
          </cell>
          <cell r="F373">
            <v>2593.5160000000001</v>
          </cell>
          <cell r="G373">
            <v>2938.7709999999997</v>
          </cell>
          <cell r="H373">
            <v>7.0000000000000007E-2</v>
          </cell>
          <cell r="J373">
            <v>0.1854516735056933</v>
          </cell>
          <cell r="L373">
            <v>176.79599999999999</v>
          </cell>
          <cell r="N373">
            <v>6.8168463198222021E-2</v>
          </cell>
          <cell r="P373">
            <v>6.0159842328646913E-2</v>
          </cell>
          <cell r="S373">
            <v>203.61982</v>
          </cell>
          <cell r="U373">
            <v>7.8511110014358884E-2</v>
          </cell>
          <cell r="W373">
            <v>6.9287406198033127E-2</v>
          </cell>
          <cell r="Z373">
            <v>0</v>
          </cell>
          <cell r="AB373">
            <v>0</v>
          </cell>
          <cell r="AC373">
            <v>175.5</v>
          </cell>
          <cell r="AE373">
            <v>0.82600000000000007</v>
          </cell>
          <cell r="AG373">
            <v>4673.9130434782619</v>
          </cell>
          <cell r="AH373">
            <v>2.3495180442905102E-2</v>
          </cell>
          <cell r="AI373">
            <v>2.3495180442905102E-2</v>
          </cell>
          <cell r="AK373">
            <v>1.1602268945868945</v>
          </cell>
          <cell r="AM373">
            <v>246.51309927360774</v>
          </cell>
          <cell r="AO373">
            <v>3459.0883777239706</v>
          </cell>
          <cell r="AP373">
            <v>3557.8341404358348</v>
          </cell>
        </row>
        <row r="377">
          <cell r="C377">
            <v>1998</v>
          </cell>
          <cell r="D377">
            <v>6</v>
          </cell>
          <cell r="E377">
            <v>6</v>
          </cell>
          <cell r="F377" t="e">
            <v>#N/A</v>
          </cell>
          <cell r="H377">
            <v>0.10800000000000001</v>
          </cell>
          <cell r="J377">
            <v>0.11967693517261109</v>
          </cell>
          <cell r="L377">
            <v>14.593999999999999</v>
          </cell>
          <cell r="N377" t="e">
            <v>#N/A</v>
          </cell>
          <cell r="P377" t="str">
            <v>-</v>
          </cell>
          <cell r="S377">
            <v>19.174894444444444</v>
          </cell>
          <cell r="U377" t="e">
            <v>#N/A</v>
          </cell>
          <cell r="AC377">
            <v>40.5</v>
          </cell>
          <cell r="AE377">
            <v>0.5569144421629022</v>
          </cell>
          <cell r="AG377">
            <v>12129.652173913044</v>
          </cell>
          <cell r="AH377">
            <v>0.99370991920266738</v>
          </cell>
          <cell r="AI377">
            <v>0</v>
          </cell>
          <cell r="AK377">
            <v>0.47345418381344306</v>
          </cell>
          <cell r="AM377">
            <v>34.430592911138092</v>
          </cell>
          <cell r="AO377">
            <v>365.25</v>
          </cell>
          <cell r="AY377" t="e">
            <v>#N/A</v>
          </cell>
          <cell r="AZ377">
            <v>19.934999999999999</v>
          </cell>
          <cell r="BA377" t="str">
            <v>DtC and Wholesale</v>
          </cell>
        </row>
        <row r="378">
          <cell r="C378">
            <v>1999</v>
          </cell>
          <cell r="D378">
            <v>7</v>
          </cell>
          <cell r="E378">
            <v>7</v>
          </cell>
          <cell r="F378" t="e">
            <v>#N/A</v>
          </cell>
          <cell r="H378">
            <v>0.10300000000000001</v>
          </cell>
          <cell r="J378">
            <v>0.13507099632163913</v>
          </cell>
          <cell r="L378">
            <v>19.032</v>
          </cell>
          <cell r="N378" t="e">
            <v>#N/A</v>
          </cell>
          <cell r="P378" t="str">
            <v>-</v>
          </cell>
          <cell r="S378">
            <v>25.005933333333335</v>
          </cell>
          <cell r="U378" t="e">
            <v>#N/A</v>
          </cell>
          <cell r="AC378">
            <v>51.5</v>
          </cell>
          <cell r="AE378">
            <v>0.68677449046679817</v>
          </cell>
          <cell r="AG378">
            <v>12225.520467836257</v>
          </cell>
          <cell r="AH378">
            <v>0.73702838466677978</v>
          </cell>
          <cell r="AI378">
            <v>0</v>
          </cell>
          <cell r="AK378">
            <v>0.48555210355987061</v>
          </cell>
          <cell r="AM378">
            <v>36.410690380093897</v>
          </cell>
          <cell r="AO378">
            <v>380.25</v>
          </cell>
          <cell r="AY378" t="e">
            <v>#N/A</v>
          </cell>
          <cell r="AZ378">
            <v>22.331</v>
          </cell>
        </row>
        <row r="379">
          <cell r="C379">
            <v>2000</v>
          </cell>
          <cell r="D379">
            <v>8</v>
          </cell>
          <cell r="E379">
            <v>8</v>
          </cell>
          <cell r="F379" t="e">
            <v>#N/A</v>
          </cell>
          <cell r="H379">
            <v>-7.400000000000001E-2</v>
          </cell>
          <cell r="J379">
            <v>6.0535057037310387E-2</v>
          </cell>
          <cell r="L379">
            <v>25.824000000000002</v>
          </cell>
          <cell r="N379" t="e">
            <v>#N/A</v>
          </cell>
          <cell r="P379" t="str">
            <v>-</v>
          </cell>
          <cell r="S379">
            <v>33.929866666666669</v>
          </cell>
          <cell r="U379" t="e">
            <v>#N/A</v>
          </cell>
          <cell r="AC379">
            <v>62.5</v>
          </cell>
          <cell r="AE379">
            <v>0.76973800000000003</v>
          </cell>
          <cell r="AG379">
            <v>12391.490196078432</v>
          </cell>
          <cell r="AH379">
            <v>0.87968902230656432</v>
          </cell>
          <cell r="AI379">
            <v>0</v>
          </cell>
          <cell r="AK379">
            <v>0.54287786666666671</v>
          </cell>
          <cell r="AM379">
            <v>44.079760472611028</v>
          </cell>
          <cell r="AO379">
            <v>329.25</v>
          </cell>
          <cell r="AY379" t="e">
            <v>#N/A</v>
          </cell>
          <cell r="AZ379">
            <v>20.609000000000002</v>
          </cell>
        </row>
        <row r="380">
          <cell r="C380">
            <v>2001</v>
          </cell>
          <cell r="D380">
            <v>9</v>
          </cell>
          <cell r="E380">
            <v>9</v>
          </cell>
          <cell r="F380" t="e">
            <v>#N/A</v>
          </cell>
          <cell r="H380">
            <v>2.7999999999999997E-2</v>
          </cell>
          <cell r="J380">
            <v>7.3068965319608561E-2</v>
          </cell>
          <cell r="L380">
            <v>32.92</v>
          </cell>
          <cell r="N380" t="e">
            <v>#N/A</v>
          </cell>
          <cell r="P380" t="str">
            <v>-</v>
          </cell>
          <cell r="S380">
            <v>43.253222222222227</v>
          </cell>
          <cell r="U380" t="e">
            <v>#N/A</v>
          </cell>
          <cell r="AC380">
            <v>74</v>
          </cell>
          <cell r="AE380">
            <v>0.92097733333333331</v>
          </cell>
          <cell r="AG380">
            <v>12491.666666666668</v>
          </cell>
          <cell r="AH380">
            <v>0.87183740083437633</v>
          </cell>
          <cell r="AI380">
            <v>0</v>
          </cell>
          <cell r="AK380">
            <v>0.58450300300300306</v>
          </cell>
          <cell r="AM380">
            <v>46.964480727960982</v>
          </cell>
          <cell r="AO380">
            <v>332.25</v>
          </cell>
          <cell r="AS380" t="str">
            <v>Total rentals as reported in footnote 11 includes only minimum rent, contingent rent.</v>
          </cell>
          <cell r="AY380" t="e">
            <v>#N/A</v>
          </cell>
          <cell r="AZ380">
            <v>18.266999999999999</v>
          </cell>
        </row>
        <row r="381">
          <cell r="C381">
            <v>2002</v>
          </cell>
          <cell r="D381">
            <v>10</v>
          </cell>
          <cell r="E381">
            <v>10</v>
          </cell>
          <cell r="F381" t="e">
            <v>#N/A</v>
          </cell>
          <cell r="H381">
            <v>9.0999999999999998E-2</v>
          </cell>
          <cell r="J381">
            <v>0.1073886941341773</v>
          </cell>
          <cell r="L381">
            <v>37.771999999999998</v>
          </cell>
          <cell r="N381" t="e">
            <v>#N/A</v>
          </cell>
          <cell r="P381" t="str">
            <v>-</v>
          </cell>
          <cell r="S381">
            <v>49.628211111111106</v>
          </cell>
          <cell r="U381" t="e">
            <v>#N/A</v>
          </cell>
          <cell r="AC381">
            <v>86.5</v>
          </cell>
          <cell r="AE381">
            <v>1.0671200000000001</v>
          </cell>
          <cell r="AG381">
            <v>12203.297491039424</v>
          </cell>
          <cell r="AH381">
            <v>0.54431258786780556</v>
          </cell>
          <cell r="AI381">
            <v>0</v>
          </cell>
          <cell r="AK381">
            <v>0.57373654463712265</v>
          </cell>
          <cell r="AM381">
            <v>46.506682576571613</v>
          </cell>
          <cell r="AO381">
            <v>349.28311717520052</v>
          </cell>
          <cell r="AS381" t="str">
            <v>It does not include CAM, taxes, and insurance, but it does include certain HQ lease/</v>
          </cell>
          <cell r="AY381" t="e">
            <v>#N/A</v>
          </cell>
          <cell r="AZ381">
            <v>18.28</v>
          </cell>
        </row>
        <row r="382">
          <cell r="C382">
            <v>2003</v>
          </cell>
          <cell r="D382">
            <v>11</v>
          </cell>
          <cell r="E382">
            <v>11</v>
          </cell>
          <cell r="F382" t="e">
            <v>#N/A</v>
          </cell>
          <cell r="H382">
            <v>0.13</v>
          </cell>
          <cell r="J382">
            <v>5.9454926118777132E-2</v>
          </cell>
          <cell r="L382">
            <v>44.595999999999997</v>
          </cell>
          <cell r="N382" t="e">
            <v>#N/A</v>
          </cell>
          <cell r="P382" t="str">
            <v>-</v>
          </cell>
          <cell r="S382">
            <v>58.594188888888887</v>
          </cell>
          <cell r="U382" t="e">
            <v>#N/A</v>
          </cell>
          <cell r="AC382">
            <v>103.5</v>
          </cell>
          <cell r="AE382">
            <v>1.2399133333333332</v>
          </cell>
          <cell r="AG382">
            <v>11797.543859649122</v>
          </cell>
          <cell r="AH382">
            <v>0.63552625214353453</v>
          </cell>
          <cell r="AI382">
            <v>0</v>
          </cell>
          <cell r="AK382">
            <v>0.56612742887815348</v>
          </cell>
          <cell r="AM382">
            <v>47.256681022508744</v>
          </cell>
          <cell r="AO382">
            <v>386.14392403770159</v>
          </cell>
          <cell r="AS382" t="str">
            <v>rent expense as well as other operating lease expenses. Estimate 30% for CAM, taxes,</v>
          </cell>
          <cell r="AY382" t="e">
            <v>#N/A</v>
          </cell>
          <cell r="AZ382">
            <v>18.432000000000002</v>
          </cell>
        </row>
        <row r="383">
          <cell r="C383">
            <v>2004</v>
          </cell>
          <cell r="D383">
            <v>12</v>
          </cell>
          <cell r="E383">
            <v>12</v>
          </cell>
          <cell r="F383" t="e">
            <v>#N/A</v>
          </cell>
          <cell r="H383">
            <v>0.22</v>
          </cell>
          <cell r="J383">
            <v>0.17924010872848067</v>
          </cell>
          <cell r="L383">
            <v>57.320999999999998</v>
          </cell>
          <cell r="N383" t="e">
            <v>#N/A</v>
          </cell>
          <cell r="P383" t="str">
            <v>-</v>
          </cell>
          <cell r="S383">
            <v>75.313424999999995</v>
          </cell>
          <cell r="U383" t="e">
            <v>#N/A</v>
          </cell>
          <cell r="AC383">
            <v>128</v>
          </cell>
          <cell r="AE383">
            <v>1.4948413333333335</v>
          </cell>
          <cell r="AG383">
            <v>11582.835680751175</v>
          </cell>
          <cell r="AH383">
            <v>0.58006686834613874</v>
          </cell>
          <cell r="AI383">
            <v>0</v>
          </cell>
          <cell r="AK383">
            <v>0.58838613281249996</v>
          </cell>
          <cell r="AM383">
            <v>50.382220052785975</v>
          </cell>
          <cell r="AO383">
            <v>471.61660858543729</v>
          </cell>
          <cell r="AS383" t="str">
            <v>and insurance as majority of stores are free-standing street locations.</v>
          </cell>
          <cell r="AY383" t="e">
            <v>#N/A</v>
          </cell>
          <cell r="AZ383">
            <v>28.844999999999999</v>
          </cell>
        </row>
        <row r="384">
          <cell r="A384" t="str">
            <v>URBN2005</v>
          </cell>
          <cell r="B384" t="str">
            <v>URBN</v>
          </cell>
          <cell r="C384" t="str">
            <v>2005 (retail revenue)</v>
          </cell>
          <cell r="D384">
            <v>13</v>
          </cell>
          <cell r="E384">
            <v>13</v>
          </cell>
          <cell r="F384">
            <v>1092.107</v>
          </cell>
          <cell r="G384">
            <v>1092.107</v>
          </cell>
          <cell r="H384">
            <v>0.109</v>
          </cell>
          <cell r="J384">
            <v>0.19018191440948548</v>
          </cell>
          <cell r="L384">
            <v>72</v>
          </cell>
          <cell r="N384">
            <v>6.5927605994650709E-2</v>
          </cell>
          <cell r="P384">
            <v>6.5927605994650709E-2</v>
          </cell>
          <cell r="R384">
            <v>0.31388888888888888</v>
          </cell>
          <cell r="S384">
            <v>94.6</v>
          </cell>
          <cell r="U384">
            <v>8.6621548987416072E-2</v>
          </cell>
          <cell r="W384">
            <v>8.6621548987416072E-2</v>
          </cell>
          <cell r="AC384">
            <v>158.5</v>
          </cell>
          <cell r="AE384">
            <v>1.7937146666666668</v>
          </cell>
          <cell r="AG384">
            <v>11100.952380952382</v>
          </cell>
          <cell r="AH384" t="e">
            <v>#N/A</v>
          </cell>
          <cell r="AI384" t="e">
            <v>#N/A</v>
          </cell>
          <cell r="AK384">
            <v>0.59684542586750788</v>
          </cell>
          <cell r="AM384">
            <v>52.739714826438387</v>
          </cell>
          <cell r="AO384">
            <v>503.5711737132475</v>
          </cell>
          <cell r="AP384">
            <v>608.85213255768656</v>
          </cell>
          <cell r="AQ384" t="str">
            <v>URBN revs excl. Direct &amp; Wholesale.  We estimate achieves lvg. at +3% comp (vs. +4% historically).</v>
          </cell>
          <cell r="AY384" t="e">
            <v>#N/A</v>
          </cell>
          <cell r="AZ384">
            <v>58.262999999999998</v>
          </cell>
          <cell r="BA384">
            <v>0.1999364927024585</v>
          </cell>
          <cell r="BB384">
            <v>0.1999364927024585</v>
          </cell>
        </row>
        <row r="385">
          <cell r="A385" t="str">
            <v>URBN2006</v>
          </cell>
          <cell r="B385" t="str">
            <v>URBN</v>
          </cell>
          <cell r="C385" t="str">
            <v>2006 (retail revenue)</v>
          </cell>
          <cell r="D385">
            <v>14</v>
          </cell>
          <cell r="E385">
            <v>14</v>
          </cell>
          <cell r="F385">
            <v>1140.7440000000001</v>
          </cell>
          <cell r="G385">
            <v>1224.7170000000001</v>
          </cell>
          <cell r="H385">
            <v>-6.2E-2</v>
          </cell>
          <cell r="J385">
            <v>0.13389950494685726</v>
          </cell>
          <cell r="L385">
            <v>84.9</v>
          </cell>
          <cell r="N385">
            <v>7.4425112032147439E-2</v>
          </cell>
          <cell r="P385">
            <v>6.932213727742817E-2</v>
          </cell>
          <cell r="R385">
            <v>0.36749116607773846</v>
          </cell>
          <cell r="S385">
            <v>116.1</v>
          </cell>
          <cell r="U385">
            <v>0.10177568323830762</v>
          </cell>
          <cell r="W385">
            <v>9.4797410340511312E-2</v>
          </cell>
          <cell r="Y385">
            <v>-151.54134250891542</v>
          </cell>
          <cell r="AA385">
            <v>-81.758613530952402</v>
          </cell>
          <cell r="AC385">
            <v>191</v>
          </cell>
          <cell r="AE385">
            <v>2.1286666666666667</v>
          </cell>
          <cell r="AG385">
            <v>11181.964573268919</v>
          </cell>
          <cell r="AH385" t="e">
            <v>#N/A</v>
          </cell>
          <cell r="AI385">
            <v>0.57050985289671607</v>
          </cell>
          <cell r="AK385">
            <v>0.60785340314136127</v>
          </cell>
          <cell r="AM385">
            <v>54.541183839649229</v>
          </cell>
          <cell r="AO385">
            <v>463.68556216724085</v>
          </cell>
          <cell r="AP385">
            <v>575.34466019417482</v>
          </cell>
          <cell r="AR385" t="str">
            <v>LVG</v>
          </cell>
          <cell r="AZ385">
            <v>83.972999999999999</v>
          </cell>
          <cell r="BA385">
            <v>0.18673650064001257</v>
          </cell>
          <cell r="BB385">
            <v>0.18673650064001257</v>
          </cell>
        </row>
        <row r="386">
          <cell r="A386" t="str">
            <v>URBN2007</v>
          </cell>
          <cell r="B386" t="str">
            <v>URBN</v>
          </cell>
          <cell r="C386" t="str">
            <v>2007 (retail revenue)</v>
          </cell>
          <cell r="D386">
            <v>15</v>
          </cell>
          <cell r="E386">
            <v>15</v>
          </cell>
          <cell r="F386">
            <v>1413.252</v>
          </cell>
          <cell r="G386">
            <v>1507.7239999999999</v>
          </cell>
          <cell r="H386">
            <v>6.1240545094416121E-2</v>
          </cell>
          <cell r="I386">
            <v>1507.7239999999999</v>
          </cell>
          <cell r="J386">
            <v>0.14919507814427571</v>
          </cell>
          <cell r="L386">
            <v>100</v>
          </cell>
          <cell r="N386">
            <v>7.075878894917538E-2</v>
          </cell>
          <cell r="P386">
            <v>6.6325136430805648E-2</v>
          </cell>
          <cell r="R386">
            <v>0.38900000000000001</v>
          </cell>
          <cell r="S386">
            <v>138.9</v>
          </cell>
          <cell r="U386">
            <v>9.8283957850404613E-2</v>
          </cell>
          <cell r="W386">
            <v>9.2125614502389042E-2</v>
          </cell>
          <cell r="Y386">
            <v>34.917253879030028</v>
          </cell>
          <cell r="AA386">
            <v>26.717958381222708</v>
          </cell>
          <cell r="AC386">
            <v>226</v>
          </cell>
          <cell r="AE386">
            <v>2.5003513333333331</v>
          </cell>
          <cell r="AG386">
            <v>10963.41224489796</v>
          </cell>
          <cell r="AH386" t="e">
            <v>#N/A</v>
          </cell>
          <cell r="AI386">
            <v>1.1072278735327175</v>
          </cell>
          <cell r="AK386">
            <v>0.6146017699115045</v>
          </cell>
          <cell r="AM386">
            <v>55.552193065134588</v>
          </cell>
          <cell r="AO386">
            <v>477.13614646688325</v>
          </cell>
          <cell r="AP386">
            <v>603.00485771732883</v>
          </cell>
          <cell r="AQ386" t="str">
            <v xml:space="preserve">URBN revenues exclude Internet &amp; Wholesale (2011 $638M, 2010 $554M).  </v>
          </cell>
          <cell r="AR386">
            <v>70.721806877925005</v>
          </cell>
          <cell r="AZ386">
            <v>94.471999999999994</v>
          </cell>
          <cell r="BA386">
            <v>0.1746091450046976</v>
          </cell>
          <cell r="BB386">
            <v>0.16044182027649789</v>
          </cell>
        </row>
        <row r="387">
          <cell r="A387" t="str">
            <v>URBN2008</v>
          </cell>
          <cell r="B387" t="str">
            <v>URBN</v>
          </cell>
          <cell r="C387">
            <v>2008</v>
          </cell>
          <cell r="D387">
            <v>16</v>
          </cell>
          <cell r="E387">
            <v>16</v>
          </cell>
          <cell r="F387">
            <v>1724.558</v>
          </cell>
          <cell r="G387">
            <v>1834.6179999999999</v>
          </cell>
          <cell r="H387">
            <v>7.8E-2</v>
          </cell>
          <cell r="I387">
            <v>1834.6179999999999</v>
          </cell>
          <cell r="J387">
            <v>0.16321381344781302</v>
          </cell>
          <cell r="L387">
            <v>114.9</v>
          </cell>
          <cell r="N387">
            <v>6.6625767298055499E-2</v>
          </cell>
          <cell r="P387">
            <v>6.2628841535404101E-2</v>
          </cell>
          <cell r="R387">
            <v>0.36901653611836394</v>
          </cell>
          <cell r="S387">
            <v>157.30000000000001</v>
          </cell>
          <cell r="U387">
            <v>9.1211777162612112E-2</v>
          </cell>
          <cell r="W387">
            <v>8.573991969990484E-2</v>
          </cell>
          <cell r="Y387">
            <v>70.721806877925005</v>
          </cell>
          <cell r="AA387">
            <v>63.856948024842012</v>
          </cell>
          <cell r="AC387">
            <v>269.5</v>
          </cell>
          <cell r="AE387">
            <v>2.8666320000000001</v>
          </cell>
          <cell r="AG387">
            <v>10364.721088435374</v>
          </cell>
          <cell r="AH387" t="e">
            <v>#N/A</v>
          </cell>
          <cell r="AI387">
            <v>1.0580506015968159</v>
          </cell>
          <cell r="AK387">
            <v>0.58367346938775511</v>
          </cell>
          <cell r="AM387">
            <v>54.8727566007775</v>
          </cell>
          <cell r="AO387">
            <v>497.11229066025908</v>
          </cell>
          <cell r="AP387">
            <v>639.99076267899045</v>
          </cell>
          <cell r="AQ387" t="str">
            <v xml:space="preserve">Store sales exclude Wholesale ($149M in '12, $133M in '11) and Estimated Online Sales ($886M in '12, $654M in '11)  </v>
          </cell>
          <cell r="AR387">
            <v>-55.307693258897508</v>
          </cell>
          <cell r="AS387">
            <v>0.19247787610619471</v>
          </cell>
          <cell r="AU387">
            <v>15.414113619027496</v>
          </cell>
          <cell r="AZ387">
            <v>110.06</v>
          </cell>
          <cell r="BA387">
            <v>0.14649167970261256</v>
          </cell>
          <cell r="BB387">
            <v>0.13447027515640153</v>
          </cell>
        </row>
        <row r="388">
          <cell r="A388" t="str">
            <v>URBN2009</v>
          </cell>
          <cell r="B388" t="str">
            <v>URBN</v>
          </cell>
          <cell r="C388">
            <v>2009</v>
          </cell>
          <cell r="D388">
            <v>17</v>
          </cell>
          <cell r="E388">
            <v>17</v>
          </cell>
          <cell r="F388">
            <v>1833.7330000000002</v>
          </cell>
          <cell r="G388">
            <v>1937.8150000000001</v>
          </cell>
          <cell r="H388">
            <v>-2.6000000000000002E-2</v>
          </cell>
          <cell r="I388">
            <v>1937.8150000000001</v>
          </cell>
          <cell r="J388">
            <v>0.17493104346906177</v>
          </cell>
          <cell r="L388">
            <v>128.97800000000001</v>
          </cell>
          <cell r="N388">
            <v>7.0336303049571558E-2</v>
          </cell>
          <cell r="P388">
            <v>6.6558469203716566E-2</v>
          </cell>
          <cell r="R388">
            <v>0.37542836762858767</v>
          </cell>
          <cell r="S388">
            <v>177.4</v>
          </cell>
          <cell r="U388">
            <v>9.6742546488501863E-2</v>
          </cell>
          <cell r="W388">
            <v>9.1546406648725501E-2</v>
          </cell>
          <cell r="Y388">
            <v>-55.307693258897508</v>
          </cell>
          <cell r="AA388">
            <v>-58.064869488206604</v>
          </cell>
          <cell r="AC388">
            <v>310.5</v>
          </cell>
          <cell r="AE388">
            <v>3.196711333333333</v>
          </cell>
          <cell r="AG388">
            <v>10233.01121304791</v>
          </cell>
          <cell r="AH388" t="e">
            <v>#N/A</v>
          </cell>
          <cell r="AI388">
            <v>0</v>
          </cell>
          <cell r="AK388">
            <v>0.57133655394524963</v>
          </cell>
          <cell r="AM388">
            <v>55.494532193189386</v>
          </cell>
          <cell r="AO388">
            <v>472.35857184060205</v>
          </cell>
          <cell r="AP388">
            <v>606.19017419360364</v>
          </cell>
          <cell r="AR388">
            <v>11.078356184553718</v>
          </cell>
          <cell r="AS388">
            <v>0.15213358070500926</v>
          </cell>
          <cell r="AU388">
            <v>-44.229337074343789</v>
          </cell>
          <cell r="AZ388">
            <v>104.08199999999999</v>
          </cell>
          <cell r="BA388">
            <v>0.11514534594371817</v>
          </cell>
          <cell r="BB388">
            <v>9.8111026371071164E-2</v>
          </cell>
          <cell r="BC388">
            <v>1.7034319572647005E-2</v>
          </cell>
        </row>
        <row r="389">
          <cell r="A389" t="str">
            <v>URBN2010</v>
          </cell>
          <cell r="B389" t="str">
            <v>URBN</v>
          </cell>
          <cell r="C389">
            <v>2010</v>
          </cell>
          <cell r="D389">
            <v>18</v>
          </cell>
          <cell r="E389">
            <v>18</v>
          </cell>
          <cell r="F389">
            <v>2153.7919999999999</v>
          </cell>
          <cell r="G389">
            <v>2274.1019999999999</v>
          </cell>
          <cell r="H389">
            <v>8.6694387741127713E-2</v>
          </cell>
          <cell r="I389">
            <v>2274.1019999999999</v>
          </cell>
          <cell r="J389">
            <v>0.18213914767235589</v>
          </cell>
          <cell r="L389">
            <v>149.75500000000002</v>
          </cell>
          <cell r="N389">
            <v>6.9530855347220172E-2</v>
          </cell>
          <cell r="P389">
            <v>6.5852367220115907E-2</v>
          </cell>
          <cell r="R389">
            <v>0.37542836762858767</v>
          </cell>
          <cell r="S389">
            <v>205.97727519421917</v>
          </cell>
          <cell r="U389">
            <v>9.5634710870046491E-2</v>
          </cell>
          <cell r="W389">
            <v>9.0575213950042338E-2</v>
          </cell>
          <cell r="Y389">
            <v>11.078356184553718</v>
          </cell>
          <cell r="AA389">
            <v>9.7119269868316263</v>
          </cell>
          <cell r="AC389">
            <v>349.5</v>
          </cell>
          <cell r="AE389">
            <v>3.541557333333333</v>
          </cell>
          <cell r="AG389">
            <v>10045.483870967742</v>
          </cell>
          <cell r="AH389" t="e">
            <v>#N/A</v>
          </cell>
          <cell r="AI389" t="e">
            <v>#REF!</v>
          </cell>
          <cell r="AK389">
            <v>0.58934842687902478</v>
          </cell>
          <cell r="AM389">
            <v>58.160084902635823</v>
          </cell>
          <cell r="AO389">
            <v>488.62877065757885</v>
          </cell>
          <cell r="AP389">
            <v>642.11921083304969</v>
          </cell>
          <cell r="AR389">
            <v>-46.246370264364927</v>
          </cell>
          <cell r="AS389">
            <v>0.12560386473429941</v>
          </cell>
          <cell r="AZ389">
            <v>120.31</v>
          </cell>
          <cell r="BA389">
            <v>0.10787523928237075</v>
          </cell>
          <cell r="BB389">
            <v>0.11676706595272801</v>
          </cell>
        </row>
        <row r="390">
          <cell r="A390" t="str">
            <v>URBN2011</v>
          </cell>
          <cell r="B390" t="str">
            <v>URBN</v>
          </cell>
          <cell r="C390">
            <v>2011</v>
          </cell>
          <cell r="D390">
            <v>19</v>
          </cell>
          <cell r="E390">
            <v>19</v>
          </cell>
          <cell r="F390">
            <v>2340.7940000000003</v>
          </cell>
          <cell r="G390">
            <v>2473.8010000000004</v>
          </cell>
          <cell r="H390">
            <v>0</v>
          </cell>
          <cell r="I390">
            <v>2473.8010000000004</v>
          </cell>
          <cell r="J390">
            <v>0.11509616173653441</v>
          </cell>
          <cell r="L390">
            <v>171.304</v>
          </cell>
          <cell r="N390">
            <v>7.3182005763856181E-2</v>
          </cell>
          <cell r="P390">
            <v>6.9247283835684431E-2</v>
          </cell>
          <cell r="R390">
            <v>0.37</v>
          </cell>
          <cell r="S390">
            <v>234.68648000000002</v>
          </cell>
          <cell r="U390">
            <v>0.10025934789648298</v>
          </cell>
          <cell r="W390">
            <v>9.4868778854887675E-2</v>
          </cell>
          <cell r="Y390">
            <v>-46.246370264364927</v>
          </cell>
          <cell r="AA390">
            <v>-42.935649048453371</v>
          </cell>
          <cell r="AC390">
            <v>400.5</v>
          </cell>
          <cell r="AE390">
            <v>3.9141679999999996</v>
          </cell>
          <cell r="AG390">
            <v>9537.1002331002328</v>
          </cell>
          <cell r="AH390" t="e">
            <v>#N/A</v>
          </cell>
          <cell r="AI390" t="e">
            <v>#REF!</v>
          </cell>
          <cell r="AK390">
            <v>0.58598372034956314</v>
          </cell>
          <cell r="AM390">
            <v>59.958203122604864</v>
          </cell>
          <cell r="AO390">
            <v>598.03105027684057</v>
          </cell>
          <cell r="AP390">
            <v>632.01196269552065</v>
          </cell>
          <cell r="AR390">
            <v>4.4591290613427148</v>
          </cell>
          <cell r="AS390">
            <v>0.14592274678111594</v>
          </cell>
          <cell r="AY390">
            <v>0</v>
          </cell>
          <cell r="AZ390">
            <v>133.00700000000001</v>
          </cell>
          <cell r="BA390">
            <v>0.10521096557145482</v>
          </cell>
          <cell r="BB390">
            <v>9.4863149331535057E-2</v>
          </cell>
        </row>
        <row r="391">
          <cell r="A391" t="str">
            <v>URBN2012</v>
          </cell>
          <cell r="B391" t="str">
            <v>URBN</v>
          </cell>
          <cell r="C391">
            <v>2012</v>
          </cell>
          <cell r="D391">
            <v>20</v>
          </cell>
          <cell r="E391">
            <v>20</v>
          </cell>
          <cell r="F391">
            <v>2646.2840000000001</v>
          </cell>
          <cell r="G391">
            <v>2794.9250000000002</v>
          </cell>
          <cell r="H391">
            <v>7.0000000000000007E-2</v>
          </cell>
          <cell r="I391">
            <v>2794.9250000000002</v>
          </cell>
          <cell r="J391">
            <v>0.13391593692138434</v>
          </cell>
          <cell r="L391">
            <v>192.518</v>
          </cell>
          <cell r="N391">
            <v>7.2750317048359131E-2</v>
          </cell>
          <cell r="P391">
            <v>6.8881275883968265E-2</v>
          </cell>
          <cell r="R391">
            <v>0.372</v>
          </cell>
          <cell r="S391">
            <v>264.13469599999996</v>
          </cell>
          <cell r="U391">
            <v>9.9813434990348712E-2</v>
          </cell>
          <cell r="W391">
            <v>9.4505110512804441E-2</v>
          </cell>
          <cell r="Y391">
            <v>4.4591290613427148</v>
          </cell>
          <cell r="AA391">
            <v>3.6366834208323429</v>
          </cell>
          <cell r="AC391">
            <v>452.5</v>
          </cell>
          <cell r="AE391">
            <v>4.2913493333333328</v>
          </cell>
          <cell r="AG391">
            <v>9435.4677871148433</v>
          </cell>
          <cell r="AH391" t="e">
            <v>#N/A</v>
          </cell>
          <cell r="AI391" t="e">
            <v>#REF!</v>
          </cell>
          <cell r="AK391">
            <v>0.58372308508287285</v>
          </cell>
          <cell r="AM391">
            <v>61.550499734038588</v>
          </cell>
          <cell r="AO391">
            <v>616.65546066008153</v>
          </cell>
          <cell r="AP391">
            <v>651.29281792331381</v>
          </cell>
          <cell r="AR391">
            <v>1.5486989781805793</v>
          </cell>
          <cell r="AS391">
            <v>0.12983770287141083</v>
          </cell>
          <cell r="AY391">
            <v>0</v>
          </cell>
          <cell r="AZ391">
            <v>148.64099999999999</v>
          </cell>
          <cell r="BA391">
            <v>9.6363092573781506E-2</v>
          </cell>
          <cell r="BB391">
            <v>0.1025235924840362</v>
          </cell>
        </row>
        <row r="392">
          <cell r="A392" t="str">
            <v>URBN2013</v>
          </cell>
          <cell r="B392" t="str">
            <v>URBN</v>
          </cell>
          <cell r="C392" t="str">
            <v>2013e</v>
          </cell>
          <cell r="D392">
            <v>21</v>
          </cell>
          <cell r="E392">
            <v>21</v>
          </cell>
          <cell r="F392">
            <v>2908.982</v>
          </cell>
          <cell r="G392">
            <v>3086.64446</v>
          </cell>
          <cell r="H392">
            <v>6.1944861640197184E-2</v>
          </cell>
          <cell r="I392">
            <v>3086.64446</v>
          </cell>
          <cell r="J392">
            <v>0.13829498846783278</v>
          </cell>
          <cell r="L392">
            <v>211.30099999999999</v>
          </cell>
          <cell r="N392">
            <v>7.2637438114089389E-2</v>
          </cell>
          <cell r="P392">
            <v>6.8456540018865655E-2</v>
          </cell>
          <cell r="R392">
            <v>0.372</v>
          </cell>
          <cell r="S392">
            <v>289.90497199999999</v>
          </cell>
          <cell r="U392">
            <v>9.9658565092530654E-2</v>
          </cell>
          <cell r="W392">
            <v>9.3922372905883691E-2</v>
          </cell>
          <cell r="Y392">
            <v>1.5486989781805793</v>
          </cell>
          <cell r="AA392">
            <v>5.8273760692074958</v>
          </cell>
          <cell r="AC392">
            <v>493.5</v>
          </cell>
          <cell r="AE392">
            <v>4.6583493333333319</v>
          </cell>
          <cell r="AG392">
            <v>9443.0841487279831</v>
          </cell>
          <cell r="AH392" t="e">
            <v>#N/A</v>
          </cell>
          <cell r="AI392" t="e">
            <v>#REF!</v>
          </cell>
          <cell r="AK392">
            <v>0.58744675177304961</v>
          </cell>
          <cell r="AM392">
            <v>62.23341172066101</v>
          </cell>
          <cell r="AO392">
            <v>624.46626301390893</v>
          </cell>
          <cell r="AP392">
            <v>662.60476386199196</v>
          </cell>
          <cell r="AY392">
            <v>0</v>
          </cell>
          <cell r="AZ392">
            <v>177.66246000000001</v>
          </cell>
          <cell r="BA392">
            <v>8.5520886670610308E-2</v>
          </cell>
          <cell r="BB392">
            <v>7.0821320409722999E-2</v>
          </cell>
        </row>
        <row r="393">
          <cell r="C393" t="str">
            <v>2008 = Trough rent</v>
          </cell>
          <cell r="F393">
            <v>1724.558</v>
          </cell>
          <cell r="G393">
            <v>1834.6179999999999</v>
          </cell>
          <cell r="H393">
            <v>7.8E-2</v>
          </cell>
          <cell r="J393">
            <v>0.16321381344781302</v>
          </cell>
          <cell r="L393">
            <v>114.9</v>
          </cell>
          <cell r="N393">
            <v>6.6625767298055499E-2</v>
          </cell>
          <cell r="P393">
            <v>6.2628841535404101E-2</v>
          </cell>
          <cell r="S393">
            <v>157.30000000000001</v>
          </cell>
          <cell r="U393">
            <v>9.1211777162612112E-2</v>
          </cell>
          <cell r="W393">
            <v>8.573991969990484E-2</v>
          </cell>
          <cell r="Z393">
            <v>0</v>
          </cell>
          <cell r="AB393">
            <v>0</v>
          </cell>
          <cell r="AC393">
            <v>269.5</v>
          </cell>
          <cell r="AE393">
            <v>2.8666320000000001</v>
          </cell>
          <cell r="AG393">
            <v>10364.721088435374</v>
          </cell>
          <cell r="AH393">
            <v>0.73702838466677978</v>
          </cell>
          <cell r="AI393">
            <v>0.73702838466677978</v>
          </cell>
          <cell r="AK393">
            <v>0.58367346938775511</v>
          </cell>
          <cell r="AM393">
            <v>54.8727566007775</v>
          </cell>
          <cell r="AO393">
            <v>497.11229066025908</v>
          </cell>
          <cell r="AP393">
            <v>639.99076267899045</v>
          </cell>
          <cell r="AR393">
            <v>1.1717230021248748E-2</v>
          </cell>
          <cell r="AT393" t="str">
            <v>Adjusted Rent Expense Increase Assumption</v>
          </cell>
        </row>
        <row r="395">
          <cell r="C395" t="str">
            <v>Specialty Apparel Equal Weighted Average</v>
          </cell>
          <cell r="AE395" t="str">
            <v>% Change</v>
          </cell>
          <cell r="BA395">
            <v>0.39662788717019842</v>
          </cell>
        </row>
        <row r="396">
          <cell r="C396">
            <v>2001</v>
          </cell>
          <cell r="J396">
            <v>0.11208098869909278</v>
          </cell>
          <cell r="BA396">
            <v>0.22245259021816288</v>
          </cell>
        </row>
        <row r="397">
          <cell r="C397">
            <v>2002</v>
          </cell>
          <cell r="J397">
            <v>0.11493908586248529</v>
          </cell>
          <cell r="BA397">
            <v>8.616130388328859E-2</v>
          </cell>
        </row>
        <row r="398">
          <cell r="C398">
            <v>2003</v>
          </cell>
          <cell r="J398">
            <v>0.12835284026103502</v>
          </cell>
          <cell r="BA398">
            <v>-3.2457052286478806E-2</v>
          </cell>
        </row>
        <row r="399">
          <cell r="C399">
            <v>2004</v>
          </cell>
          <cell r="J399">
            <v>0.15615619290526289</v>
          </cell>
          <cell r="BA399">
            <v>-1.2606605522925778</v>
          </cell>
        </row>
        <row r="400">
          <cell r="C400">
            <v>2005</v>
          </cell>
          <cell r="J400" t="e">
            <v>#N/A</v>
          </cell>
          <cell r="BA400">
            <v>0.19916611186563671</v>
          </cell>
        </row>
        <row r="401">
          <cell r="C401">
            <v>2006</v>
          </cell>
          <cell r="J401" t="e">
            <v>#N/A</v>
          </cell>
          <cell r="BA401">
            <v>0.22555900713188998</v>
          </cell>
        </row>
        <row r="402">
          <cell r="C402">
            <v>2007</v>
          </cell>
          <cell r="J402" t="e">
            <v>#N/A</v>
          </cell>
          <cell r="BA402">
            <v>0.11621597601104482</v>
          </cell>
        </row>
        <row r="403">
          <cell r="C403">
            <v>2008</v>
          </cell>
          <cell r="H403" t="e">
            <v>#N/A</v>
          </cell>
          <cell r="J403" t="e">
            <v>#N/A</v>
          </cell>
          <cell r="R403">
            <v>0.32002632382887547</v>
          </cell>
          <cell r="U403">
            <v>0.10174705886603579</v>
          </cell>
          <cell r="W403">
            <v>8.968555271449323E-2</v>
          </cell>
          <cell r="Y403">
            <v>-71.432465230432186</v>
          </cell>
          <cell r="AA403">
            <v>-40.732660827391754</v>
          </cell>
          <cell r="AE403">
            <v>5.7479811541754376E-2</v>
          </cell>
          <cell r="AH403" t="e">
            <v>#N/A</v>
          </cell>
          <cell r="AI403" t="e">
            <v>#N/A</v>
          </cell>
          <cell r="AK403">
            <v>212.4674144829512</v>
          </cell>
          <cell r="AM403">
            <v>87.283360775547848</v>
          </cell>
          <cell r="AO403" t="e">
            <v>#N/A</v>
          </cell>
          <cell r="BA403">
            <v>5.7479811541754376E-2</v>
          </cell>
        </row>
        <row r="404">
          <cell r="C404">
            <v>2009</v>
          </cell>
          <cell r="H404" t="e">
            <v>#N/A</v>
          </cell>
          <cell r="J404" t="e">
            <v>#N/A</v>
          </cell>
          <cell r="R404">
            <v>0.30699868406763137</v>
          </cell>
          <cell r="U404">
            <v>0.11359812594031778</v>
          </cell>
          <cell r="W404">
            <v>0.10338406724674366</v>
          </cell>
          <cell r="Y404">
            <v>-40.617581645198847</v>
          </cell>
          <cell r="AA404">
            <v>-136.98514532250448</v>
          </cell>
          <cell r="AE404">
            <v>-6.5792847207363225E-3</v>
          </cell>
          <cell r="AH404" t="e">
            <v>#N/A</v>
          </cell>
          <cell r="AI404">
            <v>0</v>
          </cell>
          <cell r="AK404">
            <v>428.13432047114111</v>
          </cell>
          <cell r="AM404">
            <v>2295.4321268394224</v>
          </cell>
          <cell r="AO404" t="e">
            <v>#N/A</v>
          </cell>
          <cell r="BA404">
            <v>-6.5792847207363225E-3</v>
          </cell>
        </row>
        <row r="405">
          <cell r="C405">
            <v>2010</v>
          </cell>
          <cell r="H405" t="e">
            <v>#N/A</v>
          </cell>
          <cell r="J405" t="e">
            <v>#N/A</v>
          </cell>
          <cell r="R405">
            <v>0.30710949973637358</v>
          </cell>
          <cell r="U405">
            <v>0.11129598145917331</v>
          </cell>
          <cell r="W405">
            <v>0.1004915679193944</v>
          </cell>
          <cell r="Y405">
            <v>23.021444811444955</v>
          </cell>
          <cell r="AA405">
            <v>28.924993273492696</v>
          </cell>
          <cell r="AE405">
            <v>-0.13815132685945378</v>
          </cell>
          <cell r="AH405" t="e">
            <v>#N/A</v>
          </cell>
          <cell r="AI405" t="e">
            <v>#REF!</v>
          </cell>
          <cell r="AK405">
            <v>-2611.8561713304457</v>
          </cell>
          <cell r="AM405">
            <v>4507.0405961726337</v>
          </cell>
          <cell r="AO405" t="e">
            <v>#N/A</v>
          </cell>
          <cell r="BA405">
            <v>-0.13815132685945378</v>
          </cell>
        </row>
        <row r="406">
          <cell r="C406">
            <v>2011</v>
          </cell>
          <cell r="H406" t="e">
            <v>#N/A</v>
          </cell>
          <cell r="J406" t="e">
            <v>#N/A</v>
          </cell>
          <cell r="R406">
            <v>0.30362880070769149</v>
          </cell>
          <cell r="U406">
            <v>0.10435886931351149</v>
          </cell>
          <cell r="W406">
            <v>9.3452680198482116E-2</v>
          </cell>
          <cell r="Y406">
            <v>69.371121456618297</v>
          </cell>
          <cell r="AA406">
            <v>70.388877209122569</v>
          </cell>
          <cell r="AE406">
            <v>0.10903117814506871</v>
          </cell>
          <cell r="AH406" t="e">
            <v>#N/A</v>
          </cell>
          <cell r="AI406" t="e">
            <v>#REF!</v>
          </cell>
          <cell r="AK406">
            <v>-1707.7007330879028</v>
          </cell>
          <cell r="AM406">
            <v>11596.610392115939</v>
          </cell>
          <cell r="AO406" t="e">
            <v>#N/A</v>
          </cell>
          <cell r="BA406">
            <v>0.10903117814506871</v>
          </cell>
        </row>
        <row r="407">
          <cell r="C407">
            <v>2012</v>
          </cell>
          <cell r="H407" t="e">
            <v>#N/A</v>
          </cell>
          <cell r="J407" t="e">
            <v>#N/A</v>
          </cell>
          <cell r="R407">
            <v>0.30215289310567967</v>
          </cell>
          <cell r="U407">
            <v>9.9338687180367077E-2</v>
          </cell>
          <cell r="W407">
            <v>8.7041949064867494E-2</v>
          </cell>
          <cell r="Y407">
            <v>50.201821331443931</v>
          </cell>
          <cell r="AA407">
            <v>64.10731133614658</v>
          </cell>
          <cell r="AE407">
            <v>-4.4820308707260781E-2</v>
          </cell>
          <cell r="AH407" t="e">
            <v>#N/A</v>
          </cell>
          <cell r="AI407" t="e">
            <v>#REF!</v>
          </cell>
          <cell r="AK407">
            <v>-1766.9572039527209</v>
          </cell>
          <cell r="AM407">
            <v>57281.206037108052</v>
          </cell>
          <cell r="AO407" t="e">
            <v>#N/A</v>
          </cell>
          <cell r="BA407">
            <v>-4.4820308707260781E-2</v>
          </cell>
        </row>
        <row r="408">
          <cell r="C408" t="str">
            <v>2013e</v>
          </cell>
          <cell r="H408" t="e">
            <v>#N/A</v>
          </cell>
          <cell r="J408" t="e">
            <v>#N/A</v>
          </cell>
          <cell r="R408">
            <v>0.30072995219790838</v>
          </cell>
          <cell r="U408">
            <v>0.11050849345007722</v>
          </cell>
          <cell r="W408">
            <v>9.6845632107346397E-2</v>
          </cell>
          <cell r="Y408">
            <v>-135.86328613969661</v>
          </cell>
          <cell r="AA408">
            <v>-98.036830424788974</v>
          </cell>
          <cell r="AE408">
            <v>-3.7754338492539596</v>
          </cell>
          <cell r="AH408" t="e">
            <v>#N/A</v>
          </cell>
          <cell r="AI408" t="e">
            <v>#REF!</v>
          </cell>
          <cell r="AK408">
            <v>-3952.3958140734421</v>
          </cell>
          <cell r="AM408">
            <v>78206.160276811555</v>
          </cell>
          <cell r="BA408">
            <v>-3.7754338492539596</v>
          </cell>
        </row>
        <row r="409">
          <cell r="C409" t="str">
            <v>Trough rent year</v>
          </cell>
          <cell r="H409" t="e">
            <v>#N/A</v>
          </cell>
          <cell r="J409" t="e">
            <v>#N/A</v>
          </cell>
          <cell r="U409">
            <v>7.5582899420304051E-2</v>
          </cell>
          <cell r="W409">
            <v>6.817431274718723E-2</v>
          </cell>
          <cell r="AH409" t="e">
            <v>#N/A</v>
          </cell>
          <cell r="AI409" t="e">
            <v>#N/A</v>
          </cell>
          <cell r="AK409">
            <v>433.7700038282905</v>
          </cell>
          <cell r="AM409">
            <v>78792.11454990592</v>
          </cell>
          <cell r="AO409" t="e">
            <v>#N/A</v>
          </cell>
        </row>
        <row r="411">
          <cell r="C411" t="str">
            <v>Specialty Apparel Equal Weighted Average (Excluding COH, KORS, LULU &amp; TIF)</v>
          </cell>
        </row>
        <row r="412">
          <cell r="C412">
            <v>2005</v>
          </cell>
          <cell r="AH412" t="e">
            <v>#N/A</v>
          </cell>
          <cell r="AI412" t="e">
            <v>#N/A</v>
          </cell>
        </row>
        <row r="413">
          <cell r="C413">
            <v>2006</v>
          </cell>
          <cell r="AH413" t="e">
            <v>#N/A</v>
          </cell>
          <cell r="AI413" t="e">
            <v>#N/A</v>
          </cell>
        </row>
        <row r="414">
          <cell r="C414">
            <v>2007</v>
          </cell>
          <cell r="AH414" t="e">
            <v>#N/A</v>
          </cell>
          <cell r="AI414" t="e">
            <v>#N/A</v>
          </cell>
        </row>
        <row r="415">
          <cell r="C415">
            <v>2008</v>
          </cell>
          <cell r="H415" t="e">
            <v>#N/A</v>
          </cell>
          <cell r="J415">
            <v>6.6291262469165002E-2</v>
          </cell>
          <cell r="R415">
            <v>0.38657034569549931</v>
          </cell>
          <cell r="U415">
            <v>0.10752151299316615</v>
          </cell>
          <cell r="W415">
            <v>9.7180922503353875E-2</v>
          </cell>
          <cell r="Y415">
            <v>-75.167750089324997</v>
          </cell>
          <cell r="AA415">
            <v>-29.41607297675889</v>
          </cell>
          <cell r="AE415">
            <v>-2.0021055277190104E-2</v>
          </cell>
          <cell r="AH415" t="e">
            <v>#N/A</v>
          </cell>
          <cell r="AI415" t="e">
            <v>#N/A</v>
          </cell>
          <cell r="AK415">
            <v>270.21906706531854</v>
          </cell>
          <cell r="AM415">
            <v>45.574804717677324</v>
          </cell>
          <cell r="AO415">
            <v>428.44903482920148</v>
          </cell>
          <cell r="BA415">
            <v>-2.0021055277190104E-2</v>
          </cell>
        </row>
        <row r="416">
          <cell r="C416">
            <v>2009</v>
          </cell>
          <cell r="H416" t="e">
            <v>#N/A</v>
          </cell>
          <cell r="J416">
            <v>9.6357247931104756E-2</v>
          </cell>
          <cell r="R416">
            <v>0.36269353342015209</v>
          </cell>
          <cell r="U416">
            <v>0.12385272724997516</v>
          </cell>
          <cell r="W416">
            <v>0.11445019841251011</v>
          </cell>
          <cell r="Y416">
            <v>-200.53928859029622</v>
          </cell>
          <cell r="AA416">
            <v>-172.69275909156255</v>
          </cell>
          <cell r="AE416">
            <v>-5.5965140217641138E-2</v>
          </cell>
          <cell r="AH416" t="e">
            <v>#N/A</v>
          </cell>
          <cell r="AI416">
            <v>0</v>
          </cell>
          <cell r="AK416">
            <v>599.17418434753245</v>
          </cell>
          <cell r="AM416">
            <v>3127.7485048113799</v>
          </cell>
          <cell r="AO416">
            <v>421.86808628535601</v>
          </cell>
          <cell r="BA416">
            <v>-5.5965140217641138E-2</v>
          </cell>
        </row>
        <row r="417">
          <cell r="C417">
            <v>2010</v>
          </cell>
          <cell r="H417" t="e">
            <v>#N/A</v>
          </cell>
          <cell r="J417">
            <v>0.11445052395756188</v>
          </cell>
          <cell r="R417">
            <v>0.36417958284750113</v>
          </cell>
          <cell r="U417">
            <v>0.12215008639278882</v>
          </cell>
          <cell r="W417">
            <v>0.11134463381321449</v>
          </cell>
          <cell r="Y417">
            <v>17.02640857186362</v>
          </cell>
          <cell r="AA417">
            <v>31.055645992956492</v>
          </cell>
          <cell r="AE417">
            <v>-0.12553131591564409</v>
          </cell>
          <cell r="AH417" t="e">
            <v>#N/A</v>
          </cell>
          <cell r="AI417" t="e">
            <v>#REF!</v>
          </cell>
          <cell r="AK417">
            <v>-3656.8310528909178</v>
          </cell>
          <cell r="AM417">
            <v>-7636.2015596330457</v>
          </cell>
          <cell r="AO417">
            <v>443.28793932516191</v>
          </cell>
          <cell r="BA417">
            <v>-0.12553131591564409</v>
          </cell>
        </row>
        <row r="418">
          <cell r="C418">
            <v>2011</v>
          </cell>
          <cell r="H418" t="e">
            <v>#N/A</v>
          </cell>
          <cell r="J418" t="e">
            <v>#REF!</v>
          </cell>
          <cell r="R418">
            <v>0.36143032099076811</v>
          </cell>
          <cell r="U418">
            <v>0.11369991558301021</v>
          </cell>
          <cell r="W418">
            <v>0.10281491463022888</v>
          </cell>
          <cell r="Y418">
            <v>84.501708097786064</v>
          </cell>
          <cell r="AA418">
            <v>85.297191829856075</v>
          </cell>
          <cell r="AE418">
            <v>0.10959293078266104</v>
          </cell>
          <cell r="AH418" t="e">
            <v>#N/A</v>
          </cell>
          <cell r="AI418" t="e">
            <v>#REF!</v>
          </cell>
          <cell r="AK418">
            <v>-2391.030531422175</v>
          </cell>
          <cell r="AM418">
            <v>-4410.0591463069914</v>
          </cell>
          <cell r="AO418">
            <v>475.42704182560931</v>
          </cell>
          <cell r="BA418">
            <v>0.10959293078266104</v>
          </cell>
        </row>
        <row r="419">
          <cell r="C419">
            <v>2012</v>
          </cell>
          <cell r="H419" t="e">
            <v>#N/A</v>
          </cell>
          <cell r="J419" t="e">
            <v>#REF!</v>
          </cell>
          <cell r="R419">
            <v>0.35831406034795138</v>
          </cell>
          <cell r="U419">
            <v>0.11371553712773561</v>
          </cell>
          <cell r="W419">
            <v>0.10078523087321326</v>
          </cell>
          <cell r="Y419">
            <v>-0.1562154472541156</v>
          </cell>
          <cell r="AA419">
            <v>20.296837570156253</v>
          </cell>
          <cell r="AE419">
            <v>-8.8765096773449376E-2</v>
          </cell>
          <cell r="AH419" t="e">
            <v>#N/A</v>
          </cell>
          <cell r="AI419" t="e">
            <v>#REF!</v>
          </cell>
          <cell r="AK419">
            <v>-2473.9595488765749</v>
          </cell>
          <cell r="AM419">
            <v>39877.294369822557</v>
          </cell>
          <cell r="AO419">
            <v>494.36326220630542</v>
          </cell>
          <cell r="BA419">
            <v>-8.8765096773449376E-2</v>
          </cell>
        </row>
        <row r="420">
          <cell r="C420" t="str">
            <v>2013e</v>
          </cell>
          <cell r="H420" t="e">
            <v>#N/A</v>
          </cell>
          <cell r="J420" t="e">
            <v>#REF!</v>
          </cell>
          <cell r="R420">
            <v>0.35632194307707171</v>
          </cell>
          <cell r="U420">
            <v>0.12499345386189176</v>
          </cell>
          <cell r="W420">
            <v>0.10770453891328283</v>
          </cell>
          <cell r="Y420">
            <v>-112.77916734156152</v>
          </cell>
          <cell r="AA420">
            <v>-69.193080400695578</v>
          </cell>
          <cell r="AE420">
            <v>-5.2724124151491321</v>
          </cell>
          <cell r="AH420" t="e">
            <v>#N/A</v>
          </cell>
          <cell r="AI420" t="e">
            <v>#REF!</v>
          </cell>
          <cell r="AK420">
            <v>-5533.6110259774705</v>
          </cell>
          <cell r="AM420">
            <v>-810.37934487372513</v>
          </cell>
          <cell r="BA420">
            <v>-5.2724124151491321</v>
          </cell>
        </row>
        <row r="421">
          <cell r="C421" t="str">
            <v>Trough rent year</v>
          </cell>
          <cell r="H421" t="e">
            <v>#N/A</v>
          </cell>
          <cell r="J421" t="e">
            <v>#REF!</v>
          </cell>
          <cell r="U421">
            <v>8.5365281669631046E-2</v>
          </cell>
          <cell r="W421">
            <v>7.8354833746342945E-2</v>
          </cell>
          <cell r="AH421" t="e">
            <v>#N/A</v>
          </cell>
          <cell r="AI421" t="e">
            <v>#N/A</v>
          </cell>
          <cell r="AK421">
            <v>551.93408325376504</v>
          </cell>
          <cell r="AM421">
            <v>38.448063875720372</v>
          </cell>
          <cell r="AO421">
            <v>512.847717323594</v>
          </cell>
        </row>
        <row r="424">
          <cell r="L424" t="str">
            <v>Rent Expense</v>
          </cell>
          <cell r="Y424" t="str">
            <v>Rent</v>
          </cell>
          <cell r="AA424" t="str">
            <v>Rent</v>
          </cell>
          <cell r="AC424" t="str">
            <v>Average</v>
          </cell>
          <cell r="AL424" t="str">
            <v>Adjusted Rent</v>
          </cell>
          <cell r="AO424" t="str">
            <v>Sales</v>
          </cell>
          <cell r="AP424" t="str">
            <v>Total Sales</v>
          </cell>
          <cell r="AQ424" t="str">
            <v>Key CAM adj.</v>
          </cell>
          <cell r="AR424" t="str">
            <v>Bps</v>
          </cell>
        </row>
        <row r="425">
          <cell r="F425" t="str">
            <v>Store Sales</v>
          </cell>
          <cell r="G425" t="str">
            <v>Total Sales</v>
          </cell>
          <cell r="H425" t="str">
            <v>Comp.</v>
          </cell>
          <cell r="J425" t="str">
            <v>Operating</v>
          </cell>
          <cell r="L425" t="str">
            <v>per 10-K</v>
          </cell>
          <cell r="U425" t="str">
            <v>% Store</v>
          </cell>
          <cell r="W425" t="str">
            <v>% Total</v>
          </cell>
          <cell r="Y425" t="str">
            <v>Levg. or</v>
          </cell>
          <cell r="AA425" t="str">
            <v>Levg. or</v>
          </cell>
          <cell r="AC425" t="str">
            <v>Store</v>
          </cell>
          <cell r="AE425" t="str">
            <v>Sq. Ft.</v>
          </cell>
          <cell r="AG425" t="str">
            <v>Sq. Ft. /</v>
          </cell>
          <cell r="AH425" t="str">
            <v>New Sq. Ft.</v>
          </cell>
          <cell r="AI425" t="str">
            <v>Adj. New SF</v>
          </cell>
          <cell r="AK425" t="str">
            <v>per Avg</v>
          </cell>
          <cell r="AM425" t="str">
            <v>per Avg</v>
          </cell>
          <cell r="AO425" t="str">
            <v>per Avg</v>
          </cell>
          <cell r="AP425" t="str">
            <v>per Avg</v>
          </cell>
          <cell r="AQ425" t="str">
            <v>Assumptions &amp;</v>
          </cell>
          <cell r="AR425" t="str">
            <v>Lvg</v>
          </cell>
        </row>
        <row r="426">
          <cell r="F426" t="str">
            <v>($ MM)</v>
          </cell>
          <cell r="G426" t="str">
            <v>($ MM)</v>
          </cell>
          <cell r="H426" t="str">
            <v>Sales %</v>
          </cell>
          <cell r="J426" t="str">
            <v>Margin</v>
          </cell>
          <cell r="L426" t="str">
            <v>$ MM</v>
          </cell>
          <cell r="N426" t="str">
            <v>% Sales</v>
          </cell>
          <cell r="P426" t="str">
            <v>% Sales</v>
          </cell>
          <cell r="R426" t="str">
            <v>Adj.</v>
          </cell>
          <cell r="S426" t="str">
            <v>$ MM</v>
          </cell>
          <cell r="U426" t="str">
            <v>Sales</v>
          </cell>
          <cell r="W426" t="str">
            <v>Sales</v>
          </cell>
          <cell r="Y426" t="str">
            <v>(Delevg)</v>
          </cell>
          <cell r="AA426" t="str">
            <v>(De-levg)</v>
          </cell>
          <cell r="AC426" t="str">
            <v>Count</v>
          </cell>
          <cell r="AE426" t="str">
            <v>(MM)</v>
          </cell>
          <cell r="AG426" t="str">
            <v>Store</v>
          </cell>
          <cell r="AH426" t="str">
            <v>Productivity</v>
          </cell>
          <cell r="AI426" t="str">
            <v>Productivity</v>
          </cell>
          <cell r="AK426" t="str">
            <v>Store</v>
          </cell>
          <cell r="AM426" t="str">
            <v>Sq. Ft.</v>
          </cell>
          <cell r="AO426" t="str">
            <v>Sq. Ft.</v>
          </cell>
          <cell r="AP426" t="str">
            <v>Sq. Ft.</v>
          </cell>
          <cell r="AQ426" t="str">
            <v>Other</v>
          </cell>
          <cell r="AR426" t="str">
            <v>(De-Lvg)</v>
          </cell>
          <cell r="AS426" t="str">
            <v>Notes on Rent:</v>
          </cell>
        </row>
        <row r="428">
          <cell r="C428">
            <v>1998</v>
          </cell>
          <cell r="D428">
            <v>10</v>
          </cell>
          <cell r="E428">
            <v>10</v>
          </cell>
          <cell r="F428">
            <v>2182.3609999999999</v>
          </cell>
          <cell r="G428">
            <v>2182.3609999999999</v>
          </cell>
          <cell r="H428">
            <v>0.03</v>
          </cell>
          <cell r="J428">
            <v>0.10065887357774446</v>
          </cell>
          <cell r="L428">
            <v>106.696</v>
          </cell>
          <cell r="N428">
            <v>4.8890169866488635E-2</v>
          </cell>
          <cell r="P428">
            <v>4.8890169866488635E-2</v>
          </cell>
          <cell r="S428">
            <v>141.90568000000002</v>
          </cell>
          <cell r="T428">
            <v>35.20968000000002</v>
          </cell>
          <cell r="U428">
            <v>6.5023925922429893E-2</v>
          </cell>
          <cell r="W428">
            <v>6.5023925922429893E-2</v>
          </cell>
          <cell r="AC428">
            <v>337</v>
          </cell>
          <cell r="AE428">
            <v>9.367874999999998</v>
          </cell>
          <cell r="AG428">
            <v>27997.851002865329</v>
          </cell>
          <cell r="AH428">
            <v>0.54431258786780556</v>
          </cell>
          <cell r="AK428">
            <v>0.42108510385756681</v>
          </cell>
          <cell r="AM428">
            <v>15.148118436678548</v>
          </cell>
          <cell r="AO428">
            <v>232.96222462404765</v>
          </cell>
          <cell r="AP428">
            <v>232.96222462404765</v>
          </cell>
        </row>
        <row r="429">
          <cell r="A429" t="str">
            <v>ROST1999</v>
          </cell>
          <cell r="C429">
            <v>1999</v>
          </cell>
          <cell r="D429">
            <v>11</v>
          </cell>
          <cell r="E429">
            <v>11</v>
          </cell>
          <cell r="F429">
            <v>2468.6379999999999</v>
          </cell>
          <cell r="G429">
            <v>2468.6379999999999</v>
          </cell>
          <cell r="H429">
            <v>0.06</v>
          </cell>
          <cell r="J429">
            <v>0.10335942329333012</v>
          </cell>
          <cell r="L429">
            <v>118.089</v>
          </cell>
          <cell r="N429">
            <v>4.7835689153290194E-2</v>
          </cell>
          <cell r="P429">
            <v>4.7835689153290194E-2</v>
          </cell>
          <cell r="S429">
            <v>157.05837</v>
          </cell>
          <cell r="T429">
            <v>38.969369999999998</v>
          </cell>
          <cell r="U429">
            <v>6.3621466573875962E-2</v>
          </cell>
          <cell r="W429">
            <v>6.3621466573875962E-2</v>
          </cell>
          <cell r="AC429">
            <v>363.5</v>
          </cell>
          <cell r="AE429">
            <v>10.231874999999999</v>
          </cell>
          <cell r="AG429">
            <v>28287.037037037033</v>
          </cell>
          <cell r="AH429">
            <v>0.63552625214353453</v>
          </cell>
          <cell r="AK429">
            <v>0.43207254470426409</v>
          </cell>
          <cell r="AM429">
            <v>15.349910940076967</v>
          </cell>
          <cell r="AO429">
            <v>241.26936656282453</v>
          </cell>
          <cell r="AP429">
            <v>241.26936656282453</v>
          </cell>
        </row>
        <row r="430">
          <cell r="C430">
            <v>2000</v>
          </cell>
          <cell r="D430">
            <v>12</v>
          </cell>
          <cell r="E430">
            <v>12</v>
          </cell>
          <cell r="F430">
            <v>2709.0389999999998</v>
          </cell>
          <cell r="G430">
            <v>2709.0389999999998</v>
          </cell>
          <cell r="H430">
            <v>0.01</v>
          </cell>
          <cell r="J430">
            <v>9.3262592380545198E-2</v>
          </cell>
          <cell r="L430">
            <v>129.64500000000001</v>
          </cell>
          <cell r="N430">
            <v>4.7856453893797772E-2</v>
          </cell>
          <cell r="P430">
            <v>4.7856453893797772E-2</v>
          </cell>
          <cell r="S430">
            <v>172.42785000000003</v>
          </cell>
          <cell r="T430">
            <v>42.782850000000025</v>
          </cell>
          <cell r="U430">
            <v>6.3649083678751051E-2</v>
          </cell>
          <cell r="W430">
            <v>6.3649083678751051E-2</v>
          </cell>
          <cell r="AC430">
            <v>393.5</v>
          </cell>
          <cell r="AE430">
            <v>11.177499999999998</v>
          </cell>
          <cell r="AG430">
            <v>28514.669926650367</v>
          </cell>
          <cell r="AH430">
            <v>0.58006686834613874</v>
          </cell>
          <cell r="AK430">
            <v>0.43819021601016528</v>
          </cell>
          <cell r="AM430">
            <v>15.426334153433242</v>
          </cell>
          <cell r="AO430">
            <v>242.36537687318275</v>
          </cell>
          <cell r="AP430">
            <v>242.36537687318275</v>
          </cell>
        </row>
        <row r="431">
          <cell r="C431">
            <v>2001</v>
          </cell>
          <cell r="D431">
            <v>13</v>
          </cell>
          <cell r="E431">
            <v>13</v>
          </cell>
          <cell r="F431">
            <v>2986.5960000000005</v>
          </cell>
          <cell r="G431">
            <v>2986.5960000000005</v>
          </cell>
          <cell r="H431">
            <v>0.03</v>
          </cell>
          <cell r="J431">
            <v>8.6304608992980758E-2</v>
          </cell>
          <cell r="L431">
            <v>143.89599999999999</v>
          </cell>
          <cell r="N431">
            <v>4.8180604273226096E-2</v>
          </cell>
          <cell r="P431">
            <v>4.8180604273226096E-2</v>
          </cell>
          <cell r="S431">
            <v>191.38167999999999</v>
          </cell>
          <cell r="T431">
            <v>47.485680000000002</v>
          </cell>
          <cell r="U431">
            <v>6.4080203683390707E-2</v>
          </cell>
          <cell r="W431">
            <v>6.4080203683390707E-2</v>
          </cell>
          <cell r="AC431">
            <v>430.5</v>
          </cell>
          <cell r="AE431">
            <v>12.383749999999999</v>
          </cell>
          <cell r="AG431">
            <v>28993.362831858401</v>
          </cell>
          <cell r="AH431">
            <v>0.80017082045803423</v>
          </cell>
          <cell r="AK431">
            <v>0.44455674796747963</v>
          </cell>
          <cell r="AM431">
            <v>15.454259008781669</v>
          </cell>
          <cell r="AO431">
            <v>241.17056626627641</v>
          </cell>
          <cell r="AP431">
            <v>241.17056626627641</v>
          </cell>
          <cell r="AS431" t="str">
            <v xml:space="preserve">Minimum rentals as reported in footnote C do not include CAM, RE taxes, </v>
          </cell>
        </row>
        <row r="432">
          <cell r="C432" t="str">
            <v>2002 (Trough rent)</v>
          </cell>
          <cell r="D432">
            <v>14</v>
          </cell>
          <cell r="E432">
            <v>14</v>
          </cell>
          <cell r="F432">
            <v>3531.3490000000002</v>
          </cell>
          <cell r="G432">
            <v>3531.3490000000002</v>
          </cell>
          <cell r="H432">
            <v>7.0000000000000007E-2</v>
          </cell>
          <cell r="J432">
            <v>9.3112009036773302E-2</v>
          </cell>
          <cell r="L432">
            <v>163.57400000000001</v>
          </cell>
          <cell r="N432">
            <v>4.6320542093120788E-2</v>
          </cell>
          <cell r="P432">
            <v>4.6320542093120788E-2</v>
          </cell>
          <cell r="S432">
            <v>217.55342000000002</v>
          </cell>
          <cell r="T432">
            <v>53.979420000000005</v>
          </cell>
          <cell r="U432">
            <v>6.1606320983850653E-2</v>
          </cell>
          <cell r="W432">
            <v>6.1606320983850653E-2</v>
          </cell>
          <cell r="AC432">
            <v>479.5</v>
          </cell>
          <cell r="AE432">
            <v>13.954374999999999</v>
          </cell>
          <cell r="AG432">
            <v>29400</v>
          </cell>
          <cell r="AH432">
            <v>0.80565545961892249</v>
          </cell>
          <cell r="AK432">
            <v>0.45370890510948908</v>
          </cell>
          <cell r="AM432">
            <v>15.5903377972858</v>
          </cell>
          <cell r="AO432">
            <v>253.063931562682</v>
          </cell>
          <cell r="AP432">
            <v>253.063931562682</v>
          </cell>
          <cell r="AS432" t="str">
            <v>Insurance, or other landlord passthrus. Estimate 30% for these costs given</v>
          </cell>
        </row>
        <row r="433">
          <cell r="C433">
            <v>2003</v>
          </cell>
          <cell r="D433">
            <v>15</v>
          </cell>
          <cell r="E433">
            <v>15</v>
          </cell>
          <cell r="F433">
            <v>3920.5829999999996</v>
          </cell>
          <cell r="G433">
            <v>3920.5829999999996</v>
          </cell>
          <cell r="H433">
            <v>0.01</v>
          </cell>
          <cell r="J433">
            <v>9.5246803855446871E-2</v>
          </cell>
          <cell r="L433">
            <v>186.24</v>
          </cell>
          <cell r="N433">
            <v>4.7503139201491212E-2</v>
          </cell>
          <cell r="P433">
            <v>4.7503139201491212E-2</v>
          </cell>
          <cell r="S433">
            <v>247.69920000000002</v>
          </cell>
          <cell r="T433">
            <v>61.45920000000001</v>
          </cell>
          <cell r="U433">
            <v>6.3179175137983309E-2</v>
          </cell>
          <cell r="W433">
            <v>6.3179175137983309E-2</v>
          </cell>
          <cell r="AC433">
            <v>537.5</v>
          </cell>
          <cell r="AE433">
            <v>15.727499999999999</v>
          </cell>
          <cell r="AG433">
            <v>29400</v>
          </cell>
          <cell r="AH433">
            <v>0.51477447107119634</v>
          </cell>
          <cell r="AK433">
            <v>0.46083572093023262</v>
          </cell>
          <cell r="AM433">
            <v>15.749432522651409</v>
          </cell>
          <cell r="AO433">
            <v>249.28202193609917</v>
          </cell>
          <cell r="AP433">
            <v>249.28202193609917</v>
          </cell>
          <cell r="AS433" t="str">
            <v>lower cost of operating in a strip center vs. a mall.</v>
          </cell>
        </row>
        <row r="434">
          <cell r="C434">
            <v>2004</v>
          </cell>
          <cell r="D434">
            <v>16</v>
          </cell>
          <cell r="E434">
            <v>16</v>
          </cell>
          <cell r="F434">
            <v>4239.99</v>
          </cell>
          <cell r="G434">
            <v>4239.99</v>
          </cell>
          <cell r="H434">
            <v>-0.01</v>
          </cell>
          <cell r="J434">
            <v>6.9744975813622059E-2</v>
          </cell>
          <cell r="L434">
            <v>216.16300000000001</v>
          </cell>
          <cell r="N434">
            <v>5.0981959863112887E-2</v>
          </cell>
          <cell r="P434">
            <v>5.0981959863112887E-2</v>
          </cell>
          <cell r="S434">
            <v>287.49679000000003</v>
          </cell>
          <cell r="T434">
            <v>71.333790000000022</v>
          </cell>
          <cell r="U434">
            <v>6.7806006617940145E-2</v>
          </cell>
          <cell r="W434">
            <v>6.7806006617940145E-2</v>
          </cell>
          <cell r="AC434">
            <v>608.5</v>
          </cell>
          <cell r="AE434">
            <v>17.858750000000001</v>
          </cell>
          <cell r="AG434">
            <v>29400</v>
          </cell>
          <cell r="AH434">
            <v>0.68895002975963471</v>
          </cell>
          <cell r="AK434">
            <v>0.47246801972062452</v>
          </cell>
          <cell r="AM434">
            <v>16.098371386575209</v>
          </cell>
          <cell r="AO434">
            <v>237.41807237348635</v>
          </cell>
          <cell r="AP434">
            <v>237.41807237348635</v>
          </cell>
          <cell r="AT434" t="str">
            <v>Adjusted Rent Expense Increase Assumption</v>
          </cell>
        </row>
        <row r="435">
          <cell r="A435" t="str">
            <v>ROST</v>
          </cell>
          <cell r="B435" t="str">
            <v>ROST</v>
          </cell>
          <cell r="C435" t="str">
            <v>2005 (total revs.)</v>
          </cell>
          <cell r="D435">
            <v>17</v>
          </cell>
          <cell r="E435">
            <v>17</v>
          </cell>
          <cell r="F435">
            <v>4944.1790000000001</v>
          </cell>
          <cell r="G435">
            <v>4944.1790000000001</v>
          </cell>
          <cell r="H435">
            <v>0.06</v>
          </cell>
          <cell r="J435">
            <v>6.5823668600995366E-2</v>
          </cell>
          <cell r="L435">
            <v>246.214</v>
          </cell>
          <cell r="N435">
            <v>4.9798763353834881E-2</v>
          </cell>
          <cell r="P435">
            <v>4.9798763353834881E-2</v>
          </cell>
          <cell r="S435">
            <v>327.46462000000002</v>
          </cell>
          <cell r="T435">
            <v>81.250620000000026</v>
          </cell>
          <cell r="U435">
            <v>6.6232355260600395E-2</v>
          </cell>
          <cell r="W435">
            <v>6.6232355260600395E-2</v>
          </cell>
          <cell r="Y435">
            <v>15.736513573397504</v>
          </cell>
          <cell r="AA435">
            <v>15.736513573397504</v>
          </cell>
          <cell r="AC435">
            <v>691.5</v>
          </cell>
          <cell r="AE435">
            <v>20.357499999999998</v>
          </cell>
          <cell r="AG435">
            <v>29494.209809264299</v>
          </cell>
          <cell r="AH435">
            <v>0.75818087950057389</v>
          </cell>
          <cell r="AI435">
            <v>0.75818087950057389</v>
          </cell>
          <cell r="AK435">
            <v>0.4735569342010123</v>
          </cell>
          <cell r="AM435">
            <v>16.085699128085476</v>
          </cell>
          <cell r="AO435">
            <v>242.86769004052564</v>
          </cell>
          <cell r="AP435">
            <v>242.86769004052564</v>
          </cell>
          <cell r="AQ435" t="str">
            <v>Added 33% of reported minimum &amp; contin. rent given lower CAM for street or strip center stores vs. stores in enclosed shopping malls. We estimate achieves lvg. at +4% &amp; occupancy neutral at +3%.</v>
          </cell>
          <cell r="BA435">
            <v>0.13991740743333092</v>
          </cell>
          <cell r="BB435">
            <v>0.13991740743333092</v>
          </cell>
        </row>
        <row r="436">
          <cell r="A436" t="str">
            <v>ROST2006</v>
          </cell>
          <cell r="B436" t="str">
            <v>ROST</v>
          </cell>
          <cell r="C436" t="str">
            <v>2006 (total revs.)</v>
          </cell>
          <cell r="D436">
            <v>18</v>
          </cell>
          <cell r="E436">
            <v>18</v>
          </cell>
          <cell r="F436">
            <v>5570.21</v>
          </cell>
          <cell r="G436">
            <v>5570.21</v>
          </cell>
          <cell r="H436">
            <v>0.04</v>
          </cell>
          <cell r="J436">
            <v>6.9952479349970648E-2</v>
          </cell>
          <cell r="L436">
            <v>274.21100000000001</v>
          </cell>
          <cell r="N436">
            <v>4.9228126049107666E-2</v>
          </cell>
          <cell r="P436">
            <v>4.9228126049107666E-2</v>
          </cell>
          <cell r="S436">
            <v>364.70063000000005</v>
          </cell>
          <cell r="T436">
            <v>90.489630000000034</v>
          </cell>
          <cell r="U436">
            <v>6.5473407645313203E-2</v>
          </cell>
          <cell r="W436">
            <v>6.5473407645313203E-2</v>
          </cell>
          <cell r="Y436">
            <v>7.5894761528719208</v>
          </cell>
          <cell r="AA436">
            <v>7.5894761528719208</v>
          </cell>
          <cell r="AC436">
            <v>765.5</v>
          </cell>
          <cell r="AE436">
            <v>22.475624999999997</v>
          </cell>
          <cell r="AG436">
            <v>29237.76662484316</v>
          </cell>
          <cell r="AH436">
            <v>0.83251118752428011</v>
          </cell>
          <cell r="AI436">
            <v>0.83251118752428011</v>
          </cell>
          <cell r="AK436">
            <v>0.47642146309601574</v>
          </cell>
          <cell r="AM436">
            <v>16.226495592447378</v>
          </cell>
          <cell r="AO436">
            <v>247.83337504518786</v>
          </cell>
          <cell r="AP436">
            <v>247.83337504518786</v>
          </cell>
          <cell r="AR436" t="str">
            <v>LVG</v>
          </cell>
          <cell r="BA436">
            <v>0.1040464202382414</v>
          </cell>
          <cell r="BB436">
            <v>0.1040464202382414</v>
          </cell>
        </row>
        <row r="437">
          <cell r="A437" t="str">
            <v>ROST2007</v>
          </cell>
          <cell r="B437" t="str">
            <v>ROST</v>
          </cell>
          <cell r="C437" t="str">
            <v>2007 (total revs.)</v>
          </cell>
          <cell r="D437">
            <v>19</v>
          </cell>
          <cell r="E437">
            <v>19</v>
          </cell>
          <cell r="F437">
            <v>5975.2120000000004</v>
          </cell>
          <cell r="G437">
            <v>5975.2120000000004</v>
          </cell>
          <cell r="H437">
            <v>0.01</v>
          </cell>
          <cell r="J437">
            <v>7.0472980707630153E-2</v>
          </cell>
          <cell r="L437">
            <v>301.58199999999999</v>
          </cell>
          <cell r="N437">
            <v>5.0472184083175622E-2</v>
          </cell>
          <cell r="P437">
            <v>5.0472184083175622E-2</v>
          </cell>
          <cell r="R437">
            <v>0.33</v>
          </cell>
          <cell r="S437">
            <v>401.10406</v>
          </cell>
          <cell r="T437">
            <v>99.52206000000001</v>
          </cell>
          <cell r="U437">
            <v>6.7128004830623575E-2</v>
          </cell>
          <cell r="W437">
            <v>6.7128004830623575E-2</v>
          </cell>
          <cell r="Y437">
            <v>-16.545971853103719</v>
          </cell>
          <cell r="AA437">
            <v>-16.545971853103719</v>
          </cell>
          <cell r="AC437">
            <v>843.5</v>
          </cell>
          <cell r="AE437">
            <v>24.838749999999997</v>
          </cell>
          <cell r="AG437">
            <v>29634.831460674159</v>
          </cell>
          <cell r="AH437">
            <v>0.59641969370138126</v>
          </cell>
          <cell r="AI437">
            <v>0.59641969370138126</v>
          </cell>
          <cell r="AK437">
            <v>0.47552348547717843</v>
          </cell>
          <cell r="AM437">
            <v>16.148319057923608</v>
          </cell>
          <cell r="AO437">
            <v>240.56009259725232</v>
          </cell>
          <cell r="AP437">
            <v>240.56009259725232</v>
          </cell>
          <cell r="AQ437" t="str">
            <v>+30% of reported min &amp; contin. rent given lower CAM for street/strip center stores vs. stores in enclosed malls. Estimate achieves lvg. at +3-4% comp.</v>
          </cell>
          <cell r="AR437">
            <v>8.0380178779640428</v>
          </cell>
          <cell r="BA437">
            <v>0.10514168126581569</v>
          </cell>
          <cell r="BB437">
            <v>0.10514168126581569</v>
          </cell>
        </row>
        <row r="438">
          <cell r="A438" t="str">
            <v>ROST2008</v>
          </cell>
          <cell r="B438" t="str">
            <v>ROST</v>
          </cell>
          <cell r="C438">
            <v>2008</v>
          </cell>
          <cell r="D438">
            <v>20</v>
          </cell>
          <cell r="E438">
            <v>20</v>
          </cell>
          <cell r="F438">
            <v>6486.1390000000001</v>
          </cell>
          <cell r="G438">
            <v>6486.1390000000001</v>
          </cell>
          <cell r="H438">
            <v>0.02</v>
          </cell>
          <cell r="J438">
            <v>7.6348348377979589E-2</v>
          </cell>
          <cell r="L438">
            <v>325.89999999999998</v>
          </cell>
          <cell r="N438">
            <v>5.0245608365778155E-2</v>
          </cell>
          <cell r="P438">
            <v>5.0245608365778155E-2</v>
          </cell>
          <cell r="R438">
            <v>0.32</v>
          </cell>
          <cell r="S438">
            <v>430.18799999999999</v>
          </cell>
          <cell r="T438">
            <v>104.28800000000001</v>
          </cell>
          <cell r="U438">
            <v>6.6324203042827171E-2</v>
          </cell>
          <cell r="W438">
            <v>6.6324203042827171E-2</v>
          </cell>
          <cell r="Y438">
            <v>8.0380178779640428</v>
          </cell>
          <cell r="AA438">
            <v>8.0380178779640428</v>
          </cell>
          <cell r="AC438">
            <v>923</v>
          </cell>
          <cell r="AE438">
            <v>27.25</v>
          </cell>
          <cell r="AG438">
            <v>29419.456066945604</v>
          </cell>
          <cell r="AH438">
            <v>0.67480804566801988</v>
          </cell>
          <cell r="AI438">
            <v>0.67480804566801988</v>
          </cell>
          <cell r="AK438">
            <v>0.4660758396533044</v>
          </cell>
          <cell r="AM438">
            <v>15.786715596330275</v>
          </cell>
          <cell r="AO438">
            <v>238.02344954128441</v>
          </cell>
          <cell r="AP438">
            <v>238.02344954128441</v>
          </cell>
          <cell r="AQ438" t="str">
            <v>+30% of reported min &amp; contin. rent given lower CAM for street/strip center stores vs. stores in enclosed malls. Estimate achieves lvg. at +3-4% comp.</v>
          </cell>
          <cell r="AR438">
            <v>44.969715840716958</v>
          </cell>
          <cell r="AS438">
            <v>9.4250148192057015E-2</v>
          </cell>
          <cell r="AU438">
            <v>53.007733718681003</v>
          </cell>
          <cell r="BA438">
            <v>9.7076141110160608E-2</v>
          </cell>
          <cell r="BB438">
            <v>9.7076141110160608E-2</v>
          </cell>
        </row>
        <row r="439">
          <cell r="A439" t="str">
            <v>ROST2009</v>
          </cell>
          <cell r="B439" t="str">
            <v>ROST</v>
          </cell>
          <cell r="C439">
            <v>2009</v>
          </cell>
          <cell r="D439">
            <v>21</v>
          </cell>
          <cell r="E439">
            <v>21</v>
          </cell>
          <cell r="F439">
            <v>7184.2129999999997</v>
          </cell>
          <cell r="G439">
            <v>7184.2129999999997</v>
          </cell>
          <cell r="H439">
            <v>0.06</v>
          </cell>
          <cell r="J439">
            <v>0.10107189193861588</v>
          </cell>
          <cell r="L439">
            <v>336.5</v>
          </cell>
          <cell r="N439">
            <v>4.6838811711178388E-2</v>
          </cell>
          <cell r="P439">
            <v>4.6838811711178388E-2</v>
          </cell>
          <cell r="R439">
            <v>0.32</v>
          </cell>
          <cell r="S439">
            <v>444.18</v>
          </cell>
          <cell r="U439">
            <v>6.1827231458755474E-2</v>
          </cell>
          <cell r="W439">
            <v>6.1827231458755474E-2</v>
          </cell>
          <cell r="Y439">
            <v>44.969715840716958</v>
          </cell>
          <cell r="AA439">
            <v>44.969715840716958</v>
          </cell>
          <cell r="AC439">
            <v>980.5</v>
          </cell>
          <cell r="AE439">
            <v>28.875</v>
          </cell>
          <cell r="AG439">
            <v>29477.611940298502</v>
          </cell>
          <cell r="AH439">
            <v>0.7986431216570512</v>
          </cell>
          <cell r="AI439">
            <v>0</v>
          </cell>
          <cell r="AK439">
            <v>0.45301376848546659</v>
          </cell>
          <cell r="AM439">
            <v>15.382857142857143</v>
          </cell>
          <cell r="AO439">
            <v>248.80391341991341</v>
          </cell>
          <cell r="AP439">
            <v>248.80391341991341</v>
          </cell>
          <cell r="AR439">
            <v>18.071452661060082</v>
          </cell>
          <cell r="AS439">
            <v>6.2296858071505978E-2</v>
          </cell>
          <cell r="AU439">
            <v>63.041168501777037</v>
          </cell>
          <cell r="BA439">
            <v>5.9633027522935755E-2</v>
          </cell>
          <cell r="BB439">
            <v>5.9633027522935755E-2</v>
          </cell>
          <cell r="BC439">
            <v>0</v>
          </cell>
        </row>
        <row r="440">
          <cell r="A440" t="str">
            <v>ROST2010</v>
          </cell>
          <cell r="B440" t="str">
            <v>ROST</v>
          </cell>
          <cell r="C440">
            <v>2010</v>
          </cell>
          <cell r="D440">
            <v>22</v>
          </cell>
          <cell r="E440">
            <v>22</v>
          </cell>
          <cell r="F440">
            <v>7866.1</v>
          </cell>
          <cell r="G440">
            <v>7866.1</v>
          </cell>
          <cell r="H440">
            <v>0.05</v>
          </cell>
          <cell r="J440">
            <v>0.11525279363343965</v>
          </cell>
          <cell r="L440">
            <v>360.4</v>
          </cell>
          <cell r="N440">
            <v>4.5816859689045392E-2</v>
          </cell>
          <cell r="P440">
            <v>4.5816859689045392E-2</v>
          </cell>
          <cell r="R440">
            <v>0.31</v>
          </cell>
          <cell r="S440">
            <v>472.12399999999997</v>
          </cell>
          <cell r="U440">
            <v>6.0020086192649466E-2</v>
          </cell>
          <cell r="W440">
            <v>6.0020086192649466E-2</v>
          </cell>
          <cell r="Y440">
            <v>18.071452661060082</v>
          </cell>
          <cell r="AA440">
            <v>18.071452661060082</v>
          </cell>
          <cell r="AC440">
            <v>1030</v>
          </cell>
          <cell r="AE440">
            <v>30.3125</v>
          </cell>
          <cell r="AG440">
            <v>29383.886255924172</v>
          </cell>
          <cell r="AH440">
            <v>0.90219844721245179</v>
          </cell>
          <cell r="AI440">
            <v>0</v>
          </cell>
          <cell r="AK440">
            <v>0.45837281553398057</v>
          </cell>
          <cell r="AM440">
            <v>15.575224742268039</v>
          </cell>
          <cell r="AO440">
            <v>259.50020618556704</v>
          </cell>
          <cell r="AP440">
            <v>259.50020618556704</v>
          </cell>
          <cell r="AR440">
            <v>24.569763953621663</v>
          </cell>
          <cell r="AS440">
            <v>5.048444671086183E-2</v>
          </cell>
          <cell r="BA440">
            <v>4.9783549783549708E-2</v>
          </cell>
          <cell r="BB440">
            <v>4.9783549783549708E-2</v>
          </cell>
        </row>
        <row r="441">
          <cell r="A441" t="str">
            <v>ROST2011</v>
          </cell>
          <cell r="B441" t="str">
            <v>ROST</v>
          </cell>
          <cell r="C441">
            <v>2011</v>
          </cell>
          <cell r="D441">
            <v>23</v>
          </cell>
          <cell r="E441">
            <v>23</v>
          </cell>
          <cell r="F441">
            <v>8608.2909999999993</v>
          </cell>
          <cell r="G441">
            <v>8608.2909999999993</v>
          </cell>
          <cell r="H441">
            <v>0.05</v>
          </cell>
          <cell r="J441">
            <v>0.12353973628447262</v>
          </cell>
          <cell r="L441">
            <v>380</v>
          </cell>
          <cell r="N441">
            <v>4.414348910834915E-2</v>
          </cell>
          <cell r="P441">
            <v>4.414348910834915E-2</v>
          </cell>
          <cell r="R441">
            <v>0.30399999999999999</v>
          </cell>
          <cell r="S441">
            <v>495.52000000000004</v>
          </cell>
          <cell r="U441">
            <v>5.75631097972873E-2</v>
          </cell>
          <cell r="W441">
            <v>5.75631097972873E-2</v>
          </cell>
          <cell r="Y441">
            <v>24.569763953621663</v>
          </cell>
          <cell r="AA441">
            <v>24.569763953621663</v>
          </cell>
          <cell r="AC441">
            <v>1090</v>
          </cell>
          <cell r="AE441">
            <v>31.976150000000001</v>
          </cell>
          <cell r="AG441">
            <v>29290.933333333334</v>
          </cell>
          <cell r="AH441" t="e">
            <v>#REF!</v>
          </cell>
          <cell r="AI441">
            <v>0</v>
          </cell>
          <cell r="AK441">
            <v>0.45460550458715598</v>
          </cell>
          <cell r="AM441">
            <v>15.496549772252132</v>
          </cell>
          <cell r="AO441">
            <v>269.20973913369806</v>
          </cell>
          <cell r="AP441">
            <v>269.20973913369806</v>
          </cell>
          <cell r="AR441">
            <v>30.211023114819906</v>
          </cell>
          <cell r="AS441">
            <v>5.8252427184465994E-2</v>
          </cell>
          <cell r="BA441">
            <v>5.4883298969072181E-2</v>
          </cell>
          <cell r="BB441">
            <v>5.4883298969072181E-2</v>
          </cell>
        </row>
        <row r="442">
          <cell r="A442" t="str">
            <v>ROST2012</v>
          </cell>
          <cell r="B442" t="str">
            <v>ROST</v>
          </cell>
          <cell r="C442">
            <v>2012</v>
          </cell>
          <cell r="D442">
            <v>24</v>
          </cell>
          <cell r="E442">
            <v>24</v>
          </cell>
          <cell r="F442">
            <v>9721.0650000000005</v>
          </cell>
          <cell r="G442">
            <v>9721.0650000000005</v>
          </cell>
          <cell r="H442">
            <v>0.06</v>
          </cell>
          <cell r="J442">
            <v>0.13082424610883689</v>
          </cell>
          <cell r="L442">
            <v>406.6</v>
          </cell>
          <cell r="N442">
            <v>4.1826692857212661E-2</v>
          </cell>
          <cell r="P442">
            <v>4.1826692857212661E-2</v>
          </cell>
          <cell r="R442">
            <v>0.30399999999999999</v>
          </cell>
          <cell r="S442">
            <v>530.20640000000003</v>
          </cell>
          <cell r="U442">
            <v>5.4542007485805309E-2</v>
          </cell>
          <cell r="W442">
            <v>5.4542007485805309E-2</v>
          </cell>
          <cell r="Y442">
            <v>30.211023114819906</v>
          </cell>
          <cell r="AA442">
            <v>30.211023114819906</v>
          </cell>
          <cell r="AC442">
            <v>1162</v>
          </cell>
          <cell r="AE442">
            <v>33.981400000000001</v>
          </cell>
          <cell r="AG442">
            <v>29199.749791492912</v>
          </cell>
          <cell r="AH442" t="e">
            <v>#REF!</v>
          </cell>
          <cell r="AI442">
            <v>0</v>
          </cell>
          <cell r="AK442">
            <v>0.45628777969018935</v>
          </cell>
          <cell r="AM442">
            <v>15.602841554497461</v>
          </cell>
          <cell r="AO442">
            <v>286.07017368325023</v>
          </cell>
          <cell r="AP442">
            <v>286.07017368325023</v>
          </cell>
          <cell r="AR442">
            <v>-8.9201321709712893</v>
          </cell>
          <cell r="AS442">
            <v>6.6055045871559637E-2</v>
          </cell>
          <cell r="BA442">
            <v>6.27108016443505E-2</v>
          </cell>
          <cell r="BB442">
            <v>6.27108016443505E-2</v>
          </cell>
        </row>
        <row r="443">
          <cell r="A443" t="str">
            <v>ROST2013</v>
          </cell>
          <cell r="B443" t="str">
            <v>ROST</v>
          </cell>
          <cell r="C443" t="str">
            <v>2013e</v>
          </cell>
          <cell r="D443">
            <v>25</v>
          </cell>
          <cell r="E443">
            <v>25</v>
          </cell>
          <cell r="F443">
            <v>10230.352999999999</v>
          </cell>
          <cell r="G443">
            <v>10230.352999999999</v>
          </cell>
          <cell r="H443">
            <v>0.03</v>
          </cell>
          <cell r="J443">
            <v>0.12931567538615835</v>
          </cell>
          <cell r="L443">
            <v>434.9</v>
          </cell>
          <cell r="N443">
            <v>4.2510752072777942E-2</v>
          </cell>
          <cell r="P443">
            <v>4.2510752072777942E-2</v>
          </cell>
          <cell r="R443">
            <v>0.30399999999999999</v>
          </cell>
          <cell r="S443">
            <v>567.1096</v>
          </cell>
          <cell r="U443">
            <v>5.5434020702902438E-2</v>
          </cell>
          <cell r="W443">
            <v>5.5434020702902438E-2</v>
          </cell>
          <cell r="Y443">
            <v>-8.9201321709712893</v>
          </cell>
          <cell r="AA443">
            <v>-8.9201321709712893</v>
          </cell>
          <cell r="AC443">
            <v>1237.5</v>
          </cell>
          <cell r="AE443">
            <v>36.047250000000005</v>
          </cell>
          <cell r="AG443">
            <v>29062.695924764892</v>
          </cell>
          <cell r="AH443" t="e">
            <v>#REF!</v>
          </cell>
          <cell r="AI443">
            <v>0</v>
          </cell>
          <cell r="AK443">
            <v>0.45827038383838387</v>
          </cell>
          <cell r="AM443">
            <v>15.732395675120847</v>
          </cell>
          <cell r="AO443">
            <v>283.80397949912953</v>
          </cell>
          <cell r="AP443">
            <v>283.80397949912953</v>
          </cell>
          <cell r="BA443">
            <v>6.0793551766554765E-2</v>
          </cell>
          <cell r="BB443">
            <v>6.0793551766554765E-2</v>
          </cell>
        </row>
        <row r="444">
          <cell r="C444" t="str">
            <v>2011 = Trough rent</v>
          </cell>
          <cell r="F444">
            <v>9721.0650000000005</v>
          </cell>
          <cell r="G444">
            <v>9721.0650000000005</v>
          </cell>
          <cell r="H444">
            <v>0.06</v>
          </cell>
          <cell r="J444">
            <v>0.13082424610883689</v>
          </cell>
          <cell r="L444">
            <v>406.6</v>
          </cell>
          <cell r="N444">
            <v>4.1826692857212661E-2</v>
          </cell>
          <cell r="P444">
            <v>4.1826692857212661E-2</v>
          </cell>
          <cell r="S444">
            <v>530.20640000000003</v>
          </cell>
          <cell r="U444">
            <v>5.4542007485805309E-2</v>
          </cell>
          <cell r="W444">
            <v>5.4542007485805309E-2</v>
          </cell>
          <cell r="Z444">
            <v>0</v>
          </cell>
          <cell r="AB444">
            <v>0</v>
          </cell>
          <cell r="AC444">
            <v>1162</v>
          </cell>
          <cell r="AE444">
            <v>33.981400000000001</v>
          </cell>
          <cell r="AG444">
            <v>29199.749791492912</v>
          </cell>
          <cell r="AH444">
            <v>0.63552625214353453</v>
          </cell>
          <cell r="AI444">
            <v>0.63552625214353453</v>
          </cell>
          <cell r="AK444">
            <v>0.45628777969018935</v>
          </cell>
          <cell r="AM444">
            <v>15.602841554497461</v>
          </cell>
          <cell r="AO444">
            <v>286.07017368325023</v>
          </cell>
          <cell r="AP444">
            <v>286.07017368325023</v>
          </cell>
          <cell r="AR444">
            <v>-2.9752354170221013E-2</v>
          </cell>
          <cell r="AS444" t="str">
            <v>Minimum rentals include rent expense on DC's, HQ, and stores.</v>
          </cell>
        </row>
        <row r="446">
          <cell r="AI446">
            <v>0</v>
          </cell>
        </row>
        <row r="447">
          <cell r="C447">
            <v>1998</v>
          </cell>
          <cell r="D447">
            <v>10</v>
          </cell>
          <cell r="E447">
            <v>10</v>
          </cell>
          <cell r="F447">
            <v>7948.8710000000001</v>
          </cell>
          <cell r="G447">
            <v>7948.8710000000001</v>
          </cell>
          <cell r="H447">
            <v>4.6106199232570262E-2</v>
          </cell>
          <cell r="J447">
            <v>8.8716749837807252E-2</v>
          </cell>
          <cell r="L447">
            <v>318.10000000000002</v>
          </cell>
          <cell r="N447">
            <v>4.0018261712889795E-2</v>
          </cell>
          <cell r="P447">
            <v>4.0018261712889795E-2</v>
          </cell>
          <cell r="S447">
            <v>423.07300000000004</v>
          </cell>
          <cell r="U447">
            <v>5.3224288078143431E-2</v>
          </cell>
          <cell r="W447">
            <v>5.3224288078143431E-2</v>
          </cell>
          <cell r="AC447">
            <v>1208.5</v>
          </cell>
          <cell r="AE447">
            <v>36.0715</v>
          </cell>
          <cell r="AG447">
            <v>29796.147672552172</v>
          </cell>
          <cell r="AH447">
            <v>0.63228040141991204</v>
          </cell>
          <cell r="AI447">
            <v>0</v>
          </cell>
          <cell r="AK447">
            <v>0.35008109226313616</v>
          </cell>
          <cell r="AM447">
            <v>11.728733210429287</v>
          </cell>
          <cell r="AO447">
            <v>220.36430422910053</v>
          </cell>
          <cell r="AP447">
            <v>220.36430422910053</v>
          </cell>
        </row>
        <row r="448">
          <cell r="A448" t="str">
            <v>TJX1999</v>
          </cell>
          <cell r="C448">
            <v>1999</v>
          </cell>
          <cell r="D448">
            <v>11</v>
          </cell>
          <cell r="E448">
            <v>11</v>
          </cell>
          <cell r="F448">
            <v>8795.3469999999998</v>
          </cell>
          <cell r="G448">
            <v>8795.3469999999998</v>
          </cell>
          <cell r="H448">
            <v>0.05</v>
          </cell>
          <cell r="J448">
            <v>9.79247322476305E-2</v>
          </cell>
          <cell r="L448">
            <v>352.6</v>
          </cell>
          <cell r="N448">
            <v>4.0089379077368981E-2</v>
          </cell>
          <cell r="P448">
            <v>4.0089379077368981E-2</v>
          </cell>
          <cell r="S448">
            <v>468.95800000000008</v>
          </cell>
          <cell r="U448">
            <v>5.3318874172900751E-2</v>
          </cell>
          <cell r="W448">
            <v>5.3318874172900751E-2</v>
          </cell>
          <cell r="AC448">
            <v>1301.5</v>
          </cell>
          <cell r="AE448">
            <v>38.645500000000006</v>
          </cell>
          <cell r="AG448">
            <v>29598.378776713344</v>
          </cell>
          <cell r="AH448">
            <v>0.79164037880162208</v>
          </cell>
          <cell r="AI448">
            <v>0</v>
          </cell>
          <cell r="AK448">
            <v>0.36032116788321172</v>
          </cell>
          <cell r="AM448">
            <v>12.134866931466794</v>
          </cell>
          <cell r="AO448">
            <v>227.59045684491076</v>
          </cell>
          <cell r="AP448">
            <v>227.59045684491076</v>
          </cell>
        </row>
        <row r="449">
          <cell r="C449">
            <v>2000</v>
          </cell>
          <cell r="D449">
            <v>12</v>
          </cell>
          <cell r="E449">
            <v>12</v>
          </cell>
          <cell r="F449">
            <v>9579.0059999999994</v>
          </cell>
          <cell r="G449">
            <v>9579.0059999999994</v>
          </cell>
          <cell r="H449">
            <v>0.02</v>
          </cell>
          <cell r="J449">
            <v>9.2686652456423935E-2</v>
          </cell>
          <cell r="L449">
            <v>390.6</v>
          </cell>
          <cell r="N449">
            <v>4.077667348783371E-2</v>
          </cell>
          <cell r="P449">
            <v>4.077667348783371E-2</v>
          </cell>
          <cell r="S449">
            <v>519.49800000000005</v>
          </cell>
          <cell r="U449">
            <v>5.4232975738818835E-2</v>
          </cell>
          <cell r="W449">
            <v>5.4232975738818835E-2</v>
          </cell>
          <cell r="AC449">
            <v>1425</v>
          </cell>
          <cell r="AE449">
            <v>42.072000000000003</v>
          </cell>
          <cell r="AG449">
            <v>29456.798392498324</v>
          </cell>
          <cell r="AH449">
            <v>0.77933046885793966</v>
          </cell>
          <cell r="AI449">
            <v>0</v>
          </cell>
          <cell r="AK449">
            <v>0.36456000000000005</v>
          </cell>
          <cell r="AM449">
            <v>12.347832287507131</v>
          </cell>
          <cell r="AO449">
            <v>227.68126069594976</v>
          </cell>
          <cell r="AP449">
            <v>227.68126069594976</v>
          </cell>
        </row>
        <row r="450">
          <cell r="C450">
            <v>2001</v>
          </cell>
          <cell r="D450">
            <v>13</v>
          </cell>
          <cell r="E450">
            <v>13</v>
          </cell>
          <cell r="F450">
            <v>10708.998</v>
          </cell>
          <cell r="G450">
            <v>10708.998</v>
          </cell>
          <cell r="H450">
            <v>0.03</v>
          </cell>
          <cell r="J450">
            <v>8.4012248391492766E-2</v>
          </cell>
          <cell r="L450">
            <v>446.6</v>
          </cell>
          <cell r="N450">
            <v>4.1703248053646107E-2</v>
          </cell>
          <cell r="P450">
            <v>4.1703248053646107E-2</v>
          </cell>
          <cell r="S450">
            <v>593.97800000000007</v>
          </cell>
          <cell r="U450">
            <v>5.5465319911349321E-2</v>
          </cell>
          <cell r="W450">
            <v>5.5465319911349321E-2</v>
          </cell>
          <cell r="AC450">
            <v>1579</v>
          </cell>
          <cell r="AE450">
            <v>46.483999999999995</v>
          </cell>
          <cell r="AG450">
            <v>29422.822822822822</v>
          </cell>
          <cell r="AH450">
            <v>0.83882218851875856</v>
          </cell>
          <cell r="AI450">
            <v>0</v>
          </cell>
          <cell r="AK450">
            <v>0.37617352754908173</v>
          </cell>
          <cell r="AM450">
            <v>12.778117201617764</v>
          </cell>
          <cell r="AO450">
            <v>230.38030289992258</v>
          </cell>
          <cell r="AP450">
            <v>230.38030289992258</v>
          </cell>
          <cell r="AS450" t="str">
            <v>Minimum rentals as reported in footnote D is net of sublease income (less than</v>
          </cell>
        </row>
        <row r="451">
          <cell r="C451">
            <v>2002</v>
          </cell>
          <cell r="D451">
            <v>14</v>
          </cell>
          <cell r="E451">
            <v>14</v>
          </cell>
          <cell r="F451">
            <v>11981.206999999999</v>
          </cell>
          <cell r="G451">
            <v>11981.206999999999</v>
          </cell>
          <cell r="H451">
            <v>0.03</v>
          </cell>
          <cell r="J451">
            <v>8.0383971331102005E-2</v>
          </cell>
          <cell r="L451">
            <v>524.70000000000005</v>
          </cell>
          <cell r="N451">
            <v>4.3793584402639911E-2</v>
          </cell>
          <cell r="P451">
            <v>4.3793584402639911E-2</v>
          </cell>
          <cell r="S451">
            <v>697.85100000000011</v>
          </cell>
          <cell r="T451">
            <v>173.15100000000007</v>
          </cell>
          <cell r="U451">
            <v>5.8245467255511087E-2</v>
          </cell>
          <cell r="W451">
            <v>5.8245467255511087E-2</v>
          </cell>
          <cell r="AC451">
            <v>1754</v>
          </cell>
          <cell r="AE451">
            <v>51.407499999999999</v>
          </cell>
          <cell r="AG451">
            <v>29205.642973412912</v>
          </cell>
          <cell r="AH451">
            <v>0.83836550223034645</v>
          </cell>
          <cell r="AI451">
            <v>0</v>
          </cell>
          <cell r="AK451">
            <v>0.39786259977194988</v>
          </cell>
          <cell r="AM451">
            <v>13.574886932840542</v>
          </cell>
          <cell r="AO451">
            <v>233.06340514516361</v>
          </cell>
          <cell r="AP451">
            <v>233.06340514516361</v>
          </cell>
          <cell r="AS451" t="str">
            <v>1% of expense) and do not include CAM, RE taxes, insurance, or other landlord</v>
          </cell>
        </row>
        <row r="452">
          <cell r="C452">
            <v>2003</v>
          </cell>
          <cell r="D452">
            <v>15</v>
          </cell>
          <cell r="E452">
            <v>15</v>
          </cell>
          <cell r="F452">
            <v>13327.938</v>
          </cell>
          <cell r="G452">
            <v>13327.938</v>
          </cell>
          <cell r="H452">
            <v>0.01</v>
          </cell>
          <cell r="J452">
            <v>7.6080035786481051E-2</v>
          </cell>
          <cell r="L452">
            <v>597.79999999999995</v>
          </cell>
          <cell r="N452">
            <v>4.4853149827077526E-2</v>
          </cell>
          <cell r="P452">
            <v>4.4853149827077526E-2</v>
          </cell>
          <cell r="S452">
            <v>795.07399999999996</v>
          </cell>
          <cell r="T452">
            <v>197.274</v>
          </cell>
          <cell r="U452">
            <v>5.9654689270013106E-2</v>
          </cell>
          <cell r="W452">
            <v>5.9654689270013106E-2</v>
          </cell>
          <cell r="AC452">
            <v>1952.5</v>
          </cell>
          <cell r="AE452">
            <v>57.158000000000001</v>
          </cell>
          <cell r="AG452">
            <v>29335.596508244424</v>
          </cell>
          <cell r="AH452">
            <v>0.91545325255251775</v>
          </cell>
          <cell r="AI452">
            <v>0</v>
          </cell>
          <cell r="AK452">
            <v>0.40720819462227908</v>
          </cell>
          <cell r="AM452">
            <v>13.910108821162391</v>
          </cell>
          <cell r="AO452">
            <v>233.17712306238846</v>
          </cell>
          <cell r="AP452">
            <v>233.17712306238846</v>
          </cell>
          <cell r="AS452" t="str">
            <v xml:space="preserve">passthrus. Estimate 30% for these costs given lower cost of operating in a strip </v>
          </cell>
        </row>
        <row r="453">
          <cell r="C453">
            <v>2004</v>
          </cell>
          <cell r="D453">
            <v>16</v>
          </cell>
          <cell r="E453">
            <v>16</v>
          </cell>
          <cell r="F453">
            <v>14913.483</v>
          </cell>
          <cell r="G453">
            <v>14913.483</v>
          </cell>
          <cell r="H453">
            <v>0.05</v>
          </cell>
          <cell r="J453">
            <v>6.8039639029997254E-2</v>
          </cell>
          <cell r="L453">
            <v>713.3</v>
          </cell>
          <cell r="N453">
            <v>4.7829202608136542E-2</v>
          </cell>
          <cell r="P453">
            <v>4.7829202608136542E-2</v>
          </cell>
          <cell r="S453">
            <v>948.68899999999996</v>
          </cell>
          <cell r="T453">
            <v>235.38900000000001</v>
          </cell>
          <cell r="U453">
            <v>6.3612839468821597E-2</v>
          </cell>
          <cell r="W453">
            <v>6.3612839468821597E-2</v>
          </cell>
          <cell r="AC453">
            <v>2143</v>
          </cell>
          <cell r="AE453">
            <v>62.599717339192452</v>
          </cell>
          <cell r="AG453">
            <v>29095.96883020904</v>
          </cell>
          <cell r="AH453">
            <v>0.72437520260648536</v>
          </cell>
          <cell r="AI453">
            <v>0</v>
          </cell>
          <cell r="AK453">
            <v>0.44269202053196449</v>
          </cell>
          <cell r="AM453">
            <v>15.154844787231083</v>
          </cell>
          <cell r="AO453">
            <v>238.23562843250988</v>
          </cell>
          <cell r="AP453">
            <v>238.23562843250988</v>
          </cell>
          <cell r="AT453" t="str">
            <v>Adjusted Rent Expense Increase Assumption</v>
          </cell>
        </row>
        <row r="454">
          <cell r="A454" t="str">
            <v>TJXold</v>
          </cell>
          <cell r="B454" t="str">
            <v>TJX</v>
          </cell>
          <cell r="C454" t="str">
            <v>2005 (total revs.)</v>
          </cell>
          <cell r="D454">
            <v>17</v>
          </cell>
          <cell r="E454">
            <v>17</v>
          </cell>
          <cell r="F454">
            <v>16057.935000000001</v>
          </cell>
          <cell r="G454">
            <v>16057.935000000001</v>
          </cell>
          <cell r="H454">
            <v>0.02</v>
          </cell>
          <cell r="J454">
            <v>6.4700660452293626E-2</v>
          </cell>
          <cell r="L454">
            <v>774.9</v>
          </cell>
          <cell r="N454">
            <v>4.8256516170977148E-2</v>
          </cell>
          <cell r="P454">
            <v>4.8256516170977148E-2</v>
          </cell>
          <cell r="R454">
            <v>0.33</v>
          </cell>
          <cell r="S454">
            <v>1030.617</v>
          </cell>
          <cell r="T454">
            <v>255.71699999999998</v>
          </cell>
          <cell r="U454">
            <v>6.4181166507399606E-2</v>
          </cell>
          <cell r="W454">
            <v>6.4181166507399606E-2</v>
          </cell>
          <cell r="Y454">
            <v>-5.6832703857800926</v>
          </cell>
          <cell r="AA454">
            <v>-5.6832703857800926</v>
          </cell>
          <cell r="AC454">
            <v>2302.5</v>
          </cell>
          <cell r="AE454">
            <v>67.642217339192456</v>
          </cell>
          <cell r="AG454">
            <v>29640.907181856372</v>
          </cell>
          <cell r="AH454">
            <v>0.70438701131550097</v>
          </cell>
          <cell r="AI454">
            <v>0.70438701131550097</v>
          </cell>
          <cell r="AK454">
            <v>0.44760781758957652</v>
          </cell>
          <cell r="AM454">
            <v>15.236298284427351</v>
          </cell>
          <cell r="AO454">
            <v>237.39515988184351</v>
          </cell>
          <cell r="AP454">
            <v>237.39515988184351</v>
          </cell>
          <cell r="AQ454" t="str">
            <v>Added 33% of reported minimum &amp; cont. rent given lower CAM for street or strip center stores vs. stores in enclosed shopping malls</v>
          </cell>
          <cell r="AS454" t="str">
            <v>2005-10K</v>
          </cell>
          <cell r="BA454">
            <v>8.0551481928864854E-2</v>
          </cell>
          <cell r="BB454">
            <v>8.0551481928864854E-2</v>
          </cell>
        </row>
        <row r="455">
          <cell r="A455" t="str">
            <v>TJX2006</v>
          </cell>
          <cell r="B455" t="str">
            <v>TJX</v>
          </cell>
          <cell r="C455" t="str">
            <v>2006 (total revs.)</v>
          </cell>
          <cell r="D455">
            <v>18</v>
          </cell>
          <cell r="E455">
            <v>18</v>
          </cell>
          <cell r="F455">
            <v>17404.637000000002</v>
          </cell>
          <cell r="G455">
            <v>17404.637000000002</v>
          </cell>
          <cell r="H455">
            <v>0.03</v>
          </cell>
          <cell r="J455">
            <v>7.2818180580267233E-2</v>
          </cell>
          <cell r="L455">
            <v>837.6</v>
          </cell>
          <cell r="N455">
            <v>4.8125105970322733E-2</v>
          </cell>
          <cell r="P455">
            <v>4.8125105970322733E-2</v>
          </cell>
          <cell r="S455">
            <v>837.6</v>
          </cell>
          <cell r="T455">
            <v>0</v>
          </cell>
          <cell r="U455">
            <v>4.8125105970322733E-2</v>
          </cell>
          <cell r="W455">
            <v>4.8125105970322733E-2</v>
          </cell>
          <cell r="Y455">
            <v>160.56060537076874</v>
          </cell>
          <cell r="AA455">
            <v>160.56060537076874</v>
          </cell>
          <cell r="AC455">
            <v>2423.5</v>
          </cell>
          <cell r="AE455">
            <v>72.137500000000003</v>
          </cell>
          <cell r="AG455">
            <v>29886.455798864554</v>
          </cell>
          <cell r="AH455">
            <v>0.81053008980455465</v>
          </cell>
          <cell r="AI455">
            <v>0.81053008980455465</v>
          </cell>
          <cell r="AK455">
            <v>0.34561584485248609</v>
          </cell>
          <cell r="AM455">
            <v>11.611159244498353</v>
          </cell>
          <cell r="AO455">
            <v>241.27031017154741</v>
          </cell>
          <cell r="AP455">
            <v>241.27031017154741</v>
          </cell>
          <cell r="AR455" t="str">
            <v>DE-LVG</v>
          </cell>
          <cell r="BA455">
            <v>6.6456760846054452E-2</v>
          </cell>
          <cell r="BB455">
            <v>6.6456760846054452E-2</v>
          </cell>
        </row>
        <row r="456">
          <cell r="A456" t="str">
            <v>TJX2007</v>
          </cell>
          <cell r="B456" t="str">
            <v>TJX</v>
          </cell>
          <cell r="C456" t="str">
            <v>2007 (total revs.)</v>
          </cell>
          <cell r="D456">
            <v>19</v>
          </cell>
          <cell r="E456">
            <v>19</v>
          </cell>
          <cell r="F456">
            <v>18471.973000000002</v>
          </cell>
          <cell r="G456">
            <v>18471.973000000002</v>
          </cell>
          <cell r="H456">
            <v>0.02</v>
          </cell>
          <cell r="J456">
            <v>7.8795643540622337E-2</v>
          </cell>
          <cell r="L456">
            <v>896.6</v>
          </cell>
          <cell r="N456">
            <v>4.8538399227846418E-2</v>
          </cell>
          <cell r="P456">
            <v>4.8538399227846418E-2</v>
          </cell>
          <cell r="R456">
            <v>0.33</v>
          </cell>
          <cell r="S456">
            <v>1192.4780000000001</v>
          </cell>
          <cell r="T456">
            <v>295.87800000000004</v>
          </cell>
          <cell r="U456">
            <v>6.4556070973035742E-2</v>
          </cell>
          <cell r="W456">
            <v>6.4556070973035742E-2</v>
          </cell>
          <cell r="Y456">
            <v>-164.30965002713009</v>
          </cell>
          <cell r="AA456">
            <v>-164.30965002713009</v>
          </cell>
          <cell r="AC456">
            <v>2514.5</v>
          </cell>
          <cell r="AE456">
            <v>74.97</v>
          </cell>
          <cell r="AG456">
            <v>29746.390948107692</v>
          </cell>
          <cell r="AH456">
            <v>1.0524512778565702</v>
          </cell>
          <cell r="AI456">
            <v>1.0524512778565702</v>
          </cell>
          <cell r="AK456">
            <v>0.47424060449393518</v>
          </cell>
          <cell r="AM456">
            <v>15.906069094304389</v>
          </cell>
          <cell r="AO456">
            <v>246.39152994531148</v>
          </cell>
          <cell r="AP456">
            <v>246.39152994531148</v>
          </cell>
          <cell r="AQ456" t="str">
            <v>Added 33% of reported minimum &amp; cont. rent given lower CAM for street or strip center stores vs. stores in enclosed shopping malls. We estimate occupancy neutral at +3% comp.</v>
          </cell>
          <cell r="AR456">
            <v>-10.076371340965313</v>
          </cell>
          <cell r="BA456">
            <v>3.9265291977127026E-2</v>
          </cell>
          <cell r="BB456">
            <v>3.9265291977127026E-2</v>
          </cell>
        </row>
        <row r="457">
          <cell r="A457" t="str">
            <v>TJX2008</v>
          </cell>
          <cell r="B457" t="str">
            <v>TJX</v>
          </cell>
          <cell r="C457">
            <v>2008</v>
          </cell>
          <cell r="D457">
            <v>20</v>
          </cell>
          <cell r="E457">
            <v>20</v>
          </cell>
          <cell r="F457">
            <v>18999.504999999997</v>
          </cell>
          <cell r="G457">
            <v>18999.504999999997</v>
          </cell>
          <cell r="H457">
            <v>0.01</v>
          </cell>
          <cell r="J457">
            <v>7.551412523642044E-2</v>
          </cell>
          <cell r="L457">
            <v>936.6</v>
          </cell>
          <cell r="N457">
            <v>4.9296021133182162E-2</v>
          </cell>
          <cell r="P457">
            <v>4.9296021133182162E-2</v>
          </cell>
          <cell r="R457">
            <v>0.33</v>
          </cell>
          <cell r="S457">
            <v>1245.6780000000001</v>
          </cell>
          <cell r="T457">
            <v>309.07800000000009</v>
          </cell>
          <cell r="U457">
            <v>6.5563708107132274E-2</v>
          </cell>
          <cell r="W457">
            <v>6.5563708107132274E-2</v>
          </cell>
          <cell r="Y457">
            <v>-10.076371340965313</v>
          </cell>
          <cell r="AA457">
            <v>-10.076371340965313</v>
          </cell>
          <cell r="AC457">
            <v>2607.5</v>
          </cell>
          <cell r="AE457">
            <v>77.12</v>
          </cell>
          <cell r="AG457">
            <v>29411.764705882353</v>
          </cell>
          <cell r="AH457">
            <v>0.64713087936605551</v>
          </cell>
          <cell r="AI457">
            <v>0.64713087936605551</v>
          </cell>
          <cell r="AK457">
            <v>0.47772885906040274</v>
          </cell>
          <cell r="AM457">
            <v>16.152463692946057</v>
          </cell>
          <cell r="AO457">
            <v>246.36287603734436</v>
          </cell>
          <cell r="AP457">
            <v>246.36287603734436</v>
          </cell>
          <cell r="AQ457" t="str">
            <v>Added 33% of reported minimum &amp; cont. rent given lower CAM for street or strip center stores vs. stores in enclosed shopping malls. We estimate occupancy neutral at +3% comp.</v>
          </cell>
          <cell r="AR457">
            <v>25.002223119672955</v>
          </cell>
          <cell r="AS457">
            <v>3.6985484191688123E-2</v>
          </cell>
          <cell r="AU457">
            <v>14.925851778707642</v>
          </cell>
          <cell r="BA457">
            <v>2.8678137921835489E-2</v>
          </cell>
          <cell r="BB457">
            <v>2.8678137921835489E-2</v>
          </cell>
        </row>
        <row r="458">
          <cell r="A458" t="str">
            <v>TJX2009</v>
          </cell>
          <cell r="B458" t="str">
            <v>TJX</v>
          </cell>
          <cell r="C458">
            <v>2009</v>
          </cell>
          <cell r="D458">
            <v>21</v>
          </cell>
          <cell r="E458">
            <v>21</v>
          </cell>
          <cell r="F458">
            <v>20288.444</v>
          </cell>
          <cell r="G458">
            <v>20288.444</v>
          </cell>
          <cell r="H458">
            <v>0.06</v>
          </cell>
          <cell r="J458">
            <v>9.8138181518503828E-2</v>
          </cell>
          <cell r="L458">
            <v>962</v>
          </cell>
          <cell r="N458">
            <v>4.7416154733206747E-2</v>
          </cell>
          <cell r="P458">
            <v>4.7416154733206747E-2</v>
          </cell>
          <cell r="R458">
            <v>0.33</v>
          </cell>
          <cell r="S458">
            <v>1279.46</v>
          </cell>
          <cell r="U458">
            <v>6.3063485795164978E-2</v>
          </cell>
          <cell r="W458">
            <v>6.3063485795164978E-2</v>
          </cell>
          <cell r="Y458">
            <v>25.002223119672955</v>
          </cell>
          <cell r="AA458">
            <v>25.002223119672955</v>
          </cell>
          <cell r="AC458">
            <v>2697.5</v>
          </cell>
          <cell r="AE458">
            <v>79.349999999999994</v>
          </cell>
          <cell r="AG458">
            <v>29420.342690484871</v>
          </cell>
          <cell r="AH458">
            <v>0.27115330319976505</v>
          </cell>
          <cell r="AI458">
            <v>0</v>
          </cell>
          <cell r="AK458">
            <v>0.47431325301204819</v>
          </cell>
          <cell r="AM458">
            <v>16.124259609325772</v>
          </cell>
          <cell r="AO458">
            <v>255.68297416509137</v>
          </cell>
          <cell r="AP458">
            <v>255.68297416509137</v>
          </cell>
          <cell r="AR458">
            <v>-2.5858899407142646</v>
          </cell>
          <cell r="AS458">
            <v>3.4515819750719157E-2</v>
          </cell>
          <cell r="AU458">
            <v>22.416333178958691</v>
          </cell>
          <cell r="BA458">
            <v>2.8915975103734226E-2</v>
          </cell>
          <cell r="BB458">
            <v>2.8915975103734226E-2</v>
          </cell>
          <cell r="BC458">
            <v>0</v>
          </cell>
        </row>
        <row r="459">
          <cell r="A459" t="str">
            <v>TJX2010</v>
          </cell>
          <cell r="B459" t="str">
            <v>TJX</v>
          </cell>
          <cell r="C459">
            <v>2010</v>
          </cell>
          <cell r="D459">
            <v>22</v>
          </cell>
          <cell r="E459">
            <v>22</v>
          </cell>
          <cell r="F459">
            <v>21663.250999999997</v>
          </cell>
          <cell r="G459">
            <v>21663.250999999997</v>
          </cell>
          <cell r="H459">
            <v>0.04</v>
          </cell>
          <cell r="J459">
            <v>0.10767252800606876</v>
          </cell>
          <cell r="L459">
            <v>1031.4000000000001</v>
          </cell>
          <cell r="N459">
            <v>4.7610582548298051E-2</v>
          </cell>
          <cell r="P459">
            <v>4.7610582548298051E-2</v>
          </cell>
          <cell r="R459">
            <v>0.33</v>
          </cell>
          <cell r="S459">
            <v>1371.7620000000002</v>
          </cell>
          <cell r="U459">
            <v>6.3322074789236404E-2</v>
          </cell>
          <cell r="W459">
            <v>6.3322074789236404E-2</v>
          </cell>
          <cell r="Y459">
            <v>-2.5858899407142646</v>
          </cell>
          <cell r="AA459">
            <v>-2.5858899407142646</v>
          </cell>
          <cell r="AC459">
            <v>2801</v>
          </cell>
          <cell r="AE459">
            <v>82.4</v>
          </cell>
          <cell r="AG459">
            <v>29415.879678209163</v>
          </cell>
          <cell r="AH459">
            <v>0.72229463047866593</v>
          </cell>
          <cell r="AI459">
            <v>0</v>
          </cell>
          <cell r="AK459">
            <v>0.4897400928239915</v>
          </cell>
          <cell r="AM459">
            <v>16.647597087378642</v>
          </cell>
          <cell r="AO459">
            <v>262.90353155339801</v>
          </cell>
          <cell r="AP459">
            <v>262.90353155339801</v>
          </cell>
          <cell r="AR459">
            <v>10.16582641933557</v>
          </cell>
          <cell r="AS459">
            <v>3.8368860055607135E-2</v>
          </cell>
          <cell r="BA459">
            <v>3.843730308758686E-2</v>
          </cell>
          <cell r="BB459">
            <v>3.843730308758686E-2</v>
          </cell>
          <cell r="BC459">
            <v>0</v>
          </cell>
        </row>
        <row r="460">
          <cell r="A460" t="str">
            <v>TJX2011</v>
          </cell>
          <cell r="B460" t="str">
            <v>TJX</v>
          </cell>
          <cell r="C460">
            <v>2011</v>
          </cell>
          <cell r="D460">
            <v>23</v>
          </cell>
          <cell r="E460">
            <v>23</v>
          </cell>
          <cell r="F460">
            <v>23182.226000000002</v>
          </cell>
          <cell r="G460">
            <v>23182.226000000002</v>
          </cell>
          <cell r="H460">
            <v>0.04</v>
          </cell>
          <cell r="J460">
            <v>0.108524220236659</v>
          </cell>
          <cell r="L460">
            <v>1086</v>
          </cell>
          <cell r="N460">
            <v>4.6846234697220185E-2</v>
          </cell>
          <cell r="P460">
            <v>4.6846234697220185E-2</v>
          </cell>
          <cell r="R460">
            <v>0.33</v>
          </cell>
          <cell r="S460">
            <v>1444.38</v>
          </cell>
          <cell r="U460">
            <v>6.2305492147302848E-2</v>
          </cell>
          <cell r="W460">
            <v>6.2305492147302848E-2</v>
          </cell>
          <cell r="Y460">
            <v>10.16582641933557</v>
          </cell>
          <cell r="AA460">
            <v>10.16582641933557</v>
          </cell>
          <cell r="AC460">
            <v>2882</v>
          </cell>
          <cell r="AE460">
            <v>84.699999999999989</v>
          </cell>
          <cell r="AG460">
            <v>29363.166953528398</v>
          </cell>
          <cell r="AH460" t="e">
            <v>#REF!</v>
          </cell>
          <cell r="AI460">
            <v>0</v>
          </cell>
          <cell r="AK460">
            <v>0.50117279666897996</v>
          </cell>
          <cell r="AM460">
            <v>17.052892561983473</v>
          </cell>
          <cell r="AO460">
            <v>273.69806375442744</v>
          </cell>
          <cell r="AP460">
            <v>273.69806375442744</v>
          </cell>
          <cell r="AR460">
            <v>20.91967123394857</v>
          </cell>
          <cell r="AS460">
            <v>2.8918243484469919E-2</v>
          </cell>
          <cell r="BA460">
            <v>2.7912621359223122E-2</v>
          </cell>
          <cell r="BB460">
            <v>2.7912621359223122E-2</v>
          </cell>
        </row>
        <row r="461">
          <cell r="A461" t="str">
            <v>TJX2012</v>
          </cell>
          <cell r="B461" t="str">
            <v>TJX</v>
          </cell>
          <cell r="C461">
            <v>2012</v>
          </cell>
          <cell r="D461">
            <v>24</v>
          </cell>
          <cell r="E461">
            <v>24</v>
          </cell>
          <cell r="F461">
            <v>25878.372000000003</v>
          </cell>
          <cell r="G461">
            <v>25878.372000000003</v>
          </cell>
          <cell r="H461">
            <v>7.0000000000000007E-2</v>
          </cell>
          <cell r="J461">
            <v>0.12004333193757324</v>
          </cell>
          <cell r="L461">
            <v>1171.5999999999999</v>
          </cell>
          <cell r="N461">
            <v>4.5273327085645097E-2</v>
          </cell>
          <cell r="P461">
            <v>4.5273327085645097E-2</v>
          </cell>
          <cell r="R461">
            <v>0.33</v>
          </cell>
          <cell r="S461">
            <v>1558.2280000000001</v>
          </cell>
          <cell r="U461">
            <v>6.0213525023907991E-2</v>
          </cell>
          <cell r="W461">
            <v>6.0213525023907991E-2</v>
          </cell>
          <cell r="Y461">
            <v>20.91967123394857</v>
          </cell>
          <cell r="AA461">
            <v>20.91967123394857</v>
          </cell>
          <cell r="AC461">
            <v>2977.5</v>
          </cell>
          <cell r="AE461">
            <v>87.199999999999989</v>
          </cell>
          <cell r="AG461">
            <v>29213.114754098358</v>
          </cell>
          <cell r="AH461" t="e">
            <v>#REF!</v>
          </cell>
          <cell r="AI461">
            <v>0</v>
          </cell>
          <cell r="AK461">
            <v>0.52333434089000841</v>
          </cell>
          <cell r="AM461">
            <v>17.869587155963305</v>
          </cell>
          <cell r="AO461">
            <v>296.7703211009175</v>
          </cell>
          <cell r="AP461">
            <v>296.7703211009175</v>
          </cell>
          <cell r="AR461">
            <v>1.6085915910753201</v>
          </cell>
          <cell r="AS461">
            <v>3.3136710617626575E-2</v>
          </cell>
          <cell r="BA461">
            <v>2.9515938606847758E-2</v>
          </cell>
          <cell r="BB461">
            <v>2.9515938606847758E-2</v>
          </cell>
        </row>
        <row r="462">
          <cell r="A462" t="str">
            <v>TJX2013</v>
          </cell>
          <cell r="B462" t="str">
            <v>TJX</v>
          </cell>
          <cell r="C462" t="str">
            <v>2013e</v>
          </cell>
          <cell r="D462">
            <v>25</v>
          </cell>
          <cell r="E462">
            <v>25</v>
          </cell>
          <cell r="F462">
            <v>27422.696</v>
          </cell>
          <cell r="G462">
            <v>27422.696</v>
          </cell>
          <cell r="H462">
            <v>0.03</v>
          </cell>
          <cell r="J462">
            <v>0.12218237039859245</v>
          </cell>
          <cell r="L462">
            <v>1238.2</v>
          </cell>
          <cell r="N462">
            <v>4.5152380349474032E-2</v>
          </cell>
          <cell r="P462">
            <v>4.5152380349474032E-2</v>
          </cell>
          <cell r="R462">
            <v>0.33</v>
          </cell>
          <cell r="S462">
            <v>1646.806</v>
          </cell>
          <cell r="U462">
            <v>6.0052665864800459E-2</v>
          </cell>
          <cell r="W462">
            <v>6.0052665864800459E-2</v>
          </cell>
          <cell r="Y462">
            <v>1.6085915910753201</v>
          </cell>
          <cell r="AA462">
            <v>1.6085915910753201</v>
          </cell>
          <cell r="AC462">
            <v>3134.5</v>
          </cell>
          <cell r="AE462">
            <v>91.199999999999989</v>
          </cell>
          <cell r="AG462">
            <v>28984.156570363466</v>
          </cell>
          <cell r="AH462" t="e">
            <v>#REF!</v>
          </cell>
          <cell r="AI462">
            <v>0</v>
          </cell>
          <cell r="AK462">
            <v>0.52538076248205456</v>
          </cell>
          <cell r="AM462">
            <v>18.057083333333335</v>
          </cell>
          <cell r="AO462">
            <v>300.68745614035089</v>
          </cell>
          <cell r="AP462">
            <v>300.68745614035089</v>
          </cell>
          <cell r="BA462">
            <v>4.587155963302747E-2</v>
          </cell>
          <cell r="BB462">
            <v>4.587155963302747E-2</v>
          </cell>
        </row>
        <row r="463">
          <cell r="C463" t="str">
            <v>2011 = Trough rent</v>
          </cell>
          <cell r="F463">
            <v>17404.637000000002</v>
          </cell>
          <cell r="G463">
            <v>17404.637000000002</v>
          </cell>
          <cell r="H463">
            <v>0.03</v>
          </cell>
          <cell r="J463">
            <v>7.2818180580267233E-2</v>
          </cell>
          <cell r="L463">
            <v>837.6</v>
          </cell>
          <cell r="N463">
            <v>4.8125105970322733E-2</v>
          </cell>
          <cell r="P463">
            <v>4.8125105970322733E-2</v>
          </cell>
          <cell r="S463">
            <v>837.6</v>
          </cell>
          <cell r="U463">
            <v>4.8125105970322733E-2</v>
          </cell>
          <cell r="W463">
            <v>4.8125105970322733E-2</v>
          </cell>
          <cell r="Z463">
            <v>0</v>
          </cell>
          <cell r="AB463">
            <v>0</v>
          </cell>
          <cell r="AC463">
            <v>2423.5</v>
          </cell>
          <cell r="AE463">
            <v>72.137500000000003</v>
          </cell>
          <cell r="AG463">
            <v>29886.455798864554</v>
          </cell>
          <cell r="AH463">
            <v>0.79164037880162208</v>
          </cell>
          <cell r="AI463">
            <v>0.79164037880162208</v>
          </cell>
          <cell r="AK463">
            <v>0.34561584485248609</v>
          </cell>
          <cell r="AM463">
            <v>11.611159244498353</v>
          </cell>
          <cell r="AO463">
            <v>241.27031017154741</v>
          </cell>
          <cell r="AP463">
            <v>241.27031017154741</v>
          </cell>
          <cell r="AR463">
            <v>2.5320000938236595E-2</v>
          </cell>
          <cell r="AS463" t="str">
            <v xml:space="preserve">center vs. a mall. Minimum rent includes rent expense on DC's, HQ (ex. capital </v>
          </cell>
        </row>
        <row r="465">
          <cell r="C465" t="str">
            <v>Off-Price Retail Equal Weighted Average</v>
          </cell>
          <cell r="AE465" t="str">
            <v>% Change</v>
          </cell>
        </row>
        <row r="466">
          <cell r="C466" t="str">
            <v>2005 (total revs.)</v>
          </cell>
          <cell r="H466">
            <v>0.04</v>
          </cell>
          <cell r="J466">
            <v>6.5262164526644489E-2</v>
          </cell>
          <cell r="U466">
            <v>6.5206760884000001E-2</v>
          </cell>
          <cell r="Y466">
            <v>5.0266215938087058</v>
          </cell>
          <cell r="AA466">
            <v>5.0266215938087058</v>
          </cell>
          <cell r="AH466">
            <v>0.73128394540803743</v>
          </cell>
          <cell r="AI466">
            <v>0.73128394540803743</v>
          </cell>
          <cell r="AK466">
            <v>0.46058237589529438</v>
          </cell>
          <cell r="AM466">
            <v>15.660998706256414</v>
          </cell>
          <cell r="AO466">
            <v>240.13142496118456</v>
          </cell>
        </row>
        <row r="467">
          <cell r="C467" t="str">
            <v>2006 (total revs.)</v>
          </cell>
          <cell r="H467">
            <v>3.5000000000000003E-2</v>
          </cell>
          <cell r="J467">
            <v>7.138532996511894E-2</v>
          </cell>
          <cell r="U467">
            <v>5.6799256807817972E-2</v>
          </cell>
          <cell r="Y467">
            <v>84.075040761820333</v>
          </cell>
          <cell r="AA467">
            <v>84.075040761820333</v>
          </cell>
          <cell r="AH467">
            <v>0.82152063866441738</v>
          </cell>
          <cell r="AI467">
            <v>0.82152063866441738</v>
          </cell>
          <cell r="AK467">
            <v>0.41101865397425091</v>
          </cell>
          <cell r="AM467">
            <v>13.918827418472866</v>
          </cell>
          <cell r="AO467">
            <v>244.55184260836762</v>
          </cell>
        </row>
        <row r="468">
          <cell r="C468" t="str">
            <v>2007 (total revs.)</v>
          </cell>
          <cell r="H468">
            <v>1.4999999999999999E-2</v>
          </cell>
          <cell r="J468">
            <v>7.4634312124126245E-2</v>
          </cell>
          <cell r="R468">
            <v>0.33</v>
          </cell>
          <cell r="U468">
            <v>6.5842037901829659E-2</v>
          </cell>
          <cell r="Y468">
            <v>-90.427810940116899</v>
          </cell>
          <cell r="AA468">
            <v>-90.427810940116899</v>
          </cell>
          <cell r="AE468">
            <v>7.2203486621471358E-2</v>
          </cell>
          <cell r="AH468">
            <v>0.82443548577897574</v>
          </cell>
          <cell r="AI468">
            <v>0.82443548577897574</v>
          </cell>
          <cell r="AK468">
            <v>0.47488204498555681</v>
          </cell>
          <cell r="AM468">
            <v>16.027194076114</v>
          </cell>
          <cell r="AO468">
            <v>243.47581127128188</v>
          </cell>
          <cell r="BA468">
            <v>7.2203486621471358E-2</v>
          </cell>
          <cell r="BB468">
            <v>8.1792350648589751E-2</v>
          </cell>
        </row>
        <row r="469">
          <cell r="C469" t="str">
            <v>2008 (total revs.)</v>
          </cell>
          <cell r="H469">
            <v>1.4999999999999999E-2</v>
          </cell>
          <cell r="J469">
            <v>7.5931236807200014E-2</v>
          </cell>
          <cell r="R469">
            <v>0.32500000000000001</v>
          </cell>
          <cell r="U469">
            <v>6.5943955574979729E-2</v>
          </cell>
          <cell r="W469">
            <v>6.5943955574979729E-2</v>
          </cell>
          <cell r="Y469">
            <v>-1.019176731500635</v>
          </cell>
          <cell r="AA469">
            <v>-1.019176731500635</v>
          </cell>
          <cell r="AE469">
            <v>6.2877139515998048E-2</v>
          </cell>
          <cell r="AH469">
            <v>0.6609694625170377</v>
          </cell>
          <cell r="AI469">
            <v>0.6609694625170377</v>
          </cell>
          <cell r="AK469">
            <v>0.4719023493568536</v>
          </cell>
          <cell r="AM469">
            <v>15.969589644638166</v>
          </cell>
          <cell r="AO469">
            <v>242.19316278931439</v>
          </cell>
          <cell r="BA469">
            <v>6.2877139515998048E-2</v>
          </cell>
          <cell r="BB469">
            <v>6.2904612985389685E-2</v>
          </cell>
        </row>
        <row r="470">
          <cell r="C470" t="str">
            <v>2009 (total revs.)</v>
          </cell>
          <cell r="H470">
            <v>0.06</v>
          </cell>
          <cell r="J470">
            <v>9.9605036728559859E-2</v>
          </cell>
          <cell r="R470">
            <v>0.32500000000000001</v>
          </cell>
          <cell r="U470">
            <v>6.2445358626960226E-2</v>
          </cell>
          <cell r="W470">
            <v>6.2445358626960226E-2</v>
          </cell>
          <cell r="Y470">
            <v>34.985969480194953</v>
          </cell>
          <cell r="AA470">
            <v>34.985969480194953</v>
          </cell>
          <cell r="AE470">
            <v>4.4274501313334991E-2</v>
          </cell>
          <cell r="AH470">
            <v>0.53489821242840807</v>
          </cell>
          <cell r="AI470">
            <v>0</v>
          </cell>
          <cell r="AK470">
            <v>0.46366351074875739</v>
          </cell>
          <cell r="AM470">
            <v>15.753558376091458</v>
          </cell>
          <cell r="AO470">
            <v>252.24344379250238</v>
          </cell>
          <cell r="AR470">
            <v>-5.7020467579714795E-3</v>
          </cell>
          <cell r="BA470">
            <v>4.4274501313334991E-2</v>
          </cell>
          <cell r="BB470">
            <v>4.999127267257971E-2</v>
          </cell>
        </row>
        <row r="471">
          <cell r="C471" t="str">
            <v>2010 (total revs.)</v>
          </cell>
          <cell r="H471">
            <v>4.4999999999999998E-2</v>
          </cell>
          <cell r="J471">
            <v>0.1114626608197542</v>
          </cell>
          <cell r="R471">
            <v>0.32</v>
          </cell>
          <cell r="U471">
            <v>6.1671080490942935E-2</v>
          </cell>
          <cell r="W471">
            <v>6.1671080490942935E-2</v>
          </cell>
          <cell r="Y471">
            <v>7.7427813601729092</v>
          </cell>
          <cell r="AA471">
            <v>7.7427813601729092</v>
          </cell>
          <cell r="AE471">
            <v>4.4110426435568284E-2</v>
          </cell>
          <cell r="AH471">
            <v>0.81224653884555886</v>
          </cell>
          <cell r="AI471">
            <v>0</v>
          </cell>
          <cell r="AK471">
            <v>0.47405645417898601</v>
          </cell>
          <cell r="AM471">
            <v>16.111410914823342</v>
          </cell>
          <cell r="AO471">
            <v>261.2018688694825</v>
          </cell>
          <cell r="AR471">
            <v>5.9032668417779988E-3</v>
          </cell>
          <cell r="BA471">
            <v>4.4110426435568284E-2</v>
          </cell>
          <cell r="BB471">
            <v>3.2111129831889892E-2</v>
          </cell>
        </row>
        <row r="472">
          <cell r="C472" t="str">
            <v>2011 (total revs.)</v>
          </cell>
          <cell r="H472">
            <v>4.4999999999999998E-2</v>
          </cell>
          <cell r="J472">
            <v>0.11603197826056581</v>
          </cell>
          <cell r="R472">
            <v>0.317</v>
          </cell>
          <cell r="U472">
            <v>5.9934300972295074E-2</v>
          </cell>
          <cell r="W472">
            <v>5.9934300972295074E-2</v>
          </cell>
          <cell r="Y472">
            <v>17.367795186478617</v>
          </cell>
          <cell r="AA472">
            <v>17.367795186478617</v>
          </cell>
          <cell r="AE472">
            <v>4.1397960164147651E-2</v>
          </cell>
          <cell r="AH472" t="e">
            <v>#REF!</v>
          </cell>
          <cell r="AI472">
            <v>0</v>
          </cell>
          <cell r="AK472">
            <v>0.47788915062806797</v>
          </cell>
          <cell r="AM472">
            <v>16.274721167117804</v>
          </cell>
          <cell r="AO472">
            <v>271.45390144406275</v>
          </cell>
          <cell r="AR472">
            <v>5.8813901914091041E-3</v>
          </cell>
          <cell r="BA472">
            <v>4.1397960164147651E-2</v>
          </cell>
          <cell r="BB472">
            <v>3.4818645284444533E-2</v>
          </cell>
        </row>
        <row r="473">
          <cell r="C473" t="str">
            <v>2012 (total revs.)</v>
          </cell>
          <cell r="H473">
            <v>6.5000000000000002E-2</v>
          </cell>
          <cell r="J473">
            <v>0.12543378902320507</v>
          </cell>
          <cell r="R473">
            <v>0.317</v>
          </cell>
          <cell r="U473">
            <v>5.7377766254856646E-2</v>
          </cell>
          <cell r="W473">
            <v>5.7377766254856646E-2</v>
          </cell>
          <cell r="Y473">
            <v>25.565347174384236</v>
          </cell>
          <cell r="AA473">
            <v>25.565347174384236</v>
          </cell>
          <cell r="AE473">
            <v>4.6113370125599129E-2</v>
          </cell>
          <cell r="AH473" t="e">
            <v>#REF!</v>
          </cell>
          <cell r="AI473">
            <v>0</v>
          </cell>
          <cell r="AK473">
            <v>0.48981106029009891</v>
          </cell>
          <cell r="AM473">
            <v>16.736214355230384</v>
          </cell>
          <cell r="AO473">
            <v>291.42024739208387</v>
          </cell>
          <cell r="AR473">
            <v>5.5197280218863536E-3</v>
          </cell>
          <cell r="BA473">
            <v>4.6113370125599129E-2</v>
          </cell>
          <cell r="BB473">
            <v>3.7717710345610361E-2</v>
          </cell>
        </row>
        <row r="474">
          <cell r="C474" t="str">
            <v>2013e (total revs.)</v>
          </cell>
          <cell r="H474">
            <v>0.03</v>
          </cell>
          <cell r="J474">
            <v>0.12574902289237538</v>
          </cell>
          <cell r="R474">
            <v>0.317</v>
          </cell>
          <cell r="U474">
            <v>5.7743343283851445E-2</v>
          </cell>
          <cell r="W474">
            <v>5.7743343283851445E-2</v>
          </cell>
          <cell r="Y474">
            <v>-3.6557702899479847</v>
          </cell>
          <cell r="AA474">
            <v>-3.6557702899479847</v>
          </cell>
          <cell r="AE474">
            <v>5.3332555699791118E-2</v>
          </cell>
          <cell r="AH474" t="e">
            <v>#REF!</v>
          </cell>
          <cell r="AI474">
            <v>0</v>
          </cell>
          <cell r="AK474">
            <v>0.49182557316021924</v>
          </cell>
          <cell r="AM474">
            <v>16.89473950422709</v>
          </cell>
          <cell r="AO474">
            <v>292.24571781974021</v>
          </cell>
          <cell r="BA474">
            <v>5.3332555699791118E-2</v>
          </cell>
        </row>
        <row r="475">
          <cell r="C475" t="str">
            <v>Trough rent year</v>
          </cell>
          <cell r="H475">
            <v>4.4999999999999998E-2</v>
          </cell>
          <cell r="J475">
            <v>0.10182121334455206</v>
          </cell>
          <cell r="U475">
            <v>5.1333556728064021E-2</v>
          </cell>
          <cell r="W475">
            <v>5.1333556728064021E-2</v>
          </cell>
          <cell r="AH475">
            <v>0.71358331547257836</v>
          </cell>
          <cell r="AI475">
            <v>0.71358331547257836</v>
          </cell>
          <cell r="AK475">
            <v>0.40095181227133769</v>
          </cell>
          <cell r="AM475">
            <v>13.607000399497906</v>
          </cell>
          <cell r="AO475">
            <v>263.67024192739882</v>
          </cell>
          <cell r="AR475">
            <v>2.0122008380651923E-4</v>
          </cell>
        </row>
        <row r="477">
          <cell r="C477" t="str">
            <v>Softlines Retail Sector Equal Weighted Average</v>
          </cell>
        </row>
        <row r="478">
          <cell r="C478" t="str">
            <v>2005 (total revs.)</v>
          </cell>
          <cell r="H478" t="e">
            <v>#N/A</v>
          </cell>
          <cell r="J478">
            <v>0.13416761295598689</v>
          </cell>
          <cell r="R478">
            <v>0.38279938653943923</v>
          </cell>
          <cell r="U478">
            <v>9.1731816246676173E-2</v>
          </cell>
          <cell r="Y478">
            <v>8.5580158978769489</v>
          </cell>
          <cell r="AA478">
            <v>-10.734854619782036</v>
          </cell>
          <cell r="AH478">
            <v>0.68178217341397473</v>
          </cell>
          <cell r="AI478">
            <v>0.36564197270401871</v>
          </cell>
          <cell r="AK478">
            <v>385.67264346964549</v>
          </cell>
          <cell r="AM478">
            <v>47.386425539569267</v>
          </cell>
          <cell r="AO478">
            <v>513.10857892560409</v>
          </cell>
        </row>
        <row r="479">
          <cell r="C479" t="str">
            <v>2006 (total revs.)</v>
          </cell>
          <cell r="H479" t="e">
            <v>#N/A</v>
          </cell>
          <cell r="J479">
            <v>0.12998817637329441</v>
          </cell>
          <cell r="R479">
            <v>0.397746379650397</v>
          </cell>
          <cell r="U479">
            <v>9.7774064310998374E-2</v>
          </cell>
          <cell r="Y479">
            <v>-57.063307364104311</v>
          </cell>
          <cell r="AA479">
            <v>-82.576275376797042</v>
          </cell>
          <cell r="AH479">
            <v>0.80658050873301979</v>
          </cell>
          <cell r="AI479">
            <v>0.41076031933220869</v>
          </cell>
          <cell r="AK479">
            <v>433.76404624948657</v>
          </cell>
          <cell r="AM479">
            <v>47.237422277741473</v>
          </cell>
          <cell r="AO479">
            <v>539.98391911293788</v>
          </cell>
        </row>
        <row r="480">
          <cell r="C480" t="str">
            <v>2007 (total revs.)</v>
          </cell>
          <cell r="H480" t="e">
            <v>#N/A</v>
          </cell>
          <cell r="J480">
            <v>0.12579639216003458</v>
          </cell>
          <cell r="R480">
            <v>0.35328421711316799</v>
          </cell>
          <cell r="U480">
            <v>9.0222742740986808E-2</v>
          </cell>
          <cell r="Y480">
            <v>75.513215700115609</v>
          </cell>
          <cell r="AA480">
            <v>38.21643059574744</v>
          </cell>
          <cell r="AE480">
            <v>6.8610758603543764E-2</v>
          </cell>
          <cell r="AH480">
            <v>0.8018829773184577</v>
          </cell>
          <cell r="AI480">
            <v>0.41221774288948787</v>
          </cell>
          <cell r="AK480">
            <v>259.60302398802827</v>
          </cell>
          <cell r="AM480">
            <v>60.111002227370577</v>
          </cell>
          <cell r="AO480">
            <v>740.04193223692323</v>
          </cell>
          <cell r="BA480">
            <v>6.8610758603543764E-2</v>
          </cell>
          <cell r="BB480">
            <v>8.1792350648589751E-2</v>
          </cell>
        </row>
        <row r="481">
          <cell r="C481" t="str">
            <v>2008 (total revs.)</v>
          </cell>
          <cell r="H481" t="e">
            <v>#N/A</v>
          </cell>
          <cell r="J481" t="e">
            <v>#N/A</v>
          </cell>
          <cell r="R481">
            <v>0.33346053335026604</v>
          </cell>
          <cell r="U481">
            <v>9.7271670954653791E-2</v>
          </cell>
          <cell r="W481">
            <v>8.8331117399061576E-2</v>
          </cell>
          <cell r="Y481">
            <v>-62.044026763907979</v>
          </cell>
          <cell r="AA481">
            <v>-35.059305956550169</v>
          </cell>
          <cell r="AE481">
            <v>2.2588647047824501E-2</v>
          </cell>
          <cell r="AH481">
            <v>0.74989582551789813</v>
          </cell>
          <cell r="AI481">
            <v>0.33048473125851885</v>
          </cell>
          <cell r="AK481">
            <v>185.94533730774657</v>
          </cell>
          <cell r="AM481">
            <v>78.369139384184137</v>
          </cell>
          <cell r="AO481" t="e">
            <v>#N/A</v>
          </cell>
          <cell r="BA481">
            <v>2.2588647047824501E-2</v>
          </cell>
          <cell r="BB481">
            <v>5.2982669654964377E-2</v>
          </cell>
        </row>
        <row r="482">
          <cell r="C482" t="str">
            <v>2009 (total revs.)</v>
          </cell>
          <cell r="H482" t="e">
            <v>#N/A</v>
          </cell>
          <cell r="J482" t="e">
            <v>#N/A</v>
          </cell>
          <cell r="R482">
            <v>0.31458715158510819</v>
          </cell>
          <cell r="U482">
            <v>0.10758015331521689</v>
          </cell>
          <cell r="W482">
            <v>9.8266728669270748E-2</v>
          </cell>
          <cell r="Y482">
            <v>-31.723046218681915</v>
          </cell>
          <cell r="AA482">
            <v>-115.48875597216706</v>
          </cell>
          <cell r="AE482">
            <v>-2.2256146647740838E-4</v>
          </cell>
          <cell r="AH482">
            <v>0.68663185732937726</v>
          </cell>
          <cell r="AI482">
            <v>0</v>
          </cell>
          <cell r="AK482">
            <v>352.642945899067</v>
          </cell>
          <cell r="AM482">
            <v>2010.4723057815058</v>
          </cell>
          <cell r="AO482" t="e">
            <v>#N/A</v>
          </cell>
          <cell r="BA482">
            <v>-2.2256146647740838E-4</v>
          </cell>
          <cell r="BB482">
            <v>6.6076402607799276E-2</v>
          </cell>
        </row>
        <row r="483">
          <cell r="C483" t="str">
            <v>2010 (total revs.)</v>
          </cell>
          <cell r="H483" t="e">
            <v>#N/A</v>
          </cell>
          <cell r="J483" t="e">
            <v>#N/A</v>
          </cell>
          <cell r="R483">
            <v>0.31409017625348407</v>
          </cell>
          <cell r="U483">
            <v>0.10545775781585209</v>
          </cell>
          <cell r="W483">
            <v>9.5639006990837966E-2</v>
          </cell>
          <cell r="Y483">
            <v>21.223954993648245</v>
          </cell>
          <cell r="AA483">
            <v>26.277216784327724</v>
          </cell>
          <cell r="AE483">
            <v>-0.11536860769757601</v>
          </cell>
          <cell r="AH483">
            <v>0.86384989569903836</v>
          </cell>
          <cell r="AI483">
            <v>0</v>
          </cell>
          <cell r="AK483">
            <v>-2150.8773897573742</v>
          </cell>
          <cell r="AM483">
            <v>3945.6744480154066</v>
          </cell>
          <cell r="AO483" t="e">
            <v>#N/A</v>
          </cell>
          <cell r="BA483">
            <v>-0.11536860769757601</v>
          </cell>
          <cell r="BB483">
            <v>5.2550434326394953E-2</v>
          </cell>
        </row>
        <row r="484">
          <cell r="C484" t="str">
            <v>2011 (total revs.)</v>
          </cell>
          <cell r="H484" t="e">
            <v>#N/A</v>
          </cell>
          <cell r="J484" t="e">
            <v>#N/A</v>
          </cell>
          <cell r="R484">
            <v>0.31087077705339305</v>
          </cell>
          <cell r="U484">
            <v>9.9132449508662485E-2</v>
          </cell>
          <cell r="W484">
            <v>8.9262882795208734E-2</v>
          </cell>
          <cell r="Y484">
            <v>63.253083071895979</v>
          </cell>
          <cell r="AA484">
            <v>63.761241956292075</v>
          </cell>
          <cell r="AE484">
            <v>0.10057702589745358</v>
          </cell>
          <cell r="AH484" t="e">
            <v>#REF!</v>
          </cell>
          <cell r="AI484">
            <v>0</v>
          </cell>
          <cell r="AK484">
            <v>-1406.278743112133</v>
          </cell>
          <cell r="AM484">
            <v>10149.068433247336</v>
          </cell>
          <cell r="AO484" t="e">
            <v>#N/A</v>
          </cell>
          <cell r="BA484">
            <v>0.10057702589745358</v>
          </cell>
          <cell r="BB484">
            <v>6.5975357587888889E-2</v>
          </cell>
        </row>
        <row r="485">
          <cell r="C485" t="str">
            <v>2012 (total revs.)</v>
          </cell>
          <cell r="H485" t="e">
            <v>#N/A</v>
          </cell>
          <cell r="J485" t="e">
            <v>#N/A</v>
          </cell>
          <cell r="R485">
            <v>0.30847885314585383</v>
          </cell>
          <cell r="U485">
            <v>9.44021082479541E-2</v>
          </cell>
          <cell r="W485">
            <v>8.3333926213616141E-2</v>
          </cell>
          <cell r="Y485">
            <v>47.303412607083963</v>
          </cell>
          <cell r="AA485">
            <v>59.289565815926281</v>
          </cell>
          <cell r="AE485">
            <v>-3.3453598853153292E-2</v>
          </cell>
          <cell r="AH485" t="e">
            <v>#REF!</v>
          </cell>
          <cell r="AI485">
            <v>0.35219350565775048</v>
          </cell>
          <cell r="AK485">
            <v>-1455.0770462319995</v>
          </cell>
          <cell r="AM485">
            <v>50123.147309263957</v>
          </cell>
          <cell r="AO485" t="e">
            <v>#N/A</v>
          </cell>
          <cell r="BA485">
            <v>-3.3453598853153292E-2</v>
          </cell>
          <cell r="BB485">
            <v>8.1831488167741356E-2</v>
          </cell>
        </row>
        <row r="486">
          <cell r="C486" t="str">
            <v>2013e (total revs.)</v>
          </cell>
          <cell r="H486" t="e">
            <v>#N/A</v>
          </cell>
          <cell r="J486" t="e">
            <v>#N/A</v>
          </cell>
          <cell r="R486">
            <v>0.30276370817316983</v>
          </cell>
          <cell r="U486">
            <v>0.10391284967929901</v>
          </cell>
          <cell r="W486">
            <v>9.1957846004409524E-2</v>
          </cell>
          <cell r="Y486">
            <v>-119.33734665847804</v>
          </cell>
          <cell r="AA486">
            <v>-86.239197907933857</v>
          </cell>
          <cell r="AE486">
            <v>-3.2968380486347404</v>
          </cell>
          <cell r="AH486" t="e">
            <v>#REF!</v>
          </cell>
          <cell r="AI486">
            <v>0.40526504490227733</v>
          </cell>
          <cell r="AK486">
            <v>-3458.2848591176166</v>
          </cell>
          <cell r="AM486">
            <v>68432.50208464812</v>
          </cell>
          <cell r="BA486">
            <v>-3.2968380486347404</v>
          </cell>
          <cell r="BB486">
            <v>4.6157627710628708E-2</v>
          </cell>
        </row>
        <row r="487">
          <cell r="B487" t="str">
            <v>Footnotes:</v>
          </cell>
        </row>
        <row r="488">
          <cell r="B488" t="str">
            <v>--</v>
          </cell>
          <cell r="C488" t="str">
            <v>Trough rent is defined as the year in which rent expense as a percent of sales was the lowest in the past seven years;  generally retailers experienced trough rent expense in the same year</v>
          </cell>
        </row>
        <row r="489">
          <cell r="C489" t="str">
            <v>they achieved peak operating margin.</v>
          </cell>
          <cell r="BA489" t="str">
            <v>KORS,LULU,URBN</v>
          </cell>
        </row>
        <row r="490">
          <cell r="B490" t="str">
            <v>--</v>
          </cell>
          <cell r="C490" t="str">
            <v xml:space="preserve">For all companies - rent expense as reported in the footnotes to financial statements generally includes rent expense on Headquarters buildings, Distribution Centers, and/or other </v>
          </cell>
          <cell r="BA490">
            <v>-7.2488137949208317E-2</v>
          </cell>
        </row>
        <row r="491">
          <cell r="C491" t="str">
            <v>operating leases such as for office equipment and/or vehicles. The inclusion of these expenses is common to nearly all retailers, thus no adjustments were made to exclude these items.</v>
          </cell>
        </row>
        <row r="492">
          <cell r="C492" t="str">
            <v>We believe these amounts constitute a small fraction of total rent expense and do not meaningfully skew results.</v>
          </cell>
        </row>
        <row r="497">
          <cell r="AU497" t="str">
            <v>Total Square Footage Growth</v>
          </cell>
        </row>
        <row r="498">
          <cell r="A498" t="str">
            <v>--</v>
          </cell>
          <cell r="B498" t="str">
            <v>--</v>
          </cell>
          <cell r="C498" t="str">
            <v>LTD - we excluded $22mm from 2004 rent expense for charge to correct for lease accounting.</v>
          </cell>
          <cell r="AU498">
            <v>2006</v>
          </cell>
          <cell r="AW498">
            <v>182.98589653827486</v>
          </cell>
        </row>
        <row r="499">
          <cell r="A499" t="str">
            <v>--</v>
          </cell>
          <cell r="AU499">
            <v>2007</v>
          </cell>
          <cell r="AW499">
            <v>188.71238214231465</v>
          </cell>
          <cell r="AY499">
            <v>3.1294682881978231E-2</v>
          </cell>
        </row>
        <row r="500">
          <cell r="AU500">
            <v>2008</v>
          </cell>
          <cell r="AW500">
            <v>198.52691941490826</v>
          </cell>
          <cell r="AY500">
            <v>5.2007913636489045E-2</v>
          </cell>
        </row>
        <row r="501">
          <cell r="AU501">
            <v>2009</v>
          </cell>
          <cell r="AW501">
            <v>203.8598434786872</v>
          </cell>
          <cell r="AY501">
            <v>2.6862473258014274E-2</v>
          </cell>
        </row>
        <row r="502">
          <cell r="AU502">
            <v>2010</v>
          </cell>
          <cell r="AW502">
            <v>208.49697691645244</v>
          </cell>
          <cell r="AY502">
            <v>2.2746674178870441E-2</v>
          </cell>
        </row>
        <row r="503">
          <cell r="AU503">
            <v>2011</v>
          </cell>
          <cell r="AW503">
            <v>212.82263177090888</v>
          </cell>
          <cell r="AY503">
            <v>2.0746846877256031E-2</v>
          </cell>
        </row>
        <row r="504">
          <cell r="AU504" t="str">
            <v>Speciality Square Footage Growth</v>
          </cell>
        </row>
        <row r="505">
          <cell r="AU505">
            <v>2006</v>
          </cell>
          <cell r="AW505">
            <v>88.372771538274847</v>
          </cell>
        </row>
        <row r="506">
          <cell r="AU506">
            <v>2007</v>
          </cell>
          <cell r="AW506">
            <v>88.903632142314649</v>
          </cell>
          <cell r="AY506">
            <v>6.0070607133768661E-3</v>
          </cell>
        </row>
        <row r="507">
          <cell r="AU507">
            <v>2008</v>
          </cell>
          <cell r="AW507">
            <v>94.156919414908259</v>
          </cell>
          <cell r="AY507">
            <v>5.908968110756474E-2</v>
          </cell>
        </row>
        <row r="508">
          <cell r="AU508">
            <v>2009</v>
          </cell>
          <cell r="AW508">
            <v>95.634843478687202</v>
          </cell>
          <cell r="AY508">
            <v>1.5696393562605548E-2</v>
          </cell>
        </row>
        <row r="509">
          <cell r="AU509">
            <v>2010</v>
          </cell>
          <cell r="AW509">
            <v>95.784476916452434</v>
          </cell>
          <cell r="AY509">
            <v>1.5646330596921221E-3</v>
          </cell>
        </row>
        <row r="510">
          <cell r="AU510">
            <v>2011</v>
          </cell>
          <cell r="AW510">
            <v>96.146481770908892</v>
          </cell>
          <cell r="AY510">
            <v>3.7793687047247282E-3</v>
          </cell>
        </row>
        <row r="511">
          <cell r="AP511">
            <v>15.28</v>
          </cell>
          <cell r="AU511" t="str">
            <v>Speciality exCOH TIF LULU Square Footage Growth</v>
          </cell>
        </row>
        <row r="512">
          <cell r="AP512">
            <v>33</v>
          </cell>
          <cell r="AU512">
            <v>2006</v>
          </cell>
          <cell r="AW512">
            <v>86.533896038274847</v>
          </cell>
        </row>
        <row r="513">
          <cell r="AP513">
            <v>504.23999999999995</v>
          </cell>
          <cell r="AU513">
            <v>2007</v>
          </cell>
          <cell r="AW513">
            <v>86.783889142314649</v>
          </cell>
          <cell r="AY513">
            <v>2.8889616148708441E-3</v>
          </cell>
        </row>
        <row r="514">
          <cell r="AP514">
            <v>514.24</v>
          </cell>
          <cell r="AU514">
            <v>2008</v>
          </cell>
          <cell r="AW514">
            <v>91.665979914908263</v>
          </cell>
          <cell r="AY514">
            <v>5.6255726965492414E-2</v>
          </cell>
        </row>
        <row r="515">
          <cell r="AP515">
            <v>15.583030303030304</v>
          </cell>
          <cell r="AU515">
            <v>2009</v>
          </cell>
          <cell r="AW515">
            <v>92.788729478687202</v>
          </cell>
          <cell r="AY515">
            <v>1.2248268821444697E-2</v>
          </cell>
        </row>
        <row r="516">
          <cell r="AU516">
            <v>2010</v>
          </cell>
          <cell r="AW516">
            <v>92.652464416452446</v>
          </cell>
          <cell r="AY516">
            <v>-1.4685518704732337E-3</v>
          </cell>
        </row>
        <row r="517">
          <cell r="F517" t="str">
            <v>M</v>
          </cell>
          <cell r="AU517">
            <v>2011</v>
          </cell>
          <cell r="AW517">
            <v>92.725806270908905</v>
          </cell>
          <cell r="AY517">
            <v>7.9158017995939467E-4</v>
          </cell>
        </row>
        <row r="518">
          <cell r="F518" t="str">
            <v>store</v>
          </cell>
          <cell r="G518" t="str">
            <v>total</v>
          </cell>
          <cell r="AU518" t="str">
            <v>Off-Pricers Square Footage Growth</v>
          </cell>
        </row>
        <row r="519">
          <cell r="C519">
            <v>2008</v>
          </cell>
          <cell r="F519">
            <v>1.3347810085132347E-2</v>
          </cell>
          <cell r="G519">
            <v>1.2895982555383058E-2</v>
          </cell>
          <cell r="AU519">
            <v>2006</v>
          </cell>
          <cell r="AW519">
            <v>94.613124999999997</v>
          </cell>
        </row>
        <row r="520">
          <cell r="C520">
            <v>2009</v>
          </cell>
          <cell r="F520">
            <v>1.3631138725345356E-2</v>
          </cell>
          <cell r="G520">
            <v>1.3011073643267727E-2</v>
          </cell>
          <cell r="AU520">
            <v>2007</v>
          </cell>
          <cell r="AW520">
            <v>99.808750000000003</v>
          </cell>
          <cell r="AY520">
            <v>5.4914421228555943E-2</v>
          </cell>
        </row>
        <row r="521">
          <cell r="C521">
            <v>2010</v>
          </cell>
          <cell r="F521">
            <v>1.3296420106166756E-2</v>
          </cell>
          <cell r="G521">
            <v>1.2605089220352382E-2</v>
          </cell>
          <cell r="AU521">
            <v>2008</v>
          </cell>
          <cell r="AW521">
            <v>104.37</v>
          </cell>
          <cell r="AY521">
            <v>4.5699901060778814E-2</v>
          </cell>
        </row>
        <row r="522">
          <cell r="C522">
            <v>2011</v>
          </cell>
          <cell r="F522">
            <v>1.3106585718522482E-2</v>
          </cell>
          <cell r="G522">
            <v>1.2196743960444402E-2</v>
          </cell>
          <cell r="AU522">
            <v>2009</v>
          </cell>
          <cell r="AW522">
            <v>108.22499999999999</v>
          </cell>
          <cell r="AY522">
            <v>3.6935901121011749E-2</v>
          </cell>
        </row>
        <row r="523">
          <cell r="C523">
            <v>2012</v>
          </cell>
          <cell r="F523">
            <v>1.3482094665146972E-2</v>
          </cell>
          <cell r="G523">
            <v>1.2223520724349736E-2</v>
          </cell>
          <cell r="AU523">
            <v>2010</v>
          </cell>
          <cell r="AW523">
            <v>112.71250000000001</v>
          </cell>
          <cell r="AY523">
            <v>4.1464541464541593E-2</v>
          </cell>
        </row>
        <row r="524">
          <cell r="AU524">
            <v>2011</v>
          </cell>
          <cell r="AW524">
            <v>116.67614999999999</v>
          </cell>
          <cell r="AY524">
            <v>3.5166019740490162E-2</v>
          </cell>
        </row>
        <row r="525">
          <cell r="F525" t="str">
            <v>KSS</v>
          </cell>
        </row>
        <row r="526">
          <cell r="C526">
            <v>2008</v>
          </cell>
          <cell r="F526">
            <v>2.418289548788306E-2</v>
          </cell>
          <cell r="G526">
            <v>2.3675285406175757E-2</v>
          </cell>
        </row>
        <row r="527">
          <cell r="C527">
            <v>2009</v>
          </cell>
          <cell r="F527">
            <v>2.4607831397437434E-2</v>
          </cell>
          <cell r="G527">
            <v>2.3925951798812434E-2</v>
          </cell>
        </row>
        <row r="528">
          <cell r="C528">
            <v>2010</v>
          </cell>
          <cell r="F528">
            <v>2.4446833795484128E-2</v>
          </cell>
          <cell r="G528">
            <v>2.3489750421401771E-2</v>
          </cell>
        </row>
        <row r="529">
          <cell r="C529">
            <v>2011</v>
          </cell>
          <cell r="F529">
            <v>2.3912433342688746E-2</v>
          </cell>
          <cell r="G529">
            <v>2.265475430759413E-2</v>
          </cell>
        </row>
        <row r="530">
          <cell r="C530">
            <v>2012</v>
          </cell>
          <cell r="F530">
            <v>2.4077495940422196E-2</v>
          </cell>
          <cell r="G530">
            <v>2.2302904564315353E-2</v>
          </cell>
        </row>
        <row r="532">
          <cell r="F532" t="str">
            <v>JCP</v>
          </cell>
        </row>
        <row r="533">
          <cell r="C533">
            <v>2008</v>
          </cell>
          <cell r="F533">
            <v>2.4184690828073882E-2</v>
          </cell>
          <cell r="G533">
            <v>2.0780400015049837E-2</v>
          </cell>
        </row>
        <row r="534">
          <cell r="C534">
            <v>2009</v>
          </cell>
          <cell r="F534">
            <v>2.5576892288200301E-2</v>
          </cell>
          <cell r="G534">
            <v>2.2015250586441375E-2</v>
          </cell>
        </row>
        <row r="535">
          <cell r="C535">
            <v>2010</v>
          </cell>
          <cell r="F535">
            <v>2.483909272688032E-2</v>
          </cell>
          <cell r="G535">
            <v>2.1709024189349727E-2</v>
          </cell>
        </row>
        <row r="536">
          <cell r="C536">
            <v>2011</v>
          </cell>
          <cell r="F536">
            <v>2.5537646695094018E-2</v>
          </cell>
          <cell r="G536">
            <v>2.2377025654398513E-2</v>
          </cell>
        </row>
        <row r="537">
          <cell r="C537">
            <v>2012</v>
          </cell>
          <cell r="F537">
            <v>3.1387591658716095E-2</v>
          </cell>
          <cell r="G537">
            <v>2.8915984999414036E-2</v>
          </cell>
        </row>
        <row r="539">
          <cell r="F539" t="str">
            <v>SKS</v>
          </cell>
        </row>
        <row r="540">
          <cell r="C540">
            <v>2008</v>
          </cell>
          <cell r="F540">
            <v>4.694373466456208E-2</v>
          </cell>
          <cell r="G540">
            <v>4.4427593067493949E-2</v>
          </cell>
        </row>
        <row r="541">
          <cell r="C541">
            <v>2009</v>
          </cell>
          <cell r="F541">
            <v>5.4498108200846621E-2</v>
          </cell>
          <cell r="G541">
            <v>5.0688876144587454E-2</v>
          </cell>
        </row>
        <row r="542">
          <cell r="C542">
            <v>2010</v>
          </cell>
          <cell r="F542">
            <v>5.0569598183313878E-2</v>
          </cell>
          <cell r="G542">
            <v>4.6295713776437097E-2</v>
          </cell>
        </row>
        <row r="543">
          <cell r="C543">
            <v>2011</v>
          </cell>
          <cell r="F543">
            <v>4.778917206350887E-2</v>
          </cell>
          <cell r="G543">
            <v>4.3010254857157981E-2</v>
          </cell>
        </row>
        <row r="544">
          <cell r="C544">
            <v>2012</v>
          </cell>
          <cell r="F544">
            <v>4.8783069373031465E-2</v>
          </cell>
          <cell r="G544">
            <v>4.3178247989274478E-2</v>
          </cell>
        </row>
        <row r="546">
          <cell r="F546" t="str">
            <v>JWN</v>
          </cell>
        </row>
        <row r="547">
          <cell r="C547">
            <v>2008</v>
          </cell>
          <cell r="F547">
            <v>1.1938382541720154E-2</v>
          </cell>
          <cell r="G547">
            <v>1.1216982269931251E-2</v>
          </cell>
        </row>
        <row r="548">
          <cell r="C548">
            <v>2009</v>
          </cell>
          <cell r="F548">
            <v>1.3385315139701105E-2</v>
          </cell>
          <cell r="G548">
            <v>1.247275369338823E-2</v>
          </cell>
        </row>
        <row r="549">
          <cell r="C549">
            <v>2010</v>
          </cell>
          <cell r="F549">
            <v>1.4758861127251598E-2</v>
          </cell>
          <cell r="G549">
            <v>1.364124597207304E-2</v>
          </cell>
        </row>
        <row r="550">
          <cell r="C550">
            <v>2011</v>
          </cell>
          <cell r="F550">
            <v>1.5338063439065108E-2</v>
          </cell>
          <cell r="G550">
            <v>1.4004001143183767E-2</v>
          </cell>
        </row>
        <row r="551">
          <cell r="C551">
            <v>2012</v>
          </cell>
          <cell r="F551">
            <v>1.7058991708758221E-2</v>
          </cell>
          <cell r="G551">
            <v>1.5218500255058663E-2</v>
          </cell>
        </row>
        <row r="553">
          <cell r="F553" t="str">
            <v>All Softlines</v>
          </cell>
        </row>
        <row r="554">
          <cell r="C554">
            <v>2008</v>
          </cell>
          <cell r="F554">
            <v>8.3328393284892999E-2</v>
          </cell>
          <cell r="G554">
            <v>7.4588558120258303E-2</v>
          </cell>
        </row>
        <row r="555">
          <cell r="C555">
            <v>2009</v>
          </cell>
          <cell r="F555">
            <v>8.6655347924080153E-2</v>
          </cell>
          <cell r="G555">
            <v>8.4567126667719761E-2</v>
          </cell>
          <cell r="J555">
            <v>-33.269546391871543</v>
          </cell>
          <cell r="L555">
            <v>-99.785685474614581</v>
          </cell>
        </row>
        <row r="556">
          <cell r="C556">
            <v>2010</v>
          </cell>
          <cell r="F556">
            <v>8.5065185071975039E-2</v>
          </cell>
          <cell r="G556">
            <v>8.1857171596805695E-2</v>
          </cell>
          <cell r="J556">
            <v>15.901628521051148</v>
          </cell>
          <cell r="L556">
            <v>27.099550709140662</v>
          </cell>
        </row>
        <row r="557">
          <cell r="C557">
            <v>2011</v>
          </cell>
          <cell r="F557">
            <v>8.0062373347216789E-2</v>
          </cell>
          <cell r="G557">
            <v>7.6453658774331537E-2</v>
          </cell>
          <cell r="J557">
            <v>50.028117247582493</v>
          </cell>
          <cell r="L557">
            <v>54.035128224741577</v>
          </cell>
        </row>
        <row r="558">
          <cell r="C558">
            <v>2012</v>
          </cell>
          <cell r="F558">
            <v>7.649786112196641E-2</v>
          </cell>
          <cell r="G558">
            <v>7.167029382141063E-2</v>
          </cell>
          <cell r="J558">
            <v>35.645122252503796</v>
          </cell>
          <cell r="L558">
            <v>47.833649529209069</v>
          </cell>
        </row>
        <row r="560">
          <cell r="F560">
            <v>1.0157486802113744E-2</v>
          </cell>
          <cell r="G560">
            <v>1.2896832846309131E-2</v>
          </cell>
        </row>
      </sheetData>
      <sheetData sheetId="4">
        <row r="1">
          <cell r="C1">
            <v>10</v>
          </cell>
          <cell r="H1">
            <v>23</v>
          </cell>
        </row>
        <row r="2">
          <cell r="B2" t="str">
            <v>Operating Margin and Rent Expense Performance vs. Sector Leader, Ranked by EBIT Margin</v>
          </cell>
        </row>
        <row r="3">
          <cell r="C3" t="str">
            <v>Ranked By: 2012 Operating Margin</v>
          </cell>
          <cell r="E3" t="str">
            <v>EBIT Margin Trails Apparel Leader by X bps</v>
          </cell>
          <cell r="H3" t="str">
            <v>2012 Adj. Rent Expense % of Total Sales</v>
          </cell>
          <cell r="J3" t="str">
            <v>Rent Margin Differential vs. Apparel Leader</v>
          </cell>
          <cell r="M3" t="str">
            <v>Rent Margin Differential / EBIT Margin Differential</v>
          </cell>
        </row>
        <row r="8">
          <cell r="B8" t="e">
            <v>#N/A</v>
          </cell>
          <cell r="C8" t="e">
            <v>#N/A</v>
          </cell>
          <cell r="E8" t="str">
            <v>Specialty EBIT Margin Leader</v>
          </cell>
          <cell r="H8" t="e">
            <v>#N/A</v>
          </cell>
          <cell r="J8" t="str">
            <v>Specialty Leader</v>
          </cell>
          <cell r="M8" t="str">
            <v>Specialty Leader</v>
          </cell>
        </row>
        <row r="9">
          <cell r="B9" t="e">
            <v>#N/A</v>
          </cell>
          <cell r="C9" t="e">
            <v>#N/A</v>
          </cell>
          <cell r="E9" t="e">
            <v>#N/A</v>
          </cell>
          <cell r="F9" t="str">
            <v>bps</v>
          </cell>
          <cell r="H9" t="e">
            <v>#N/A</v>
          </cell>
        </row>
        <row r="10">
          <cell r="B10" t="e">
            <v>#N/A</v>
          </cell>
          <cell r="C10" t="e">
            <v>#N/A</v>
          </cell>
          <cell r="E10" t="str">
            <v>Apparel EBIT Margin Leader</v>
          </cell>
          <cell r="H10" t="e">
            <v>#N/A</v>
          </cell>
          <cell r="J10" t="str">
            <v>Apparel Leader</v>
          </cell>
          <cell r="M10" t="str">
            <v>Apparel Leader</v>
          </cell>
        </row>
        <row r="11">
          <cell r="B11" t="e">
            <v>#N/A</v>
          </cell>
          <cell r="C11" t="e">
            <v>#N/A</v>
          </cell>
          <cell r="E11" t="e">
            <v>#N/A</v>
          </cell>
          <cell r="F11" t="str">
            <v>bps</v>
          </cell>
          <cell r="H11" t="e">
            <v>#N/A</v>
          </cell>
          <cell r="J11" t="e">
            <v>#N/A</v>
          </cell>
          <cell r="L11" t="str">
            <v>Higher = worse</v>
          </cell>
          <cell r="M11" t="e">
            <v>#N/A</v>
          </cell>
          <cell r="N11" t="str">
            <v>= % of EBIT differential due to higher rent expense</v>
          </cell>
        </row>
        <row r="12">
          <cell r="B12" t="e">
            <v>#N/A</v>
          </cell>
          <cell r="C12" t="e">
            <v>#N/A</v>
          </cell>
          <cell r="E12" t="e">
            <v>#N/A</v>
          </cell>
          <cell r="F12" t="str">
            <v>bps</v>
          </cell>
          <cell r="H12" t="e">
            <v>#N/A</v>
          </cell>
          <cell r="J12" t="e">
            <v>#N/A</v>
          </cell>
          <cell r="M12" t="e">
            <v>#N/A</v>
          </cell>
        </row>
        <row r="13">
          <cell r="B13" t="e">
            <v>#N/A</v>
          </cell>
          <cell r="C13" t="e">
            <v>#N/A</v>
          </cell>
          <cell r="E13" t="e">
            <v>#N/A</v>
          </cell>
          <cell r="F13" t="str">
            <v>bps</v>
          </cell>
          <cell r="H13" t="e">
            <v>#N/A</v>
          </cell>
          <cell r="J13" t="e">
            <v>#N/A</v>
          </cell>
          <cell r="M13" t="e">
            <v>#N/A</v>
          </cell>
        </row>
        <row r="14">
          <cell r="B14" t="e">
            <v>#N/A</v>
          </cell>
          <cell r="C14" t="e">
            <v>#N/A</v>
          </cell>
          <cell r="E14" t="e">
            <v>#N/A</v>
          </cell>
          <cell r="F14" t="str">
            <v>bps</v>
          </cell>
          <cell r="H14" t="e">
            <v>#N/A</v>
          </cell>
        </row>
        <row r="15">
          <cell r="B15" t="e">
            <v>#N/A</v>
          </cell>
          <cell r="C15" t="e">
            <v>#N/A</v>
          </cell>
          <cell r="E15" t="e">
            <v>#N/A</v>
          </cell>
          <cell r="F15" t="str">
            <v>bps</v>
          </cell>
          <cell r="H15" t="e">
            <v>#N/A</v>
          </cell>
          <cell r="J15" t="e">
            <v>#N/A</v>
          </cell>
          <cell r="M15" t="e">
            <v>#N/A</v>
          </cell>
        </row>
        <row r="16">
          <cell r="B16" t="e">
            <v>#N/A</v>
          </cell>
          <cell r="C16" t="e">
            <v>#N/A</v>
          </cell>
          <cell r="E16" t="e">
            <v>#N/A</v>
          </cell>
          <cell r="F16" t="str">
            <v>bps</v>
          </cell>
          <cell r="H16" t="e">
            <v>#N/A</v>
          </cell>
          <cell r="J16" t="e">
            <v>#N/A</v>
          </cell>
          <cell r="M16" t="e">
            <v>#N/A</v>
          </cell>
        </row>
        <row r="17">
          <cell r="B17" t="e">
            <v>#N/A</v>
          </cell>
          <cell r="C17" t="e">
            <v>#N/A</v>
          </cell>
          <cell r="E17" t="e">
            <v>#N/A</v>
          </cell>
          <cell r="F17" t="str">
            <v>bps</v>
          </cell>
          <cell r="H17" t="e">
            <v>#N/A</v>
          </cell>
        </row>
        <row r="18">
          <cell r="B18" t="e">
            <v>#N/A</v>
          </cell>
          <cell r="C18" t="e">
            <v>#N/A</v>
          </cell>
          <cell r="E18" t="e">
            <v>#N/A</v>
          </cell>
          <cell r="F18" t="str">
            <v>bps</v>
          </cell>
          <cell r="H18" t="e">
            <v>#N/A</v>
          </cell>
          <cell r="J18" t="e">
            <v>#N/A</v>
          </cell>
          <cell r="M18" t="e">
            <v>#N/A</v>
          </cell>
        </row>
        <row r="19">
          <cell r="B19" t="e">
            <v>#N/A</v>
          </cell>
          <cell r="C19" t="e">
            <v>#N/A</v>
          </cell>
          <cell r="E19" t="e">
            <v>#N/A</v>
          </cell>
          <cell r="F19" t="str">
            <v>bps</v>
          </cell>
          <cell r="H19" t="e">
            <v>#N/A</v>
          </cell>
          <cell r="J19" t="e">
            <v>#N/A</v>
          </cell>
          <cell r="M19" t="e">
            <v>#N/A</v>
          </cell>
        </row>
        <row r="20">
          <cell r="B20" t="e">
            <v>#N/A</v>
          </cell>
          <cell r="C20" t="e">
            <v>#N/A</v>
          </cell>
          <cell r="E20" t="e">
            <v>#N/A</v>
          </cell>
          <cell r="F20" t="str">
            <v>bps</v>
          </cell>
          <cell r="H20" t="e">
            <v>#N/A</v>
          </cell>
          <cell r="J20" t="e">
            <v>#N/A</v>
          </cell>
          <cell r="M20" t="e">
            <v>#N/A</v>
          </cell>
        </row>
        <row r="21">
          <cell r="B21" t="e">
            <v>#N/A</v>
          </cell>
          <cell r="C21" t="e">
            <v>#N/A</v>
          </cell>
          <cell r="E21" t="e">
            <v>#N/A</v>
          </cell>
          <cell r="F21" t="str">
            <v>bps</v>
          </cell>
          <cell r="H21" t="e">
            <v>#N/A</v>
          </cell>
          <cell r="J21" t="e">
            <v>#N/A</v>
          </cell>
          <cell r="M21" t="e">
            <v>#N/A</v>
          </cell>
        </row>
        <row r="22">
          <cell r="B22" t="e">
            <v>#N/A</v>
          </cell>
          <cell r="C22" t="e">
            <v>#N/A</v>
          </cell>
          <cell r="E22" t="e">
            <v>#N/A</v>
          </cell>
          <cell r="F22" t="str">
            <v>bps</v>
          </cell>
          <cell r="H22" t="e">
            <v>#N/A</v>
          </cell>
          <cell r="J22" t="e">
            <v>#N/A</v>
          </cell>
          <cell r="M22" t="e">
            <v>#N/A</v>
          </cell>
        </row>
        <row r="23">
          <cell r="B23" t="e">
            <v>#N/A</v>
          </cell>
          <cell r="C23" t="e">
            <v>#N/A</v>
          </cell>
          <cell r="E23" t="e">
            <v>#N/A</v>
          </cell>
          <cell r="F23" t="str">
            <v>bps</v>
          </cell>
          <cell r="H23" t="e">
            <v>#N/A</v>
          </cell>
          <cell r="J23" t="e">
            <v>#N/A</v>
          </cell>
          <cell r="M23" t="e">
            <v>#N/A</v>
          </cell>
        </row>
        <row r="24">
          <cell r="B24" t="str">
            <v>Average</v>
          </cell>
          <cell r="C24" t="e">
            <v>#N/A</v>
          </cell>
          <cell r="E24" t="e">
            <v>#N/A</v>
          </cell>
          <cell r="F24" t="str">
            <v>bps</v>
          </cell>
          <cell r="H24" t="e">
            <v>#N/A</v>
          </cell>
          <cell r="J24" t="e">
            <v>#N/A</v>
          </cell>
          <cell r="K24" t="str">
            <v>bps</v>
          </cell>
          <cell r="M24" t="e">
            <v>#N/A</v>
          </cell>
        </row>
        <row r="25">
          <cell r="B25" t="str">
            <v>Avg ex COH, KORS, LULU, TIF</v>
          </cell>
          <cell r="C25" t="e">
            <v>#N/A</v>
          </cell>
          <cell r="E25" t="e">
            <v>#N/A</v>
          </cell>
          <cell r="F25" t="str">
            <v>bps</v>
          </cell>
        </row>
        <row r="27">
          <cell r="B27" t="str">
            <v>Max Differential</v>
          </cell>
          <cell r="E27" t="e">
            <v>#N/A</v>
          </cell>
          <cell r="F27" t="str">
            <v>bps</v>
          </cell>
          <cell r="J27" t="e">
            <v>#N/A</v>
          </cell>
          <cell r="K27" t="str">
            <v>bps</v>
          </cell>
        </row>
        <row r="28">
          <cell r="B28" t="str">
            <v>Min Differential</v>
          </cell>
          <cell r="E28" t="e">
            <v>#N/A</v>
          </cell>
          <cell r="F28" t="str">
            <v>bps</v>
          </cell>
          <cell r="J28" t="e">
            <v>#N/A</v>
          </cell>
          <cell r="K28" t="str">
            <v>bps</v>
          </cell>
        </row>
        <row r="30">
          <cell r="C30" t="e">
            <v>#N/A</v>
          </cell>
        </row>
        <row r="31">
          <cell r="C31" t="e">
            <v>#N/A</v>
          </cell>
        </row>
        <row r="33">
          <cell r="J33" t="e">
            <v>#N/A</v>
          </cell>
        </row>
        <row r="35">
          <cell r="H35" t="e">
            <v>#N/A</v>
          </cell>
          <cell r="J35" t="e">
            <v>#N/A</v>
          </cell>
        </row>
        <row r="36">
          <cell r="H36" t="e">
            <v>#N/A</v>
          </cell>
        </row>
        <row r="37">
          <cell r="J37" t="e">
            <v>#N/A</v>
          </cell>
        </row>
        <row r="38">
          <cell r="J38" t="e">
            <v>#N/A</v>
          </cell>
        </row>
        <row r="39">
          <cell r="A39">
            <v>10</v>
          </cell>
        </row>
        <row r="40">
          <cell r="B40" t="str">
            <v>AEO</v>
          </cell>
          <cell r="C40" t="str">
            <v>AEO2012</v>
          </cell>
          <cell r="E40">
            <v>0.12576205434026455</v>
          </cell>
          <cell r="G40">
            <v>0.10946507309679895</v>
          </cell>
          <cell r="J40">
            <v>1</v>
          </cell>
          <cell r="K40" t="e">
            <v>#REF!</v>
          </cell>
          <cell r="M40" t="e">
            <v>#N/A</v>
          </cell>
          <cell r="N40" t="e">
            <v>#N/A</v>
          </cell>
          <cell r="O40" t="e">
            <v>#N/A</v>
          </cell>
        </row>
        <row r="41">
          <cell r="B41" t="str">
            <v>ANF</v>
          </cell>
          <cell r="C41" t="str">
            <v>ANF2012</v>
          </cell>
          <cell r="E41">
            <v>8.334698573757908E-2</v>
          </cell>
          <cell r="G41">
            <v>0.13179221890549467</v>
          </cell>
          <cell r="J41">
            <v>2</v>
          </cell>
          <cell r="K41" t="e">
            <v>#REF!</v>
          </cell>
          <cell r="M41" t="e">
            <v>#N/A</v>
          </cell>
          <cell r="N41" t="e">
            <v>#N/A</v>
          </cell>
          <cell r="O41" t="e">
            <v>#N/A</v>
          </cell>
        </row>
        <row r="42">
          <cell r="B42" t="str">
            <v>ANN</v>
          </cell>
          <cell r="C42" t="str">
            <v>ANN2012</v>
          </cell>
          <cell r="E42">
            <v>7.0212741774499945E-2</v>
          </cell>
          <cell r="G42">
            <v>0.12403994259756541</v>
          </cell>
          <cell r="J42">
            <v>3</v>
          </cell>
          <cell r="K42" t="e">
            <v>#REF!</v>
          </cell>
          <cell r="M42" t="e">
            <v>#N/A</v>
          </cell>
          <cell r="N42" t="e">
            <v>#N/A</v>
          </cell>
          <cell r="O42" t="e">
            <v>#N/A</v>
          </cell>
        </row>
        <row r="43">
          <cell r="B43" t="str">
            <v>ARO</v>
          </cell>
          <cell r="C43" t="str">
            <v>ARO2012</v>
          </cell>
          <cell r="E43">
            <v>3.8601898098130097E-2</v>
          </cell>
          <cell r="G43">
            <v>8.7383988118237624E-2</v>
          </cell>
          <cell r="J43">
            <v>4</v>
          </cell>
          <cell r="K43" t="e">
            <v>#REF!</v>
          </cell>
          <cell r="M43" t="e">
            <v>#N/A</v>
          </cell>
          <cell r="N43" t="e">
            <v>#N/A</v>
          </cell>
          <cell r="O43" t="e">
            <v>#N/A</v>
          </cell>
        </row>
        <row r="44">
          <cell r="B44" t="str">
            <v>CHS</v>
          </cell>
          <cell r="C44" t="str">
            <v>CHS2012</v>
          </cell>
          <cell r="E44">
            <v>0.11212155024920044</v>
          </cell>
          <cell r="G44">
            <v>7.9812262960484798E-2</v>
          </cell>
          <cell r="J44">
            <v>5</v>
          </cell>
          <cell r="K44" t="e">
            <v>#REF!</v>
          </cell>
          <cell r="M44" t="e">
            <v>#N/A</v>
          </cell>
          <cell r="N44" t="e">
            <v>#N/A</v>
          </cell>
          <cell r="O44" t="e">
            <v>#N/A</v>
          </cell>
        </row>
        <row r="45">
          <cell r="B45" t="str">
            <v>COH</v>
          </cell>
          <cell r="C45" t="str">
            <v>COH2012</v>
          </cell>
          <cell r="E45">
            <v>0.3256643670824953</v>
          </cell>
          <cell r="G45">
            <v>3.4982012079537157E-5</v>
          </cell>
          <cell r="J45">
            <v>6</v>
          </cell>
          <cell r="K45" t="e">
            <v>#REF!</v>
          </cell>
          <cell r="M45" t="e">
            <v>#N/A</v>
          </cell>
          <cell r="N45" t="e">
            <v>#N/A</v>
          </cell>
          <cell r="O45" t="e">
            <v>#N/A</v>
          </cell>
        </row>
        <row r="46">
          <cell r="B46" t="str">
            <v>EXPR</v>
          </cell>
          <cell r="C46" t="str">
            <v>EXPR2012</v>
          </cell>
          <cell r="E46">
            <v>0.11711122873613471</v>
          </cell>
          <cell r="G46">
            <v>0.13382112027127621</v>
          </cell>
          <cell r="J46">
            <v>7</v>
          </cell>
          <cell r="K46" t="e">
            <v>#REF!</v>
          </cell>
          <cell r="M46" t="e">
            <v>#N/A</v>
          </cell>
          <cell r="N46" t="e">
            <v>#N/A</v>
          </cell>
          <cell r="O46" t="e">
            <v>#N/A</v>
          </cell>
        </row>
        <row r="47">
          <cell r="B47" t="str">
            <v>GPS</v>
          </cell>
          <cell r="C47" t="str">
            <v>GPS2012</v>
          </cell>
          <cell r="E47">
            <v>0.12408152833684749</v>
          </cell>
          <cell r="G47">
            <v>0.11351964730688134</v>
          </cell>
          <cell r="J47">
            <v>8</v>
          </cell>
          <cell r="K47" t="e">
            <v>#REF!</v>
          </cell>
          <cell r="M47" t="e">
            <v>#N/A</v>
          </cell>
          <cell r="N47" t="e">
            <v>#N/A</v>
          </cell>
          <cell r="O47" t="e">
            <v>#N/A</v>
          </cell>
        </row>
        <row r="48">
          <cell r="B48" t="str">
            <v>KORS</v>
          </cell>
          <cell r="C48" t="str">
            <v>KORS2012</v>
          </cell>
          <cell r="E48">
            <v>0.27807961145283255</v>
          </cell>
          <cell r="G48">
            <v>6.4530410344054365E-2</v>
          </cell>
          <cell r="J48">
            <v>9</v>
          </cell>
          <cell r="K48" t="e">
            <v>#REF!</v>
          </cell>
          <cell r="M48" t="e">
            <v>#N/A</v>
          </cell>
          <cell r="N48" t="e">
            <v>#N/A</v>
          </cell>
          <cell r="O48" t="e">
            <v>#N/A</v>
          </cell>
        </row>
        <row r="49">
          <cell r="B49" t="str">
            <v>LTD</v>
          </cell>
          <cell r="C49" t="str">
            <v>LTD2012</v>
          </cell>
          <cell r="E49" t="e">
            <v>#REF!</v>
          </cell>
          <cell r="G49">
            <v>-9.6206576184754474E-3</v>
          </cell>
          <cell r="J49">
            <v>10</v>
          </cell>
          <cell r="K49" t="e">
            <v>#REF!</v>
          </cell>
          <cell r="M49" t="e">
            <v>#N/A</v>
          </cell>
          <cell r="N49" t="e">
            <v>#N/A</v>
          </cell>
          <cell r="O49" t="e">
            <v>#N/A</v>
          </cell>
        </row>
        <row r="50">
          <cell r="B50" t="str">
            <v>LULU</v>
          </cell>
          <cell r="C50" t="str">
            <v>LULU2012</v>
          </cell>
          <cell r="E50" t="e">
            <v>#N/A</v>
          </cell>
          <cell r="G50">
            <v>6.0150705144203197E-2</v>
          </cell>
          <cell r="J50">
            <v>11</v>
          </cell>
          <cell r="K50" t="e">
            <v>#N/A</v>
          </cell>
          <cell r="M50" t="e">
            <v>#N/A</v>
          </cell>
          <cell r="N50" t="e">
            <v>#N/A</v>
          </cell>
          <cell r="O50" t="e">
            <v>#N/A</v>
          </cell>
        </row>
        <row r="51">
          <cell r="B51" t="str">
            <v>PLCE</v>
          </cell>
          <cell r="C51" t="str">
            <v>PLCE2012</v>
          </cell>
          <cell r="E51">
            <v>6.3735779110753052E-2</v>
          </cell>
          <cell r="G51">
            <v>0.14313360258106445</v>
          </cell>
          <cell r="J51">
            <v>12</v>
          </cell>
          <cell r="K51" t="e">
            <v>#REF!</v>
          </cell>
          <cell r="M51" t="e">
            <v>#N/A</v>
          </cell>
          <cell r="N51" t="e">
            <v>#N/A</v>
          </cell>
          <cell r="O51" t="e">
            <v>#N/A</v>
          </cell>
        </row>
        <row r="52">
          <cell r="B52" t="str">
            <v>ROST</v>
          </cell>
          <cell r="C52" t="str">
            <v>ROST2012</v>
          </cell>
          <cell r="E52">
            <v>0.13082424610883689</v>
          </cell>
          <cell r="G52">
            <v>5.4542007485805309E-2</v>
          </cell>
          <cell r="J52">
            <v>13</v>
          </cell>
          <cell r="K52" t="e">
            <v>#REF!</v>
          </cell>
          <cell r="M52" t="e">
            <v>#N/A</v>
          </cell>
          <cell r="N52" t="e">
            <v>#N/A</v>
          </cell>
          <cell r="O52" t="e">
            <v>#N/A</v>
          </cell>
        </row>
        <row r="53">
          <cell r="B53" t="str">
            <v>TIF</v>
          </cell>
          <cell r="C53" t="str">
            <v>TIF2012</v>
          </cell>
          <cell r="E53">
            <v>0.18381455361943019</v>
          </cell>
          <cell r="G53">
            <v>8.6018880675675216E-2</v>
          </cell>
          <cell r="J53">
            <v>14</v>
          </cell>
          <cell r="K53" t="e">
            <v>#REF!</v>
          </cell>
          <cell r="M53" t="e">
            <v>#N/A</v>
          </cell>
          <cell r="N53" t="e">
            <v>#N/A</v>
          </cell>
          <cell r="O53" t="e">
            <v>#N/A</v>
          </cell>
        </row>
        <row r="54">
          <cell r="B54" t="str">
            <v>TJX</v>
          </cell>
          <cell r="C54" t="str">
            <v>TJX2012</v>
          </cell>
          <cell r="E54">
            <v>0.12004333193757324</v>
          </cell>
          <cell r="G54">
            <v>6.0213525023907991E-2</v>
          </cell>
          <cell r="J54">
            <v>15</v>
          </cell>
          <cell r="K54" t="e">
            <v>#REF!</v>
          </cell>
          <cell r="M54" t="e">
            <v>#N/A</v>
          </cell>
          <cell r="N54" t="e">
            <v>#N/A</v>
          </cell>
          <cell r="O54" t="e">
            <v>#N/A</v>
          </cell>
        </row>
        <row r="55">
          <cell r="B55" t="str">
            <v>URBN</v>
          </cell>
          <cell r="C55" t="str">
            <v>URBN2012</v>
          </cell>
          <cell r="E55">
            <v>0.13391593692138434</v>
          </cell>
          <cell r="G55">
            <v>9.4505110512804441E-2</v>
          </cell>
          <cell r="J55">
            <v>16</v>
          </cell>
          <cell r="K55" t="e">
            <v>#REF!</v>
          </cell>
          <cell r="M55" t="e">
            <v>#N/A</v>
          </cell>
          <cell r="N55" t="e">
            <v>#N/A</v>
          </cell>
          <cell r="O55" t="e">
            <v>#N/A</v>
          </cell>
        </row>
      </sheetData>
      <sheetData sheetId="5"/>
      <sheetData sheetId="6">
        <row r="4">
          <cell r="G4" t="str">
            <v>EPS Impact Based on:</v>
          </cell>
        </row>
        <row r="5">
          <cell r="C5" t="str">
            <v>2013E</v>
          </cell>
          <cell r="G5" t="str">
            <v>Basis Points of Favorable Leverage</v>
          </cell>
        </row>
        <row r="6">
          <cell r="C6" t="str">
            <v>Rev. ($mm)</v>
          </cell>
          <cell r="D6" t="str">
            <v>Tax  %</v>
          </cell>
          <cell r="E6" t="str">
            <v>Shares</v>
          </cell>
          <cell r="G6">
            <v>25</v>
          </cell>
          <cell r="H6">
            <v>50</v>
          </cell>
          <cell r="I6">
            <v>75</v>
          </cell>
          <cell r="J6">
            <v>100</v>
          </cell>
        </row>
        <row r="7">
          <cell r="A7">
            <v>2013</v>
          </cell>
          <cell r="B7" t="str">
            <v>ANF</v>
          </cell>
          <cell r="C7">
            <v>4116.8969999999999</v>
          </cell>
          <cell r="D7">
            <v>0.35499999999999987</v>
          </cell>
          <cell r="E7">
            <v>77.128999999999991</v>
          </cell>
          <cell r="G7">
            <v>8.607004385509992E-2</v>
          </cell>
          <cell r="H7">
            <v>0.17214008771019984</v>
          </cell>
          <cell r="I7">
            <v>0.25821013156529976</v>
          </cell>
          <cell r="J7">
            <v>0.34428017542039968</v>
          </cell>
        </row>
        <row r="8">
          <cell r="A8">
            <v>2013</v>
          </cell>
          <cell r="B8" t="str">
            <v>AEO</v>
          </cell>
          <cell r="C8">
            <v>3305.8019999999997</v>
          </cell>
          <cell r="D8">
            <v>0.37999999999999978</v>
          </cell>
          <cell r="E8">
            <v>198.876</v>
          </cell>
          <cell r="G8">
            <v>2.576476347070537E-2</v>
          </cell>
          <cell r="H8">
            <v>5.152952694141074E-2</v>
          </cell>
          <cell r="I8">
            <v>7.7294290412116107E-2</v>
          </cell>
          <cell r="J8">
            <v>0.10305905388282148</v>
          </cell>
        </row>
        <row r="9">
          <cell r="A9">
            <v>2013</v>
          </cell>
          <cell r="B9" t="str">
            <v>ANN</v>
          </cell>
          <cell r="C9">
            <v>2493.491</v>
          </cell>
          <cell r="D9">
            <v>0.37133144960850195</v>
          </cell>
          <cell r="E9">
            <v>3.9319553411028219E-2</v>
          </cell>
          <cell r="G9">
            <v>99.669199952343391</v>
          </cell>
          <cell r="H9">
            <v>199.33839990468678</v>
          </cell>
          <cell r="I9">
            <v>299.00759985703013</v>
          </cell>
          <cell r="J9">
            <v>398.67679980937356</v>
          </cell>
        </row>
        <row r="10">
          <cell r="A10">
            <v>2013</v>
          </cell>
          <cell r="B10" t="str">
            <v>ARO</v>
          </cell>
          <cell r="C10">
            <v>2090.902</v>
          </cell>
          <cell r="D10">
            <v>0.34108693878459279</v>
          </cell>
          <cell r="E10">
            <v>77.047000000000011</v>
          </cell>
          <cell r="G10">
            <v>4.4703967627598006E-2</v>
          </cell>
          <cell r="H10">
            <v>8.9407935255196011E-2</v>
          </cell>
          <cell r="I10">
            <v>0.13411190288279401</v>
          </cell>
          <cell r="J10">
            <v>0.17881587051039202</v>
          </cell>
        </row>
        <row r="11">
          <cell r="A11">
            <v>2013</v>
          </cell>
          <cell r="B11" t="str">
            <v>COH</v>
          </cell>
          <cell r="C11">
            <v>5087.0202871521742</v>
          </cell>
          <cell r="D11">
            <v>0.3254047256325372</v>
          </cell>
          <cell r="E11">
            <v>285.91700000000003</v>
          </cell>
          <cell r="G11">
            <v>3.0005909462573668E-2</v>
          </cell>
          <cell r="H11">
            <v>6.0011818925147335E-2</v>
          </cell>
          <cell r="I11">
            <v>9.0017728387720999E-2</v>
          </cell>
          <cell r="J11">
            <v>0.12002363785029467</v>
          </cell>
        </row>
        <row r="12">
          <cell r="A12">
            <v>2013</v>
          </cell>
          <cell r="B12" t="str">
            <v>CHS</v>
          </cell>
          <cell r="C12">
            <v>2586.0369999999998</v>
          </cell>
          <cell r="D12">
            <v>0.37499999999999972</v>
          </cell>
          <cell r="E12">
            <v>158.453</v>
          </cell>
          <cell r="G12">
            <v>2.5500828715770613E-2</v>
          </cell>
          <cell r="H12">
            <v>5.1001657431541225E-2</v>
          </cell>
          <cell r="I12">
            <v>7.6502486147311838E-2</v>
          </cell>
          <cell r="J12">
            <v>0.10200331486308245</v>
          </cell>
        </row>
        <row r="13">
          <cell r="A13">
            <v>2013</v>
          </cell>
          <cell r="B13" t="str">
            <v>EXPR</v>
          </cell>
          <cell r="C13">
            <v>2186.5955326735793</v>
          </cell>
          <cell r="D13">
            <v>0.39500000000000018</v>
          </cell>
          <cell r="E13">
            <v>85.894999999999996</v>
          </cell>
          <cell r="G13">
            <v>3.8503122919480617E-2</v>
          </cell>
          <cell r="H13">
            <v>7.7006245838961235E-2</v>
          </cell>
          <cell r="I13">
            <v>0.11550936875844184</v>
          </cell>
          <cell r="J13">
            <v>0.15401249167792247</v>
          </cell>
        </row>
        <row r="14">
          <cell r="A14">
            <v>2013</v>
          </cell>
          <cell r="B14" t="str">
            <v>KORS</v>
          </cell>
          <cell r="C14">
            <v>0.58904486203358519</v>
          </cell>
          <cell r="D14">
            <v>0</v>
          </cell>
          <cell r="E14">
            <v>0.29942648035485164</v>
          </cell>
          <cell r="G14">
            <v>4.9181092912649665E-3</v>
          </cell>
          <cell r="H14">
            <v>9.836218582529933E-3</v>
          </cell>
          <cell r="I14">
            <v>1.47543278737949E-2</v>
          </cell>
          <cell r="J14">
            <v>1.9672437165059866E-2</v>
          </cell>
        </row>
        <row r="15">
          <cell r="A15">
            <v>2013</v>
          </cell>
          <cell r="B15" t="str">
            <v>GPS</v>
          </cell>
          <cell r="C15">
            <v>16148</v>
          </cell>
          <cell r="D15">
            <v>0.38843764930721453</v>
          </cell>
          <cell r="E15">
            <v>488</v>
          </cell>
          <cell r="G15">
            <v>5.059174610136833E-2</v>
          </cell>
          <cell r="H15">
            <v>0.10118349220273666</v>
          </cell>
          <cell r="I15">
            <v>0.151775238304105</v>
          </cell>
          <cell r="J15">
            <v>0.20236698440547332</v>
          </cell>
        </row>
        <row r="16">
          <cell r="A16">
            <v>2013</v>
          </cell>
          <cell r="B16" t="str">
            <v>LTD</v>
          </cell>
          <cell r="C16">
            <v>11026.371251157587</v>
          </cell>
          <cell r="D16">
            <v>0.38220788021602242</v>
          </cell>
          <cell r="E16">
            <v>292.298</v>
          </cell>
          <cell r="G16">
            <v>5.8262503239654005E-2</v>
          </cell>
          <cell r="H16">
            <v>0.11652500647930801</v>
          </cell>
          <cell r="I16">
            <v>0.17478750971896198</v>
          </cell>
          <cell r="J16">
            <v>0.23305001295861602</v>
          </cell>
        </row>
        <row r="17">
          <cell r="A17">
            <v>2013</v>
          </cell>
          <cell r="B17" t="str">
            <v>LULU</v>
          </cell>
          <cell r="C17">
            <v>1591.1880000000001</v>
          </cell>
          <cell r="D17">
            <v>0</v>
          </cell>
          <cell r="E17">
            <v>3.1629902384018749E-2</v>
          </cell>
          <cell r="G17">
            <v>125.76611687584278</v>
          </cell>
          <cell r="H17">
            <v>251.53223375168557</v>
          </cell>
          <cell r="I17">
            <v>377.29835062752835</v>
          </cell>
          <cell r="J17">
            <v>503.06446750337113</v>
          </cell>
        </row>
        <row r="18">
          <cell r="A18">
            <v>2013</v>
          </cell>
          <cell r="B18" t="str">
            <v>PLCE</v>
          </cell>
          <cell r="C18">
            <v>1810.0853655980659</v>
          </cell>
          <cell r="D18">
            <v>0.3350000000000003</v>
          </cell>
          <cell r="E18">
            <v>22.839000000000002</v>
          </cell>
          <cell r="G18">
            <v>0.13176001227316358</v>
          </cell>
          <cell r="H18">
            <v>0.26352002454632717</v>
          </cell>
          <cell r="I18">
            <v>0.39528003681949064</v>
          </cell>
          <cell r="J18">
            <v>0.52704004909265434</v>
          </cell>
        </row>
        <row r="19">
          <cell r="A19">
            <v>2013</v>
          </cell>
          <cell r="B19" t="str">
            <v>URBN</v>
          </cell>
          <cell r="C19">
            <v>3086.64446</v>
          </cell>
          <cell r="D19">
            <v>0.68700000000000006</v>
          </cell>
          <cell r="E19">
            <v>0</v>
          </cell>
          <cell r="G19" t="e">
            <v>#DIV/0!</v>
          </cell>
          <cell r="H19" t="e">
            <v>#DIV/0!</v>
          </cell>
          <cell r="I19" t="e">
            <v>#DIV/0!</v>
          </cell>
          <cell r="J19" t="e">
            <v>#DIV/0!</v>
          </cell>
        </row>
        <row r="20">
          <cell r="A20">
            <v>2013</v>
          </cell>
          <cell r="B20" t="str">
            <v>ROST</v>
          </cell>
          <cell r="C20">
            <v>10230.352999999999</v>
          </cell>
          <cell r="D20">
            <v>0.37999999999999984</v>
          </cell>
          <cell r="E20">
            <v>9.8656002653935371E-2</v>
          </cell>
          <cell r="G20">
            <v>160.7306876766861</v>
          </cell>
          <cell r="H20">
            <v>321.4613753533722</v>
          </cell>
          <cell r="I20">
            <v>482.19206303005825</v>
          </cell>
          <cell r="J20">
            <v>642.92275070674441</v>
          </cell>
        </row>
        <row r="21">
          <cell r="A21">
            <v>2013</v>
          </cell>
          <cell r="B21" t="str">
            <v>TIF</v>
          </cell>
          <cell r="C21">
            <v>4031.13</v>
          </cell>
          <cell r="D21">
            <v>56.952000000000005</v>
          </cell>
          <cell r="E21">
            <v>127.492</v>
          </cell>
          <cell r="G21">
            <v>-4.4228223292441884</v>
          </cell>
          <cell r="H21">
            <v>-8.8456446584883768</v>
          </cell>
          <cell r="I21">
            <v>-13.268466987732563</v>
          </cell>
          <cell r="J21">
            <v>-17.691289316976754</v>
          </cell>
        </row>
        <row r="22">
          <cell r="A22">
            <v>2013</v>
          </cell>
          <cell r="B22" t="str">
            <v>TJX</v>
          </cell>
          <cell r="C22">
            <v>27422.696</v>
          </cell>
          <cell r="D22">
            <v>0.3561074852183575</v>
          </cell>
          <cell r="E22">
            <v>719.02866666666682</v>
          </cell>
          <cell r="G22">
            <v>6.1392784140963164E-2</v>
          </cell>
          <cell r="H22">
            <v>0.12278556828192633</v>
          </cell>
          <cell r="I22">
            <v>0.18417835242288946</v>
          </cell>
          <cell r="J22">
            <v>0.24557113656385265</v>
          </cell>
        </row>
        <row r="23">
          <cell r="E23" t="str">
            <v>Average:</v>
          </cell>
          <cell r="G23" t="e">
            <v>#DIV/0!</v>
          </cell>
          <cell r="H23" t="e">
            <v>#DIV/0!</v>
          </cell>
          <cell r="I23" t="e">
            <v>#DIV/0!</v>
          </cell>
          <cell r="J23" t="e">
            <v>#DIV/0!</v>
          </cell>
        </row>
        <row r="27">
          <cell r="B27" t="e">
            <v>#N/A</v>
          </cell>
          <cell r="C27" t="e">
            <v>#N/A</v>
          </cell>
        </row>
        <row r="28">
          <cell r="B28" t="e">
            <v>#N/A</v>
          </cell>
          <cell r="C28" t="e">
            <v>#N/A</v>
          </cell>
        </row>
        <row r="29">
          <cell r="B29" t="e">
            <v>#N/A</v>
          </cell>
          <cell r="C29" t="e">
            <v>#N/A</v>
          </cell>
        </row>
        <row r="30">
          <cell r="B30" t="e">
            <v>#N/A</v>
          </cell>
          <cell r="C30" t="e">
            <v>#N/A</v>
          </cell>
        </row>
        <row r="31">
          <cell r="B31" t="e">
            <v>#N/A</v>
          </cell>
          <cell r="C31" t="e">
            <v>#N/A</v>
          </cell>
        </row>
        <row r="32">
          <cell r="B32" t="e">
            <v>#N/A</v>
          </cell>
          <cell r="C32" t="e">
            <v>#N/A</v>
          </cell>
        </row>
        <row r="33">
          <cell r="B33" t="e">
            <v>#N/A</v>
          </cell>
          <cell r="C33" t="e">
            <v>#N/A</v>
          </cell>
        </row>
        <row r="34">
          <cell r="B34" t="e">
            <v>#N/A</v>
          </cell>
          <cell r="C34" t="e">
            <v>#N/A</v>
          </cell>
        </row>
        <row r="35">
          <cell r="B35" t="e">
            <v>#N/A</v>
          </cell>
          <cell r="C35" t="e">
            <v>#N/A</v>
          </cell>
        </row>
        <row r="36">
          <cell r="B36" t="e">
            <v>#N/A</v>
          </cell>
          <cell r="C36" t="e">
            <v>#N/A</v>
          </cell>
        </row>
        <row r="37">
          <cell r="B37" t="e">
            <v>#N/A</v>
          </cell>
          <cell r="C37" t="e">
            <v>#N/A</v>
          </cell>
        </row>
        <row r="38">
          <cell r="B38" t="e">
            <v>#N/A</v>
          </cell>
          <cell r="C38" t="e">
            <v>#N/A</v>
          </cell>
        </row>
        <row r="39">
          <cell r="B39" t="e">
            <v>#N/A</v>
          </cell>
          <cell r="C39" t="e">
            <v>#N/A</v>
          </cell>
        </row>
        <row r="40">
          <cell r="B40" t="e">
            <v>#N/A</v>
          </cell>
          <cell r="C40" t="e">
            <v>#N/A</v>
          </cell>
        </row>
        <row r="41">
          <cell r="B41" t="e">
            <v>#N/A</v>
          </cell>
          <cell r="C41" t="e">
            <v>#N/A</v>
          </cell>
        </row>
        <row r="42">
          <cell r="B42" t="e">
            <v>#N/A</v>
          </cell>
          <cell r="C42" t="e">
            <v>#N/A</v>
          </cell>
        </row>
        <row r="43">
          <cell r="B43" t="e">
            <v>#N/A</v>
          </cell>
          <cell r="C43" t="e">
            <v>#N/A</v>
          </cell>
        </row>
        <row r="54">
          <cell r="A54">
            <v>9</v>
          </cell>
        </row>
        <row r="55">
          <cell r="B55" t="str">
            <v>ANF</v>
          </cell>
          <cell r="C55">
            <v>0.34428017542039968</v>
          </cell>
          <cell r="E55">
            <v>1</v>
          </cell>
          <cell r="G55" t="e">
            <v>#DIV/0!</v>
          </cell>
          <cell r="H55" t="e">
            <v>#N/A</v>
          </cell>
          <cell r="I55" t="e">
            <v>#N/A</v>
          </cell>
        </row>
        <row r="56">
          <cell r="B56" t="str">
            <v>AEO</v>
          </cell>
          <cell r="C56">
            <v>0.10305905388282148</v>
          </cell>
          <cell r="E56">
            <v>2</v>
          </cell>
          <cell r="G56" t="e">
            <v>#DIV/0!</v>
          </cell>
          <cell r="H56" t="e">
            <v>#N/A</v>
          </cell>
          <cell r="I56" t="e">
            <v>#N/A</v>
          </cell>
        </row>
        <row r="57">
          <cell r="B57" t="str">
            <v>ANN</v>
          </cell>
          <cell r="C57">
            <v>398.67679980937356</v>
          </cell>
          <cell r="E57">
            <v>3</v>
          </cell>
          <cell r="G57" t="e">
            <v>#DIV/0!</v>
          </cell>
          <cell r="H57" t="e">
            <v>#N/A</v>
          </cell>
          <cell r="I57" t="e">
            <v>#N/A</v>
          </cell>
        </row>
        <row r="58">
          <cell r="B58" t="str">
            <v>ARO</v>
          </cell>
          <cell r="C58">
            <v>0.17881587051039202</v>
          </cell>
          <cell r="E58">
            <v>4</v>
          </cell>
          <cell r="G58" t="e">
            <v>#DIV/0!</v>
          </cell>
          <cell r="H58" t="e">
            <v>#N/A</v>
          </cell>
          <cell r="I58" t="e">
            <v>#N/A</v>
          </cell>
        </row>
        <row r="59">
          <cell r="B59" t="str">
            <v>COH</v>
          </cell>
          <cell r="C59">
            <v>0.12002363785029467</v>
          </cell>
          <cell r="E59">
            <v>5</v>
          </cell>
          <cell r="G59" t="e">
            <v>#DIV/0!</v>
          </cell>
          <cell r="H59" t="e">
            <v>#N/A</v>
          </cell>
          <cell r="I59" t="e">
            <v>#N/A</v>
          </cell>
        </row>
        <row r="60">
          <cell r="B60" t="str">
            <v>CHS</v>
          </cell>
          <cell r="C60">
            <v>0.10200331486308245</v>
          </cell>
          <cell r="E60">
            <v>6</v>
          </cell>
          <cell r="G60" t="e">
            <v>#DIV/0!</v>
          </cell>
          <cell r="H60" t="e">
            <v>#N/A</v>
          </cell>
          <cell r="I60" t="e">
            <v>#N/A</v>
          </cell>
        </row>
        <row r="61">
          <cell r="B61" t="str">
            <v>EXPR</v>
          </cell>
          <cell r="C61">
            <v>0.15401249167792247</v>
          </cell>
          <cell r="E61">
            <v>7</v>
          </cell>
          <cell r="G61" t="e">
            <v>#DIV/0!</v>
          </cell>
          <cell r="H61" t="e">
            <v>#N/A</v>
          </cell>
          <cell r="I61" t="e">
            <v>#N/A</v>
          </cell>
        </row>
        <row r="62">
          <cell r="B62" t="str">
            <v>KORS</v>
          </cell>
          <cell r="C62">
            <v>1.9672437165059866E-2</v>
          </cell>
          <cell r="E62">
            <v>8</v>
          </cell>
          <cell r="G62" t="e">
            <v>#DIV/0!</v>
          </cell>
          <cell r="H62" t="e">
            <v>#N/A</v>
          </cell>
          <cell r="I62" t="e">
            <v>#N/A</v>
          </cell>
        </row>
        <row r="63">
          <cell r="B63" t="str">
            <v>GPS</v>
          </cell>
          <cell r="C63">
            <v>0.20236698440547332</v>
          </cell>
          <cell r="E63">
            <v>9</v>
          </cell>
          <cell r="G63" t="e">
            <v>#DIV/0!</v>
          </cell>
          <cell r="H63" t="e">
            <v>#N/A</v>
          </cell>
          <cell r="I63" t="e">
            <v>#N/A</v>
          </cell>
        </row>
        <row r="64">
          <cell r="B64" t="str">
            <v>LTD</v>
          </cell>
          <cell r="C64">
            <v>0.23305001295861602</v>
          </cell>
          <cell r="E64">
            <v>10</v>
          </cell>
          <cell r="G64" t="e">
            <v>#DIV/0!</v>
          </cell>
          <cell r="H64" t="e">
            <v>#N/A</v>
          </cell>
          <cell r="I64" t="e">
            <v>#N/A</v>
          </cell>
        </row>
        <row r="65">
          <cell r="B65" t="str">
            <v>LULU</v>
          </cell>
          <cell r="C65">
            <v>503.06446750337113</v>
          </cell>
          <cell r="E65">
            <v>11</v>
          </cell>
          <cell r="G65" t="e">
            <v>#DIV/0!</v>
          </cell>
          <cell r="H65" t="e">
            <v>#N/A</v>
          </cell>
          <cell r="I65" t="e">
            <v>#N/A</v>
          </cell>
        </row>
        <row r="66">
          <cell r="B66" t="str">
            <v>PLCE</v>
          </cell>
          <cell r="C66">
            <v>0.52704004909265434</v>
          </cell>
          <cell r="E66">
            <v>12</v>
          </cell>
          <cell r="G66" t="e">
            <v>#DIV/0!</v>
          </cell>
          <cell r="H66" t="e">
            <v>#N/A</v>
          </cell>
          <cell r="I66" t="e">
            <v>#N/A</v>
          </cell>
        </row>
        <row r="67">
          <cell r="B67" t="str">
            <v>URBN</v>
          </cell>
          <cell r="C67" t="e">
            <v>#DIV/0!</v>
          </cell>
          <cell r="E67">
            <v>13</v>
          </cell>
          <cell r="G67" t="e">
            <v>#DIV/0!</v>
          </cell>
          <cell r="H67" t="e">
            <v>#N/A</v>
          </cell>
          <cell r="I67" t="e">
            <v>#N/A</v>
          </cell>
        </row>
        <row r="68">
          <cell r="B68" t="str">
            <v>ROST</v>
          </cell>
          <cell r="C68">
            <v>642.92275070674441</v>
          </cell>
          <cell r="E68">
            <v>14</v>
          </cell>
          <cell r="G68" t="e">
            <v>#DIV/0!</v>
          </cell>
          <cell r="H68" t="e">
            <v>#N/A</v>
          </cell>
          <cell r="I68" t="e">
            <v>#N/A</v>
          </cell>
        </row>
        <row r="69">
          <cell r="B69" t="str">
            <v>TIF</v>
          </cell>
          <cell r="C69">
            <v>-17.691289316976754</v>
          </cell>
          <cell r="E69">
            <v>15</v>
          </cell>
          <cell r="G69" t="e">
            <v>#DIV/0!</v>
          </cell>
          <cell r="H69" t="e">
            <v>#N/A</v>
          </cell>
          <cell r="I69" t="e">
            <v>#N/A</v>
          </cell>
        </row>
        <row r="70">
          <cell r="B70" t="str">
            <v>TJX</v>
          </cell>
          <cell r="C70">
            <v>0.24557113656385265</v>
          </cell>
          <cell r="E70">
            <v>16</v>
          </cell>
          <cell r="G70" t="e">
            <v>#DIV/0!</v>
          </cell>
          <cell r="H70" t="e">
            <v>#N/A</v>
          </cell>
          <cell r="I70" t="e">
            <v>#N/A</v>
          </cell>
        </row>
        <row r="71">
          <cell r="B71" t="str">
            <v>Average:</v>
          </cell>
          <cell r="C71" t="e">
            <v>#DIV/0!</v>
          </cell>
          <cell r="E71">
            <v>17</v>
          </cell>
          <cell r="G71" t="e">
            <v>#DIV/0!</v>
          </cell>
          <cell r="H71" t="e">
            <v>#N/A</v>
          </cell>
          <cell r="I71" t="e">
            <v>#N/A</v>
          </cell>
        </row>
        <row r="76">
          <cell r="A76">
            <v>0</v>
          </cell>
          <cell r="B76" t="e">
            <v>#N/A</v>
          </cell>
          <cell r="C76" t="e">
            <v>#N/A</v>
          </cell>
        </row>
        <row r="77">
          <cell r="A77">
            <v>-1</v>
          </cell>
          <cell r="B77" t="e">
            <v>#N/A</v>
          </cell>
          <cell r="C77" t="e">
            <v>#N/A</v>
          </cell>
        </row>
        <row r="78">
          <cell r="A78">
            <v>-2</v>
          </cell>
          <cell r="B78" t="e">
            <v>#N/A</v>
          </cell>
          <cell r="C78" t="e">
            <v>#N/A</v>
          </cell>
        </row>
        <row r="79">
          <cell r="A79">
            <v>-3</v>
          </cell>
          <cell r="B79" t="e">
            <v>#N/A</v>
          </cell>
          <cell r="C79" t="e">
            <v>#N/A</v>
          </cell>
        </row>
        <row r="80">
          <cell r="A80">
            <v>-4</v>
          </cell>
          <cell r="B80" t="e">
            <v>#N/A</v>
          </cell>
          <cell r="C80" t="e">
            <v>#N/A</v>
          </cell>
        </row>
        <row r="81">
          <cell r="A81">
            <v>-5</v>
          </cell>
          <cell r="B81" t="e">
            <v>#N/A</v>
          </cell>
          <cell r="C81" t="e">
            <v>#N/A</v>
          </cell>
        </row>
        <row r="82">
          <cell r="A82">
            <v>-6</v>
          </cell>
          <cell r="B82" t="e">
            <v>#N/A</v>
          </cell>
          <cell r="C82" t="e">
            <v>#N/A</v>
          </cell>
        </row>
        <row r="83">
          <cell r="A83">
            <v>-7</v>
          </cell>
          <cell r="B83" t="e">
            <v>#N/A</v>
          </cell>
          <cell r="C83" t="e">
            <v>#N/A</v>
          </cell>
        </row>
        <row r="84">
          <cell r="A84">
            <v>-8</v>
          </cell>
          <cell r="B84" t="e">
            <v>#N/A</v>
          </cell>
          <cell r="C84" t="e">
            <v>#N/A</v>
          </cell>
        </row>
        <row r="85">
          <cell r="A85">
            <v>-9</v>
          </cell>
          <cell r="B85" t="e">
            <v>#N/A</v>
          </cell>
          <cell r="C85" t="e">
            <v>#N/A</v>
          </cell>
        </row>
        <row r="86">
          <cell r="A86">
            <v>-10</v>
          </cell>
          <cell r="B86" t="e">
            <v>#N/A</v>
          </cell>
          <cell r="C86" t="e">
            <v>#N/A</v>
          </cell>
        </row>
        <row r="87">
          <cell r="A87">
            <v>-11</v>
          </cell>
          <cell r="B87" t="e">
            <v>#N/A</v>
          </cell>
          <cell r="C87" t="e">
            <v>#N/A</v>
          </cell>
        </row>
        <row r="88">
          <cell r="A88">
            <v>-12</v>
          </cell>
          <cell r="B88" t="e">
            <v>#N/A</v>
          </cell>
          <cell r="C88" t="e">
            <v>#N/A</v>
          </cell>
        </row>
        <row r="89">
          <cell r="A89">
            <v>-13</v>
          </cell>
          <cell r="B89" t="e">
            <v>#N/A</v>
          </cell>
          <cell r="C89" t="e">
            <v>#N/A</v>
          </cell>
        </row>
        <row r="90">
          <cell r="A90">
            <v>-14</v>
          </cell>
          <cell r="B90" t="e">
            <v>#N/A</v>
          </cell>
          <cell r="C90" t="e">
            <v>#N/A</v>
          </cell>
        </row>
        <row r="91">
          <cell r="A91">
            <v>-15</v>
          </cell>
          <cell r="B91" t="e">
            <v>#N/A</v>
          </cell>
          <cell r="C91" t="e">
            <v>#N/A</v>
          </cell>
        </row>
        <row r="92">
          <cell r="A92">
            <v>-16</v>
          </cell>
          <cell r="B92" t="e">
            <v>#N/A</v>
          </cell>
          <cell r="C92" t="e">
            <v>#N/A</v>
          </cell>
        </row>
      </sheetData>
      <sheetData sheetId="7"/>
      <sheetData sheetId="8">
        <row r="2">
          <cell r="D2" t="str">
            <v>u</v>
          </cell>
          <cell r="E2" t="str">
            <v>p</v>
          </cell>
          <cell r="F2" t="str">
            <v>k</v>
          </cell>
          <cell r="G2" t="str">
            <v>p</v>
          </cell>
        </row>
        <row r="3">
          <cell r="D3" t="str">
            <v>f</v>
          </cell>
          <cell r="E3" t="str">
            <v>k</v>
          </cell>
          <cell r="F3" t="str">
            <v>p</v>
          </cell>
          <cell r="G3" t="str">
            <v>u</v>
          </cell>
          <cell r="K3" t="str">
            <v>--Don't Paste--</v>
          </cell>
        </row>
        <row r="4">
          <cell r="A4" t="str">
            <v>'13 forecast status</v>
          </cell>
          <cell r="B4" t="str">
            <v>Ticker</v>
          </cell>
          <cell r="C4" t="str">
            <v>Our 2013E Rent Margin Forecast (bps)</v>
          </cell>
          <cell r="D4" t="str">
            <v>Operating Margin</v>
          </cell>
          <cell r="E4" t="str">
            <v>Sales
Productivity</v>
          </cell>
          <cell r="F4" t="str">
            <v>Rent $ PSF</v>
          </cell>
          <cell r="G4" t="str">
            <v>Rent Margin
(total sales)</v>
          </cell>
          <cell r="H4" t="str">
            <v>Rent Margin
(store sales)</v>
          </cell>
          <cell r="I4" t="str">
            <v>Comments</v>
          </cell>
          <cell r="K4" t="str">
            <v>2013E Comp. Sales %</v>
          </cell>
        </row>
        <row r="5">
          <cell r="A5" t="str">
            <v>check-in wed</v>
          </cell>
          <cell r="B5" t="str">
            <v>ANF</v>
          </cell>
          <cell r="C5">
            <v>-229.75073062217939</v>
          </cell>
          <cell r="D5" t="e">
            <v>#N/A</v>
          </cell>
          <cell r="E5" t="str">
            <v>Middle Tier</v>
          </cell>
          <cell r="F5" t="str">
            <v>Highest Tier</v>
          </cell>
          <cell r="G5" t="str">
            <v>Lowest Tier</v>
          </cell>
          <cell r="H5" t="str">
            <v>Lowest Tier</v>
          </cell>
          <cell r="I5" t="str">
            <v>Low operating margin and high rent margin combined with our expectation for closures of underperforming stores and beneficial mix shift toward international stores suggests leverage opportunity.</v>
          </cell>
          <cell r="K5" t="e">
            <v>#N/A</v>
          </cell>
          <cell r="L5">
            <v>-2.3904589063689273E-2</v>
          </cell>
        </row>
        <row r="6">
          <cell r="A6" t="str">
            <v>guidance</v>
          </cell>
          <cell r="B6" t="str">
            <v>ANN</v>
          </cell>
          <cell r="C6">
            <v>17.928600935579741</v>
          </cell>
          <cell r="D6" t="e">
            <v>#N/A</v>
          </cell>
          <cell r="E6" t="str">
            <v>Lowest Tier</v>
          </cell>
          <cell r="F6" t="str">
            <v>Middle Tier</v>
          </cell>
          <cell r="G6" t="str">
            <v>Lowest Tier</v>
          </cell>
          <cell r="H6" t="str">
            <v>Lowest Tier</v>
          </cell>
          <cell r="I6" t="str">
            <v>Low operating margin, low sales productivity, high rent margin and outlook for +LSD comps indicates some leverage opportunity.  In addition, store growth is focused on lower rent outlet centers and mall stores downsizing into smaller boxes with store productivity to improve.</v>
          </cell>
          <cell r="K6">
            <v>3.3418816991071507E-2</v>
          </cell>
        </row>
        <row r="7">
          <cell r="A7" t="str">
            <v>ok</v>
          </cell>
          <cell r="B7" t="str">
            <v>PLCE</v>
          </cell>
          <cell r="C7">
            <v>-12.624278769471086</v>
          </cell>
          <cell r="D7" t="e">
            <v>#N/A</v>
          </cell>
          <cell r="E7" t="str">
            <v>Lowest Tier</v>
          </cell>
          <cell r="F7" t="str">
            <v>Middle Tier</v>
          </cell>
          <cell r="G7" t="str">
            <v>Lowest Tier</v>
          </cell>
          <cell r="H7" t="str">
            <v>Lowest Tier</v>
          </cell>
          <cell r="I7" t="str">
            <v>PLCE has the second lowest operating margin, third lowest sales productivity, highest rent margin, and we see only +LSD 2013e comps.  However, the company is accelerating new store growth with a focus on value centers which could lower average rents and create leverage.</v>
          </cell>
          <cell r="K7">
            <v>0.02</v>
          </cell>
        </row>
        <row r="8">
          <cell r="A8" t="str">
            <v>ok</v>
          </cell>
          <cell r="B8" t="str">
            <v>EXPR</v>
          </cell>
          <cell r="C8">
            <v>-125.26235376783684</v>
          </cell>
          <cell r="D8" t="e">
            <v>#N/A</v>
          </cell>
          <cell r="E8" t="str">
            <v>Lowest Tier</v>
          </cell>
          <cell r="F8" t="str">
            <v>Middle Tier</v>
          </cell>
          <cell r="G8" t="str">
            <v>Lowest Tier</v>
          </cell>
          <cell r="H8" t="str">
            <v>Lowest Tier</v>
          </cell>
          <cell r="I8" t="str">
            <v>Low operating margin and high rent margin, but improved traffic-driving fashions, expansion in top mall locations, plus a focus on new outlets not currently in guidance can potentially improve productivity going forward.</v>
          </cell>
          <cell r="K8">
            <v>0.09</v>
          </cell>
        </row>
        <row r="9">
          <cell r="A9" t="str">
            <v>ok</v>
          </cell>
          <cell r="B9" t="str">
            <v>ARO</v>
          </cell>
          <cell r="C9">
            <v>-144.33021731824175</v>
          </cell>
          <cell r="D9" t="e">
            <v>#N/A</v>
          </cell>
          <cell r="E9" t="str">
            <v>Middle Tier</v>
          </cell>
          <cell r="F9" t="str">
            <v>Middle Tier</v>
          </cell>
          <cell r="G9" t="str">
            <v>Middle Tier</v>
          </cell>
          <cell r="H9" t="str">
            <v>Middle Tier</v>
          </cell>
          <cell r="I9" t="str">
            <v>Competitive pricing pressure and slowed productivity helps generate the group's lowest operating margins. The company will close 100 low-volume stores, however increase rent from new P.S. store openings could offset the store closure benefit. If the new P.S concept is productive and Aeropostale comps improve, ARO could conceivably reverse the rent deleverage trend.</v>
          </cell>
          <cell r="K9">
            <v>-0.02</v>
          </cell>
        </row>
        <row r="12">
          <cell r="D12">
            <v>5</v>
          </cell>
        </row>
        <row r="13">
          <cell r="D13">
            <v>11</v>
          </cell>
        </row>
      </sheetData>
      <sheetData sheetId="9">
        <row r="7">
          <cell r="E7" t="str">
            <v>Output Table</v>
          </cell>
        </row>
        <row r="10">
          <cell r="E10">
            <v>2</v>
          </cell>
          <cell r="F10">
            <v>27</v>
          </cell>
          <cell r="I10">
            <v>2</v>
          </cell>
          <cell r="J10">
            <v>27</v>
          </cell>
          <cell r="L10">
            <v>2</v>
          </cell>
          <cell r="M10">
            <v>27</v>
          </cell>
        </row>
        <row r="12">
          <cell r="F12" t="str">
            <v>Rent Exp Leverage</v>
          </cell>
          <cell r="J12" t="str">
            <v>Rent Exp Leverage</v>
          </cell>
          <cell r="M12" t="str">
            <v>Rent Exp Leverage</v>
          </cell>
        </row>
        <row r="13">
          <cell r="F13" t="str">
            <v>2013E (bps)</v>
          </cell>
          <cell r="J13" t="str">
            <v>2012A (bps)</v>
          </cell>
          <cell r="M13" t="str">
            <v>2011A (bps)</v>
          </cell>
        </row>
        <row r="15">
          <cell r="E15" t="str">
            <v>KORS</v>
          </cell>
          <cell r="F15">
            <v>35.526986005982657</v>
          </cell>
          <cell r="I15" t="str">
            <v>COH</v>
          </cell>
          <cell r="J15">
            <v>632.03159705609062</v>
          </cell>
          <cell r="L15" t="str">
            <v>LTD</v>
          </cell>
          <cell r="M15">
            <v>808.95362286616034</v>
          </cell>
        </row>
        <row r="16">
          <cell r="E16" t="str">
            <v>ANN</v>
          </cell>
          <cell r="F16">
            <v>17.928600935579741</v>
          </cell>
          <cell r="I16" t="str">
            <v>AEO</v>
          </cell>
          <cell r="J16">
            <v>100.70763496348944</v>
          </cell>
          <cell r="L16" t="str">
            <v>ANF</v>
          </cell>
          <cell r="M16">
            <v>108.97913814203019</v>
          </cell>
        </row>
        <row r="17">
          <cell r="E17" t="str">
            <v>URBN</v>
          </cell>
          <cell r="F17">
            <v>5.8273760692074958</v>
          </cell>
          <cell r="I17" t="str">
            <v>LULU</v>
          </cell>
          <cell r="J17">
            <v>69.100308982571818</v>
          </cell>
          <cell r="L17" t="str">
            <v>ANN</v>
          </cell>
          <cell r="M17">
            <v>95.78461854458584</v>
          </cell>
        </row>
        <row r="18">
          <cell r="E18" t="str">
            <v>TIF</v>
          </cell>
          <cell r="F18">
            <v>2.2493944490369069</v>
          </cell>
          <cell r="I18" t="str">
            <v>GPS</v>
          </cell>
          <cell r="J18">
            <v>55.778851695775231</v>
          </cell>
          <cell r="L18" t="str">
            <v>LULU</v>
          </cell>
          <cell r="M18">
            <v>75.081858688960253</v>
          </cell>
        </row>
        <row r="19">
          <cell r="E19" t="str">
            <v>TJX</v>
          </cell>
          <cell r="F19">
            <v>1.6085915910753201</v>
          </cell>
          <cell r="I19" t="str">
            <v>PLCE</v>
          </cell>
          <cell r="J19">
            <v>45.114586184959172</v>
          </cell>
          <cell r="L19" t="str">
            <v>CHS</v>
          </cell>
          <cell r="M19">
            <v>63.393436058514077</v>
          </cell>
        </row>
        <row r="20">
          <cell r="E20" t="str">
            <v>LULU</v>
          </cell>
          <cell r="F20">
            <v>0.86149604568652727</v>
          </cell>
          <cell r="I20" t="str">
            <v>CHS</v>
          </cell>
          <cell r="J20">
            <v>41.903595604134146</v>
          </cell>
          <cell r="L20" t="str">
            <v>EXPR</v>
          </cell>
          <cell r="M20">
            <v>44.579172432415163</v>
          </cell>
        </row>
        <row r="21">
          <cell r="E21" t="str">
            <v>LTD</v>
          </cell>
          <cell r="F21">
            <v>-3.4629597101869596</v>
          </cell>
          <cell r="I21" t="str">
            <v>ROST</v>
          </cell>
          <cell r="J21">
            <v>30.211023114819906</v>
          </cell>
          <cell r="L21" t="str">
            <v>KORS</v>
          </cell>
          <cell r="M21">
            <v>35.172886249425218</v>
          </cell>
        </row>
        <row r="22">
          <cell r="E22" t="str">
            <v>ROST</v>
          </cell>
          <cell r="F22">
            <v>-8.9201321709712893</v>
          </cell>
          <cell r="I22" t="str">
            <v>KORS</v>
          </cell>
          <cell r="J22">
            <v>29.219519353664847</v>
          </cell>
          <cell r="L22" t="str">
            <v>ROST</v>
          </cell>
          <cell r="M22">
            <v>24.569763953621663</v>
          </cell>
        </row>
        <row r="23">
          <cell r="E23" t="str">
            <v>PLCE</v>
          </cell>
          <cell r="F23">
            <v>-12.624278769471086</v>
          </cell>
          <cell r="I23" t="str">
            <v>ANF</v>
          </cell>
          <cell r="J23">
            <v>25.844540509672441</v>
          </cell>
          <cell r="L23" t="str">
            <v>COH</v>
          </cell>
          <cell r="M23">
            <v>11.121197831945317</v>
          </cell>
        </row>
        <row r="24">
          <cell r="E24" t="str">
            <v>GPS</v>
          </cell>
          <cell r="F24">
            <v>-15.276650537825176</v>
          </cell>
          <cell r="I24" t="str">
            <v>TJX</v>
          </cell>
          <cell r="J24">
            <v>20.91967123394857</v>
          </cell>
          <cell r="L24" t="str">
            <v>TIF</v>
          </cell>
          <cell r="M24">
            <v>11.096419858824397</v>
          </cell>
        </row>
        <row r="25">
          <cell r="E25" t="str">
            <v>CHS</v>
          </cell>
          <cell r="F25">
            <v>-91.269130837868119</v>
          </cell>
          <cell r="I25" t="str">
            <v>LTD</v>
          </cell>
          <cell r="J25">
            <v>6.5503448747606008</v>
          </cell>
          <cell r="L25" t="str">
            <v>TJX</v>
          </cell>
          <cell r="M25">
            <v>10.16582641933557</v>
          </cell>
        </row>
        <row r="26">
          <cell r="E26" t="str">
            <v>AEO</v>
          </cell>
          <cell r="F26">
            <v>-93.710459448133747</v>
          </cell>
          <cell r="I26" t="str">
            <v>URBN</v>
          </cell>
          <cell r="J26">
            <v>3.6366834208323429</v>
          </cell>
          <cell r="L26" t="str">
            <v>AEO</v>
          </cell>
          <cell r="M26">
            <v>-10.646652941196793</v>
          </cell>
        </row>
        <row r="27">
          <cell r="E27" t="str">
            <v>EXPR</v>
          </cell>
          <cell r="F27">
            <v>-125.26235376783684</v>
          </cell>
          <cell r="I27" t="str">
            <v>ANN</v>
          </cell>
          <cell r="J27">
            <v>-3.4011620263443842</v>
          </cell>
          <cell r="L27" t="str">
            <v>PLCE</v>
          </cell>
          <cell r="M27">
            <v>-11.291254074840552</v>
          </cell>
        </row>
        <row r="28">
          <cell r="E28" t="str">
            <v>ARO</v>
          </cell>
          <cell r="F28">
            <v>-144.33021731824175</v>
          </cell>
          <cell r="I28" t="str">
            <v>ARO</v>
          </cell>
          <cell r="J28">
            <v>-10.819977328833247</v>
          </cell>
          <cell r="L28" t="str">
            <v>URBN</v>
          </cell>
          <cell r="M28">
            <v>-42.935649048453371</v>
          </cell>
        </row>
        <row r="29">
          <cell r="E29" t="str">
            <v>ANF</v>
          </cell>
          <cell r="F29">
            <v>-229.75073062217939</v>
          </cell>
          <cell r="I29" t="str">
            <v>TIF</v>
          </cell>
          <cell r="J29">
            <v>-35.817442387837822</v>
          </cell>
          <cell r="L29" t="str">
            <v>GPS</v>
          </cell>
          <cell r="M29">
            <v>-69.657812489629663</v>
          </cell>
        </row>
        <row r="30">
          <cell r="E30" t="str">
            <v>COH</v>
          </cell>
          <cell r="F30">
            <v>-719.22269844079608</v>
          </cell>
          <cell r="I30" t="str">
            <v>EXPR</v>
          </cell>
          <cell r="J30">
            <v>-62.346722196883199</v>
          </cell>
          <cell r="L30" t="str">
            <v>ARO</v>
          </cell>
          <cell r="M30">
            <v>-134.18670119102444</v>
          </cell>
        </row>
        <row r="31">
          <cell r="E31" t="str">
            <v>Average</v>
          </cell>
          <cell r="F31">
            <v>-86.239197907933857</v>
          </cell>
          <cell r="I31" t="str">
            <v>Average</v>
          </cell>
          <cell r="J31">
            <v>59.289565815926281</v>
          </cell>
          <cell r="L31" t="str">
            <v>Average</v>
          </cell>
          <cell r="M31">
            <v>63.761241956292082</v>
          </cell>
        </row>
        <row r="36">
          <cell r="F36">
            <v>-97.718884557368384</v>
          </cell>
          <cell r="J36">
            <v>62.679281292644397</v>
          </cell>
        </row>
        <row r="37">
          <cell r="A37" t="str">
            <v>Inputs</v>
          </cell>
        </row>
        <row r="38">
          <cell r="K38" t="str">
            <v>11</v>
          </cell>
        </row>
        <row r="39">
          <cell r="B39" t="str">
            <v>AEO2013</v>
          </cell>
          <cell r="E39" t="str">
            <v>AEO</v>
          </cell>
          <cell r="F39">
            <v>-93.710459448133747</v>
          </cell>
          <cell r="G39" t="str">
            <v>AEO2012</v>
          </cell>
          <cell r="I39" t="str">
            <v>AEO</v>
          </cell>
          <cell r="J39">
            <v>100.70763496348944</v>
          </cell>
          <cell r="K39" t="str">
            <v>AEO2011</v>
          </cell>
          <cell r="L39" t="str">
            <v>AEO</v>
          </cell>
          <cell r="M39">
            <v>-10.646652941196793</v>
          </cell>
          <cell r="O39" t="str">
            <v>AEO</v>
          </cell>
          <cell r="P39">
            <v>6.9971755153556927</v>
          </cell>
          <cell r="Q39">
            <v>1</v>
          </cell>
          <cell r="R39">
            <v>9</v>
          </cell>
          <cell r="T39" t="str">
            <v>LULU</v>
          </cell>
          <cell r="U39">
            <v>69.96180502825834</v>
          </cell>
        </row>
        <row r="40">
          <cell r="B40" t="str">
            <v>ANF2013</v>
          </cell>
          <cell r="E40" t="str">
            <v>ANF</v>
          </cell>
          <cell r="F40">
            <v>-229.75073062217939</v>
          </cell>
          <cell r="G40" t="str">
            <v>ANF2012</v>
          </cell>
          <cell r="I40" t="str">
            <v>ANF</v>
          </cell>
          <cell r="J40">
            <v>25.844540509672441</v>
          </cell>
          <cell r="K40" t="str">
            <v>ANF2011</v>
          </cell>
          <cell r="L40" t="str">
            <v>ANF</v>
          </cell>
          <cell r="M40">
            <v>108.97913814203019</v>
          </cell>
          <cell r="O40" t="str">
            <v>ANF</v>
          </cell>
          <cell r="P40">
            <v>-203.90619011250695</v>
          </cell>
          <cell r="Q40">
            <v>2</v>
          </cell>
          <cell r="R40">
            <v>16</v>
          </cell>
          <cell r="T40" t="str">
            <v>KORS</v>
          </cell>
          <cell r="U40">
            <v>64.7465053596475</v>
          </cell>
        </row>
        <row r="41">
          <cell r="B41" t="str">
            <v>ANN2013</v>
          </cell>
          <cell r="E41" t="str">
            <v>ANN</v>
          </cell>
          <cell r="F41">
            <v>17.928600935579741</v>
          </cell>
          <cell r="G41" t="str">
            <v>ANN2012</v>
          </cell>
          <cell r="I41" t="str">
            <v>ANN</v>
          </cell>
          <cell r="J41">
            <v>-3.4011620263443842</v>
          </cell>
          <cell r="K41" t="str">
            <v>ANN2011</v>
          </cell>
          <cell r="L41" t="str">
            <v>ANN</v>
          </cell>
          <cell r="M41">
            <v>95.78461854458584</v>
          </cell>
          <cell r="O41" t="str">
            <v>ANN</v>
          </cell>
          <cell r="P41">
            <v>14.527438909235357</v>
          </cell>
          <cell r="Q41">
            <v>3</v>
          </cell>
          <cell r="R41">
            <v>7</v>
          </cell>
          <cell r="T41" t="str">
            <v>GPS</v>
          </cell>
          <cell r="U41">
            <v>40.502201157950054</v>
          </cell>
        </row>
        <row r="42">
          <cell r="B42" t="str">
            <v>ARO2013</v>
          </cell>
          <cell r="E42" t="str">
            <v>ARO</v>
          </cell>
          <cell r="F42">
            <v>-144.33021731824175</v>
          </cell>
          <cell r="G42" t="str">
            <v>ARO2012</v>
          </cell>
          <cell r="I42" t="str">
            <v>ARO</v>
          </cell>
          <cell r="J42">
            <v>-10.819977328833247</v>
          </cell>
          <cell r="K42" t="str">
            <v>ARO2011</v>
          </cell>
          <cell r="L42" t="str">
            <v>ARO</v>
          </cell>
          <cell r="M42">
            <v>-134.18670119102444</v>
          </cell>
          <cell r="O42" t="str">
            <v>ARO</v>
          </cell>
          <cell r="P42">
            <v>-155.15019464707501</v>
          </cell>
          <cell r="Q42">
            <v>4</v>
          </cell>
          <cell r="R42">
            <v>14</v>
          </cell>
          <cell r="T42" t="str">
            <v>PLCE</v>
          </cell>
          <cell r="U42">
            <v>32.49030741548809</v>
          </cell>
        </row>
        <row r="43">
          <cell r="B43" t="str">
            <v>CHS2013</v>
          </cell>
          <cell r="E43" t="str">
            <v>CHS</v>
          </cell>
          <cell r="F43">
            <v>-91.269130837868119</v>
          </cell>
          <cell r="G43" t="str">
            <v>CHS2012</v>
          </cell>
          <cell r="I43" t="str">
            <v>CHS</v>
          </cell>
          <cell r="J43">
            <v>41.903595604134146</v>
          </cell>
          <cell r="K43" t="str">
            <v>CHS2011</v>
          </cell>
          <cell r="L43" t="str">
            <v>CHS</v>
          </cell>
          <cell r="M43">
            <v>63.393436058514077</v>
          </cell>
          <cell r="O43" t="str">
            <v>CHS</v>
          </cell>
          <cell r="P43">
            <v>-49.365535233733972</v>
          </cell>
          <cell r="Q43">
            <v>5</v>
          </cell>
          <cell r="R43">
            <v>12</v>
          </cell>
          <cell r="T43" t="str">
            <v>TJX</v>
          </cell>
          <cell r="U43">
            <v>22.528262825023891</v>
          </cell>
        </row>
        <row r="44">
          <cell r="B44" t="str">
            <v>COH2013</v>
          </cell>
          <cell r="E44" t="str">
            <v>COH</v>
          </cell>
          <cell r="F44">
            <v>-719.22269844079608</v>
          </cell>
          <cell r="G44" t="str">
            <v>COH2012</v>
          </cell>
          <cell r="I44" t="str">
            <v>COH</v>
          </cell>
          <cell r="J44">
            <v>632.03159705609062</v>
          </cell>
          <cell r="K44" t="str">
            <v>COH2011</v>
          </cell>
          <cell r="L44" t="str">
            <v>COH</v>
          </cell>
          <cell r="M44">
            <v>11.121197831945317</v>
          </cell>
          <cell r="O44" t="str">
            <v>COH</v>
          </cell>
          <cell r="P44">
            <v>-87.191101384705462</v>
          </cell>
          <cell r="Q44">
            <v>6</v>
          </cell>
          <cell r="R44">
            <v>13</v>
          </cell>
          <cell r="T44" t="str">
            <v>ROST</v>
          </cell>
          <cell r="U44">
            <v>21.290890943848616</v>
          </cell>
        </row>
        <row r="45">
          <cell r="B45" t="str">
            <v>EXPR2013</v>
          </cell>
          <cell r="E45" t="str">
            <v>EXPR</v>
          </cell>
          <cell r="F45">
            <v>-125.26235376783684</v>
          </cell>
          <cell r="G45" t="str">
            <v>EXPR2012</v>
          </cell>
          <cell r="I45" t="str">
            <v>EXPR</v>
          </cell>
          <cell r="J45">
            <v>-62.346722196883199</v>
          </cell>
          <cell r="K45" t="str">
            <v>EXPR2011</v>
          </cell>
          <cell r="L45" t="str">
            <v>EXPR</v>
          </cell>
          <cell r="M45">
            <v>44.579172432415163</v>
          </cell>
          <cell r="O45" t="str">
            <v>EXPR</v>
          </cell>
          <cell r="P45">
            <v>-187.60907596472003</v>
          </cell>
          <cell r="Q45">
            <v>7</v>
          </cell>
          <cell r="R45">
            <v>15</v>
          </cell>
          <cell r="T45" t="str">
            <v>ANN</v>
          </cell>
          <cell r="U45">
            <v>14.527438909235357</v>
          </cell>
        </row>
        <row r="46">
          <cell r="B46" t="str">
            <v>GPS2013</v>
          </cell>
          <cell r="E46" t="str">
            <v>GPS</v>
          </cell>
          <cell r="F46">
            <v>-15.276650537825176</v>
          </cell>
          <cell r="G46" t="str">
            <v>GPS2012</v>
          </cell>
          <cell r="I46" t="str">
            <v>GPS</v>
          </cell>
          <cell r="J46">
            <v>55.778851695775231</v>
          </cell>
          <cell r="K46" t="str">
            <v>GPS2011</v>
          </cell>
          <cell r="L46" t="str">
            <v>GPS</v>
          </cell>
          <cell r="M46">
            <v>-69.657812489629663</v>
          </cell>
          <cell r="O46" t="str">
            <v>GPS</v>
          </cell>
          <cell r="P46">
            <v>40.502201157950054</v>
          </cell>
          <cell r="Q46">
            <v>8</v>
          </cell>
          <cell r="R46">
            <v>3</v>
          </cell>
          <cell r="T46" t="str">
            <v>URBN</v>
          </cell>
          <cell r="U46">
            <v>9.4640594900398387</v>
          </cell>
        </row>
        <row r="47">
          <cell r="B47" t="str">
            <v>KORS2013</v>
          </cell>
          <cell r="E47" t="str">
            <v>KORS</v>
          </cell>
          <cell r="F47">
            <v>35.526986005982657</v>
          </cell>
          <cell r="G47" t="str">
            <v>KORS2012</v>
          </cell>
          <cell r="I47" t="str">
            <v>KORS</v>
          </cell>
          <cell r="J47">
            <v>29.219519353664847</v>
          </cell>
          <cell r="K47" t="str">
            <v>KORS2011</v>
          </cell>
          <cell r="L47" t="str">
            <v>KORS</v>
          </cell>
          <cell r="M47">
            <v>35.172886249425218</v>
          </cell>
          <cell r="O47" t="str">
            <v>KORS</v>
          </cell>
          <cell r="P47">
            <v>64.7465053596475</v>
          </cell>
          <cell r="Q47">
            <v>9</v>
          </cell>
          <cell r="R47">
            <v>2</v>
          </cell>
          <cell r="T47" t="str">
            <v>AEO</v>
          </cell>
          <cell r="U47">
            <v>6.9971755153556927</v>
          </cell>
        </row>
        <row r="48">
          <cell r="B48" t="str">
            <v>LTD2013</v>
          </cell>
          <cell r="E48" t="str">
            <v>LTD</v>
          </cell>
          <cell r="F48">
            <v>-3.4629597101869596</v>
          </cell>
          <cell r="G48" t="str">
            <v>LTD2012</v>
          </cell>
          <cell r="I48" t="str">
            <v>LTD</v>
          </cell>
          <cell r="J48">
            <v>6.5503448747606008</v>
          </cell>
          <cell r="K48" t="str">
            <v>LTD2011</v>
          </cell>
          <cell r="L48" t="str">
            <v>LTD</v>
          </cell>
          <cell r="M48">
            <v>808.95362286616034</v>
          </cell>
          <cell r="O48" t="str">
            <v>LTD</v>
          </cell>
          <cell r="P48">
            <v>3.0873851645736412</v>
          </cell>
          <cell r="Q48">
            <v>10</v>
          </cell>
          <cell r="R48">
            <v>10</v>
          </cell>
          <cell r="T48" t="str">
            <v>LTD</v>
          </cell>
          <cell r="U48">
            <v>3.0873851645736412</v>
          </cell>
        </row>
        <row r="49">
          <cell r="B49" t="str">
            <v>LULU2013</v>
          </cell>
          <cell r="E49" t="str">
            <v>LULU</v>
          </cell>
          <cell r="F49">
            <v>0.86149604568652727</v>
          </cell>
          <cell r="G49" t="str">
            <v>LULU2012</v>
          </cell>
          <cell r="I49" t="str">
            <v>LULU</v>
          </cell>
          <cell r="J49">
            <v>69.100308982571818</v>
          </cell>
          <cell r="K49" t="str">
            <v>LULU2011</v>
          </cell>
          <cell r="L49" t="str">
            <v>LULU</v>
          </cell>
          <cell r="M49">
            <v>75.081858688960253</v>
          </cell>
          <cell r="O49" t="str">
            <v>LULU</v>
          </cell>
          <cell r="P49">
            <v>69.96180502825834</v>
          </cell>
          <cell r="Q49">
            <v>11</v>
          </cell>
          <cell r="R49">
            <v>1</v>
          </cell>
          <cell r="T49" t="str">
            <v>TIF</v>
          </cell>
          <cell r="U49">
            <v>-33.568047938800916</v>
          </cell>
        </row>
        <row r="50">
          <cell r="B50" t="str">
            <v>PLCE2013</v>
          </cell>
          <cell r="E50" t="str">
            <v>PLCE</v>
          </cell>
          <cell r="F50">
            <v>-12.624278769471086</v>
          </cell>
          <cell r="G50" t="str">
            <v>PLCE2012</v>
          </cell>
          <cell r="I50" t="str">
            <v>PLCE</v>
          </cell>
          <cell r="J50">
            <v>45.114586184959172</v>
          </cell>
          <cell r="K50" t="str">
            <v>PLCE2011</v>
          </cell>
          <cell r="L50" t="str">
            <v>PLCE</v>
          </cell>
          <cell r="M50">
            <v>-11.291254074840552</v>
          </cell>
          <cell r="O50" t="str">
            <v>PLCE</v>
          </cell>
          <cell r="P50">
            <v>32.49030741548809</v>
          </cell>
          <cell r="Q50">
            <v>12</v>
          </cell>
          <cell r="R50">
            <v>4</v>
          </cell>
          <cell r="T50" t="str">
            <v>CHS</v>
          </cell>
          <cell r="U50">
            <v>-49.365535233733972</v>
          </cell>
        </row>
        <row r="51">
          <cell r="B51" t="str">
            <v>ROST2013</v>
          </cell>
          <cell r="E51" t="str">
            <v>ROST</v>
          </cell>
          <cell r="F51">
            <v>-8.9201321709712893</v>
          </cell>
          <cell r="G51" t="str">
            <v>ROST2012</v>
          </cell>
          <cell r="I51" t="str">
            <v>ROST</v>
          </cell>
          <cell r="J51">
            <v>30.211023114819906</v>
          </cell>
          <cell r="K51" t="str">
            <v>ROST2011</v>
          </cell>
          <cell r="L51" t="str">
            <v>ROST</v>
          </cell>
          <cell r="M51">
            <v>24.569763953621663</v>
          </cell>
          <cell r="O51" t="str">
            <v>ROST</v>
          </cell>
          <cell r="P51">
            <v>21.290890943848616</v>
          </cell>
          <cell r="Q51">
            <v>13</v>
          </cell>
          <cell r="R51">
            <v>6</v>
          </cell>
          <cell r="T51" t="str">
            <v>COH</v>
          </cell>
          <cell r="U51">
            <v>-87.191101384705462</v>
          </cell>
        </row>
        <row r="52">
          <cell r="B52" t="str">
            <v>TIF2013</v>
          </cell>
          <cell r="E52" t="str">
            <v>TIF</v>
          </cell>
          <cell r="F52">
            <v>2.2493944490369069</v>
          </cell>
          <cell r="G52" t="str">
            <v>TIF2012</v>
          </cell>
          <cell r="I52" t="str">
            <v>TIF</v>
          </cell>
          <cell r="J52">
            <v>-35.817442387837822</v>
          </cell>
          <cell r="K52" t="str">
            <v>TIF2011</v>
          </cell>
          <cell r="L52" t="str">
            <v>TIF</v>
          </cell>
          <cell r="M52">
            <v>11.096419858824397</v>
          </cell>
          <cell r="O52" t="str">
            <v>TIF</v>
          </cell>
          <cell r="P52">
            <v>-33.568047938800916</v>
          </cell>
          <cell r="Q52">
            <v>14</v>
          </cell>
          <cell r="R52">
            <v>11</v>
          </cell>
          <cell r="T52" t="str">
            <v>ARO</v>
          </cell>
          <cell r="U52">
            <v>-155.15019464707501</v>
          </cell>
        </row>
        <row r="53">
          <cell r="B53" t="str">
            <v>TJX2013</v>
          </cell>
          <cell r="E53" t="str">
            <v>TJX</v>
          </cell>
          <cell r="F53">
            <v>1.6085915910753201</v>
          </cell>
          <cell r="G53" t="str">
            <v>TJX2012</v>
          </cell>
          <cell r="I53" t="str">
            <v>TJX</v>
          </cell>
          <cell r="J53">
            <v>20.91967123394857</v>
          </cell>
          <cell r="K53" t="str">
            <v>TJX2011</v>
          </cell>
          <cell r="L53" t="str">
            <v>TJX</v>
          </cell>
          <cell r="M53">
            <v>10.16582641933557</v>
          </cell>
          <cell r="O53" t="str">
            <v>TJX</v>
          </cell>
          <cell r="P53">
            <v>22.528262825023891</v>
          </cell>
          <cell r="Q53">
            <v>15</v>
          </cell>
          <cell r="R53">
            <v>5</v>
          </cell>
          <cell r="T53" t="str">
            <v>EXPR</v>
          </cell>
          <cell r="U53">
            <v>-187.60907596472003</v>
          </cell>
        </row>
        <row r="54">
          <cell r="B54" t="str">
            <v>URBN2013</v>
          </cell>
          <cell r="E54" t="str">
            <v>URBN</v>
          </cell>
          <cell r="F54">
            <v>5.8273760692074958</v>
          </cell>
          <cell r="G54" t="str">
            <v>URBN2012</v>
          </cell>
          <cell r="I54" t="str">
            <v>URBN</v>
          </cell>
          <cell r="J54">
            <v>3.6366834208323429</v>
          </cell>
          <cell r="K54" t="str">
            <v>URBN2011</v>
          </cell>
          <cell r="L54" t="str">
            <v>URBN</v>
          </cell>
          <cell r="M54">
            <v>-42.935649048453371</v>
          </cell>
          <cell r="O54" t="str">
            <v>URBN</v>
          </cell>
          <cell r="P54">
            <v>9.4640594900398387</v>
          </cell>
          <cell r="Q54">
            <v>16</v>
          </cell>
          <cell r="R54">
            <v>8</v>
          </cell>
          <cell r="T54" t="str">
            <v>ANF</v>
          </cell>
          <cell r="U54">
            <v>-203.90619011250695</v>
          </cell>
        </row>
        <row r="55">
          <cell r="E55" t="str">
            <v>Average</v>
          </cell>
          <cell r="F55">
            <v>-86.239197907933857</v>
          </cell>
          <cell r="I55" t="str">
            <v>Average</v>
          </cell>
          <cell r="J55">
            <v>59.289565815926281</v>
          </cell>
          <cell r="L55" t="str">
            <v>Average</v>
          </cell>
          <cell r="M55">
            <v>63.761241956292082</v>
          </cell>
          <cell r="O55" t="str">
            <v>Average</v>
          </cell>
          <cell r="P55">
            <v>-26.949632092007576</v>
          </cell>
        </row>
        <row r="61">
          <cell r="H61">
            <v>0</v>
          </cell>
        </row>
        <row r="62">
          <cell r="B62" t="str">
            <v>2013E (bps)</v>
          </cell>
        </row>
        <row r="63">
          <cell r="E63" t="str">
            <v>AEO</v>
          </cell>
          <cell r="F63">
            <v>-93.710459448133747</v>
          </cell>
          <cell r="G63">
            <v>1</v>
          </cell>
          <cell r="I63">
            <v>12</v>
          </cell>
          <cell r="J63" t="str">
            <v>KORS</v>
          </cell>
          <cell r="K63">
            <v>35.526986005982657</v>
          </cell>
        </row>
        <row r="64">
          <cell r="E64" t="str">
            <v>ANF</v>
          </cell>
          <cell r="F64">
            <v>-229.75073062217939</v>
          </cell>
          <cell r="G64">
            <v>2</v>
          </cell>
          <cell r="I64">
            <v>15</v>
          </cell>
          <cell r="J64" t="str">
            <v>ANN</v>
          </cell>
          <cell r="K64">
            <v>17.928600935579741</v>
          </cell>
        </row>
        <row r="65">
          <cell r="E65" t="str">
            <v>ANN</v>
          </cell>
          <cell r="F65">
            <v>17.928600935579741</v>
          </cell>
          <cell r="G65">
            <v>3</v>
          </cell>
          <cell r="I65">
            <v>2</v>
          </cell>
          <cell r="J65" t="str">
            <v>URBN</v>
          </cell>
          <cell r="K65">
            <v>5.8273760692074958</v>
          </cell>
        </row>
        <row r="66">
          <cell r="E66" t="str">
            <v>ARO</v>
          </cell>
          <cell r="F66">
            <v>-144.33021731824175</v>
          </cell>
          <cell r="G66">
            <v>4</v>
          </cell>
          <cell r="I66">
            <v>14</v>
          </cell>
          <cell r="J66" t="str">
            <v>TIF</v>
          </cell>
          <cell r="K66">
            <v>2.2493944490369069</v>
          </cell>
        </row>
        <row r="67">
          <cell r="E67" t="str">
            <v>CHS</v>
          </cell>
          <cell r="F67">
            <v>-91.269130837868119</v>
          </cell>
          <cell r="G67">
            <v>5</v>
          </cell>
          <cell r="I67">
            <v>11</v>
          </cell>
          <cell r="J67" t="str">
            <v>TJX</v>
          </cell>
          <cell r="K67">
            <v>1.6085915910753201</v>
          </cell>
        </row>
        <row r="68">
          <cell r="E68" t="str">
            <v>COH</v>
          </cell>
          <cell r="F68">
            <v>-719.22269844079608</v>
          </cell>
          <cell r="G68">
            <v>6</v>
          </cell>
          <cell r="I68">
            <v>16</v>
          </cell>
          <cell r="J68" t="str">
            <v>LULU</v>
          </cell>
          <cell r="K68">
            <v>0.86149604568652727</v>
          </cell>
        </row>
        <row r="69">
          <cell r="E69" t="str">
            <v>EXPR</v>
          </cell>
          <cell r="F69">
            <v>-125.26235376783684</v>
          </cell>
          <cell r="G69">
            <v>7</v>
          </cell>
          <cell r="I69">
            <v>13</v>
          </cell>
          <cell r="J69" t="str">
            <v>LTD</v>
          </cell>
          <cell r="K69">
            <v>-3.4629597101869596</v>
          </cell>
          <cell r="L69" t="str">
            <v>kors</v>
          </cell>
        </row>
        <row r="70">
          <cell r="E70" t="str">
            <v>GPS</v>
          </cell>
          <cell r="F70">
            <v>-15.276650537825176</v>
          </cell>
          <cell r="G70">
            <v>8</v>
          </cell>
          <cell r="I70">
            <v>10</v>
          </cell>
          <cell r="J70" t="str">
            <v>ROST</v>
          </cell>
          <cell r="K70">
            <v>-8.9201321709712893</v>
          </cell>
          <cell r="L70" t="str">
            <v>rost</v>
          </cell>
        </row>
        <row r="71">
          <cell r="E71" t="str">
            <v>KORS</v>
          </cell>
          <cell r="F71">
            <v>35.526986005982657</v>
          </cell>
          <cell r="G71">
            <v>9</v>
          </cell>
          <cell r="I71">
            <v>1</v>
          </cell>
          <cell r="J71" t="str">
            <v>PLCE</v>
          </cell>
          <cell r="K71">
            <v>-12.624278769471086</v>
          </cell>
        </row>
        <row r="72">
          <cell r="E72" t="str">
            <v>LTD</v>
          </cell>
          <cell r="F72">
            <v>-3.4629597101869596</v>
          </cell>
          <cell r="G72">
            <v>10</v>
          </cell>
          <cell r="I72">
            <v>7</v>
          </cell>
          <cell r="J72" t="str">
            <v>GPS</v>
          </cell>
          <cell r="K72">
            <v>-15.276650537825176</v>
          </cell>
        </row>
        <row r="73">
          <cell r="E73" t="str">
            <v>LULU</v>
          </cell>
          <cell r="F73">
            <v>0.86149604568652727</v>
          </cell>
          <cell r="G73">
            <v>11</v>
          </cell>
          <cell r="I73">
            <v>6</v>
          </cell>
          <cell r="J73" t="str">
            <v>CHS</v>
          </cell>
          <cell r="K73">
            <v>-91.269130837868119</v>
          </cell>
        </row>
        <row r="74">
          <cell r="E74" t="str">
            <v>PLCE</v>
          </cell>
          <cell r="F74">
            <v>-12.624278769471086</v>
          </cell>
          <cell r="G74">
            <v>12</v>
          </cell>
          <cell r="I74">
            <v>9</v>
          </cell>
          <cell r="J74" t="str">
            <v>AEO</v>
          </cell>
          <cell r="K74">
            <v>-93.710459448133747</v>
          </cell>
        </row>
        <row r="75">
          <cell r="E75" t="str">
            <v>ROST</v>
          </cell>
          <cell r="F75">
            <v>-8.9201321709712893</v>
          </cell>
          <cell r="G75">
            <v>13</v>
          </cell>
          <cell r="I75">
            <v>8</v>
          </cell>
          <cell r="J75" t="str">
            <v>EXPR</v>
          </cell>
          <cell r="K75">
            <v>-125.26235376783684</v>
          </cell>
        </row>
        <row r="76">
          <cell r="E76" t="str">
            <v>TIF</v>
          </cell>
          <cell r="F76">
            <v>2.2493944490369069</v>
          </cell>
          <cell r="G76">
            <v>14</v>
          </cell>
          <cell r="I76">
            <v>4</v>
          </cell>
          <cell r="J76" t="str">
            <v>ARO</v>
          </cell>
          <cell r="K76">
            <v>-144.33021731824175</v>
          </cell>
        </row>
        <row r="77">
          <cell r="E77" t="str">
            <v>TJX</v>
          </cell>
          <cell r="F77">
            <v>1.6085915910753201</v>
          </cell>
          <cell r="G77">
            <v>15</v>
          </cell>
          <cell r="I77">
            <v>5</v>
          </cell>
          <cell r="J77" t="str">
            <v>ANF</v>
          </cell>
          <cell r="K77">
            <v>-229.75073062217939</v>
          </cell>
        </row>
        <row r="78">
          <cell r="E78" t="str">
            <v>URBN</v>
          </cell>
          <cell r="F78">
            <v>5.8273760692074958</v>
          </cell>
          <cell r="G78">
            <v>16</v>
          </cell>
          <cell r="I78">
            <v>3</v>
          </cell>
          <cell r="J78" t="str">
            <v>COH</v>
          </cell>
          <cell r="K78">
            <v>-719.22269844079608</v>
          </cell>
        </row>
        <row r="80">
          <cell r="B80" t="str">
            <v>2012A (bps)</v>
          </cell>
        </row>
        <row r="81">
          <cell r="E81" t="str">
            <v>AEO</v>
          </cell>
          <cell r="F81">
            <v>100.70763496348944</v>
          </cell>
          <cell r="G81">
            <v>1</v>
          </cell>
          <cell r="I81">
            <v>2</v>
          </cell>
          <cell r="J81" t="str">
            <v>COH</v>
          </cell>
          <cell r="K81">
            <v>632.03159705609062</v>
          </cell>
        </row>
        <row r="82">
          <cell r="E82" t="str">
            <v>ANF</v>
          </cell>
          <cell r="F82">
            <v>25.844540509672441</v>
          </cell>
          <cell r="G82">
            <v>2</v>
          </cell>
          <cell r="I82">
            <v>9</v>
          </cell>
          <cell r="J82" t="str">
            <v>AEO</v>
          </cell>
          <cell r="K82">
            <v>100.70763496348944</v>
          </cell>
        </row>
        <row r="83">
          <cell r="E83" t="str">
            <v>ANN</v>
          </cell>
          <cell r="F83">
            <v>-3.4011620263443842</v>
          </cell>
          <cell r="G83">
            <v>3</v>
          </cell>
          <cell r="I83">
            <v>13</v>
          </cell>
          <cell r="J83" t="str">
            <v>LULU</v>
          </cell>
          <cell r="K83">
            <v>69.100308982571818</v>
          </cell>
        </row>
        <row r="84">
          <cell r="E84" t="str">
            <v>ARO</v>
          </cell>
          <cell r="F84">
            <v>-10.819977328833247</v>
          </cell>
          <cell r="G84">
            <v>4</v>
          </cell>
          <cell r="I84">
            <v>14</v>
          </cell>
          <cell r="J84" t="str">
            <v>GPS</v>
          </cell>
          <cell r="K84">
            <v>55.778851695775231</v>
          </cell>
        </row>
        <row r="85">
          <cell r="E85" t="str">
            <v>CHS</v>
          </cell>
          <cell r="F85">
            <v>41.903595604134146</v>
          </cell>
          <cell r="G85">
            <v>5</v>
          </cell>
          <cell r="I85">
            <v>6</v>
          </cell>
          <cell r="J85" t="str">
            <v>PLCE</v>
          </cell>
          <cell r="K85">
            <v>45.114586184959172</v>
          </cell>
        </row>
        <row r="86">
          <cell r="E86" t="str">
            <v>COH</v>
          </cell>
          <cell r="F86">
            <v>632.03159705609062</v>
          </cell>
          <cell r="G86">
            <v>6</v>
          </cell>
          <cell r="I86">
            <v>1</v>
          </cell>
          <cell r="J86" t="str">
            <v>CHS</v>
          </cell>
          <cell r="K86">
            <v>41.903595604134146</v>
          </cell>
        </row>
        <row r="87">
          <cell r="E87" t="str">
            <v>EXPR</v>
          </cell>
          <cell r="F87">
            <v>-62.346722196883199</v>
          </cell>
          <cell r="G87">
            <v>7</v>
          </cell>
          <cell r="I87">
            <v>16</v>
          </cell>
          <cell r="J87" t="str">
            <v>ROST</v>
          </cell>
          <cell r="K87">
            <v>30.211023114819906</v>
          </cell>
        </row>
        <row r="88">
          <cell r="E88" t="str">
            <v>GPS</v>
          </cell>
          <cell r="F88">
            <v>55.778851695775231</v>
          </cell>
          <cell r="G88">
            <v>8</v>
          </cell>
          <cell r="I88">
            <v>4</v>
          </cell>
          <cell r="J88" t="str">
            <v>KORS</v>
          </cell>
          <cell r="K88">
            <v>29.219519353664847</v>
          </cell>
        </row>
        <row r="89">
          <cell r="E89" t="str">
            <v>KORS</v>
          </cell>
          <cell r="F89">
            <v>29.219519353664847</v>
          </cell>
          <cell r="G89">
            <v>9</v>
          </cell>
          <cell r="I89">
            <v>8</v>
          </cell>
          <cell r="J89" t="str">
            <v>ANF</v>
          </cell>
          <cell r="K89">
            <v>25.844540509672441</v>
          </cell>
        </row>
        <row r="90">
          <cell r="E90" t="str">
            <v>LTD</v>
          </cell>
          <cell r="F90">
            <v>6.5503448747606008</v>
          </cell>
          <cell r="G90">
            <v>10</v>
          </cell>
          <cell r="I90">
            <v>11</v>
          </cell>
          <cell r="J90" t="str">
            <v>TJX</v>
          </cell>
          <cell r="K90">
            <v>20.91967123394857</v>
          </cell>
        </row>
        <row r="91">
          <cell r="E91" t="str">
            <v>LULU</v>
          </cell>
          <cell r="F91">
            <v>69.100308982571818</v>
          </cell>
          <cell r="G91">
            <v>11</v>
          </cell>
          <cell r="I91">
            <v>3</v>
          </cell>
          <cell r="J91" t="str">
            <v>LTD</v>
          </cell>
          <cell r="K91">
            <v>6.5503448747606008</v>
          </cell>
        </row>
        <row r="92">
          <cell r="E92" t="str">
            <v>PLCE</v>
          </cell>
          <cell r="F92">
            <v>45.114586184959172</v>
          </cell>
          <cell r="G92">
            <v>12</v>
          </cell>
          <cell r="I92">
            <v>5</v>
          </cell>
          <cell r="J92" t="str">
            <v>URBN</v>
          </cell>
          <cell r="K92">
            <v>3.6366834208323429</v>
          </cell>
        </row>
        <row r="93">
          <cell r="E93" t="str">
            <v>ROST</v>
          </cell>
          <cell r="F93">
            <v>30.211023114819906</v>
          </cell>
          <cell r="G93">
            <v>13</v>
          </cell>
          <cell r="I93">
            <v>7</v>
          </cell>
          <cell r="J93" t="str">
            <v>ANN</v>
          </cell>
          <cell r="K93">
            <v>-3.4011620263443842</v>
          </cell>
        </row>
        <row r="94">
          <cell r="E94" t="str">
            <v>TIF</v>
          </cell>
          <cell r="F94">
            <v>-35.817442387837822</v>
          </cell>
          <cell r="G94">
            <v>14</v>
          </cell>
          <cell r="I94">
            <v>15</v>
          </cell>
          <cell r="J94" t="str">
            <v>ARO</v>
          </cell>
          <cell r="K94">
            <v>-10.819977328833247</v>
          </cell>
        </row>
        <row r="95">
          <cell r="E95" t="str">
            <v>TJX</v>
          </cell>
          <cell r="F95">
            <v>20.91967123394857</v>
          </cell>
          <cell r="G95">
            <v>15</v>
          </cell>
          <cell r="I95">
            <v>10</v>
          </cell>
          <cell r="J95" t="str">
            <v>TIF</v>
          </cell>
          <cell r="K95">
            <v>-35.817442387837822</v>
          </cell>
        </row>
        <row r="96">
          <cell r="E96" t="str">
            <v>URBN</v>
          </cell>
          <cell r="F96">
            <v>3.6366834208323429</v>
          </cell>
          <cell r="G96">
            <v>16</v>
          </cell>
          <cell r="I96">
            <v>12</v>
          </cell>
          <cell r="J96" t="str">
            <v>EXPR</v>
          </cell>
          <cell r="K96">
            <v>-62.346722196883199</v>
          </cell>
        </row>
        <row r="98">
          <cell r="B98" t="str">
            <v>2011A (bps)</v>
          </cell>
        </row>
        <row r="99">
          <cell r="E99" t="str">
            <v>AEO</v>
          </cell>
          <cell r="F99">
            <v>-10.646652941196793</v>
          </cell>
          <cell r="G99">
            <v>1</v>
          </cell>
          <cell r="I99">
            <v>12</v>
          </cell>
          <cell r="J99" t="str">
            <v>LTD</v>
          </cell>
          <cell r="K99">
            <v>808.95362286616034</v>
          </cell>
        </row>
        <row r="100">
          <cell r="E100" t="str">
            <v>ANF</v>
          </cell>
          <cell r="F100">
            <v>108.97913814203019</v>
          </cell>
          <cell r="G100">
            <v>2</v>
          </cell>
          <cell r="I100">
            <v>2</v>
          </cell>
          <cell r="J100" t="str">
            <v>ANF</v>
          </cell>
          <cell r="K100">
            <v>108.97913814203019</v>
          </cell>
        </row>
        <row r="101">
          <cell r="E101" t="str">
            <v>ANN</v>
          </cell>
          <cell r="F101">
            <v>95.78461854458584</v>
          </cell>
          <cell r="G101">
            <v>3</v>
          </cell>
          <cell r="I101">
            <v>3</v>
          </cell>
          <cell r="J101" t="str">
            <v>ANN</v>
          </cell>
          <cell r="K101">
            <v>95.78461854458584</v>
          </cell>
        </row>
        <row r="102">
          <cell r="E102" t="str">
            <v>ARO</v>
          </cell>
          <cell r="F102">
            <v>-134.18670119102444</v>
          </cell>
          <cell r="G102">
            <v>4</v>
          </cell>
          <cell r="I102">
            <v>16</v>
          </cell>
          <cell r="J102" t="str">
            <v>LULU</v>
          </cell>
          <cell r="K102">
            <v>75.081858688960253</v>
          </cell>
        </row>
        <row r="103">
          <cell r="E103" t="str">
            <v>CHS</v>
          </cell>
          <cell r="F103">
            <v>63.393436058514077</v>
          </cell>
          <cell r="G103">
            <v>5</v>
          </cell>
          <cell r="I103">
            <v>5</v>
          </cell>
          <cell r="J103" t="str">
            <v>CHS</v>
          </cell>
          <cell r="K103">
            <v>63.393436058514077</v>
          </cell>
        </row>
        <row r="104">
          <cell r="E104" t="str">
            <v>COH</v>
          </cell>
          <cell r="F104">
            <v>11.121197831945317</v>
          </cell>
          <cell r="G104">
            <v>6</v>
          </cell>
          <cell r="I104">
            <v>9</v>
          </cell>
          <cell r="J104" t="str">
            <v>EXPR</v>
          </cell>
          <cell r="K104">
            <v>44.579172432415163</v>
          </cell>
        </row>
        <row r="105">
          <cell r="E105" t="str">
            <v>EXPR</v>
          </cell>
          <cell r="F105">
            <v>44.579172432415163</v>
          </cell>
          <cell r="G105">
            <v>7</v>
          </cell>
          <cell r="I105">
            <v>6</v>
          </cell>
          <cell r="J105" t="str">
            <v>KORS</v>
          </cell>
          <cell r="K105">
            <v>35.172886249425218</v>
          </cell>
        </row>
        <row r="106">
          <cell r="E106" t="str">
            <v>GPS</v>
          </cell>
          <cell r="F106">
            <v>-69.657812489629663</v>
          </cell>
          <cell r="G106">
            <v>8</v>
          </cell>
          <cell r="I106">
            <v>15</v>
          </cell>
          <cell r="J106" t="str">
            <v>ROST</v>
          </cell>
          <cell r="K106">
            <v>24.569763953621663</v>
          </cell>
        </row>
        <row r="107">
          <cell r="E107" t="str">
            <v>KORS</v>
          </cell>
          <cell r="F107">
            <v>35.172886249425218</v>
          </cell>
          <cell r="G107">
            <v>9</v>
          </cell>
          <cell r="I107">
            <v>7</v>
          </cell>
          <cell r="J107" t="str">
            <v>COH</v>
          </cell>
          <cell r="K107">
            <v>11.121197831945317</v>
          </cell>
        </row>
        <row r="108">
          <cell r="E108" t="str">
            <v>LTD</v>
          </cell>
          <cell r="F108">
            <v>808.95362286616034</v>
          </cell>
          <cell r="G108">
            <v>10</v>
          </cell>
          <cell r="I108">
            <v>1</v>
          </cell>
          <cell r="J108" t="str">
            <v>TIF</v>
          </cell>
          <cell r="K108">
            <v>11.096419858824397</v>
          </cell>
        </row>
        <row r="109">
          <cell r="E109" t="str">
            <v>LULU</v>
          </cell>
          <cell r="F109">
            <v>75.081858688960253</v>
          </cell>
          <cell r="G109">
            <v>11</v>
          </cell>
          <cell r="I109">
            <v>4</v>
          </cell>
          <cell r="J109" t="str">
            <v>TJX</v>
          </cell>
          <cell r="K109">
            <v>10.16582641933557</v>
          </cell>
        </row>
        <row r="110">
          <cell r="E110" t="str">
            <v>PLCE</v>
          </cell>
          <cell r="F110">
            <v>-11.291254074840552</v>
          </cell>
          <cell r="G110">
            <v>12</v>
          </cell>
          <cell r="I110">
            <v>13</v>
          </cell>
          <cell r="J110" t="str">
            <v>AEO</v>
          </cell>
          <cell r="K110">
            <v>-10.646652941196793</v>
          </cell>
        </row>
        <row r="111">
          <cell r="E111" t="str">
            <v>ROST</v>
          </cell>
          <cell r="F111">
            <v>24.569763953621663</v>
          </cell>
          <cell r="G111">
            <v>13</v>
          </cell>
          <cell r="I111">
            <v>8</v>
          </cell>
          <cell r="J111" t="str">
            <v>PLCE</v>
          </cell>
          <cell r="K111">
            <v>-11.291254074840552</v>
          </cell>
        </row>
        <row r="112">
          <cell r="E112" t="str">
            <v>TIF</v>
          </cell>
          <cell r="F112">
            <v>11.096419858824397</v>
          </cell>
          <cell r="G112">
            <v>14</v>
          </cell>
          <cell r="I112">
            <v>10</v>
          </cell>
          <cell r="J112" t="str">
            <v>URBN</v>
          </cell>
          <cell r="K112">
            <v>-42.935649048453371</v>
          </cell>
        </row>
        <row r="113">
          <cell r="E113" t="str">
            <v>TJX</v>
          </cell>
          <cell r="F113">
            <v>10.16582641933557</v>
          </cell>
          <cell r="G113">
            <v>15</v>
          </cell>
          <cell r="I113">
            <v>11</v>
          </cell>
          <cell r="J113" t="str">
            <v>GPS</v>
          </cell>
          <cell r="K113">
            <v>-69.657812489629663</v>
          </cell>
        </row>
        <row r="114">
          <cell r="E114" t="str">
            <v>URBN</v>
          </cell>
          <cell r="F114">
            <v>-42.935649048453371</v>
          </cell>
          <cell r="G114">
            <v>16</v>
          </cell>
          <cell r="I114">
            <v>14</v>
          </cell>
          <cell r="J114" t="str">
            <v>ARO</v>
          </cell>
          <cell r="K114">
            <v>-134.18670119102444</v>
          </cell>
        </row>
        <row r="117">
          <cell r="B117" t="str">
            <v>Two Year Stacked</v>
          </cell>
        </row>
        <row r="118">
          <cell r="E118" t="str">
            <v>AEO</v>
          </cell>
          <cell r="F118">
            <v>6.9971755153556927</v>
          </cell>
          <cell r="G118">
            <v>1</v>
          </cell>
          <cell r="I118">
            <v>9</v>
          </cell>
          <cell r="J118" t="str">
            <v>LULU</v>
          </cell>
          <cell r="L118">
            <v>69.96180502825834</v>
          </cell>
        </row>
        <row r="119">
          <cell r="E119" t="str">
            <v>ANF</v>
          </cell>
          <cell r="F119">
            <v>-203.90619011250695</v>
          </cell>
          <cell r="G119">
            <v>2</v>
          </cell>
          <cell r="I119">
            <v>16</v>
          </cell>
          <cell r="J119" t="str">
            <v>KORS</v>
          </cell>
          <cell r="L119">
            <v>64.7465053596475</v>
          </cell>
        </row>
        <row r="120">
          <cell r="E120" t="str">
            <v>ANN</v>
          </cell>
          <cell r="F120">
            <v>14.527438909235357</v>
          </cell>
          <cell r="G120">
            <v>3</v>
          </cell>
          <cell r="I120">
            <v>7</v>
          </cell>
          <cell r="J120" t="str">
            <v>GPS</v>
          </cell>
          <cell r="L120">
            <v>40.502201157950054</v>
          </cell>
        </row>
        <row r="121">
          <cell r="E121" t="str">
            <v>ARO</v>
          </cell>
          <cell r="F121">
            <v>-155.15019464707501</v>
          </cell>
          <cell r="G121">
            <v>4</v>
          </cell>
          <cell r="I121">
            <v>14</v>
          </cell>
          <cell r="J121" t="str">
            <v>PLCE</v>
          </cell>
          <cell r="L121">
            <v>32.49030741548809</v>
          </cell>
        </row>
        <row r="122">
          <cell r="E122" t="str">
            <v>CHS</v>
          </cell>
          <cell r="F122">
            <v>-49.365535233733972</v>
          </cell>
          <cell r="G122">
            <v>5</v>
          </cell>
          <cell r="I122">
            <v>12</v>
          </cell>
          <cell r="J122" t="str">
            <v>TJX</v>
          </cell>
          <cell r="L122">
            <v>22.528262825023891</v>
          </cell>
        </row>
        <row r="123">
          <cell r="E123" t="str">
            <v>COH</v>
          </cell>
          <cell r="F123">
            <v>-87.191101384705462</v>
          </cell>
          <cell r="G123">
            <v>6</v>
          </cell>
          <cell r="I123">
            <v>13</v>
          </cell>
          <cell r="J123" t="str">
            <v>ROST</v>
          </cell>
          <cell r="L123">
            <v>21.290890943848616</v>
          </cell>
        </row>
        <row r="124">
          <cell r="E124" t="str">
            <v>EXPR</v>
          </cell>
          <cell r="F124">
            <v>-187.60907596472003</v>
          </cell>
          <cell r="G124">
            <v>7</v>
          </cell>
          <cell r="I124">
            <v>15</v>
          </cell>
          <cell r="J124" t="str">
            <v>ANN</v>
          </cell>
          <cell r="L124">
            <v>14.527438909235357</v>
          </cell>
        </row>
        <row r="125">
          <cell r="E125" t="str">
            <v>GPS</v>
          </cell>
          <cell r="F125">
            <v>40.502201157950054</v>
          </cell>
          <cell r="G125">
            <v>8</v>
          </cell>
          <cell r="I125">
            <v>3</v>
          </cell>
          <cell r="J125" t="str">
            <v>URBN</v>
          </cell>
          <cell r="L125">
            <v>9.4640594900398387</v>
          </cell>
        </row>
        <row r="126">
          <cell r="E126" t="str">
            <v>KORS</v>
          </cell>
          <cell r="F126">
            <v>64.7465053596475</v>
          </cell>
          <cell r="G126">
            <v>9</v>
          </cell>
          <cell r="I126">
            <v>2</v>
          </cell>
          <cell r="J126" t="str">
            <v>AEO</v>
          </cell>
          <cell r="L126">
            <v>6.9971755153556927</v>
          </cell>
        </row>
        <row r="127">
          <cell r="E127" t="str">
            <v>LTD</v>
          </cell>
          <cell r="F127">
            <v>3.0873851645736412</v>
          </cell>
          <cell r="G127">
            <v>10</v>
          </cell>
          <cell r="I127">
            <v>10</v>
          </cell>
          <cell r="J127" t="str">
            <v>LTD</v>
          </cell>
          <cell r="L127">
            <v>3.0873851645736412</v>
          </cell>
        </row>
        <row r="128">
          <cell r="E128" t="str">
            <v>LULU</v>
          </cell>
          <cell r="F128">
            <v>69.96180502825834</v>
          </cell>
          <cell r="G128">
            <v>11</v>
          </cell>
          <cell r="I128">
            <v>1</v>
          </cell>
          <cell r="J128" t="str">
            <v>TIF</v>
          </cell>
          <cell r="L128">
            <v>-33.568047938800916</v>
          </cell>
        </row>
        <row r="129">
          <cell r="E129" t="str">
            <v>PLCE</v>
          </cell>
          <cell r="F129">
            <v>32.49030741548809</v>
          </cell>
          <cell r="G129">
            <v>12</v>
          </cell>
          <cell r="I129">
            <v>4</v>
          </cell>
          <cell r="J129" t="str">
            <v>CHS</v>
          </cell>
          <cell r="L129">
            <v>-49.365535233733972</v>
          </cell>
        </row>
        <row r="130">
          <cell r="E130" t="str">
            <v>ROST</v>
          </cell>
          <cell r="F130">
            <v>21.290890943848616</v>
          </cell>
          <cell r="G130">
            <v>13</v>
          </cell>
          <cell r="I130">
            <v>6</v>
          </cell>
          <cell r="J130" t="str">
            <v>COH</v>
          </cell>
          <cell r="L130">
            <v>-87.191101384705462</v>
          </cell>
        </row>
        <row r="131">
          <cell r="E131" t="str">
            <v>TIF</v>
          </cell>
          <cell r="F131">
            <v>-33.568047938800916</v>
          </cell>
          <cell r="G131">
            <v>14</v>
          </cell>
          <cell r="I131">
            <v>11</v>
          </cell>
          <cell r="J131" t="str">
            <v>ARO</v>
          </cell>
          <cell r="L131">
            <v>-155.15019464707501</v>
          </cell>
        </row>
        <row r="132">
          <cell r="E132" t="str">
            <v>TJX</v>
          </cell>
          <cell r="F132">
            <v>22.528262825023891</v>
          </cell>
          <cell r="G132">
            <v>15</v>
          </cell>
          <cell r="I132">
            <v>5</v>
          </cell>
          <cell r="J132" t="str">
            <v>EXPR</v>
          </cell>
          <cell r="L132">
            <v>-187.60907596472003</v>
          </cell>
        </row>
        <row r="133">
          <cell r="E133" t="str">
            <v>URBN</v>
          </cell>
          <cell r="F133">
            <v>9.4640594900398387</v>
          </cell>
          <cell r="G133">
            <v>16</v>
          </cell>
          <cell r="I133">
            <v>8</v>
          </cell>
          <cell r="J133" t="str">
            <v>ANF</v>
          </cell>
          <cell r="L133">
            <v>-203.90619011250695</v>
          </cell>
        </row>
      </sheetData>
      <sheetData sheetId="10">
        <row r="7">
          <cell r="E7" t="str">
            <v>Sort by</v>
          </cell>
        </row>
        <row r="8">
          <cell r="E8" t="str">
            <v>Descending</v>
          </cell>
        </row>
        <row r="9">
          <cell r="A9" t="str">
            <v>2012</v>
          </cell>
          <cell r="B9" t="str">
            <v>2013</v>
          </cell>
          <cell r="C9">
            <v>2</v>
          </cell>
          <cell r="D9">
            <v>27</v>
          </cell>
          <cell r="E9">
            <v>27</v>
          </cell>
        </row>
        <row r="10">
          <cell r="D10" t="str">
            <v>2012A Leverage</v>
          </cell>
          <cell r="E10" t="str">
            <v>2013E Leverage</v>
          </cell>
        </row>
        <row r="11">
          <cell r="A11" t="str">
            <v>AEO2012</v>
          </cell>
          <cell r="B11" t="str">
            <v>AEO2013</v>
          </cell>
          <cell r="C11" t="str">
            <v>AEO</v>
          </cell>
          <cell r="D11">
            <v>100.70763496348944</v>
          </cell>
          <cell r="E11">
            <v>-93.710459448133747</v>
          </cell>
        </row>
        <row r="12">
          <cell r="A12" t="str">
            <v>ANF2012</v>
          </cell>
          <cell r="B12" t="str">
            <v>ANF2013</v>
          </cell>
          <cell r="C12" t="str">
            <v>ANF</v>
          </cell>
          <cell r="D12">
            <v>25.844540509672441</v>
          </cell>
          <cell r="E12">
            <v>-229.75073062217939</v>
          </cell>
        </row>
        <row r="13">
          <cell r="A13" t="str">
            <v>ANN2012</v>
          </cell>
          <cell r="B13" t="str">
            <v>ANN2013</v>
          </cell>
          <cell r="C13" t="str">
            <v>ANN</v>
          </cell>
          <cell r="D13">
            <v>-3.4011620263443842</v>
          </cell>
          <cell r="E13">
            <v>17.928600935579741</v>
          </cell>
        </row>
        <row r="14">
          <cell r="A14" t="str">
            <v>ARO2012</v>
          </cell>
          <cell r="B14" t="str">
            <v>ARO2013</v>
          </cell>
          <cell r="C14" t="str">
            <v>ARO</v>
          </cell>
          <cell r="D14">
            <v>-10.819977328833247</v>
          </cell>
          <cell r="E14">
            <v>-144.33021731824175</v>
          </cell>
        </row>
        <row r="15">
          <cell r="A15" t="str">
            <v>CHS2012</v>
          </cell>
          <cell r="B15" t="str">
            <v>CHS2013</v>
          </cell>
          <cell r="C15" t="str">
            <v>CHS</v>
          </cell>
          <cell r="D15">
            <v>41.903595604134146</v>
          </cell>
          <cell r="E15">
            <v>-91.269130837868119</v>
          </cell>
        </row>
        <row r="16">
          <cell r="A16" t="str">
            <v>COH2012</v>
          </cell>
          <cell r="B16" t="str">
            <v>COH2013</v>
          </cell>
          <cell r="C16" t="str">
            <v>COH</v>
          </cell>
          <cell r="D16">
            <v>632.03159705609062</v>
          </cell>
          <cell r="E16">
            <v>-719.22269844079608</v>
          </cell>
        </row>
        <row r="17">
          <cell r="A17" t="str">
            <v>EXPR2012</v>
          </cell>
          <cell r="B17" t="str">
            <v>EXPR2013</v>
          </cell>
          <cell r="C17" t="str">
            <v>EXPR</v>
          </cell>
          <cell r="D17">
            <v>-62.346722196883199</v>
          </cell>
          <cell r="E17">
            <v>-125.26235376783684</v>
          </cell>
        </row>
        <row r="18">
          <cell r="A18" t="str">
            <v>GPS2012</v>
          </cell>
          <cell r="B18" t="str">
            <v>GPS2013</v>
          </cell>
          <cell r="C18" t="str">
            <v>GPS</v>
          </cell>
          <cell r="D18">
            <v>55.778851695775231</v>
          </cell>
          <cell r="E18">
            <v>-15.276650537825176</v>
          </cell>
        </row>
        <row r="19">
          <cell r="A19" t="str">
            <v>KORS2012</v>
          </cell>
          <cell r="B19" t="str">
            <v>KORS2013</v>
          </cell>
          <cell r="C19" t="str">
            <v>KORS</v>
          </cell>
          <cell r="D19">
            <v>29.219519353664847</v>
          </cell>
          <cell r="E19">
            <v>35.526986005982657</v>
          </cell>
        </row>
        <row r="20">
          <cell r="A20" t="str">
            <v>LTD2012</v>
          </cell>
          <cell r="B20" t="str">
            <v>LTD2013</v>
          </cell>
          <cell r="C20" t="str">
            <v>LTD</v>
          </cell>
          <cell r="D20">
            <v>6.5503448747606008</v>
          </cell>
          <cell r="E20">
            <v>-3.4629597101869596</v>
          </cell>
        </row>
        <row r="21">
          <cell r="A21" t="str">
            <v>LULU2012</v>
          </cell>
          <cell r="B21" t="str">
            <v>LULU2013</v>
          </cell>
          <cell r="C21" t="str">
            <v>LULU</v>
          </cell>
          <cell r="D21">
            <v>69.100308982571818</v>
          </cell>
          <cell r="E21">
            <v>0.86149604568652727</v>
          </cell>
        </row>
        <row r="22">
          <cell r="A22" t="str">
            <v>PLCE2012</v>
          </cell>
          <cell r="B22" t="str">
            <v>PLCE2013</v>
          </cell>
          <cell r="C22" t="str">
            <v>PLCE</v>
          </cell>
          <cell r="D22">
            <v>45.114586184959172</v>
          </cell>
          <cell r="E22">
            <v>-12.624278769471086</v>
          </cell>
        </row>
        <row r="23">
          <cell r="A23" t="str">
            <v>ROST2012</v>
          </cell>
          <cell r="B23" t="str">
            <v>ROST2013</v>
          </cell>
          <cell r="C23" t="str">
            <v>ROST</v>
          </cell>
          <cell r="D23">
            <v>30.211023114819906</v>
          </cell>
          <cell r="E23">
            <v>-8.9201321709712893</v>
          </cell>
        </row>
        <row r="24">
          <cell r="A24" t="str">
            <v>TIF2012</v>
          </cell>
          <cell r="B24" t="str">
            <v>TIF2013</v>
          </cell>
          <cell r="C24" t="str">
            <v>TIF</v>
          </cell>
          <cell r="D24">
            <v>-35.817442387837822</v>
          </cell>
          <cell r="E24">
            <v>2.2493944490369069</v>
          </cell>
        </row>
        <row r="25">
          <cell r="A25" t="str">
            <v>TJX2012</v>
          </cell>
          <cell r="B25" t="str">
            <v>TJX2013</v>
          </cell>
          <cell r="C25" t="str">
            <v>TJX</v>
          </cell>
          <cell r="D25">
            <v>20.91967123394857</v>
          </cell>
          <cell r="E25">
            <v>1.6085915910753201</v>
          </cell>
        </row>
        <row r="26">
          <cell r="A26" t="str">
            <v>URBN2012</v>
          </cell>
          <cell r="B26" t="str">
            <v>URBN2013</v>
          </cell>
          <cell r="C26" t="str">
            <v>URBN</v>
          </cell>
          <cell r="D26">
            <v>3.6366834208323429</v>
          </cell>
          <cell r="E26">
            <v>5.8273760692074958</v>
          </cell>
        </row>
        <row r="32">
          <cell r="B32" t="str">
            <v>2013E Leverage</v>
          </cell>
          <cell r="F32" t="str">
            <v>2013E Leverage</v>
          </cell>
          <cell r="G32" t="str">
            <v>2012A Leverage</v>
          </cell>
        </row>
        <row r="33">
          <cell r="A33" t="str">
            <v>AEO</v>
          </cell>
          <cell r="B33">
            <v>-93.710459448133747</v>
          </cell>
          <cell r="C33">
            <v>1</v>
          </cell>
          <cell r="D33">
            <v>12</v>
          </cell>
          <cell r="E33" t="str">
            <v>KORS</v>
          </cell>
          <cell r="F33">
            <v>35.526986005982657</v>
          </cell>
          <cell r="G33">
            <v>29.219519353664847</v>
          </cell>
        </row>
        <row r="34">
          <cell r="A34" t="str">
            <v>ANF</v>
          </cell>
          <cell r="B34">
            <v>-229.75073062217939</v>
          </cell>
          <cell r="C34">
            <v>2</v>
          </cell>
          <cell r="D34">
            <v>15</v>
          </cell>
          <cell r="E34" t="str">
            <v>ANN</v>
          </cell>
          <cell r="F34">
            <v>17.928600935579741</v>
          </cell>
          <cell r="G34">
            <v>-3.4011620263443842</v>
          </cell>
          <cell r="M34" t="str">
            <v>2012A Leverage</v>
          </cell>
          <cell r="N34" t="str">
            <v>2013E Leverage</v>
          </cell>
        </row>
        <row r="35">
          <cell r="A35" t="str">
            <v>ANN</v>
          </cell>
          <cell r="B35">
            <v>17.928600935579741</v>
          </cell>
          <cell r="C35">
            <v>3</v>
          </cell>
          <cell r="D35">
            <v>2</v>
          </cell>
          <cell r="E35" t="str">
            <v>URBN</v>
          </cell>
          <cell r="F35">
            <v>5.8273760692074958</v>
          </cell>
          <cell r="G35">
            <v>3.6366834208323429</v>
          </cell>
          <cell r="L35" t="str">
            <v>KORS</v>
          </cell>
          <cell r="M35">
            <v>29.219519353664847</v>
          </cell>
          <cell r="N35">
            <v>35.526986005982657</v>
          </cell>
        </row>
        <row r="36">
          <cell r="A36" t="str">
            <v>ARO</v>
          </cell>
          <cell r="B36">
            <v>-144.33021731824175</v>
          </cell>
          <cell r="C36">
            <v>4</v>
          </cell>
          <cell r="D36">
            <v>14</v>
          </cell>
          <cell r="E36" t="str">
            <v>TIF</v>
          </cell>
          <cell r="F36">
            <v>2.2493944490369069</v>
          </cell>
          <cell r="G36">
            <v>-35.817442387837822</v>
          </cell>
          <cell r="L36" t="str">
            <v>ANN</v>
          </cell>
          <cell r="M36">
            <v>-3.4011620263443842</v>
          </cell>
          <cell r="N36">
            <v>17.928600935579741</v>
          </cell>
        </row>
        <row r="37">
          <cell r="A37" t="str">
            <v>CHS</v>
          </cell>
          <cell r="B37">
            <v>-91.269130837868119</v>
          </cell>
          <cell r="C37">
            <v>5</v>
          </cell>
          <cell r="D37">
            <v>11</v>
          </cell>
          <cell r="E37" t="str">
            <v>TJX</v>
          </cell>
          <cell r="F37">
            <v>1.6085915910753201</v>
          </cell>
          <cell r="G37">
            <v>20.91967123394857</v>
          </cell>
          <cell r="L37" t="str">
            <v>URBN</v>
          </cell>
          <cell r="M37">
            <v>3.6366834208323429</v>
          </cell>
          <cell r="N37">
            <v>5.8273760692074958</v>
          </cell>
        </row>
        <row r="38">
          <cell r="A38" t="str">
            <v>COH</v>
          </cell>
          <cell r="B38">
            <v>-719.22269844079608</v>
          </cell>
          <cell r="C38">
            <v>6</v>
          </cell>
          <cell r="D38">
            <v>16</v>
          </cell>
          <cell r="E38" t="str">
            <v>LULU</v>
          </cell>
          <cell r="F38">
            <v>0.86149604568652727</v>
          </cell>
          <cell r="G38">
            <v>69.100308982571818</v>
          </cell>
          <cell r="L38" t="str">
            <v>TIF</v>
          </cell>
          <cell r="M38">
            <v>-35.817442387837822</v>
          </cell>
          <cell r="N38">
            <v>2.2493944490369069</v>
          </cell>
        </row>
        <row r="39">
          <cell r="A39" t="str">
            <v>EXPR</v>
          </cell>
          <cell r="B39">
            <v>-125.26235376783684</v>
          </cell>
          <cell r="C39">
            <v>7</v>
          </cell>
          <cell r="D39">
            <v>13</v>
          </cell>
          <cell r="E39" t="str">
            <v>LTD</v>
          </cell>
          <cell r="F39">
            <v>-3.4629597101869596</v>
          </cell>
          <cell r="G39">
            <v>6.5503448747606008</v>
          </cell>
          <cell r="L39" t="str">
            <v>TJX</v>
          </cell>
          <cell r="M39">
            <v>20.91967123394857</v>
          </cell>
          <cell r="N39">
            <v>1.6085915910753201</v>
          </cell>
        </row>
        <row r="40">
          <cell r="A40" t="str">
            <v>GPS</v>
          </cell>
          <cell r="B40">
            <v>-15.276650537825176</v>
          </cell>
          <cell r="C40">
            <v>8</v>
          </cell>
          <cell r="D40">
            <v>10</v>
          </cell>
          <cell r="E40" t="str">
            <v>ROST</v>
          </cell>
          <cell r="F40">
            <v>-8.9201321709712893</v>
          </cell>
          <cell r="G40">
            <v>30.211023114819906</v>
          </cell>
          <cell r="L40" t="str">
            <v>LULU</v>
          </cell>
          <cell r="M40">
            <v>69.100308982571818</v>
          </cell>
          <cell r="N40">
            <v>0.86149604568652727</v>
          </cell>
        </row>
        <row r="41">
          <cell r="A41" t="str">
            <v>KORS</v>
          </cell>
          <cell r="B41">
            <v>35.526986005982657</v>
          </cell>
          <cell r="C41">
            <v>9</v>
          </cell>
          <cell r="D41">
            <v>1</v>
          </cell>
          <cell r="E41" t="str">
            <v>PLCE</v>
          </cell>
          <cell r="F41">
            <v>-12.624278769471086</v>
          </cell>
          <cell r="G41">
            <v>45.114586184959172</v>
          </cell>
          <cell r="L41" t="str">
            <v>LTD</v>
          </cell>
          <cell r="M41">
            <v>6.5503448747606008</v>
          </cell>
          <cell r="N41">
            <v>-3.4629597101869596</v>
          </cell>
        </row>
        <row r="42">
          <cell r="A42" t="str">
            <v>LTD</v>
          </cell>
          <cell r="B42">
            <v>-3.4629597101869596</v>
          </cell>
          <cell r="C42">
            <v>10</v>
          </cell>
          <cell r="D42">
            <v>7</v>
          </cell>
          <cell r="E42" t="str">
            <v>GPS</v>
          </cell>
          <cell r="F42">
            <v>-15.276650537825176</v>
          </cell>
          <cell r="G42">
            <v>55.778851695775231</v>
          </cell>
          <cell r="L42" t="str">
            <v>ROST</v>
          </cell>
          <cell r="M42">
            <v>30.211023114819906</v>
          </cell>
          <cell r="N42">
            <v>-8.9201321709712893</v>
          </cell>
        </row>
        <row r="43">
          <cell r="A43" t="str">
            <v>LULU</v>
          </cell>
          <cell r="B43">
            <v>0.86149604568652727</v>
          </cell>
          <cell r="C43">
            <v>11</v>
          </cell>
          <cell r="D43">
            <v>6</v>
          </cell>
          <cell r="E43" t="str">
            <v>CHS</v>
          </cell>
          <cell r="F43">
            <v>-91.269130837868119</v>
          </cell>
          <cell r="G43">
            <v>41.903595604134146</v>
          </cell>
          <cell r="L43" t="str">
            <v>PLCE</v>
          </cell>
          <cell r="M43">
            <v>45.114586184959172</v>
          </cell>
          <cell r="N43">
            <v>-12.624278769471086</v>
          </cell>
        </row>
        <row r="44">
          <cell r="A44" t="str">
            <v>PLCE</v>
          </cell>
          <cell r="B44">
            <v>-12.624278769471086</v>
          </cell>
          <cell r="C44">
            <v>12</v>
          </cell>
          <cell r="D44">
            <v>9</v>
          </cell>
          <cell r="E44" t="str">
            <v>AEO</v>
          </cell>
          <cell r="F44">
            <v>-93.710459448133747</v>
          </cell>
          <cell r="G44">
            <v>100.70763496348944</v>
          </cell>
          <cell r="L44" t="str">
            <v>GPS</v>
          </cell>
          <cell r="M44">
            <v>55.778851695775231</v>
          </cell>
          <cell r="N44">
            <v>-15.276650537825176</v>
          </cell>
        </row>
        <row r="45">
          <cell r="A45" t="str">
            <v>ROST</v>
          </cell>
          <cell r="B45">
            <v>-8.9201321709712893</v>
          </cell>
          <cell r="C45">
            <v>13</v>
          </cell>
          <cell r="D45">
            <v>8</v>
          </cell>
          <cell r="E45" t="str">
            <v>EXPR</v>
          </cell>
          <cell r="F45">
            <v>-125.26235376783684</v>
          </cell>
          <cell r="G45">
            <v>-62.346722196883199</v>
          </cell>
          <cell r="L45" t="str">
            <v>CHS</v>
          </cell>
          <cell r="M45">
            <v>41.903595604134146</v>
          </cell>
          <cell r="N45">
            <v>-91.269130837868119</v>
          </cell>
        </row>
        <row r="46">
          <cell r="A46" t="str">
            <v>TIF</v>
          </cell>
          <cell r="B46">
            <v>2.2493944490369069</v>
          </cell>
          <cell r="C46">
            <v>14</v>
          </cell>
          <cell r="D46">
            <v>4</v>
          </cell>
          <cell r="E46" t="str">
            <v>ARO</v>
          </cell>
          <cell r="F46">
            <v>-144.33021731824175</v>
          </cell>
          <cell r="G46">
            <v>-10.819977328833247</v>
          </cell>
          <cell r="L46" t="str">
            <v>AEO</v>
          </cell>
          <cell r="M46">
            <v>100.70763496348944</v>
          </cell>
          <cell r="N46">
            <v>-93.710459448133747</v>
          </cell>
        </row>
        <row r="47">
          <cell r="A47" t="str">
            <v>TJX</v>
          </cell>
          <cell r="B47">
            <v>1.6085915910753201</v>
          </cell>
          <cell r="C47">
            <v>15</v>
          </cell>
          <cell r="D47">
            <v>5</v>
          </cell>
          <cell r="E47" t="str">
            <v>ANF</v>
          </cell>
          <cell r="F47">
            <v>-229.75073062217939</v>
          </cell>
          <cell r="G47">
            <v>25.844540509672441</v>
          </cell>
          <cell r="L47" t="str">
            <v>EXPR</v>
          </cell>
          <cell r="M47">
            <v>-62.346722196883199</v>
          </cell>
          <cell r="N47">
            <v>-125.26235376783684</v>
          </cell>
        </row>
        <row r="48">
          <cell r="A48" t="str">
            <v>URBN</v>
          </cell>
          <cell r="B48">
            <v>5.8273760692074958</v>
          </cell>
          <cell r="C48">
            <v>16</v>
          </cell>
          <cell r="D48">
            <v>3</v>
          </cell>
          <cell r="E48" t="str">
            <v>COH</v>
          </cell>
          <cell r="F48">
            <v>-719.22269844079608</v>
          </cell>
          <cell r="G48">
            <v>632.03159705609062</v>
          </cell>
          <cell r="L48" t="str">
            <v>ARO</v>
          </cell>
          <cell r="M48">
            <v>-10.819977328833247</v>
          </cell>
          <cell r="N48">
            <v>-144.33021731824175</v>
          </cell>
        </row>
        <row r="49">
          <cell r="L49" t="str">
            <v>ANF</v>
          </cell>
          <cell r="M49">
            <v>25.844540509672441</v>
          </cell>
          <cell r="N49">
            <v>-229.75073062217939</v>
          </cell>
        </row>
        <row r="50">
          <cell r="L50" t="str">
            <v>COH</v>
          </cell>
          <cell r="M50">
            <v>632.03159705609062</v>
          </cell>
          <cell r="N50">
            <v>-719.22269844079608</v>
          </cell>
        </row>
      </sheetData>
      <sheetData sheetId="11">
        <row r="2">
          <cell r="D2">
            <v>1997</v>
          </cell>
          <cell r="E2">
            <v>1998</v>
          </cell>
          <cell r="F2">
            <v>1999</v>
          </cell>
          <cell r="G2">
            <v>2000</v>
          </cell>
          <cell r="H2">
            <v>2001</v>
          </cell>
          <cell r="I2">
            <v>2002</v>
          </cell>
          <cell r="J2">
            <v>2003</v>
          </cell>
          <cell r="K2">
            <v>2004</v>
          </cell>
          <cell r="L2">
            <v>2005</v>
          </cell>
          <cell r="M2">
            <v>2006</v>
          </cell>
          <cell r="N2">
            <v>2007</v>
          </cell>
          <cell r="O2">
            <v>2008</v>
          </cell>
          <cell r="P2">
            <v>2009</v>
          </cell>
          <cell r="Q2">
            <v>2010</v>
          </cell>
          <cell r="R2">
            <v>2011</v>
          </cell>
          <cell r="S2" t="str">
            <v>2012E</v>
          </cell>
          <cell r="T2" t="str">
            <v>2013E</v>
          </cell>
          <cell r="U2" t="str">
            <v>2014E</v>
          </cell>
          <cell r="V2" t="str">
            <v>2015E</v>
          </cell>
          <cell r="W2" t="str">
            <v>2013e-2015e</v>
          </cell>
        </row>
        <row r="3">
          <cell r="B3" t="str">
            <v>AEO</v>
          </cell>
          <cell r="C3" t="str">
            <v>End of Year # Stores</v>
          </cell>
          <cell r="D3">
            <v>332</v>
          </cell>
          <cell r="E3">
            <v>386</v>
          </cell>
          <cell r="F3">
            <v>466</v>
          </cell>
          <cell r="G3">
            <v>554</v>
          </cell>
          <cell r="H3">
            <v>678</v>
          </cell>
          <cell r="I3">
            <v>753</v>
          </cell>
          <cell r="J3">
            <v>805</v>
          </cell>
          <cell r="K3">
            <v>846</v>
          </cell>
          <cell r="L3">
            <v>0</v>
          </cell>
          <cell r="M3">
            <v>0</v>
          </cell>
          <cell r="N3">
            <v>987</v>
          </cell>
          <cell r="O3">
            <v>1098</v>
          </cell>
          <cell r="P3">
            <v>1103</v>
          </cell>
          <cell r="Q3">
            <v>1077</v>
          </cell>
          <cell r="R3">
            <v>1069</v>
          </cell>
          <cell r="S3">
            <v>1044</v>
          </cell>
          <cell r="T3">
            <v>1054</v>
          </cell>
          <cell r="U3">
            <v>-21</v>
          </cell>
          <cell r="V3">
            <v>-20</v>
          </cell>
          <cell r="W3" t="str">
            <v xml:space="preserve">Est. Renewal + New </v>
          </cell>
        </row>
        <row r="4">
          <cell r="C4" t="str">
            <v>New Store Openings</v>
          </cell>
          <cell r="D4">
            <v>36</v>
          </cell>
          <cell r="E4">
            <v>56</v>
          </cell>
          <cell r="F4">
            <v>80</v>
          </cell>
          <cell r="G4">
            <v>90</v>
          </cell>
          <cell r="H4">
            <v>127</v>
          </cell>
          <cell r="I4">
            <v>79</v>
          </cell>
          <cell r="J4">
            <v>59</v>
          </cell>
          <cell r="K4">
            <v>50</v>
          </cell>
          <cell r="L4">
            <v>36</v>
          </cell>
          <cell r="M4">
            <v>50</v>
          </cell>
          <cell r="N4">
            <v>80</v>
          </cell>
          <cell r="O4">
            <v>122</v>
          </cell>
          <cell r="P4">
            <v>29</v>
          </cell>
          <cell r="Q4">
            <v>34</v>
          </cell>
          <cell r="R4">
            <v>33</v>
          </cell>
          <cell r="S4">
            <v>17</v>
          </cell>
          <cell r="T4">
            <v>50</v>
          </cell>
          <cell r="U4">
            <v>60</v>
          </cell>
          <cell r="V4">
            <v>26</v>
          </cell>
          <cell r="W4" t="str">
            <v>Stores as % of Total</v>
          </cell>
        </row>
        <row r="5">
          <cell r="C5" t="str">
            <v>Store Closings</v>
          </cell>
          <cell r="D5">
            <v>7</v>
          </cell>
          <cell r="E5">
            <v>2</v>
          </cell>
          <cell r="F5">
            <v>0</v>
          </cell>
          <cell r="G5">
            <v>2</v>
          </cell>
          <cell r="H5">
            <v>3</v>
          </cell>
          <cell r="I5">
            <v>4</v>
          </cell>
          <cell r="J5">
            <v>7</v>
          </cell>
          <cell r="K5">
            <v>9</v>
          </cell>
          <cell r="L5">
            <v>13</v>
          </cell>
          <cell r="M5">
            <v>8</v>
          </cell>
          <cell r="N5">
            <v>4</v>
          </cell>
          <cell r="O5">
            <v>11</v>
          </cell>
          <cell r="P5">
            <v>24</v>
          </cell>
          <cell r="Q5">
            <v>51</v>
          </cell>
          <cell r="R5">
            <v>29</v>
          </cell>
          <cell r="S5">
            <v>41</v>
          </cell>
          <cell r="T5">
            <v>40</v>
          </cell>
          <cell r="U5">
            <v>49</v>
          </cell>
          <cell r="V5">
            <v>50</v>
          </cell>
        </row>
        <row r="6">
          <cell r="C6" t="str">
            <v xml:space="preserve">Stores Up for Negotation as a % of Total </v>
          </cell>
          <cell r="T6">
            <v>0.10341555977229601</v>
          </cell>
          <cell r="U6">
            <v>-5.2380952380952381</v>
          </cell>
          <cell r="V6">
            <v>-3.1</v>
          </cell>
          <cell r="W6">
            <v>-8.2346796783229426</v>
          </cell>
          <cell r="Y6" t="str">
            <v>GPS2009</v>
          </cell>
          <cell r="Z6">
            <v>0.44999999999999996</v>
          </cell>
          <cell r="AB6" t="str">
            <v>GPS</v>
          </cell>
          <cell r="AC6">
            <v>0.6</v>
          </cell>
          <cell r="AE6" t="str">
            <v>GPS</v>
          </cell>
          <cell r="AF6" t="str">
            <v xml:space="preserve">GPS </v>
          </cell>
        </row>
        <row r="7">
          <cell r="C7" t="str">
            <v>Gross Square Footage</v>
          </cell>
          <cell r="D7">
            <v>1.3933610000000001</v>
          </cell>
          <cell r="E7">
            <v>1.624933</v>
          </cell>
          <cell r="F7">
            <v>2.03938</v>
          </cell>
          <cell r="G7">
            <v>2.5968629999999999</v>
          </cell>
          <cell r="H7">
            <v>3.3346939999999998</v>
          </cell>
          <cell r="I7">
            <v>3.8174419999999998</v>
          </cell>
          <cell r="J7">
            <v>4.2394970000000001</v>
          </cell>
          <cell r="K7">
            <v>4.540095</v>
          </cell>
          <cell r="L7">
            <v>4.7724869999999999</v>
          </cell>
          <cell r="M7">
            <v>5.1730650000000002</v>
          </cell>
          <cell r="N7">
            <v>5.7099320000000002</v>
          </cell>
          <cell r="O7">
            <v>6.3281669999999997</v>
          </cell>
          <cell r="P7">
            <v>6.2153549999999997</v>
          </cell>
          <cell r="Q7">
            <v>6.2884250000000002</v>
          </cell>
          <cell r="R7">
            <v>6.2902839999999998</v>
          </cell>
          <cell r="S7">
            <v>6.2032780000000001</v>
          </cell>
          <cell r="T7">
            <v>6.2632779999999997</v>
          </cell>
          <cell r="U7">
            <v>6.3254780000000004</v>
          </cell>
          <cell r="V7">
            <v>6.3876780000000011</v>
          </cell>
        </row>
        <row r="8">
          <cell r="B8" t="str">
            <v>ANF</v>
          </cell>
          <cell r="C8" t="str">
            <v>End of Year # Stores</v>
          </cell>
          <cell r="D8">
            <v>156</v>
          </cell>
          <cell r="E8">
            <v>196</v>
          </cell>
          <cell r="F8">
            <v>250</v>
          </cell>
          <cell r="G8">
            <v>354</v>
          </cell>
          <cell r="H8">
            <v>491</v>
          </cell>
          <cell r="I8">
            <v>597</v>
          </cell>
          <cell r="J8">
            <v>700</v>
          </cell>
          <cell r="K8">
            <v>788</v>
          </cell>
          <cell r="L8">
            <v>851</v>
          </cell>
          <cell r="M8">
            <v>944</v>
          </cell>
          <cell r="N8">
            <v>1035</v>
          </cell>
          <cell r="O8">
            <v>1125</v>
          </cell>
          <cell r="P8">
            <v>1097</v>
          </cell>
          <cell r="Q8">
            <v>1069</v>
          </cell>
          <cell r="R8">
            <v>1041</v>
          </cell>
          <cell r="S8">
            <v>1041</v>
          </cell>
          <cell r="T8">
            <v>1026</v>
          </cell>
          <cell r="U8">
            <v>961</v>
          </cell>
          <cell r="V8">
            <v>932</v>
          </cell>
          <cell r="W8" t="str">
            <v xml:space="preserve">Est. Renewal + New </v>
          </cell>
          <cell r="Y8" t="str">
            <v>LTD2009</v>
          </cell>
          <cell r="Z8">
            <v>0.10411835764549821</v>
          </cell>
          <cell r="AB8" t="str">
            <v>PLCE</v>
          </cell>
          <cell r="AC8">
            <v>0.4606230830142336</v>
          </cell>
          <cell r="AE8" t="str">
            <v>PLCE</v>
          </cell>
        </row>
        <row r="9">
          <cell r="C9" t="str">
            <v>New Store Openings</v>
          </cell>
          <cell r="D9">
            <v>30</v>
          </cell>
          <cell r="E9">
            <v>41</v>
          </cell>
          <cell r="F9">
            <v>54</v>
          </cell>
          <cell r="G9">
            <v>104</v>
          </cell>
          <cell r="H9">
            <v>138</v>
          </cell>
          <cell r="I9">
            <v>112</v>
          </cell>
          <cell r="J9">
            <v>106</v>
          </cell>
          <cell r="K9">
            <v>109</v>
          </cell>
          <cell r="L9">
            <v>81</v>
          </cell>
          <cell r="M9">
            <v>104</v>
          </cell>
          <cell r="N9">
            <v>99</v>
          </cell>
          <cell r="O9">
            <v>97</v>
          </cell>
          <cell r="P9">
            <v>22</v>
          </cell>
          <cell r="Q9">
            <v>37</v>
          </cell>
          <cell r="R9">
            <v>46</v>
          </cell>
          <cell r="S9">
            <v>47</v>
          </cell>
          <cell r="T9">
            <v>23</v>
          </cell>
          <cell r="U9">
            <v>21</v>
          </cell>
          <cell r="V9">
            <v>30</v>
          </cell>
          <cell r="W9" t="str">
            <v>Stores as % of Total</v>
          </cell>
          <cell r="Y9" t="str">
            <v>TLB2009</v>
          </cell>
          <cell r="Z9">
            <v>0.20357470611216757</v>
          </cell>
          <cell r="AB9" t="str">
            <v>URBN</v>
          </cell>
          <cell r="AC9">
            <v>0.41715569113610479</v>
          </cell>
          <cell r="AE9" t="str">
            <v>URBN</v>
          </cell>
        </row>
        <row r="10">
          <cell r="C10" t="str">
            <v>Store Closings</v>
          </cell>
          <cell r="D10">
            <v>1</v>
          </cell>
          <cell r="E10">
            <v>1</v>
          </cell>
          <cell r="F10">
            <v>0</v>
          </cell>
          <cell r="G10">
            <v>0</v>
          </cell>
          <cell r="H10">
            <v>1</v>
          </cell>
          <cell r="I10">
            <v>6</v>
          </cell>
          <cell r="J10">
            <v>3</v>
          </cell>
          <cell r="K10">
            <v>21</v>
          </cell>
          <cell r="L10">
            <v>22</v>
          </cell>
          <cell r="M10">
            <v>13</v>
          </cell>
          <cell r="N10">
            <v>6</v>
          </cell>
          <cell r="O10">
            <v>10</v>
          </cell>
          <cell r="P10">
            <v>51</v>
          </cell>
          <cell r="Q10">
            <v>65</v>
          </cell>
          <cell r="R10">
            <v>74</v>
          </cell>
          <cell r="S10">
            <v>47</v>
          </cell>
          <cell r="T10">
            <v>50</v>
          </cell>
          <cell r="U10">
            <v>66</v>
          </cell>
          <cell r="V10">
            <v>59</v>
          </cell>
        </row>
        <row r="11">
          <cell r="C11" t="str">
            <v xml:space="preserve">Stores Up for Negotation as a % of Total </v>
          </cell>
          <cell r="T11">
            <v>0.12573099415204678</v>
          </cell>
          <cell r="U11">
            <v>0.13527575442247658</v>
          </cell>
          <cell r="V11">
            <v>0.11909871244635194</v>
          </cell>
          <cell r="W11">
            <v>0.38010546102087528</v>
          </cell>
          <cell r="Y11" t="str">
            <v>TIF2009</v>
          </cell>
          <cell r="Z11">
            <v>0.22025176029526791</v>
          </cell>
          <cell r="AB11" t="str">
            <v>JCG</v>
          </cell>
          <cell r="AC11">
            <v>0.40734666829785499</v>
          </cell>
          <cell r="AE11" t="str">
            <v>JCG</v>
          </cell>
          <cell r="AF11" t="str">
            <v xml:space="preserve">JCG </v>
          </cell>
        </row>
        <row r="12">
          <cell r="C12" t="str">
            <v>Gross Square Footage</v>
          </cell>
          <cell r="D12">
            <v>1.5217640000000001</v>
          </cell>
          <cell r="E12">
            <v>1.7906640000000003</v>
          </cell>
          <cell r="F12">
            <v>2.1739999999999999</v>
          </cell>
          <cell r="G12">
            <v>2.8490000000000002</v>
          </cell>
          <cell r="H12">
            <v>3.673</v>
          </cell>
          <cell r="I12">
            <v>4.3575140000000001</v>
          </cell>
          <cell r="J12">
            <v>5.0158140000000007</v>
          </cell>
          <cell r="K12">
            <v>5.5903639999999992</v>
          </cell>
          <cell r="L12">
            <v>6.0253639999999997</v>
          </cell>
          <cell r="M12">
            <v>6.6933639999999999</v>
          </cell>
          <cell r="N12">
            <v>7.337364</v>
          </cell>
          <cell r="O12">
            <v>8.0223639999999996</v>
          </cell>
          <cell r="P12">
            <v>7.8471839999999995</v>
          </cell>
          <cell r="Q12">
            <v>7.7568339999999996</v>
          </cell>
          <cell r="R12">
            <v>7.742534</v>
          </cell>
          <cell r="S12">
            <v>7.9580000000000002</v>
          </cell>
          <cell r="T12">
            <v>7.7359999999999998</v>
          </cell>
          <cell r="U12">
            <v>7.5170000000000003</v>
          </cell>
          <cell r="V12">
            <v>7.2919999999999998</v>
          </cell>
        </row>
        <row r="13">
          <cell r="B13" t="str">
            <v>ANN</v>
          </cell>
          <cell r="C13" t="str">
            <v>End of Year # Stores</v>
          </cell>
          <cell r="D13">
            <v>324</v>
          </cell>
          <cell r="E13">
            <v>365</v>
          </cell>
          <cell r="F13">
            <v>405</v>
          </cell>
          <cell r="G13">
            <v>478</v>
          </cell>
          <cell r="H13">
            <v>538</v>
          </cell>
          <cell r="I13">
            <v>584</v>
          </cell>
          <cell r="J13">
            <v>648</v>
          </cell>
          <cell r="K13">
            <v>738</v>
          </cell>
          <cell r="L13">
            <v>824</v>
          </cell>
          <cell r="M13">
            <v>869</v>
          </cell>
          <cell r="N13">
            <v>929</v>
          </cell>
          <cell r="O13">
            <v>935</v>
          </cell>
          <cell r="P13">
            <v>907</v>
          </cell>
          <cell r="Q13">
            <v>896</v>
          </cell>
          <cell r="R13">
            <v>953</v>
          </cell>
          <cell r="S13">
            <v>984</v>
          </cell>
          <cell r="T13">
            <v>1019</v>
          </cell>
          <cell r="U13">
            <v>1030</v>
          </cell>
          <cell r="V13">
            <v>1035</v>
          </cell>
          <cell r="W13" t="str">
            <v xml:space="preserve">Est. Renewal + New </v>
          </cell>
          <cell r="Y13" t="str">
            <v>ANF2009</v>
          </cell>
          <cell r="Z13">
            <v>0.38010546102087528</v>
          </cell>
          <cell r="AB13" t="str">
            <v>TLB</v>
          </cell>
          <cell r="AC13">
            <v>0.37738107711413327</v>
          </cell>
          <cell r="AE13" t="str">
            <v>TLB</v>
          </cell>
          <cell r="AF13" t="str">
            <v xml:space="preserve">TLB </v>
          </cell>
        </row>
        <row r="14">
          <cell r="C14" t="str">
            <v>New Store Openings</v>
          </cell>
          <cell r="D14">
            <v>27</v>
          </cell>
          <cell r="E14">
            <v>45</v>
          </cell>
          <cell r="F14">
            <v>47</v>
          </cell>
          <cell r="G14">
            <v>81</v>
          </cell>
          <cell r="H14">
            <v>67</v>
          </cell>
          <cell r="I14">
            <v>49</v>
          </cell>
          <cell r="J14">
            <v>70</v>
          </cell>
          <cell r="K14">
            <v>95</v>
          </cell>
          <cell r="L14">
            <v>97</v>
          </cell>
          <cell r="M14">
            <v>70</v>
          </cell>
          <cell r="N14">
            <v>77</v>
          </cell>
          <cell r="O14">
            <v>66</v>
          </cell>
          <cell r="P14">
            <v>14</v>
          </cell>
          <cell r="Q14">
            <v>34</v>
          </cell>
          <cell r="R14">
            <v>76</v>
          </cell>
          <cell r="S14">
            <v>63</v>
          </cell>
          <cell r="T14">
            <v>65</v>
          </cell>
          <cell r="U14">
            <v>50</v>
          </cell>
          <cell r="V14">
            <v>40</v>
          </cell>
          <cell r="W14" t="str">
            <v>Stores as % of Total</v>
          </cell>
          <cell r="Y14" t="str">
            <v>URBN2009</v>
          </cell>
          <cell r="Z14" t="e">
            <v>#DIV/0!</v>
          </cell>
          <cell r="AB14" t="str">
            <v>ANF</v>
          </cell>
          <cell r="AC14">
            <v>0.31524129122736722</v>
          </cell>
          <cell r="AE14" t="str">
            <v>ANF</v>
          </cell>
          <cell r="AF14" t="str">
            <v xml:space="preserve">ANF </v>
          </cell>
        </row>
        <row r="15">
          <cell r="C15" t="str">
            <v>Store Closings</v>
          </cell>
          <cell r="D15">
            <v>12</v>
          </cell>
          <cell r="E15">
            <v>4</v>
          </cell>
          <cell r="F15">
            <v>7</v>
          </cell>
          <cell r="G15">
            <v>8</v>
          </cell>
          <cell r="H15">
            <v>7</v>
          </cell>
          <cell r="I15">
            <v>3</v>
          </cell>
          <cell r="J15">
            <v>6</v>
          </cell>
          <cell r="K15">
            <v>5</v>
          </cell>
          <cell r="L15">
            <v>11</v>
          </cell>
          <cell r="M15">
            <v>25</v>
          </cell>
          <cell r="N15">
            <v>17</v>
          </cell>
          <cell r="O15">
            <v>60</v>
          </cell>
          <cell r="P15">
            <v>42</v>
          </cell>
          <cell r="Q15">
            <v>45</v>
          </cell>
          <cell r="R15">
            <v>19</v>
          </cell>
          <cell r="S15">
            <v>32</v>
          </cell>
          <cell r="T15">
            <v>30</v>
          </cell>
          <cell r="U15">
            <v>45</v>
          </cell>
          <cell r="V15">
            <v>35</v>
          </cell>
        </row>
        <row r="16">
          <cell r="C16" t="str">
            <v xml:space="preserve">Stores Up for Negotation as a % of Total </v>
          </cell>
          <cell r="T16">
            <v>0.1324828263002944</v>
          </cell>
          <cell r="U16">
            <v>0.14077669902912621</v>
          </cell>
          <cell r="V16">
            <v>0.13236714975845409</v>
          </cell>
          <cell r="W16">
            <v>0.4056266750878747</v>
          </cell>
          <cell r="Y16" t="str">
            <v>ARO2009</v>
          </cell>
          <cell r="Z16">
            <v>0.42478198661474498</v>
          </cell>
          <cell r="AB16" t="str">
            <v>COH</v>
          </cell>
          <cell r="AC16">
            <v>0.31480360058911533</v>
          </cell>
          <cell r="AE16" t="str">
            <v>COH</v>
          </cell>
          <cell r="AF16" t="str">
            <v xml:space="preserve">COH </v>
          </cell>
        </row>
        <row r="17">
          <cell r="C17" t="str">
            <v>Gross Square Footage</v>
          </cell>
          <cell r="D17">
            <v>1.7565</v>
          </cell>
          <cell r="E17">
            <v>1.9180000000000001</v>
          </cell>
          <cell r="F17">
            <v>2.1545000000000005</v>
          </cell>
          <cell r="G17">
            <v>2.4875000000000003</v>
          </cell>
          <cell r="H17">
            <v>2.8754999999999997</v>
          </cell>
          <cell r="I17">
            <v>3.1802999999999999</v>
          </cell>
          <cell r="J17">
            <v>3.4832999999999998</v>
          </cell>
          <cell r="K17">
            <v>3.9319999999999999</v>
          </cell>
          <cell r="L17">
            <v>4.5015000000000001</v>
          </cell>
          <cell r="M17">
            <v>4.9399999999999995</v>
          </cell>
          <cell r="N17">
            <v>5.2445000000000004</v>
          </cell>
          <cell r="O17">
            <v>5.4510000000000005</v>
          </cell>
          <cell r="P17">
            <v>5.42</v>
          </cell>
          <cell r="Q17">
            <v>5.3159999999999998</v>
          </cell>
          <cell r="R17">
            <v>5.4339999999999993</v>
          </cell>
          <cell r="S17">
            <v>5.7029499999999995</v>
          </cell>
          <cell r="T17">
            <v>5.9311499999999997</v>
          </cell>
          <cell r="U17">
            <v>6.1110999999999995</v>
          </cell>
          <cell r="V17">
            <v>6.2420999999999989</v>
          </cell>
        </row>
        <row r="18">
          <cell r="B18" t="str">
            <v>ARO</v>
          </cell>
          <cell r="C18" t="str">
            <v>End of Year # Stores</v>
          </cell>
          <cell r="D18" t="str">
            <v>NA</v>
          </cell>
          <cell r="E18" t="str">
            <v>NA</v>
          </cell>
          <cell r="F18">
            <v>151</v>
          </cell>
          <cell r="G18">
            <v>224</v>
          </cell>
          <cell r="H18">
            <v>278</v>
          </cell>
          <cell r="I18">
            <v>367</v>
          </cell>
          <cell r="J18">
            <v>459</v>
          </cell>
          <cell r="K18">
            <v>561</v>
          </cell>
          <cell r="L18">
            <v>671</v>
          </cell>
          <cell r="M18">
            <v>742</v>
          </cell>
          <cell r="N18">
            <v>828</v>
          </cell>
          <cell r="O18">
            <v>914</v>
          </cell>
          <cell r="P18">
            <v>952</v>
          </cell>
          <cell r="Q18">
            <v>1012</v>
          </cell>
          <cell r="R18">
            <v>1057</v>
          </cell>
          <cell r="S18">
            <v>1095</v>
          </cell>
          <cell r="T18">
            <v>1151</v>
          </cell>
          <cell r="U18">
            <v>860</v>
          </cell>
          <cell r="V18">
            <v>806</v>
          </cell>
          <cell r="W18" t="str">
            <v xml:space="preserve">Est. Renewal + New </v>
          </cell>
          <cell r="Y18" t="str">
            <v>COH2009</v>
          </cell>
          <cell r="Z18">
            <v>0.34262208874140121</v>
          </cell>
          <cell r="AB18" t="str">
            <v>TIF</v>
          </cell>
          <cell r="AC18">
            <v>0.31466034456172814</v>
          </cell>
          <cell r="AE18" t="str">
            <v>TIF</v>
          </cell>
          <cell r="AF18" t="str">
            <v xml:space="preserve">TIF </v>
          </cell>
        </row>
        <row r="19">
          <cell r="C19" t="str">
            <v>New Store Openings</v>
          </cell>
          <cell r="D19" t="str">
            <v>NA</v>
          </cell>
          <cell r="E19" t="str">
            <v>NA</v>
          </cell>
          <cell r="F19">
            <v>40</v>
          </cell>
          <cell r="G19">
            <v>74</v>
          </cell>
          <cell r="H19">
            <v>62</v>
          </cell>
          <cell r="I19">
            <v>93</v>
          </cell>
          <cell r="J19">
            <v>95</v>
          </cell>
          <cell r="K19">
            <v>103</v>
          </cell>
          <cell r="L19">
            <v>119</v>
          </cell>
          <cell r="M19">
            <v>74</v>
          </cell>
          <cell r="N19">
            <v>88</v>
          </cell>
          <cell r="O19">
            <v>88</v>
          </cell>
          <cell r="P19">
            <v>53</v>
          </cell>
          <cell r="Q19">
            <v>68</v>
          </cell>
          <cell r="R19">
            <v>47</v>
          </cell>
          <cell r="S19">
            <v>48</v>
          </cell>
          <cell r="T19">
            <v>74</v>
          </cell>
          <cell r="U19">
            <v>8</v>
          </cell>
          <cell r="V19">
            <v>1</v>
          </cell>
          <cell r="W19" t="str">
            <v>Stores as % of Total</v>
          </cell>
          <cell r="Y19" t="str">
            <v>AEO2009</v>
          </cell>
          <cell r="Z19">
            <v>-8.2346796783229426</v>
          </cell>
          <cell r="AB19" t="str">
            <v>TJX</v>
          </cell>
          <cell r="AC19">
            <v>0.31280725462882786</v>
          </cell>
          <cell r="AE19" t="str">
            <v>TJX</v>
          </cell>
          <cell r="AF19" t="str">
            <v xml:space="preserve">TJX </v>
          </cell>
        </row>
        <row r="20">
          <cell r="C20" t="str">
            <v>Store Closings</v>
          </cell>
          <cell r="D20" t="str">
            <v>NA</v>
          </cell>
          <cell r="E20" t="str">
            <v>NA</v>
          </cell>
          <cell r="F20">
            <v>7</v>
          </cell>
          <cell r="G20">
            <v>1</v>
          </cell>
          <cell r="H20">
            <v>8</v>
          </cell>
          <cell r="I20">
            <v>4</v>
          </cell>
          <cell r="J20">
            <v>3</v>
          </cell>
          <cell r="K20">
            <v>1</v>
          </cell>
          <cell r="L20">
            <v>9</v>
          </cell>
          <cell r="M20">
            <v>3</v>
          </cell>
          <cell r="N20">
            <v>2</v>
          </cell>
          <cell r="O20">
            <v>2</v>
          </cell>
          <cell r="P20">
            <v>15</v>
          </cell>
          <cell r="Q20">
            <v>8</v>
          </cell>
          <cell r="R20">
            <v>2</v>
          </cell>
          <cell r="S20">
            <v>10</v>
          </cell>
          <cell r="T20">
            <v>18</v>
          </cell>
          <cell r="U20">
            <v>248</v>
          </cell>
          <cell r="V20">
            <v>55</v>
          </cell>
        </row>
        <row r="21">
          <cell r="C21" t="str">
            <v xml:space="preserve">Stores Up for Negotation as a % of Total </v>
          </cell>
          <cell r="T21">
            <v>0.14682884448305822</v>
          </cell>
          <cell r="U21">
            <v>0.12906976744186047</v>
          </cell>
          <cell r="V21">
            <v>0.14888337468982629</v>
          </cell>
          <cell r="W21">
            <v>0.42478198661474498</v>
          </cell>
          <cell r="Y21" t="str">
            <v>CHS2009</v>
          </cell>
          <cell r="Z21">
            <v>-72.720352560025106</v>
          </cell>
          <cell r="AB21" t="str">
            <v>ARO</v>
          </cell>
          <cell r="AC21">
            <v>0.28132227506821411</v>
          </cell>
          <cell r="AE21" t="str">
            <v>ARO</v>
          </cell>
          <cell r="AF21" t="str">
            <v xml:space="preserve">ARO </v>
          </cell>
        </row>
        <row r="22">
          <cell r="C22" t="str">
            <v>Gross Square Footage</v>
          </cell>
          <cell r="D22" t="str">
            <v>NA</v>
          </cell>
          <cell r="E22" t="str">
            <v>NA</v>
          </cell>
          <cell r="F22">
            <v>0.54661000000000004</v>
          </cell>
          <cell r="G22">
            <v>0.77510999999999997</v>
          </cell>
          <cell r="H22">
            <v>0.96269700000000002</v>
          </cell>
          <cell r="I22">
            <v>1.299606</v>
          </cell>
          <cell r="J22">
            <v>1.611669</v>
          </cell>
          <cell r="K22">
            <v>1.9784060000000001</v>
          </cell>
          <cell r="L22">
            <v>2.373475</v>
          </cell>
          <cell r="M22">
            <v>2.6259999999999999</v>
          </cell>
          <cell r="N22">
            <v>2.9352140000000002</v>
          </cell>
          <cell r="O22">
            <v>3.2846139999999999</v>
          </cell>
          <cell r="P22">
            <v>3.4283760000000001</v>
          </cell>
          <cell r="Q22">
            <v>3.703033</v>
          </cell>
          <cell r="R22">
            <v>3.9087839999999998</v>
          </cell>
          <cell r="S22">
            <v>4.0135209999999999</v>
          </cell>
          <cell r="T22">
            <v>4.0890690000000003</v>
          </cell>
          <cell r="U22">
            <v>3.2942269999999998</v>
          </cell>
          <cell r="V22">
            <v>3.160927</v>
          </cell>
        </row>
        <row r="23">
          <cell r="B23" t="str">
            <v>CHS</v>
          </cell>
          <cell r="C23" t="str">
            <v>End of Year # Stores</v>
          </cell>
          <cell r="D23">
            <v>141</v>
          </cell>
          <cell r="E23">
            <v>162</v>
          </cell>
          <cell r="F23">
            <v>200</v>
          </cell>
          <cell r="G23">
            <v>250</v>
          </cell>
          <cell r="H23">
            <v>311</v>
          </cell>
          <cell r="I23">
            <v>378</v>
          </cell>
          <cell r="J23">
            <v>548</v>
          </cell>
          <cell r="K23">
            <v>657</v>
          </cell>
          <cell r="L23">
            <v>763</v>
          </cell>
          <cell r="M23">
            <v>920</v>
          </cell>
          <cell r="N23">
            <v>1038</v>
          </cell>
          <cell r="O23">
            <v>1076</v>
          </cell>
          <cell r="P23">
            <v>1080</v>
          </cell>
          <cell r="Q23">
            <v>1151</v>
          </cell>
          <cell r="R23">
            <v>1256</v>
          </cell>
          <cell r="S23">
            <v>1357</v>
          </cell>
          <cell r="T23">
            <v>1485</v>
          </cell>
          <cell r="U23">
            <v>1588</v>
          </cell>
          <cell r="V23">
            <v>-2</v>
          </cell>
          <cell r="W23" t="str">
            <v xml:space="preserve">Est. Renewal + New </v>
          </cell>
          <cell r="Y23" t="str">
            <v>ROST2009</v>
          </cell>
          <cell r="Z23">
            <v>0.37659535889101164</v>
          </cell>
          <cell r="AB23" t="str">
            <v>AEO</v>
          </cell>
          <cell r="AC23">
            <v>0.28042089756544664</v>
          </cell>
          <cell r="AE23" t="str">
            <v>AEO</v>
          </cell>
          <cell r="AF23" t="str">
            <v xml:space="preserve">AEO </v>
          </cell>
        </row>
        <row r="24">
          <cell r="C24" t="str">
            <v>New Store Openings</v>
          </cell>
          <cell r="D24">
            <v>15</v>
          </cell>
          <cell r="E24">
            <v>25</v>
          </cell>
          <cell r="F24">
            <v>41</v>
          </cell>
          <cell r="G24">
            <v>53</v>
          </cell>
          <cell r="H24">
            <v>64</v>
          </cell>
          <cell r="I24">
            <v>67</v>
          </cell>
          <cell r="J24">
            <v>58</v>
          </cell>
          <cell r="K24">
            <v>118</v>
          </cell>
          <cell r="L24">
            <v>106</v>
          </cell>
          <cell r="M24">
            <v>158</v>
          </cell>
          <cell r="N24">
            <v>146</v>
          </cell>
          <cell r="O24">
            <v>49</v>
          </cell>
          <cell r="P24">
            <v>30</v>
          </cell>
          <cell r="Q24">
            <v>80</v>
          </cell>
          <cell r="R24">
            <v>137</v>
          </cell>
          <cell r="S24">
            <v>125</v>
          </cell>
          <cell r="T24">
            <v>145</v>
          </cell>
          <cell r="U24">
            <v>109</v>
          </cell>
          <cell r="V24">
            <v>40</v>
          </cell>
          <cell r="W24" t="str">
            <v>Stores as % of Total</v>
          </cell>
          <cell r="Y24" t="str">
            <v>TJX2009</v>
          </cell>
          <cell r="Z24">
            <v>0.32413234626289633</v>
          </cell>
          <cell r="AB24" t="str">
            <v>ROST</v>
          </cell>
          <cell r="AC24">
            <v>0.27287831460692641</v>
          </cell>
          <cell r="AE24" t="str">
            <v>ROST</v>
          </cell>
        </row>
        <row r="25">
          <cell r="C25" t="str">
            <v>Store Closings</v>
          </cell>
          <cell r="D25">
            <v>7</v>
          </cell>
          <cell r="E25">
            <v>4</v>
          </cell>
          <cell r="F25">
            <v>3</v>
          </cell>
          <cell r="G25">
            <v>3</v>
          </cell>
          <cell r="H25">
            <v>3</v>
          </cell>
          <cell r="I25">
            <v>0</v>
          </cell>
          <cell r="J25">
            <v>2</v>
          </cell>
          <cell r="K25">
            <v>9</v>
          </cell>
          <cell r="L25">
            <v>0</v>
          </cell>
          <cell r="M25">
            <v>6</v>
          </cell>
          <cell r="N25">
            <v>18</v>
          </cell>
          <cell r="O25">
            <v>11</v>
          </cell>
          <cell r="P25">
            <v>26</v>
          </cell>
          <cell r="Q25">
            <v>9</v>
          </cell>
          <cell r="R25">
            <v>32</v>
          </cell>
          <cell r="S25">
            <v>24</v>
          </cell>
          <cell r="T25">
            <v>17</v>
          </cell>
          <cell r="U25">
            <v>-5</v>
          </cell>
          <cell r="V25">
            <v>-2</v>
          </cell>
        </row>
        <row r="26">
          <cell r="C26" t="str">
            <v xml:space="preserve">Stores Up for Negotation as a % of Total </v>
          </cell>
          <cell r="T26">
            <v>0.13670033670033671</v>
          </cell>
          <cell r="U26">
            <v>0.1429471032745592</v>
          </cell>
          <cell r="V26">
            <v>-73</v>
          </cell>
          <cell r="W26">
            <v>-72.720352560025106</v>
          </cell>
          <cell r="Y26" t="str">
            <v>ANN2009</v>
          </cell>
          <cell r="Z26">
            <v>0.4056266750878747</v>
          </cell>
          <cell r="AB26" t="str">
            <v>CHS</v>
          </cell>
          <cell r="AC26">
            <v>0.25976024802294312</v>
          </cell>
          <cell r="AE26" t="str">
            <v>CHS</v>
          </cell>
          <cell r="AF26" t="str">
            <v xml:space="preserve">CHS </v>
          </cell>
        </row>
        <row r="27">
          <cell r="C27" t="str">
            <v>Gross Square Footage</v>
          </cell>
          <cell r="D27">
            <v>137</v>
          </cell>
          <cell r="E27">
            <v>151.5</v>
          </cell>
          <cell r="F27">
            <v>181</v>
          </cell>
          <cell r="G27">
            <v>225</v>
          </cell>
          <cell r="H27">
            <v>280.5</v>
          </cell>
          <cell r="I27">
            <v>344.5</v>
          </cell>
          <cell r="J27">
            <v>463</v>
          </cell>
          <cell r="K27">
            <v>602.5</v>
          </cell>
          <cell r="L27">
            <v>710</v>
          </cell>
          <cell r="M27">
            <v>841.5</v>
          </cell>
          <cell r="N27">
            <v>979</v>
          </cell>
          <cell r="O27">
            <v>1057</v>
          </cell>
          <cell r="P27">
            <v>1078</v>
          </cell>
          <cell r="Q27">
            <v>1115.5</v>
          </cell>
          <cell r="R27">
            <v>1203.5</v>
          </cell>
          <cell r="S27">
            <v>1306.5</v>
          </cell>
          <cell r="T27">
            <v>1414.5</v>
          </cell>
          <cell r="U27">
            <v>1509.5</v>
          </cell>
          <cell r="V27">
            <v>1532.5</v>
          </cell>
        </row>
        <row r="28">
          <cell r="B28" t="str">
            <v>COH</v>
          </cell>
          <cell r="C28" t="str">
            <v>End of Year # Stores</v>
          </cell>
          <cell r="D28" t="str">
            <v>NA</v>
          </cell>
          <cell r="E28" t="str">
            <v>NA</v>
          </cell>
          <cell r="F28" t="str">
            <v>NA</v>
          </cell>
          <cell r="G28">
            <v>239</v>
          </cell>
          <cell r="H28">
            <v>265</v>
          </cell>
          <cell r="I28">
            <v>295</v>
          </cell>
          <cell r="J28">
            <v>325</v>
          </cell>
          <cell r="K28">
            <v>350</v>
          </cell>
          <cell r="L28">
            <v>378</v>
          </cell>
          <cell r="M28">
            <v>422</v>
          </cell>
          <cell r="N28">
            <v>489</v>
          </cell>
          <cell r="O28">
            <v>548</v>
          </cell>
          <cell r="P28">
            <v>624</v>
          </cell>
          <cell r="Q28">
            <v>665</v>
          </cell>
          <cell r="R28">
            <v>723</v>
          </cell>
          <cell r="S28">
            <v>832</v>
          </cell>
          <cell r="T28">
            <v>912</v>
          </cell>
          <cell r="U28">
            <v>983</v>
          </cell>
          <cell r="V28">
            <v>1054</v>
          </cell>
          <cell r="W28" t="str">
            <v xml:space="preserve">Est. Renewal + New </v>
          </cell>
          <cell r="Y28" t="str">
            <v>JCG2009</v>
          </cell>
          <cell r="Z28">
            <v>0.16361373453400688</v>
          </cell>
          <cell r="AB28" t="str">
            <v>ANN</v>
          </cell>
          <cell r="AC28">
            <v>0.15037683740834962</v>
          </cell>
          <cell r="AE28" t="str">
            <v>ANN</v>
          </cell>
          <cell r="AF28" t="str">
            <v xml:space="preserve">ANN </v>
          </cell>
        </row>
        <row r="29">
          <cell r="C29" t="str">
            <v>New Store Openings</v>
          </cell>
          <cell r="D29" t="str">
            <v>NA</v>
          </cell>
          <cell r="E29" t="str">
            <v>NA</v>
          </cell>
          <cell r="F29" t="str">
            <v>NA</v>
          </cell>
          <cell r="G29">
            <v>10</v>
          </cell>
          <cell r="H29">
            <v>26</v>
          </cell>
          <cell r="I29">
            <v>33</v>
          </cell>
          <cell r="J29">
            <v>37</v>
          </cell>
          <cell r="K29">
            <v>29</v>
          </cell>
          <cell r="L29">
            <v>38</v>
          </cell>
          <cell r="M29">
            <v>50</v>
          </cell>
          <cell r="N29">
            <v>70</v>
          </cell>
          <cell r="O29">
            <v>60</v>
          </cell>
          <cell r="P29">
            <v>85</v>
          </cell>
          <cell r="Q29">
            <v>52</v>
          </cell>
          <cell r="R29">
            <v>65</v>
          </cell>
          <cell r="S29">
            <v>114</v>
          </cell>
          <cell r="T29">
            <v>83</v>
          </cell>
          <cell r="U29">
            <v>74</v>
          </cell>
          <cell r="V29">
            <v>74</v>
          </cell>
          <cell r="W29" t="str">
            <v>Stores as % of Total</v>
          </cell>
          <cell r="Y29" t="str">
            <v>PLCE2009</v>
          </cell>
          <cell r="Z29">
            <v>0.4</v>
          </cell>
          <cell r="AB29" t="str">
            <v>LTD</v>
          </cell>
          <cell r="AC29">
            <v>7.3625433459171691E-2</v>
          </cell>
          <cell r="AE29" t="str">
            <v>LTD</v>
          </cell>
          <cell r="AF29" t="str">
            <v xml:space="preserve">LTD </v>
          </cell>
        </row>
        <row r="30">
          <cell r="C30" t="str">
            <v>Store Closings</v>
          </cell>
          <cell r="D30" t="str">
            <v>NA</v>
          </cell>
          <cell r="E30" t="str">
            <v>NA</v>
          </cell>
          <cell r="F30" t="str">
            <v>NA</v>
          </cell>
          <cell r="G30">
            <v>4</v>
          </cell>
          <cell r="H30">
            <v>0</v>
          </cell>
          <cell r="I30">
            <v>3</v>
          </cell>
          <cell r="J30">
            <v>7</v>
          </cell>
          <cell r="K30">
            <v>4</v>
          </cell>
          <cell r="L30">
            <v>10</v>
          </cell>
          <cell r="M30">
            <v>6</v>
          </cell>
          <cell r="N30">
            <v>3</v>
          </cell>
          <cell r="O30">
            <v>1</v>
          </cell>
          <cell r="P30">
            <v>9</v>
          </cell>
          <cell r="Q30">
            <v>11</v>
          </cell>
          <cell r="R30">
            <v>7</v>
          </cell>
          <cell r="S30">
            <v>5</v>
          </cell>
          <cell r="T30">
            <v>3</v>
          </cell>
          <cell r="U30">
            <v>3</v>
          </cell>
          <cell r="V30">
            <v>3</v>
          </cell>
        </row>
        <row r="31">
          <cell r="C31" t="str">
            <v xml:space="preserve">Stores Up for Negotation as a % of Total </v>
          </cell>
          <cell r="T31">
            <v>0.13157894736842105</v>
          </cell>
          <cell r="U31">
            <v>0.10478128179043744</v>
          </cell>
          <cell r="V31">
            <v>0.10626185958254269</v>
          </cell>
          <cell r="W31">
            <v>0.34262208874140121</v>
          </cell>
        </row>
        <row r="32">
          <cell r="C32" t="str">
            <v>Gross Square Footage</v>
          </cell>
          <cell r="D32" t="str">
            <v>NA</v>
          </cell>
          <cell r="E32" t="str">
            <v>NA</v>
          </cell>
          <cell r="F32" t="str">
            <v>NA</v>
          </cell>
          <cell r="G32">
            <v>0</v>
          </cell>
          <cell r="H32">
            <v>0</v>
          </cell>
          <cell r="I32">
            <v>0</v>
          </cell>
          <cell r="J32">
            <v>0</v>
          </cell>
          <cell r="K32">
            <v>0</v>
          </cell>
          <cell r="L32">
            <v>0</v>
          </cell>
          <cell r="M32">
            <v>0</v>
          </cell>
          <cell r="N32">
            <v>0</v>
          </cell>
          <cell r="O32">
            <v>0</v>
          </cell>
          <cell r="P32">
            <v>0</v>
          </cell>
          <cell r="Q32">
            <v>0</v>
          </cell>
          <cell r="R32">
            <v>0</v>
          </cell>
          <cell r="S32">
            <v>0</v>
          </cell>
          <cell r="T32">
            <v>48</v>
          </cell>
          <cell r="U32">
            <v>50</v>
          </cell>
          <cell r="V32">
            <v>52</v>
          </cell>
        </row>
        <row r="33">
          <cell r="B33" t="str">
            <v>EXPR</v>
          </cell>
          <cell r="C33" t="str">
            <v>End of Year # Stores</v>
          </cell>
          <cell r="D33" t="str">
            <v>NA</v>
          </cell>
          <cell r="E33">
            <v>1234</v>
          </cell>
          <cell r="F33">
            <v>1187</v>
          </cell>
          <cell r="G33">
            <v>1136</v>
          </cell>
          <cell r="H33">
            <v>1106</v>
          </cell>
          <cell r="I33">
            <v>1031</v>
          </cell>
          <cell r="J33">
            <v>956</v>
          </cell>
          <cell r="K33">
            <v>884</v>
          </cell>
          <cell r="L33">
            <v>743</v>
          </cell>
          <cell r="M33">
            <v>658</v>
          </cell>
          <cell r="N33">
            <v>587</v>
          </cell>
          <cell r="O33">
            <v>581</v>
          </cell>
          <cell r="P33">
            <v>573</v>
          </cell>
          <cell r="Q33">
            <v>591</v>
          </cell>
          <cell r="R33">
            <v>609</v>
          </cell>
          <cell r="S33">
            <v>625</v>
          </cell>
          <cell r="T33">
            <v>632</v>
          </cell>
          <cell r="U33">
            <v>629</v>
          </cell>
          <cell r="V33">
            <v>629</v>
          </cell>
          <cell r="W33" t="str">
            <v xml:space="preserve">Est. Renewal + New </v>
          </cell>
        </row>
        <row r="34">
          <cell r="C34" t="str">
            <v>New Store Openings</v>
          </cell>
          <cell r="D34" t="str">
            <v>NA</v>
          </cell>
          <cell r="E34">
            <v>4</v>
          </cell>
          <cell r="F34">
            <v>9</v>
          </cell>
          <cell r="G34">
            <v>4</v>
          </cell>
          <cell r="H34">
            <v>16</v>
          </cell>
          <cell r="I34">
            <v>21</v>
          </cell>
          <cell r="J34">
            <v>7</v>
          </cell>
          <cell r="K34">
            <v>15</v>
          </cell>
          <cell r="L34">
            <v>17</v>
          </cell>
          <cell r="M34">
            <v>2</v>
          </cell>
          <cell r="N34">
            <v>2</v>
          </cell>
          <cell r="O34">
            <v>4</v>
          </cell>
          <cell r="P34">
            <v>7</v>
          </cell>
          <cell r="Q34">
            <v>23</v>
          </cell>
          <cell r="R34">
            <v>27</v>
          </cell>
          <cell r="S34">
            <v>28</v>
          </cell>
          <cell r="T34">
            <v>16</v>
          </cell>
          <cell r="U34">
            <v>20</v>
          </cell>
          <cell r="V34">
            <v>15</v>
          </cell>
          <cell r="W34" t="str">
            <v>Stores as % of Total</v>
          </cell>
          <cell r="Y34" t="e">
            <v>#REF!</v>
          </cell>
          <cell r="Z34">
            <v>581</v>
          </cell>
          <cell r="AA34">
            <v>582</v>
          </cell>
        </row>
        <row r="35">
          <cell r="C35" t="str">
            <v>Store Closings</v>
          </cell>
          <cell r="D35" t="str">
            <v>NA</v>
          </cell>
          <cell r="E35" t="str">
            <v>NA</v>
          </cell>
          <cell r="F35" t="str">
            <v>NA</v>
          </cell>
          <cell r="G35" t="str">
            <v>NA</v>
          </cell>
          <cell r="H35" t="str">
            <v>NA</v>
          </cell>
          <cell r="I35" t="str">
            <v>NA</v>
          </cell>
          <cell r="J35" t="str">
            <v>NA</v>
          </cell>
          <cell r="K35" t="e">
            <v>#REF!</v>
          </cell>
          <cell r="L35" t="e">
            <v>#REF!</v>
          </cell>
          <cell r="M35" t="e">
            <v>#REF!</v>
          </cell>
          <cell r="N35" t="e">
            <v>#REF!</v>
          </cell>
          <cell r="O35">
            <v>10</v>
          </cell>
          <cell r="P35">
            <v>6</v>
          </cell>
          <cell r="Q35">
            <v>5</v>
          </cell>
          <cell r="R35">
            <v>9</v>
          </cell>
          <cell r="S35">
            <v>12</v>
          </cell>
          <cell r="T35">
            <v>9</v>
          </cell>
          <cell r="U35">
            <v>5</v>
          </cell>
          <cell r="V35">
            <v>5</v>
          </cell>
        </row>
        <row r="36">
          <cell r="C36" t="str">
            <v xml:space="preserve">Stores Up for Negotation as a % of Total </v>
          </cell>
          <cell r="T36">
            <v>3.6392405063291139E-2</v>
          </cell>
          <cell r="U36">
            <v>5.5643879173290937E-2</v>
          </cell>
          <cell r="V36">
            <v>5.0874403815580289E-2</v>
          </cell>
          <cell r="W36">
            <v>0.14291068805216237</v>
          </cell>
        </row>
        <row r="37">
          <cell r="C37" t="str">
            <v>Gross Square Footage</v>
          </cell>
          <cell r="D37" t="str">
            <v>NA</v>
          </cell>
          <cell r="E37" t="str">
            <v>NA</v>
          </cell>
          <cell r="F37" t="str">
            <v>NA</v>
          </cell>
          <cell r="G37" t="str">
            <v>NA</v>
          </cell>
          <cell r="H37" t="str">
            <v>NA</v>
          </cell>
          <cell r="I37" t="str">
            <v>NA</v>
          </cell>
          <cell r="J37" t="str">
            <v>NA</v>
          </cell>
          <cell r="K37">
            <v>6.867</v>
          </cell>
          <cell r="L37">
            <v>6.4770000000000003</v>
          </cell>
          <cell r="M37">
            <v>5.7770000000000001</v>
          </cell>
          <cell r="N37">
            <v>5.1420000000000003</v>
          </cell>
          <cell r="O37">
            <v>5.032</v>
          </cell>
          <cell r="P37">
            <v>4.9945069999999996</v>
          </cell>
          <cell r="Q37">
            <v>5.1280000000000001</v>
          </cell>
          <cell r="R37">
            <v>5.2670000000000003</v>
          </cell>
          <cell r="S37">
            <v>5.4062000000000001</v>
          </cell>
          <cell r="T37">
            <v>5.5</v>
          </cell>
          <cell r="U37">
            <v>5.4729999999999999</v>
          </cell>
          <cell r="V37">
            <v>5.7249999999999996</v>
          </cell>
        </row>
        <row r="38">
          <cell r="B38" t="str">
            <v>GES</v>
          </cell>
          <cell r="C38" t="str">
            <v>End of Year # Stores</v>
          </cell>
          <cell r="D38" t="str">
            <v>NA</v>
          </cell>
          <cell r="E38" t="str">
            <v>NA</v>
          </cell>
          <cell r="F38" t="str">
            <v>NA</v>
          </cell>
          <cell r="G38" t="str">
            <v>NA</v>
          </cell>
          <cell r="H38" t="str">
            <v>NA</v>
          </cell>
          <cell r="I38" t="str">
            <v>NA</v>
          </cell>
          <cell r="J38" t="str">
            <v>NA</v>
          </cell>
          <cell r="K38" t="str">
            <v>NA</v>
          </cell>
          <cell r="L38" t="str">
            <v>NA</v>
          </cell>
          <cell r="M38" t="str">
            <v>NA</v>
          </cell>
          <cell r="N38">
            <v>413</v>
          </cell>
          <cell r="O38">
            <v>486</v>
          </cell>
          <cell r="P38">
            <v>544</v>
          </cell>
          <cell r="Q38">
            <v>649</v>
          </cell>
          <cell r="R38">
            <v>734</v>
          </cell>
          <cell r="S38">
            <v>837</v>
          </cell>
          <cell r="T38">
            <v>837</v>
          </cell>
          <cell r="U38">
            <v>837</v>
          </cell>
          <cell r="V38">
            <v>837</v>
          </cell>
          <cell r="W38" t="str">
            <v xml:space="preserve">Est. Renewal + New </v>
          </cell>
        </row>
        <row r="39">
          <cell r="C39" t="str">
            <v>New Store Openings</v>
          </cell>
          <cell r="D39" t="str">
            <v>NA</v>
          </cell>
          <cell r="E39" t="str">
            <v>NA</v>
          </cell>
          <cell r="F39" t="str">
            <v>NA</v>
          </cell>
          <cell r="G39" t="str">
            <v>NA</v>
          </cell>
          <cell r="H39" t="str">
            <v>NA</v>
          </cell>
          <cell r="I39" t="str">
            <v>NA</v>
          </cell>
          <cell r="J39" t="str">
            <v>NA</v>
          </cell>
          <cell r="K39" t="str">
            <v>NA</v>
          </cell>
          <cell r="L39" t="str">
            <v>NA</v>
          </cell>
          <cell r="M39" t="str">
            <v>NA</v>
          </cell>
          <cell r="N39" t="str">
            <v>NA</v>
          </cell>
          <cell r="O39">
            <v>73</v>
          </cell>
          <cell r="P39">
            <v>58</v>
          </cell>
          <cell r="Q39">
            <v>105</v>
          </cell>
          <cell r="R39">
            <v>85</v>
          </cell>
          <cell r="S39">
            <v>103</v>
          </cell>
          <cell r="T39">
            <v>0</v>
          </cell>
          <cell r="U39">
            <v>0</v>
          </cell>
          <cell r="V39">
            <v>0</v>
          </cell>
          <cell r="W39" t="str">
            <v>Stores as % of Total</v>
          </cell>
        </row>
        <row r="40">
          <cell r="C40" t="str">
            <v>Store Closings</v>
          </cell>
          <cell r="D40">
            <v>-6508</v>
          </cell>
          <cell r="E40">
            <v>-9054</v>
          </cell>
          <cell r="F40">
            <v>-11600</v>
          </cell>
          <cell r="G40">
            <v>-13673</v>
          </cell>
          <cell r="H40">
            <v>-13848</v>
          </cell>
          <cell r="I40">
            <v>-14455</v>
          </cell>
          <cell r="J40">
            <v>-15854</v>
          </cell>
          <cell r="K40">
            <v>-16267</v>
          </cell>
          <cell r="L40">
            <v>-16015</v>
          </cell>
          <cell r="M40">
            <v>-15916</v>
          </cell>
          <cell r="N40">
            <v>-15732</v>
          </cell>
          <cell r="O40">
            <v>-14449</v>
          </cell>
          <cell r="P40">
            <v>-14010</v>
          </cell>
          <cell r="Q40">
            <v>-14418</v>
          </cell>
          <cell r="R40">
            <v>-15143</v>
          </cell>
          <cell r="S40">
            <v>-15651</v>
          </cell>
          <cell r="T40">
            <v>-16147</v>
          </cell>
          <cell r="U40">
            <v>-16435</v>
          </cell>
          <cell r="V40">
            <v>-15797</v>
          </cell>
        </row>
        <row r="41">
          <cell r="C41" t="str">
            <v>Stores Up for Negotiation as a % of Total</v>
          </cell>
          <cell r="S41" t="str">
            <v>NA</v>
          </cell>
          <cell r="T41" t="str">
            <v>NA</v>
          </cell>
          <cell r="U41" t="str">
            <v>NA</v>
          </cell>
          <cell r="V41" t="str">
            <v>NA</v>
          </cell>
          <cell r="W41">
            <v>0</v>
          </cell>
        </row>
        <row r="42">
          <cell r="C42" t="str">
            <v>Gross Square Footage</v>
          </cell>
          <cell r="D42">
            <v>9.2418280423096411E-2</v>
          </cell>
          <cell r="E42">
            <v>0.20605216943141902</v>
          </cell>
          <cell r="F42">
            <v>7.6963951833128208E-2</v>
          </cell>
          <cell r="G42">
            <v>9.8632819651960579E-2</v>
          </cell>
          <cell r="H42">
            <v>-7.0239366803548364E-4</v>
          </cell>
          <cell r="I42">
            <v>-1.364751715485446E-3</v>
          </cell>
          <cell r="J42">
            <v>0.11019013468117667</v>
          </cell>
          <cell r="K42">
            <v>4.7067975609023982E-2</v>
          </cell>
          <cell r="L42">
            <v>-2.005022203512774E-2</v>
          </cell>
          <cell r="M42">
            <v>-2.8279756009248036E-2</v>
          </cell>
          <cell r="N42">
            <v>-2.7967456994279494E-2</v>
          </cell>
          <cell r="O42">
            <v>-8.1101168564105541E-2</v>
          </cell>
          <cell r="P42">
            <v>-1.1379140965551482E-2</v>
          </cell>
          <cell r="Q42">
            <v>4.6469551086676386E-2</v>
          </cell>
          <cell r="R42">
            <v>1.7476555668287652E-3</v>
          </cell>
          <cell r="S42">
            <v>7.1006622775072303E-2</v>
          </cell>
          <cell r="T42">
            <v>1.0655197694796836E-2</v>
          </cell>
          <cell r="U42">
            <v>-1.1446023337511102E-2</v>
          </cell>
          <cell r="V42">
            <v>-5.2928662537714555E-2</v>
          </cell>
        </row>
        <row r="43">
          <cell r="B43" t="str">
            <v>GPS</v>
          </cell>
          <cell r="C43" t="str">
            <v>End of Year # Stores</v>
          </cell>
          <cell r="D43">
            <v>2130</v>
          </cell>
          <cell r="E43">
            <v>2466</v>
          </cell>
          <cell r="F43">
            <v>3018</v>
          </cell>
          <cell r="G43">
            <v>2848</v>
          </cell>
          <cell r="H43">
            <v>3097</v>
          </cell>
          <cell r="I43">
            <v>3117</v>
          </cell>
          <cell r="J43">
            <v>3022</v>
          </cell>
          <cell r="K43">
            <v>2994</v>
          </cell>
          <cell r="L43">
            <v>3053</v>
          </cell>
          <cell r="M43">
            <v>3131</v>
          </cell>
          <cell r="N43">
            <v>3167</v>
          </cell>
          <cell r="O43">
            <v>3149</v>
          </cell>
          <cell r="P43">
            <v>3095</v>
          </cell>
          <cell r="Q43">
            <v>3068</v>
          </cell>
          <cell r="R43">
            <v>3072</v>
          </cell>
          <cell r="S43">
            <v>3131</v>
          </cell>
          <cell r="T43">
            <v>3211</v>
          </cell>
          <cell r="U43">
            <v>3280</v>
          </cell>
          <cell r="V43">
            <v>3260</v>
          </cell>
          <cell r="W43" t="str">
            <v xml:space="preserve">Est. Renewal + New </v>
          </cell>
        </row>
        <row r="44">
          <cell r="C44" t="str">
            <v>New Store Openings</v>
          </cell>
          <cell r="D44">
            <v>298</v>
          </cell>
          <cell r="E44">
            <v>356</v>
          </cell>
          <cell r="F44">
            <v>570</v>
          </cell>
          <cell r="G44">
            <v>731</v>
          </cell>
          <cell r="H44">
            <v>324</v>
          </cell>
          <cell r="I44">
            <v>115</v>
          </cell>
          <cell r="J44">
            <v>35</v>
          </cell>
          <cell r="K44">
            <v>130</v>
          </cell>
          <cell r="L44">
            <v>198</v>
          </cell>
          <cell r="M44">
            <v>194</v>
          </cell>
          <cell r="N44">
            <v>214</v>
          </cell>
          <cell r="O44">
            <v>101</v>
          </cell>
          <cell r="P44">
            <v>47</v>
          </cell>
          <cell r="Q44">
            <v>71</v>
          </cell>
          <cell r="R44">
            <v>102</v>
          </cell>
          <cell r="S44">
            <v>148</v>
          </cell>
          <cell r="T44">
            <v>160</v>
          </cell>
          <cell r="U44">
            <v>169</v>
          </cell>
          <cell r="V44">
            <v>150</v>
          </cell>
          <cell r="W44" t="str">
            <v>Stores as % of Total</v>
          </cell>
        </row>
        <row r="45">
          <cell r="C45" t="str">
            <v>Store Closings</v>
          </cell>
          <cell r="D45">
            <v>22</v>
          </cell>
          <cell r="E45">
            <v>20</v>
          </cell>
          <cell r="F45">
            <v>18</v>
          </cell>
          <cell r="G45">
            <v>73</v>
          </cell>
          <cell r="H45">
            <v>75</v>
          </cell>
          <cell r="I45">
            <v>95</v>
          </cell>
          <cell r="J45">
            <v>130</v>
          </cell>
          <cell r="K45">
            <v>158</v>
          </cell>
          <cell r="L45">
            <v>139</v>
          </cell>
          <cell r="M45">
            <v>116</v>
          </cell>
          <cell r="N45">
            <v>178</v>
          </cell>
          <cell r="O45">
            <v>119</v>
          </cell>
          <cell r="P45">
            <v>101</v>
          </cell>
          <cell r="Q45">
            <v>98</v>
          </cell>
          <cell r="R45">
            <v>98</v>
          </cell>
          <cell r="S45">
            <v>89</v>
          </cell>
          <cell r="T45">
            <v>80</v>
          </cell>
          <cell r="U45">
            <v>53</v>
          </cell>
          <cell r="V45">
            <v>170</v>
          </cell>
        </row>
        <row r="46">
          <cell r="C46" t="str">
            <v>Stores Up for Negotiation as a % of Total</v>
          </cell>
          <cell r="T46">
            <v>0.15</v>
          </cell>
          <cell r="U46">
            <v>0.15</v>
          </cell>
          <cell r="V46">
            <v>0.15</v>
          </cell>
          <cell r="W46">
            <v>0.44999999999999996</v>
          </cell>
        </row>
        <row r="47">
          <cell r="C47" t="str">
            <v>Gross Square Footage</v>
          </cell>
          <cell r="D47">
            <v>15.312700000000001</v>
          </cell>
          <cell r="E47">
            <v>18.757000000000001</v>
          </cell>
          <cell r="F47">
            <v>23.978099999999998</v>
          </cell>
          <cell r="G47">
            <v>31.373437000000003</v>
          </cell>
          <cell r="H47">
            <v>36.333391999999996</v>
          </cell>
          <cell r="I47">
            <v>37.251519999999999</v>
          </cell>
          <cell r="J47">
            <v>36.518203999999997</v>
          </cell>
          <cell r="K47">
            <v>36.590928999999996</v>
          </cell>
          <cell r="L47">
            <v>37.765228999999998</v>
          </cell>
          <cell r="M47">
            <v>38.9</v>
          </cell>
          <cell r="N47">
            <v>39.6</v>
          </cell>
          <cell r="O47">
            <v>39.5</v>
          </cell>
          <cell r="P47">
            <v>38.799999999999997</v>
          </cell>
          <cell r="Q47">
            <v>38.200000000000003</v>
          </cell>
          <cell r="R47">
            <v>37.200000000000003</v>
          </cell>
          <cell r="S47">
            <v>36.9</v>
          </cell>
          <cell r="T47">
            <v>37.199999999999996</v>
          </cell>
          <cell r="U47">
            <v>38.010000000000005</v>
          </cell>
          <cell r="V47">
            <v>37.9</v>
          </cell>
        </row>
        <row r="48">
          <cell r="B48" t="str">
            <v>JCG</v>
          </cell>
          <cell r="C48" t="str">
            <v>End of Year # Stores</v>
          </cell>
          <cell r="F48">
            <v>123</v>
          </cell>
          <cell r="G48">
            <v>146</v>
          </cell>
          <cell r="H48">
            <v>177</v>
          </cell>
          <cell r="I48">
            <v>194</v>
          </cell>
          <cell r="J48">
            <v>196</v>
          </cell>
          <cell r="K48">
            <v>197</v>
          </cell>
          <cell r="L48">
            <v>203</v>
          </cell>
          <cell r="M48">
            <v>227</v>
          </cell>
          <cell r="N48">
            <v>260</v>
          </cell>
          <cell r="O48">
            <v>300</v>
          </cell>
          <cell r="P48">
            <v>321</v>
          </cell>
          <cell r="Q48">
            <v>335</v>
          </cell>
          <cell r="R48">
            <v>366</v>
          </cell>
          <cell r="S48">
            <v>400</v>
          </cell>
          <cell r="T48">
            <v>435</v>
          </cell>
          <cell r="U48">
            <v>471</v>
          </cell>
          <cell r="V48">
            <v>8.88624888199654</v>
          </cell>
          <cell r="W48" t="str">
            <v xml:space="preserve">Est. Renewal + New </v>
          </cell>
        </row>
        <row r="49">
          <cell r="C49" t="str">
            <v>New Store Openings</v>
          </cell>
          <cell r="F49">
            <v>13</v>
          </cell>
          <cell r="G49">
            <v>23</v>
          </cell>
          <cell r="H49">
            <v>31</v>
          </cell>
          <cell r="I49">
            <v>17</v>
          </cell>
          <cell r="J49">
            <v>2</v>
          </cell>
          <cell r="K49">
            <v>1</v>
          </cell>
          <cell r="L49">
            <v>6</v>
          </cell>
          <cell r="M49">
            <v>24</v>
          </cell>
          <cell r="N49">
            <v>33</v>
          </cell>
          <cell r="O49">
            <v>40</v>
          </cell>
          <cell r="P49">
            <v>21</v>
          </cell>
          <cell r="Q49">
            <v>14</v>
          </cell>
          <cell r="R49">
            <v>31</v>
          </cell>
          <cell r="S49">
            <v>34</v>
          </cell>
          <cell r="T49">
            <v>35</v>
          </cell>
          <cell r="U49">
            <v>36</v>
          </cell>
          <cell r="W49" t="str">
            <v>Stores as % of Total</v>
          </cell>
        </row>
        <row r="50">
          <cell r="C50" t="str">
            <v xml:space="preserve">Stores Up for Negotation as a % of Total </v>
          </cell>
          <cell r="S50">
            <v>0.1275</v>
          </cell>
          <cell r="T50">
            <v>8.5057471264367815E-2</v>
          </cell>
          <cell r="U50">
            <v>7.8556263269639062E-2</v>
          </cell>
          <cell r="W50">
            <v>0.16361373453400688</v>
          </cell>
        </row>
        <row r="51">
          <cell r="B51" t="str">
            <v>KORS</v>
          </cell>
          <cell r="C51" t="str">
            <v>End of Year # Stores</v>
          </cell>
          <cell r="D51">
            <v>0</v>
          </cell>
          <cell r="E51">
            <v>0</v>
          </cell>
          <cell r="F51">
            <v>0</v>
          </cell>
          <cell r="G51">
            <v>0</v>
          </cell>
          <cell r="H51">
            <v>0</v>
          </cell>
          <cell r="I51">
            <v>0</v>
          </cell>
          <cell r="J51">
            <v>0</v>
          </cell>
          <cell r="K51">
            <v>0</v>
          </cell>
          <cell r="L51">
            <v>0</v>
          </cell>
          <cell r="M51">
            <v>0</v>
          </cell>
          <cell r="N51">
            <v>0</v>
          </cell>
          <cell r="O51">
            <v>74</v>
          </cell>
          <cell r="P51">
            <v>74</v>
          </cell>
          <cell r="Q51">
            <v>106</v>
          </cell>
          <cell r="R51">
            <v>166</v>
          </cell>
          <cell r="S51">
            <v>237</v>
          </cell>
          <cell r="T51">
            <v>303</v>
          </cell>
          <cell r="U51">
            <v>405</v>
          </cell>
          <cell r="V51">
            <v>526</v>
          </cell>
          <cell r="W51" t="str">
            <v xml:space="preserve">Est. Renewal + New </v>
          </cell>
        </row>
        <row r="52">
          <cell r="C52" t="str">
            <v>New Store Openings</v>
          </cell>
          <cell r="D52">
            <v>0</v>
          </cell>
          <cell r="E52">
            <v>0</v>
          </cell>
          <cell r="F52">
            <v>0</v>
          </cell>
          <cell r="G52">
            <v>0</v>
          </cell>
          <cell r="H52">
            <v>0</v>
          </cell>
          <cell r="I52">
            <v>0</v>
          </cell>
          <cell r="J52">
            <v>0</v>
          </cell>
          <cell r="K52">
            <v>0</v>
          </cell>
          <cell r="L52">
            <v>0</v>
          </cell>
          <cell r="M52">
            <v>0</v>
          </cell>
          <cell r="N52">
            <v>0</v>
          </cell>
          <cell r="O52">
            <v>74</v>
          </cell>
          <cell r="P52">
            <v>0</v>
          </cell>
          <cell r="Q52">
            <v>32</v>
          </cell>
          <cell r="R52">
            <v>60</v>
          </cell>
          <cell r="S52">
            <v>71</v>
          </cell>
          <cell r="T52">
            <v>66</v>
          </cell>
          <cell r="U52">
            <v>102</v>
          </cell>
          <cell r="V52">
            <v>121</v>
          </cell>
          <cell r="W52" t="str">
            <v>Stores as % of Total</v>
          </cell>
        </row>
        <row r="53">
          <cell r="C53" t="str">
            <v>Store Closings</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row>
        <row r="54">
          <cell r="C54" t="str">
            <v xml:space="preserve">Stores Up for Negotation as a % of Total </v>
          </cell>
          <cell r="T54">
            <v>0.21782178217821782</v>
          </cell>
          <cell r="U54">
            <v>0.25185185185185183</v>
          </cell>
          <cell r="V54">
            <v>0.23003802281368821</v>
          </cell>
          <cell r="W54">
            <v>0.69971165684375791</v>
          </cell>
        </row>
        <row r="55">
          <cell r="C55" t="str">
            <v>Gross Square Footage</v>
          </cell>
          <cell r="D55">
            <v>0</v>
          </cell>
          <cell r="E55">
            <v>0</v>
          </cell>
          <cell r="F55">
            <v>0</v>
          </cell>
          <cell r="G55">
            <v>0</v>
          </cell>
          <cell r="H55">
            <v>0</v>
          </cell>
          <cell r="I55">
            <v>0</v>
          </cell>
          <cell r="J55">
            <v>0</v>
          </cell>
          <cell r="K55">
            <v>0</v>
          </cell>
          <cell r="L55">
            <v>0</v>
          </cell>
          <cell r="M55">
            <v>0</v>
          </cell>
          <cell r="N55">
            <v>0</v>
          </cell>
          <cell r="O55">
            <v>0</v>
          </cell>
          <cell r="P55">
            <v>4.3243243243243248E-4</v>
          </cell>
          <cell r="Q55">
            <v>5.6603773584905674E-4</v>
          </cell>
          <cell r="R55">
            <v>4.2771084337349396E-4</v>
          </cell>
          <cell r="S55">
            <v>2.8270042194092836E-4</v>
          </cell>
          <cell r="T55">
            <v>3.3223684210526304E-4</v>
          </cell>
          <cell r="U55">
            <v>2.987654320987654E-4</v>
          </cell>
          <cell r="V55">
            <v>2.1482889733840293E-4</v>
          </cell>
        </row>
        <row r="56">
          <cell r="B56" t="str">
            <v>LTD</v>
          </cell>
          <cell r="C56" t="str">
            <v>End of Year # Stores</v>
          </cell>
          <cell r="D56">
            <v>5640</v>
          </cell>
          <cell r="E56">
            <v>5382</v>
          </cell>
          <cell r="F56">
            <v>5023</v>
          </cell>
          <cell r="G56">
            <v>5129</v>
          </cell>
          <cell r="H56">
            <v>4614</v>
          </cell>
          <cell r="I56">
            <v>4036</v>
          </cell>
          <cell r="J56">
            <v>3911</v>
          </cell>
          <cell r="K56">
            <v>3779</v>
          </cell>
          <cell r="L56">
            <v>3590</v>
          </cell>
          <cell r="M56">
            <v>3766</v>
          </cell>
          <cell r="N56">
            <v>2926</v>
          </cell>
          <cell r="O56">
            <v>3014</v>
          </cell>
          <cell r="P56">
            <v>2971</v>
          </cell>
          <cell r="Q56">
            <v>2968</v>
          </cell>
          <cell r="R56">
            <v>2941</v>
          </cell>
          <cell r="S56">
            <v>2876</v>
          </cell>
          <cell r="T56">
            <v>2908</v>
          </cell>
          <cell r="U56">
            <v>2916</v>
          </cell>
          <cell r="V56">
            <v>2935</v>
          </cell>
          <cell r="W56" t="str">
            <v xml:space="preserve">Est. Renewal + New </v>
          </cell>
        </row>
        <row r="57">
          <cell r="C57" t="str">
            <v>New Store Openings</v>
          </cell>
          <cell r="D57">
            <v>315</v>
          </cell>
          <cell r="E57">
            <v>251</v>
          </cell>
          <cell r="F57">
            <v>295</v>
          </cell>
          <cell r="G57">
            <v>330</v>
          </cell>
          <cell r="H57">
            <v>282</v>
          </cell>
          <cell r="I57">
            <v>108</v>
          </cell>
          <cell r="J57">
            <v>25</v>
          </cell>
          <cell r="K57">
            <v>39</v>
          </cell>
          <cell r="L57">
            <v>50</v>
          </cell>
          <cell r="M57">
            <v>343</v>
          </cell>
          <cell r="N57">
            <v>129</v>
          </cell>
          <cell r="O57">
            <v>146</v>
          </cell>
          <cell r="P57">
            <v>59</v>
          </cell>
          <cell r="Q57">
            <v>43</v>
          </cell>
          <cell r="R57">
            <v>40</v>
          </cell>
          <cell r="S57">
            <v>48</v>
          </cell>
          <cell r="T57">
            <v>80</v>
          </cell>
          <cell r="U57">
            <v>55</v>
          </cell>
          <cell r="V57">
            <v>55</v>
          </cell>
          <cell r="W57" t="str">
            <v>Stores as % of Total</v>
          </cell>
        </row>
        <row r="58">
          <cell r="C58" t="str">
            <v>Store Closings</v>
          </cell>
          <cell r="D58">
            <v>304</v>
          </cell>
          <cell r="E58">
            <v>350</v>
          </cell>
          <cell r="F58">
            <v>303</v>
          </cell>
          <cell r="G58">
            <v>224</v>
          </cell>
          <cell r="H58">
            <v>146</v>
          </cell>
          <cell r="I58">
            <v>174</v>
          </cell>
          <cell r="J58">
            <v>150</v>
          </cell>
          <cell r="K58">
            <v>171</v>
          </cell>
          <cell r="L58">
            <v>239.00000000000006</v>
          </cell>
          <cell r="M58">
            <v>167</v>
          </cell>
          <cell r="N58">
            <v>45</v>
          </cell>
          <cell r="O58">
            <v>58</v>
          </cell>
          <cell r="P58">
            <v>102</v>
          </cell>
          <cell r="Q58">
            <v>46</v>
          </cell>
          <cell r="R58">
            <v>67</v>
          </cell>
          <cell r="S58">
            <v>113</v>
          </cell>
          <cell r="T58">
            <v>48</v>
          </cell>
          <cell r="U58">
            <v>47</v>
          </cell>
          <cell r="V58">
            <v>47</v>
          </cell>
        </row>
        <row r="59">
          <cell r="C59" t="str">
            <v xml:space="preserve">Stores Up for Negotation as a % of Total </v>
          </cell>
          <cell r="T59">
            <v>3.6107290233837692E-2</v>
          </cell>
          <cell r="U59">
            <v>3.2235939643347047E-2</v>
          </cell>
          <cell r="V59">
            <v>3.5775127768313458E-2</v>
          </cell>
          <cell r="W59">
            <v>0.10411835764549821</v>
          </cell>
        </row>
        <row r="60">
          <cell r="C60" t="str">
            <v>Gross Square Footage</v>
          </cell>
          <cell r="D60">
            <v>35.499999999999993</v>
          </cell>
          <cell r="E60">
            <v>32.894999999999996</v>
          </cell>
          <cell r="F60">
            <v>29.49</v>
          </cell>
          <cell r="G60">
            <v>29.029999999999998</v>
          </cell>
          <cell r="H60">
            <v>25.182499999999997</v>
          </cell>
          <cell r="I60">
            <v>20.371249999999996</v>
          </cell>
          <cell r="J60">
            <v>20.047499999999999</v>
          </cell>
          <cell r="K60">
            <v>19.751249999999999</v>
          </cell>
          <cell r="L60">
            <v>19.165000000000003</v>
          </cell>
          <cell r="M60">
            <v>18.463750000000001</v>
          </cell>
          <cell r="N60">
            <v>12.887499999999999</v>
          </cell>
          <cell r="O60">
            <v>13.622499999999999</v>
          </cell>
          <cell r="P60">
            <v>13.667499999999999</v>
          </cell>
          <cell r="Q60">
            <v>13.718749999999998</v>
          </cell>
          <cell r="R60">
            <v>13.6775</v>
          </cell>
          <cell r="S60">
            <v>13.561249999999999</v>
          </cell>
          <cell r="T60">
            <v>13.947499999999996</v>
          </cell>
          <cell r="U60">
            <v>14.401160365690101</v>
          </cell>
          <cell r="V60">
            <v>14.66540513551724</v>
          </cell>
        </row>
        <row r="61">
          <cell r="B61" t="str">
            <v>LULU</v>
          </cell>
          <cell r="C61" t="str">
            <v>End of Year # Stores</v>
          </cell>
          <cell r="D61">
            <v>0</v>
          </cell>
          <cell r="E61">
            <v>0</v>
          </cell>
          <cell r="F61">
            <v>0</v>
          </cell>
          <cell r="G61">
            <v>0</v>
          </cell>
          <cell r="H61">
            <v>0</v>
          </cell>
          <cell r="I61">
            <v>12</v>
          </cell>
          <cell r="J61">
            <v>17</v>
          </cell>
          <cell r="K61">
            <v>24</v>
          </cell>
          <cell r="L61">
            <v>12</v>
          </cell>
          <cell r="M61">
            <v>7</v>
          </cell>
          <cell r="N61">
            <v>7</v>
          </cell>
          <cell r="O61">
            <v>5</v>
          </cell>
          <cell r="P61">
            <v>0</v>
          </cell>
          <cell r="Q61">
            <v>0</v>
          </cell>
          <cell r="R61">
            <v>0</v>
          </cell>
          <cell r="S61">
            <v>1</v>
          </cell>
          <cell r="T61">
            <v>2</v>
          </cell>
          <cell r="U61">
            <v>1</v>
          </cell>
          <cell r="V61">
            <v>1</v>
          </cell>
          <cell r="W61" t="str">
            <v xml:space="preserve">Est. Renewal + New </v>
          </cell>
        </row>
        <row r="62">
          <cell r="C62" t="str">
            <v>New Store Openings</v>
          </cell>
          <cell r="D62">
            <v>0</v>
          </cell>
          <cell r="E62">
            <v>0</v>
          </cell>
          <cell r="F62">
            <v>0</v>
          </cell>
          <cell r="G62">
            <v>0</v>
          </cell>
          <cell r="H62">
            <v>0</v>
          </cell>
          <cell r="I62">
            <v>12</v>
          </cell>
          <cell r="J62">
            <v>5</v>
          </cell>
          <cell r="K62">
            <v>7</v>
          </cell>
          <cell r="L62">
            <v>-12</v>
          </cell>
          <cell r="M62">
            <v>-5</v>
          </cell>
          <cell r="N62">
            <v>0</v>
          </cell>
          <cell r="O62">
            <v>-1</v>
          </cell>
          <cell r="P62">
            <v>-4</v>
          </cell>
          <cell r="Q62">
            <v>1</v>
          </cell>
          <cell r="R62">
            <v>1</v>
          </cell>
          <cell r="S62">
            <v>2</v>
          </cell>
          <cell r="T62">
            <v>2</v>
          </cell>
          <cell r="U62">
            <v>0</v>
          </cell>
          <cell r="V62">
            <v>1</v>
          </cell>
          <cell r="W62" t="str">
            <v>Stores as % of Total</v>
          </cell>
        </row>
        <row r="63">
          <cell r="C63" t="str">
            <v>Store Closings</v>
          </cell>
          <cell r="G63">
            <v>0</v>
          </cell>
          <cell r="H63">
            <v>0</v>
          </cell>
          <cell r="I63">
            <v>0</v>
          </cell>
          <cell r="J63">
            <v>0</v>
          </cell>
          <cell r="K63">
            <v>0</v>
          </cell>
          <cell r="L63">
            <v>0</v>
          </cell>
          <cell r="M63">
            <v>0</v>
          </cell>
          <cell r="N63">
            <v>0</v>
          </cell>
          <cell r="O63">
            <v>1</v>
          </cell>
          <cell r="P63">
            <v>1</v>
          </cell>
          <cell r="Q63">
            <v>1</v>
          </cell>
          <cell r="R63">
            <v>1</v>
          </cell>
          <cell r="S63">
            <v>1</v>
          </cell>
          <cell r="T63">
            <v>1</v>
          </cell>
          <cell r="U63">
            <v>1</v>
          </cell>
          <cell r="V63">
            <v>1</v>
          </cell>
        </row>
        <row r="64">
          <cell r="C64" t="str">
            <v xml:space="preserve">Stores Up for Negotation as a % of Total </v>
          </cell>
          <cell r="T64">
            <v>3.5</v>
          </cell>
          <cell r="U64">
            <v>7</v>
          </cell>
          <cell r="V64">
            <v>-11</v>
          </cell>
          <cell r="W64">
            <v>-0.5</v>
          </cell>
        </row>
        <row r="65">
          <cell r="C65" t="str">
            <v>Gross Square Footage</v>
          </cell>
          <cell r="F65" t="str">
            <v>NA</v>
          </cell>
          <cell r="G65" t="str">
            <v>NA</v>
          </cell>
          <cell r="H65" t="str">
            <v>NA</v>
          </cell>
          <cell r="I65" t="str">
            <v>NA</v>
          </cell>
          <cell r="J65" t="str">
            <v>NA</v>
          </cell>
          <cell r="K65" t="str">
            <v>NA</v>
          </cell>
          <cell r="L65">
            <v>0</v>
          </cell>
          <cell r="M65">
            <v>0</v>
          </cell>
          <cell r="N65">
            <v>0</v>
          </cell>
          <cell r="O65">
            <v>0</v>
          </cell>
          <cell r="P65">
            <v>0</v>
          </cell>
          <cell r="Q65">
            <v>0</v>
          </cell>
          <cell r="R65">
            <v>0</v>
          </cell>
          <cell r="S65">
            <v>0</v>
          </cell>
          <cell r="T65">
            <v>0</v>
          </cell>
          <cell r="U65">
            <v>0</v>
          </cell>
          <cell r="V65">
            <v>0</v>
          </cell>
        </row>
        <row r="66">
          <cell r="B66" t="str">
            <v>PLCE</v>
          </cell>
          <cell r="C66" t="str">
            <v>End of Year # Stores</v>
          </cell>
          <cell r="D66">
            <v>155</v>
          </cell>
          <cell r="E66">
            <v>209</v>
          </cell>
          <cell r="F66">
            <v>293</v>
          </cell>
          <cell r="G66">
            <v>400</v>
          </cell>
          <cell r="H66">
            <v>520</v>
          </cell>
          <cell r="I66">
            <v>643</v>
          </cell>
          <cell r="J66">
            <v>691</v>
          </cell>
          <cell r="K66">
            <v>750</v>
          </cell>
          <cell r="L66">
            <v>802</v>
          </cell>
          <cell r="M66">
            <v>866</v>
          </cell>
          <cell r="N66">
            <v>904</v>
          </cell>
          <cell r="O66">
            <v>917</v>
          </cell>
          <cell r="P66">
            <v>947</v>
          </cell>
          <cell r="Q66">
            <v>995</v>
          </cell>
          <cell r="R66">
            <v>1049</v>
          </cell>
          <cell r="S66">
            <v>1095</v>
          </cell>
          <cell r="T66">
            <v>1140</v>
          </cell>
          <cell r="U66">
            <v>1112</v>
          </cell>
          <cell r="V66">
            <v>1092</v>
          </cell>
          <cell r="W66" t="str">
            <v xml:space="preserve">Est. Renewal + New </v>
          </cell>
        </row>
        <row r="67">
          <cell r="C67" t="str">
            <v>New Store Openings</v>
          </cell>
          <cell r="D67">
            <v>47</v>
          </cell>
          <cell r="E67">
            <v>54</v>
          </cell>
          <cell r="F67">
            <v>84</v>
          </cell>
          <cell r="G67">
            <v>108</v>
          </cell>
          <cell r="H67">
            <v>121</v>
          </cell>
          <cell r="I67">
            <v>126</v>
          </cell>
          <cell r="J67">
            <v>53</v>
          </cell>
          <cell r="K67">
            <v>62</v>
          </cell>
          <cell r="L67">
            <v>70</v>
          </cell>
          <cell r="M67">
            <v>88</v>
          </cell>
          <cell r="N67">
            <v>69</v>
          </cell>
          <cell r="O67">
            <v>40</v>
          </cell>
          <cell r="P67">
            <v>45</v>
          </cell>
          <cell r="Q67">
            <v>67</v>
          </cell>
          <cell r="R67">
            <v>88</v>
          </cell>
          <cell r="S67">
            <v>64</v>
          </cell>
          <cell r="T67">
            <v>50</v>
          </cell>
          <cell r="U67">
            <v>35</v>
          </cell>
          <cell r="V67">
            <v>0</v>
          </cell>
          <cell r="W67" t="str">
            <v>Stores as % of Total</v>
          </cell>
        </row>
        <row r="68">
          <cell r="C68" t="str">
            <v>Store Closings</v>
          </cell>
          <cell r="D68">
            <v>0</v>
          </cell>
          <cell r="E68">
            <v>0</v>
          </cell>
          <cell r="F68">
            <v>0</v>
          </cell>
          <cell r="G68">
            <v>1</v>
          </cell>
          <cell r="H68">
            <v>1</v>
          </cell>
          <cell r="I68">
            <v>3</v>
          </cell>
          <cell r="J68">
            <v>5</v>
          </cell>
          <cell r="K68">
            <v>3</v>
          </cell>
          <cell r="L68">
            <v>7</v>
          </cell>
          <cell r="M68">
            <v>13</v>
          </cell>
          <cell r="N68">
            <v>24</v>
          </cell>
          <cell r="O68">
            <v>14</v>
          </cell>
          <cell r="P68">
            <v>6</v>
          </cell>
          <cell r="Q68">
            <v>19</v>
          </cell>
          <cell r="R68">
            <v>34</v>
          </cell>
          <cell r="S68">
            <v>18</v>
          </cell>
          <cell r="T68">
            <v>38</v>
          </cell>
          <cell r="U68">
            <v>30</v>
          </cell>
          <cell r="V68">
            <v>20</v>
          </cell>
        </row>
        <row r="69">
          <cell r="C69" t="str">
            <v xml:space="preserve">Stores Up for Negotation as a % of Total </v>
          </cell>
          <cell r="T69">
            <v>0.13333333333333333</v>
          </cell>
          <cell r="U69">
            <v>0.13333333333333333</v>
          </cell>
          <cell r="V69">
            <v>0.13333333333333333</v>
          </cell>
          <cell r="W69">
            <v>0.4</v>
          </cell>
        </row>
        <row r="70">
          <cell r="C70" t="str">
            <v>Gross Square Footage</v>
          </cell>
          <cell r="D70">
            <v>0.63906499999999999</v>
          </cell>
          <cell r="E70">
            <v>0.84749499999999989</v>
          </cell>
          <cell r="F70">
            <v>1.2130000000000001</v>
          </cell>
          <cell r="G70">
            <v>1.6679999999999999</v>
          </cell>
          <cell r="H70">
            <v>2.2400000000000002</v>
          </cell>
          <cell r="I70">
            <v>2.8340000000000001</v>
          </cell>
          <cell r="J70">
            <v>3.081</v>
          </cell>
          <cell r="K70">
            <v>3.3959999999999999</v>
          </cell>
          <cell r="L70">
            <v>3.6379999999999999</v>
          </cell>
          <cell r="M70">
            <v>4.024</v>
          </cell>
          <cell r="N70">
            <v>4.2779999999999996</v>
          </cell>
          <cell r="O70">
            <v>4.5100509999999998</v>
          </cell>
          <cell r="P70">
            <v>4.7015260000000003</v>
          </cell>
          <cell r="Q70">
            <v>4.9186930000000002</v>
          </cell>
          <cell r="R70">
            <v>5.1427430000000003</v>
          </cell>
          <cell r="S70">
            <v>5.3267430000000004</v>
          </cell>
          <cell r="T70">
            <v>5.21</v>
          </cell>
          <cell r="U70">
            <v>5.2249999999999996</v>
          </cell>
          <cell r="V70">
            <v>5.165</v>
          </cell>
        </row>
        <row r="71">
          <cell r="B71" t="str">
            <v>ROST</v>
          </cell>
          <cell r="C71" t="str">
            <v>End of Year # Stores</v>
          </cell>
          <cell r="D71">
            <v>325</v>
          </cell>
          <cell r="E71">
            <v>349</v>
          </cell>
          <cell r="F71">
            <v>378</v>
          </cell>
          <cell r="G71">
            <v>409</v>
          </cell>
          <cell r="H71">
            <v>452</v>
          </cell>
          <cell r="I71">
            <v>507</v>
          </cell>
          <cell r="J71">
            <v>568</v>
          </cell>
          <cell r="K71">
            <v>649</v>
          </cell>
          <cell r="L71">
            <v>734</v>
          </cell>
          <cell r="M71">
            <v>797</v>
          </cell>
          <cell r="N71">
            <v>890</v>
          </cell>
          <cell r="O71">
            <v>956</v>
          </cell>
          <cell r="P71">
            <v>1005</v>
          </cell>
          <cell r="Q71">
            <v>1055</v>
          </cell>
          <cell r="R71">
            <v>1125</v>
          </cell>
          <cell r="S71">
            <v>1199</v>
          </cell>
          <cell r="T71">
            <v>1276</v>
          </cell>
          <cell r="U71">
            <v>1362</v>
          </cell>
          <cell r="V71">
            <v>1446</v>
          </cell>
          <cell r="W71" t="str">
            <v xml:space="preserve">Est. Renewal + New </v>
          </cell>
        </row>
        <row r="72">
          <cell r="C72" t="str">
            <v>New Store Openings</v>
          </cell>
          <cell r="D72">
            <v>17</v>
          </cell>
          <cell r="E72">
            <v>26</v>
          </cell>
          <cell r="F72">
            <v>34</v>
          </cell>
          <cell r="G72">
            <v>34</v>
          </cell>
          <cell r="H72">
            <v>45</v>
          </cell>
          <cell r="I72">
            <v>60</v>
          </cell>
          <cell r="J72">
            <v>66</v>
          </cell>
          <cell r="K72">
            <v>84</v>
          </cell>
          <cell r="L72">
            <v>86</v>
          </cell>
          <cell r="M72">
            <v>66</v>
          </cell>
          <cell r="N72">
            <v>97</v>
          </cell>
          <cell r="O72">
            <v>77</v>
          </cell>
          <cell r="P72">
            <v>56</v>
          </cell>
          <cell r="Q72">
            <v>56</v>
          </cell>
          <cell r="R72">
            <v>78</v>
          </cell>
          <cell r="S72">
            <v>82</v>
          </cell>
          <cell r="T72">
            <v>88</v>
          </cell>
          <cell r="U72">
            <v>95</v>
          </cell>
          <cell r="V72">
            <v>94</v>
          </cell>
          <cell r="W72" t="str">
            <v>Stores as % of Total</v>
          </cell>
        </row>
        <row r="73">
          <cell r="C73" t="str">
            <v>Store Closings</v>
          </cell>
          <cell r="D73">
            <v>1</v>
          </cell>
          <cell r="E73">
            <v>2</v>
          </cell>
          <cell r="F73">
            <v>5</v>
          </cell>
          <cell r="G73">
            <v>3</v>
          </cell>
          <cell r="H73">
            <v>2</v>
          </cell>
          <cell r="I73">
            <v>5</v>
          </cell>
          <cell r="J73">
            <v>5</v>
          </cell>
          <cell r="K73">
            <v>3</v>
          </cell>
          <cell r="L73">
            <v>1</v>
          </cell>
          <cell r="M73">
            <v>3</v>
          </cell>
          <cell r="N73">
            <v>4</v>
          </cell>
          <cell r="O73">
            <v>11</v>
          </cell>
          <cell r="P73">
            <v>7</v>
          </cell>
          <cell r="Q73">
            <v>6</v>
          </cell>
          <cell r="R73">
            <v>8</v>
          </cell>
          <cell r="S73">
            <v>8</v>
          </cell>
          <cell r="T73">
            <v>11</v>
          </cell>
          <cell r="U73">
            <v>9</v>
          </cell>
          <cell r="V73">
            <v>10</v>
          </cell>
        </row>
        <row r="74">
          <cell r="C74" t="str">
            <v xml:space="preserve">Stores Up for Negotation as a % of Total </v>
          </cell>
          <cell r="T74">
            <v>0.1206896551724138</v>
          </cell>
          <cell r="U74">
            <v>0.13142437591776798</v>
          </cell>
          <cell r="V74">
            <v>0.12448132780082988</v>
          </cell>
          <cell r="W74">
            <v>0.37659535889101164</v>
          </cell>
        </row>
        <row r="75">
          <cell r="C75" t="str">
            <v>Gross Square Footage</v>
          </cell>
          <cell r="D75">
            <v>8.9644999999999975</v>
          </cell>
          <cell r="E75">
            <v>9.7712500000000002</v>
          </cell>
          <cell r="F75">
            <v>10.692499999999999</v>
          </cell>
          <cell r="G75">
            <v>11.6625</v>
          </cell>
          <cell r="H75">
            <v>13.104999999999999</v>
          </cell>
          <cell r="I75">
            <v>14.803749999999999</v>
          </cell>
          <cell r="J75">
            <v>16.651249999999997</v>
          </cell>
          <cell r="K75">
            <v>19.06625</v>
          </cell>
          <cell r="L75">
            <v>21.648749999999996</v>
          </cell>
          <cell r="M75">
            <v>23.302499999999998</v>
          </cell>
          <cell r="N75">
            <v>26.375</v>
          </cell>
          <cell r="O75">
            <v>28.125</v>
          </cell>
          <cell r="P75">
            <v>29.624999999999996</v>
          </cell>
          <cell r="Q75">
            <v>31</v>
          </cell>
          <cell r="R75">
            <v>32.952300000000001</v>
          </cell>
          <cell r="S75">
            <v>35.0105</v>
          </cell>
          <cell r="T75">
            <v>37.084000000000003</v>
          </cell>
          <cell r="U75">
            <v>39.442000000000007</v>
          </cell>
          <cell r="V75">
            <v>41.742400000000011</v>
          </cell>
        </row>
        <row r="76">
          <cell r="B76" t="str">
            <v>TEA</v>
          </cell>
          <cell r="C76" t="str">
            <v>End of Year # Stores</v>
          </cell>
          <cell r="D76">
            <v>0</v>
          </cell>
          <cell r="E76">
            <v>0</v>
          </cell>
          <cell r="F76">
            <v>0</v>
          </cell>
          <cell r="G76">
            <v>0</v>
          </cell>
          <cell r="H76">
            <v>0</v>
          </cell>
          <cell r="I76">
            <v>0</v>
          </cell>
          <cell r="J76">
            <v>0</v>
          </cell>
          <cell r="K76">
            <v>0</v>
          </cell>
          <cell r="L76">
            <v>0</v>
          </cell>
          <cell r="M76">
            <v>47</v>
          </cell>
          <cell r="N76">
            <v>59</v>
          </cell>
          <cell r="O76">
            <v>87</v>
          </cell>
          <cell r="P76">
            <v>108</v>
          </cell>
          <cell r="Q76">
            <v>146</v>
          </cell>
          <cell r="R76">
            <v>200</v>
          </cell>
          <cell r="S76">
            <v>306</v>
          </cell>
          <cell r="T76">
            <v>386</v>
          </cell>
          <cell r="U76">
            <v>466</v>
          </cell>
          <cell r="V76">
            <v>546</v>
          </cell>
          <cell r="W76" t="str">
            <v xml:space="preserve">Est. Renewal + New </v>
          </cell>
        </row>
        <row r="77">
          <cell r="C77" t="str">
            <v>New Store Openings</v>
          </cell>
          <cell r="D77">
            <v>0</v>
          </cell>
          <cell r="E77">
            <v>0</v>
          </cell>
          <cell r="F77">
            <v>0</v>
          </cell>
          <cell r="G77">
            <v>0</v>
          </cell>
          <cell r="H77">
            <v>0</v>
          </cell>
          <cell r="I77">
            <v>0</v>
          </cell>
          <cell r="J77">
            <v>0</v>
          </cell>
          <cell r="K77">
            <v>0</v>
          </cell>
          <cell r="L77">
            <v>0</v>
          </cell>
          <cell r="M77">
            <v>47</v>
          </cell>
          <cell r="N77">
            <v>12</v>
          </cell>
          <cell r="O77">
            <v>28</v>
          </cell>
          <cell r="P77">
            <v>21</v>
          </cell>
          <cell r="Q77">
            <v>38</v>
          </cell>
          <cell r="R77">
            <v>54</v>
          </cell>
          <cell r="S77">
            <v>106</v>
          </cell>
          <cell r="T77">
            <v>80</v>
          </cell>
          <cell r="U77">
            <v>80</v>
          </cell>
          <cell r="V77">
            <v>80</v>
          </cell>
          <cell r="W77" t="str">
            <v>Stores as % of Total</v>
          </cell>
        </row>
        <row r="78">
          <cell r="C78" t="str">
            <v>Store Closings</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row>
        <row r="79">
          <cell r="C79" t="str">
            <v xml:space="preserve">Stores Up for Negotation as a % of Total </v>
          </cell>
          <cell r="T79">
            <v>0.20725388601036268</v>
          </cell>
          <cell r="U79">
            <v>0.17167381974248927</v>
          </cell>
          <cell r="V79">
            <v>0.14652014652014653</v>
          </cell>
          <cell r="W79">
            <v>0.52544785227299851</v>
          </cell>
        </row>
        <row r="80">
          <cell r="C80" t="str">
            <v>Gross Square Footage</v>
          </cell>
          <cell r="D80">
            <v>0</v>
          </cell>
          <cell r="E80">
            <v>0</v>
          </cell>
          <cell r="F80">
            <v>0</v>
          </cell>
          <cell r="G80">
            <v>0</v>
          </cell>
          <cell r="H80">
            <v>0</v>
          </cell>
          <cell r="I80">
            <v>0</v>
          </cell>
          <cell r="J80">
            <v>0</v>
          </cell>
          <cell r="K80">
            <v>0</v>
          </cell>
          <cell r="L80">
            <v>0</v>
          </cell>
          <cell r="M80">
            <v>4.2999999999999997E-2</v>
          </cell>
          <cell r="N80">
            <v>5.3999999999999999E-2</v>
          </cell>
          <cell r="O80">
            <v>7.6999999999999999E-2</v>
          </cell>
          <cell r="P80">
            <v>9.5000000000000001E-2</v>
          </cell>
          <cell r="Q80">
            <v>0.13</v>
          </cell>
          <cell r="R80">
            <v>0.18021999999999999</v>
          </cell>
          <cell r="S80">
            <v>0.27879999999999999</v>
          </cell>
          <cell r="T80">
            <v>0.35320000000000007</v>
          </cell>
          <cell r="U80">
            <v>0.42760000000000004</v>
          </cell>
          <cell r="V80">
            <v>0.502</v>
          </cell>
        </row>
        <row r="81">
          <cell r="B81" t="str">
            <v>TIF</v>
          </cell>
          <cell r="C81" t="str">
            <v>End of Year # Stores</v>
          </cell>
          <cell r="D81">
            <v>96</v>
          </cell>
          <cell r="E81">
            <v>104</v>
          </cell>
          <cell r="F81">
            <v>110</v>
          </cell>
          <cell r="G81">
            <v>119</v>
          </cell>
          <cell r="H81">
            <v>126</v>
          </cell>
          <cell r="I81">
            <v>131</v>
          </cell>
          <cell r="J81">
            <v>141</v>
          </cell>
          <cell r="K81">
            <v>151</v>
          </cell>
          <cell r="L81">
            <v>154</v>
          </cell>
          <cell r="M81">
            <v>167</v>
          </cell>
          <cell r="N81">
            <v>184</v>
          </cell>
          <cell r="O81">
            <v>210</v>
          </cell>
          <cell r="P81">
            <v>224</v>
          </cell>
          <cell r="Q81">
            <v>233</v>
          </cell>
          <cell r="R81">
            <v>248</v>
          </cell>
          <cell r="S81">
            <v>276</v>
          </cell>
          <cell r="T81">
            <v>298</v>
          </cell>
          <cell r="U81">
            <v>295</v>
          </cell>
          <cell r="V81">
            <v>307</v>
          </cell>
          <cell r="W81" t="str">
            <v xml:space="preserve">Est. Renewal + New </v>
          </cell>
        </row>
        <row r="82">
          <cell r="C82" t="str">
            <v>New Store Openings</v>
          </cell>
          <cell r="D82">
            <v>15</v>
          </cell>
          <cell r="E82">
            <v>8</v>
          </cell>
          <cell r="F82">
            <v>6</v>
          </cell>
          <cell r="G82">
            <v>9</v>
          </cell>
          <cell r="H82">
            <v>7</v>
          </cell>
          <cell r="I82">
            <v>6</v>
          </cell>
          <cell r="J82">
            <v>10</v>
          </cell>
          <cell r="K82">
            <v>10</v>
          </cell>
          <cell r="L82">
            <v>6</v>
          </cell>
          <cell r="M82">
            <v>13</v>
          </cell>
          <cell r="N82">
            <v>17</v>
          </cell>
          <cell r="O82">
            <v>22</v>
          </cell>
          <cell r="P82">
            <v>14</v>
          </cell>
          <cell r="Q82">
            <v>10</v>
          </cell>
          <cell r="R82">
            <v>15</v>
          </cell>
          <cell r="S82">
            <v>28</v>
          </cell>
          <cell r="T82">
            <v>22</v>
          </cell>
          <cell r="U82">
            <v>6</v>
          </cell>
          <cell r="V82">
            <v>12</v>
          </cell>
          <cell r="W82" t="str">
            <v>Stores as % of Total</v>
          </cell>
        </row>
        <row r="83">
          <cell r="C83" t="str">
            <v>Store Closings</v>
          </cell>
          <cell r="D83">
            <v>0</v>
          </cell>
          <cell r="E83">
            <v>0</v>
          </cell>
          <cell r="F83">
            <v>0</v>
          </cell>
          <cell r="G83">
            <v>0</v>
          </cell>
          <cell r="H83">
            <v>0</v>
          </cell>
          <cell r="I83">
            <v>1</v>
          </cell>
          <cell r="J83">
            <v>0</v>
          </cell>
          <cell r="K83">
            <v>0</v>
          </cell>
          <cell r="L83">
            <v>3</v>
          </cell>
          <cell r="M83">
            <v>0</v>
          </cell>
          <cell r="N83">
            <v>0</v>
          </cell>
          <cell r="O83">
            <v>0</v>
          </cell>
          <cell r="P83">
            <v>0</v>
          </cell>
          <cell r="Q83">
            <v>1</v>
          </cell>
          <cell r="R83">
            <v>0</v>
          </cell>
          <cell r="S83">
            <v>0</v>
          </cell>
          <cell r="T83">
            <v>0</v>
          </cell>
          <cell r="U83">
            <v>0</v>
          </cell>
          <cell r="V83">
            <v>0</v>
          </cell>
        </row>
        <row r="84">
          <cell r="C84" t="str">
            <v xml:space="preserve">Stores Up for Negotation as a % of Total </v>
          </cell>
          <cell r="T84">
            <v>0.10738255033557047</v>
          </cell>
          <cell r="U84">
            <v>5.4237288135593219E-2</v>
          </cell>
          <cell r="V84">
            <v>5.8631921824104233E-2</v>
          </cell>
          <cell r="W84">
            <v>0.22025176029526791</v>
          </cell>
        </row>
        <row r="85">
          <cell r="C85" t="str">
            <v>Gross Square Footage</v>
          </cell>
          <cell r="D85">
            <v>0.43045</v>
          </cell>
          <cell r="E85">
            <v>0.47145000000000004</v>
          </cell>
          <cell r="F85">
            <v>0.51644999999999996</v>
          </cell>
          <cell r="G85">
            <v>0.56045</v>
          </cell>
          <cell r="H85">
            <v>0.60899999999999999</v>
          </cell>
          <cell r="I85">
            <v>0.64200000000000002</v>
          </cell>
          <cell r="J85">
            <v>0.67199999999999993</v>
          </cell>
          <cell r="K85">
            <v>0.72500000000000009</v>
          </cell>
          <cell r="L85">
            <v>0.74500000000000011</v>
          </cell>
          <cell r="M85">
            <v>0.79200000000000004</v>
          </cell>
          <cell r="N85">
            <v>0.8600000000000001</v>
          </cell>
          <cell r="O85">
            <v>0.93500000000000005</v>
          </cell>
          <cell r="P85">
            <v>0.98220000000000007</v>
          </cell>
          <cell r="Q85">
            <v>1.0390999999999999</v>
          </cell>
          <cell r="R85">
            <v>1.0667</v>
          </cell>
          <cell r="S85">
            <v>1.1447499999999999</v>
          </cell>
          <cell r="T85">
            <v>1.1848999999999998</v>
          </cell>
          <cell r="U85">
            <v>1.2093999999999998</v>
          </cell>
          <cell r="V85">
            <v>1.2473999999999998</v>
          </cell>
        </row>
        <row r="86">
          <cell r="B86" t="str">
            <v>TJX</v>
          </cell>
          <cell r="C86" t="str">
            <v>End of Year # Stores</v>
          </cell>
          <cell r="D86">
            <v>1171</v>
          </cell>
          <cell r="E86">
            <v>1246</v>
          </cell>
          <cell r="F86">
            <v>1357</v>
          </cell>
          <cell r="G86">
            <v>1493</v>
          </cell>
          <cell r="H86">
            <v>1665</v>
          </cell>
          <cell r="I86">
            <v>1843</v>
          </cell>
          <cell r="J86">
            <v>2062</v>
          </cell>
          <cell r="K86">
            <v>2224</v>
          </cell>
          <cell r="L86">
            <v>2381</v>
          </cell>
          <cell r="M86">
            <v>2466</v>
          </cell>
          <cell r="N86">
            <v>2563</v>
          </cell>
          <cell r="O86">
            <v>2652</v>
          </cell>
          <cell r="P86">
            <v>2743</v>
          </cell>
          <cell r="Q86">
            <v>2859</v>
          </cell>
          <cell r="R86">
            <v>2905</v>
          </cell>
          <cell r="S86">
            <v>3050</v>
          </cell>
          <cell r="T86">
            <v>3219</v>
          </cell>
          <cell r="U86">
            <v>3395</v>
          </cell>
          <cell r="V86">
            <v>3614</v>
          </cell>
          <cell r="W86" t="str">
            <v xml:space="preserve">Est. Renewal + New </v>
          </cell>
        </row>
        <row r="87">
          <cell r="C87" t="str">
            <v>New Store Openings</v>
          </cell>
          <cell r="D87">
            <v>35</v>
          </cell>
          <cell r="E87">
            <v>75</v>
          </cell>
          <cell r="F87">
            <v>111</v>
          </cell>
          <cell r="G87">
            <v>136</v>
          </cell>
          <cell r="H87">
            <v>172</v>
          </cell>
          <cell r="I87">
            <v>178</v>
          </cell>
          <cell r="J87">
            <v>219</v>
          </cell>
          <cell r="K87">
            <v>162</v>
          </cell>
          <cell r="L87">
            <v>157</v>
          </cell>
          <cell r="M87">
            <v>85</v>
          </cell>
          <cell r="N87">
            <v>97</v>
          </cell>
          <cell r="O87">
            <v>123</v>
          </cell>
          <cell r="P87">
            <v>91</v>
          </cell>
          <cell r="Q87">
            <v>116</v>
          </cell>
          <cell r="R87">
            <v>46</v>
          </cell>
          <cell r="S87">
            <v>145</v>
          </cell>
          <cell r="T87">
            <v>169</v>
          </cell>
          <cell r="U87">
            <v>176</v>
          </cell>
          <cell r="V87">
            <v>219</v>
          </cell>
          <cell r="W87" t="str">
            <v>Stores as % of Total</v>
          </cell>
        </row>
        <row r="88">
          <cell r="C88" t="str">
            <v>Store Closings</v>
          </cell>
          <cell r="D88">
            <v>0</v>
          </cell>
          <cell r="E88">
            <v>0</v>
          </cell>
          <cell r="F88">
            <v>0</v>
          </cell>
          <cell r="G88">
            <v>0</v>
          </cell>
          <cell r="H88">
            <v>0</v>
          </cell>
          <cell r="I88">
            <v>0</v>
          </cell>
          <cell r="J88">
            <v>0</v>
          </cell>
          <cell r="K88">
            <v>0</v>
          </cell>
          <cell r="L88">
            <v>0</v>
          </cell>
          <cell r="M88">
            <v>0</v>
          </cell>
          <cell r="N88">
            <v>0</v>
          </cell>
          <cell r="O88">
            <v>-34</v>
          </cell>
          <cell r="P88">
            <v>0</v>
          </cell>
          <cell r="Q88">
            <v>0</v>
          </cell>
          <cell r="R88">
            <v>0</v>
          </cell>
          <cell r="S88">
            <v>0</v>
          </cell>
          <cell r="T88">
            <v>0</v>
          </cell>
          <cell r="U88">
            <v>0</v>
          </cell>
          <cell r="V88">
            <v>0</v>
          </cell>
        </row>
        <row r="89">
          <cell r="C89" t="str">
            <v xml:space="preserve">Stores Up for Negotation as a % of Total </v>
          </cell>
          <cell r="T89">
            <v>0.12053432743087915</v>
          </cell>
          <cell r="U89">
            <v>9.9558173784977902E-2</v>
          </cell>
          <cell r="V89">
            <v>0.10403984504703929</v>
          </cell>
          <cell r="W89">
            <v>0.32413234626289633</v>
          </cell>
        </row>
        <row r="90">
          <cell r="C90" t="str">
            <v>Gross Square Footage</v>
          </cell>
          <cell r="D90">
            <v>35.017000000000003</v>
          </cell>
          <cell r="E90">
            <v>37.126000000000005</v>
          </cell>
          <cell r="F90">
            <v>40.165000000000006</v>
          </cell>
          <cell r="G90">
            <v>43.978999999999999</v>
          </cell>
          <cell r="H90">
            <v>48.988999999999997</v>
          </cell>
          <cell r="I90">
            <v>53.826000000000001</v>
          </cell>
          <cell r="J90">
            <v>60.49</v>
          </cell>
          <cell r="K90">
            <v>64.709434678384909</v>
          </cell>
          <cell r="L90">
            <v>70.575000000000017</v>
          </cell>
          <cell r="M90">
            <v>73.699999999999989</v>
          </cell>
          <cell r="N90">
            <v>76.240000000000009</v>
          </cell>
          <cell r="O90">
            <v>78</v>
          </cell>
          <cell r="P90">
            <v>80.7</v>
          </cell>
          <cell r="Q90">
            <v>84.1</v>
          </cell>
          <cell r="R90">
            <v>85.3</v>
          </cell>
          <cell r="S90">
            <v>89.1</v>
          </cell>
          <cell r="T90">
            <v>93.3</v>
          </cell>
          <cell r="U90">
            <v>97.6</v>
          </cell>
          <cell r="V90">
            <v>102.60846790271133</v>
          </cell>
        </row>
        <row r="91">
          <cell r="B91" t="str">
            <v>TLB</v>
          </cell>
          <cell r="C91" t="str">
            <v>End of Year # Stores</v>
          </cell>
          <cell r="D91">
            <v>385</v>
          </cell>
          <cell r="E91">
            <v>406</v>
          </cell>
          <cell r="F91">
            <v>425</v>
          </cell>
          <cell r="G91">
            <v>443</v>
          </cell>
          <cell r="H91">
            <v>468</v>
          </cell>
          <cell r="I91">
            <v>495</v>
          </cell>
          <cell r="J91">
            <v>523</v>
          </cell>
          <cell r="K91">
            <v>552</v>
          </cell>
          <cell r="L91">
            <v>565</v>
          </cell>
          <cell r="M91">
            <v>584</v>
          </cell>
          <cell r="N91">
            <v>596</v>
          </cell>
          <cell r="O91">
            <v>587</v>
          </cell>
          <cell r="P91">
            <v>580</v>
          </cell>
          <cell r="Q91">
            <v>568</v>
          </cell>
          <cell r="R91">
            <v>502</v>
          </cell>
          <cell r="S91">
            <v>487</v>
          </cell>
          <cell r="T91">
            <v>487</v>
          </cell>
          <cell r="U91">
            <v>492</v>
          </cell>
          <cell r="V91">
            <v>497</v>
          </cell>
          <cell r="W91" t="str">
            <v xml:space="preserve">Est. Renewal + New </v>
          </cell>
        </row>
        <row r="92">
          <cell r="C92" t="str">
            <v>New Store Openings</v>
          </cell>
          <cell r="D92">
            <v>42</v>
          </cell>
          <cell r="E92">
            <v>21</v>
          </cell>
          <cell r="F92">
            <v>19</v>
          </cell>
          <cell r="G92">
            <v>18</v>
          </cell>
          <cell r="H92">
            <v>25</v>
          </cell>
          <cell r="I92">
            <v>27</v>
          </cell>
          <cell r="J92">
            <v>28</v>
          </cell>
          <cell r="K92">
            <v>29</v>
          </cell>
          <cell r="L92">
            <v>13</v>
          </cell>
          <cell r="M92">
            <v>19</v>
          </cell>
          <cell r="N92">
            <v>12</v>
          </cell>
          <cell r="O92">
            <v>0</v>
          </cell>
          <cell r="P92">
            <v>23</v>
          </cell>
          <cell r="Q92">
            <v>11</v>
          </cell>
          <cell r="R92">
            <v>17</v>
          </cell>
          <cell r="S92">
            <v>10</v>
          </cell>
          <cell r="T92">
            <v>10</v>
          </cell>
          <cell r="U92">
            <v>10</v>
          </cell>
          <cell r="V92">
            <v>10</v>
          </cell>
          <cell r="W92" t="str">
            <v>Stores as % of Total</v>
          </cell>
        </row>
        <row r="93">
          <cell r="C93" t="str">
            <v>Store Closings</v>
          </cell>
          <cell r="D93">
            <v>0</v>
          </cell>
          <cell r="E93">
            <v>0</v>
          </cell>
          <cell r="F93">
            <v>0</v>
          </cell>
          <cell r="G93">
            <v>0</v>
          </cell>
          <cell r="H93">
            <v>0</v>
          </cell>
          <cell r="I93">
            <v>0</v>
          </cell>
          <cell r="J93">
            <v>0</v>
          </cell>
          <cell r="K93">
            <v>0</v>
          </cell>
          <cell r="L93">
            <v>0</v>
          </cell>
          <cell r="M93">
            <v>0</v>
          </cell>
          <cell r="N93">
            <v>0</v>
          </cell>
          <cell r="O93">
            <v>9</v>
          </cell>
          <cell r="P93">
            <v>30</v>
          </cell>
          <cell r="Q93">
            <v>23</v>
          </cell>
          <cell r="R93">
            <v>83</v>
          </cell>
          <cell r="S93">
            <v>25</v>
          </cell>
          <cell r="T93">
            <v>10</v>
          </cell>
          <cell r="U93">
            <v>5</v>
          </cell>
          <cell r="V93">
            <v>5</v>
          </cell>
        </row>
        <row r="94">
          <cell r="C94" t="str">
            <v xml:space="preserve">Stores Up for Negotation as a % of Total </v>
          </cell>
          <cell r="T94">
            <v>7.8028747433264892E-2</v>
          </cell>
          <cell r="U94">
            <v>7.926829268292683E-2</v>
          </cell>
          <cell r="V94">
            <v>4.6277665995975853E-2</v>
          </cell>
          <cell r="W94">
            <v>0.20357470611216757</v>
          </cell>
        </row>
        <row r="95">
          <cell r="C95" t="str">
            <v>Gross Square Footage</v>
          </cell>
          <cell r="D95">
            <v>2.5437400000000001</v>
          </cell>
          <cell r="E95">
            <v>2.7048299999999998</v>
          </cell>
          <cell r="F95">
            <v>2.828948</v>
          </cell>
          <cell r="G95">
            <v>2.9967269999999999</v>
          </cell>
          <cell r="H95">
            <v>3.294467</v>
          </cell>
          <cell r="I95">
            <v>3.6110330000000004</v>
          </cell>
          <cell r="J95">
            <v>3.9305100000000004</v>
          </cell>
          <cell r="K95">
            <v>4.203074</v>
          </cell>
          <cell r="L95">
            <v>3.9878990000000001</v>
          </cell>
          <cell r="M95">
            <v>5.0563150000000006</v>
          </cell>
          <cell r="N95">
            <v>4.2145130000000002</v>
          </cell>
          <cell r="O95">
            <v>4.2075279999999999</v>
          </cell>
          <cell r="P95">
            <v>4.1718799999999998</v>
          </cell>
          <cell r="Q95">
            <v>4.0542310000000006</v>
          </cell>
          <cell r="R95">
            <v>3.5655850000000004</v>
          </cell>
          <cell r="S95">
            <v>3.4342350000000006</v>
          </cell>
          <cell r="T95">
            <v>3.4101350000000008</v>
          </cell>
          <cell r="U95">
            <v>3.4217850000000007</v>
          </cell>
          <cell r="V95">
            <v>3.4334350000000007</v>
          </cell>
        </row>
        <row r="96">
          <cell r="B96" t="str">
            <v>URBN</v>
          </cell>
          <cell r="C96" t="str">
            <v>End of Year # Stores</v>
          </cell>
          <cell r="D96">
            <v>0</v>
          </cell>
          <cell r="E96">
            <v>0</v>
          </cell>
          <cell r="F96">
            <v>0</v>
          </cell>
          <cell r="G96">
            <v>0</v>
          </cell>
          <cell r="H96">
            <v>0</v>
          </cell>
          <cell r="I96">
            <v>0</v>
          </cell>
          <cell r="J96">
            <v>0</v>
          </cell>
          <cell r="K96">
            <v>0</v>
          </cell>
          <cell r="L96">
            <v>0</v>
          </cell>
          <cell r="M96">
            <v>0</v>
          </cell>
          <cell r="N96">
            <v>245</v>
          </cell>
          <cell r="O96">
            <v>294</v>
          </cell>
          <cell r="P96">
            <v>327</v>
          </cell>
          <cell r="Q96">
            <v>372</v>
          </cell>
          <cell r="R96">
            <v>429</v>
          </cell>
          <cell r="S96">
            <v>0</v>
          </cell>
          <cell r="T96">
            <v>1</v>
          </cell>
          <cell r="U96">
            <v>0</v>
          </cell>
          <cell r="V96">
            <v>2</v>
          </cell>
          <cell r="W96" t="str">
            <v xml:space="preserve">Est. Renewal + New </v>
          </cell>
        </row>
        <row r="97">
          <cell r="C97" t="str">
            <v>New Store Openings</v>
          </cell>
          <cell r="D97">
            <v>3</v>
          </cell>
          <cell r="E97">
            <v>11</v>
          </cell>
          <cell r="F97">
            <v>13</v>
          </cell>
          <cell r="G97">
            <v>11</v>
          </cell>
          <cell r="H97">
            <v>12</v>
          </cell>
          <cell r="I97">
            <v>13</v>
          </cell>
          <cell r="J97">
            <v>21</v>
          </cell>
          <cell r="K97">
            <v>28</v>
          </cell>
          <cell r="L97">
            <v>33</v>
          </cell>
          <cell r="M97">
            <v>32</v>
          </cell>
          <cell r="N97">
            <v>38</v>
          </cell>
          <cell r="O97">
            <v>49</v>
          </cell>
          <cell r="P97">
            <v>33</v>
          </cell>
          <cell r="Q97">
            <v>45</v>
          </cell>
          <cell r="R97">
            <v>57</v>
          </cell>
          <cell r="S97">
            <v>49</v>
          </cell>
          <cell r="T97">
            <v>37</v>
          </cell>
          <cell r="U97">
            <v>38</v>
          </cell>
          <cell r="V97">
            <v>33</v>
          </cell>
          <cell r="W97" t="str">
            <v>Stores as % of Total</v>
          </cell>
        </row>
        <row r="98">
          <cell r="C98" t="str">
            <v>Store Closings</v>
          </cell>
          <cell r="D98">
            <v>1</v>
          </cell>
          <cell r="E98">
            <v>0</v>
          </cell>
          <cell r="F98">
            <v>2</v>
          </cell>
          <cell r="G98">
            <v>0</v>
          </cell>
          <cell r="H98">
            <v>0</v>
          </cell>
          <cell r="I98">
            <v>0</v>
          </cell>
          <cell r="J98">
            <v>0</v>
          </cell>
          <cell r="K98">
            <v>0</v>
          </cell>
          <cell r="L98">
            <v>0</v>
          </cell>
          <cell r="M98">
            <v>0</v>
          </cell>
          <cell r="N98">
            <v>0</v>
          </cell>
          <cell r="O98">
            <v>0</v>
          </cell>
          <cell r="P98">
            <v>0</v>
          </cell>
          <cell r="Q98">
            <v>0</v>
          </cell>
          <cell r="R98">
            <v>0</v>
          </cell>
          <cell r="S98">
            <v>-2</v>
          </cell>
          <cell r="T98">
            <v>0</v>
          </cell>
          <cell r="U98">
            <v>-3</v>
          </cell>
          <cell r="V98">
            <v>-3</v>
          </cell>
        </row>
        <row r="99">
          <cell r="C99" t="str">
            <v xml:space="preserve">Stores Up for Negotation as a % of Total </v>
          </cell>
          <cell r="T99">
            <v>58</v>
          </cell>
          <cell r="U99" t="e">
            <v>#DIV/0!</v>
          </cell>
          <cell r="V99">
            <v>33</v>
          </cell>
          <cell r="W99" t="e">
            <v>#DIV/0!</v>
          </cell>
        </row>
        <row r="100">
          <cell r="C100" t="str">
            <v>Gross Square Footage</v>
          </cell>
          <cell r="D100">
            <v>0.44773066666666667</v>
          </cell>
          <cell r="E100">
            <v>0.55796400000000002</v>
          </cell>
          <cell r="F100">
            <v>0.69685466666666673</v>
          </cell>
          <cell r="G100">
            <v>0.84262133333333333</v>
          </cell>
          <cell r="H100">
            <v>0.99933333333333341</v>
          </cell>
          <cell r="I100">
            <v>1.1349066666666665</v>
          </cell>
          <cell r="J100">
            <v>1.3449199999999999</v>
          </cell>
          <cell r="K100">
            <v>1.6447626666666668</v>
          </cell>
          <cell r="L100">
            <v>1.9426666666666668</v>
          </cell>
          <cell r="M100">
            <v>2.3146666666666662</v>
          </cell>
          <cell r="N100">
            <v>2.6860360000000001</v>
          </cell>
          <cell r="O100">
            <v>3.047228</v>
          </cell>
          <cell r="P100">
            <v>3.3461946666666664</v>
          </cell>
          <cell r="Q100">
            <v>3.7369199999999996</v>
          </cell>
          <cell r="R100">
            <v>4.0914159999999997</v>
          </cell>
          <cell r="S100">
            <v>9397.6722222222197</v>
          </cell>
          <cell r="T100">
            <v>4.8254159999999988</v>
          </cell>
          <cell r="U100">
            <v>5.1950239999999983</v>
          </cell>
          <cell r="V100">
            <v>5.53893511111111</v>
          </cell>
        </row>
        <row r="102">
          <cell r="B102" t="str">
            <v>(1) EXPR was private in 2007/2008 and store counts and openings are estimates</v>
          </cell>
        </row>
        <row r="103">
          <cell r="B103" t="str">
            <v xml:space="preserve">(2) GPS operates 5 year leases on most stores and we therefore estimate 15% (or 1/5, adjusted for 10K disclosures) of its store base is up for lease renewal annually </v>
          </cell>
        </row>
        <row r="104">
          <cell r="B104" t="str">
            <v>(3) LTD does not include stores closed due to spin-offs</v>
          </cell>
        </row>
        <row r="105">
          <cell r="B105" t="str">
            <v>(4) As of the end of 3Q08, all Talbots Kids, Mens, and U.K. businesses ceased operations and all stores were closed.  Prior to 2003 we estimated store openings and total store count.</v>
          </cell>
        </row>
        <row r="107">
          <cell r="B107" t="str">
            <v>Note: Stores up for Negotiation include Renewal Stores (stores opened 10 years ago for all retailers ex. GPS which has 5 year leases) + current year new store openings</v>
          </cell>
        </row>
        <row r="109">
          <cell r="O109" t="e">
            <v>#DIV/0!</v>
          </cell>
          <cell r="P109">
            <v>1.9864041317998682E-2</v>
          </cell>
          <cell r="Q109">
            <v>3.3426410968546705E-2</v>
          </cell>
          <cell r="R109">
            <v>6.9076167175337266E-2</v>
          </cell>
          <cell r="S109">
            <v>6.7313605647386341</v>
          </cell>
          <cell r="T109">
            <v>-0.84561071525986964</v>
          </cell>
          <cell r="U109">
            <v>6.2076375640629511E-2</v>
          </cell>
          <cell r="V109">
            <v>1.8408484036460004E-2</v>
          </cell>
        </row>
        <row r="110">
          <cell r="O110">
            <v>1252.9349239999997</v>
          </cell>
          <cell r="P110">
            <v>1277.8232750990992</v>
          </cell>
          <cell r="Q110">
            <v>1320.5363210377359</v>
          </cell>
          <cell r="R110">
            <v>1411.7539087108435</v>
          </cell>
          <cell r="S110">
            <v>10914.778496922641</v>
          </cell>
          <cell r="T110">
            <v>1685.124845236842</v>
          </cell>
          <cell r="U110">
            <v>1789.731288131122</v>
          </cell>
          <cell r="V110">
            <v>1822.6775279782369</v>
          </cell>
        </row>
        <row r="111">
          <cell r="B111" t="str">
            <v>AEO</v>
          </cell>
          <cell r="C111">
            <v>-8.2346796783229426</v>
          </cell>
          <cell r="F111" t="e">
            <v>#N/A</v>
          </cell>
          <cell r="G111" t="e">
            <v>#N/A</v>
          </cell>
        </row>
        <row r="112">
          <cell r="B112" t="str">
            <v>ANF</v>
          </cell>
          <cell r="C112">
            <v>0.38010546102087528</v>
          </cell>
          <cell r="F112" t="e">
            <v>#N/A</v>
          </cell>
          <cell r="G112" t="e">
            <v>#N/A</v>
          </cell>
        </row>
        <row r="113">
          <cell r="B113" t="str">
            <v>ANN</v>
          </cell>
          <cell r="C113">
            <v>0.4056266750878747</v>
          </cell>
          <cell r="F113" t="e">
            <v>#N/A</v>
          </cell>
          <cell r="G113" t="e">
            <v>#N/A</v>
          </cell>
        </row>
        <row r="114">
          <cell r="B114" t="str">
            <v>ARO</v>
          </cell>
          <cell r="C114">
            <v>0.42478198661474498</v>
          </cell>
          <cell r="F114" t="e">
            <v>#N/A</v>
          </cell>
          <cell r="G114" t="e">
            <v>#N/A</v>
          </cell>
        </row>
        <row r="115">
          <cell r="B115" t="str">
            <v>CHS</v>
          </cell>
          <cell r="C115">
            <v>-72.720352560025106</v>
          </cell>
          <cell r="F115" t="e">
            <v>#N/A</v>
          </cell>
          <cell r="G115" t="e">
            <v>#N/A</v>
          </cell>
        </row>
        <row r="116">
          <cell r="B116" t="str">
            <v>COH</v>
          </cell>
          <cell r="C116">
            <v>0.34262208874140121</v>
          </cell>
          <cell r="F116" t="e">
            <v>#N/A</v>
          </cell>
          <cell r="G116" t="e">
            <v>#N/A</v>
          </cell>
        </row>
        <row r="117">
          <cell r="B117" t="str">
            <v>GPS</v>
          </cell>
          <cell r="C117">
            <v>0.44999999999999996</v>
          </cell>
          <cell r="F117" t="e">
            <v>#N/A</v>
          </cell>
          <cell r="G117" t="e">
            <v>#N/A</v>
          </cell>
        </row>
        <row r="118">
          <cell r="B118" t="str">
            <v>KORS</v>
          </cell>
          <cell r="C118">
            <v>0.69971165684375791</v>
          </cell>
          <cell r="F118" t="e">
            <v>#N/A</v>
          </cell>
          <cell r="G118" t="e">
            <v>#N/A</v>
          </cell>
        </row>
        <row r="119">
          <cell r="B119" t="str">
            <v>LULU</v>
          </cell>
          <cell r="C119">
            <v>-0.5</v>
          </cell>
          <cell r="F119" t="e">
            <v>#N/A</v>
          </cell>
          <cell r="G119" t="e">
            <v>#N/A</v>
          </cell>
        </row>
        <row r="120">
          <cell r="B120" t="str">
            <v>LTD</v>
          </cell>
          <cell r="C120">
            <v>0.10411835764549821</v>
          </cell>
          <cell r="F120" t="e">
            <v>#N/A</v>
          </cell>
          <cell r="G120" t="e">
            <v>#N/A</v>
          </cell>
        </row>
        <row r="121">
          <cell r="B121" t="str">
            <v>PLCE</v>
          </cell>
          <cell r="C121">
            <v>0.4</v>
          </cell>
          <cell r="F121" t="e">
            <v>#N/A</v>
          </cell>
          <cell r="G121" t="e">
            <v>#N/A</v>
          </cell>
        </row>
        <row r="122">
          <cell r="B122" t="str">
            <v>ROST</v>
          </cell>
          <cell r="C122">
            <v>0.37659535889101164</v>
          </cell>
          <cell r="F122" t="e">
            <v>#N/A</v>
          </cell>
          <cell r="G122" t="e">
            <v>#N/A</v>
          </cell>
        </row>
        <row r="123">
          <cell r="B123" t="str">
            <v>TIF</v>
          </cell>
          <cell r="C123">
            <v>0.22025176029526791</v>
          </cell>
          <cell r="F123" t="e">
            <v>#N/A</v>
          </cell>
          <cell r="G123" t="e">
            <v>#N/A</v>
          </cell>
        </row>
        <row r="124">
          <cell r="B124" t="str">
            <v>TJX</v>
          </cell>
          <cell r="C124">
            <v>0.32413234626289633</v>
          </cell>
          <cell r="F124" t="e">
            <v>#N/A</v>
          </cell>
          <cell r="G124" t="e">
            <v>#N/A</v>
          </cell>
        </row>
        <row r="125">
          <cell r="B125" t="str">
            <v>TLB</v>
          </cell>
          <cell r="C125">
            <v>0.20357470611216757</v>
          </cell>
          <cell r="F125" t="e">
            <v>#N/A</v>
          </cell>
          <cell r="G125" t="e">
            <v>#N/A</v>
          </cell>
        </row>
        <row r="126">
          <cell r="B126" t="str">
            <v>URBN</v>
          </cell>
          <cell r="C126" t="e">
            <v>#DIV/0!</v>
          </cell>
          <cell r="F126" t="e">
            <v>#N/A</v>
          </cell>
          <cell r="G126" t="e">
            <v>#N/A</v>
          </cell>
        </row>
        <row r="127">
          <cell r="B127" t="str">
            <v>EXPR</v>
          </cell>
          <cell r="C127">
            <v>0.14291068805216237</v>
          </cell>
          <cell r="F127" t="e">
            <v>#N/A</v>
          </cell>
          <cell r="G127" t="e">
            <v>#N/A</v>
          </cell>
        </row>
        <row r="135">
          <cell r="I135" t="str">
            <v>(1) GPS operates 5 year leases and we therefore estimate 20% (or 1/5) of its store base is up for lease renewal annually or 60% up for renewal over the next 3-year period</v>
          </cell>
        </row>
        <row r="142">
          <cell r="B142" t="str">
            <v>AEO</v>
          </cell>
          <cell r="C142">
            <v>-8.2346796783229426</v>
          </cell>
          <cell r="E142">
            <v>1</v>
          </cell>
          <cell r="F142" t="e">
            <v>#DIV/0!</v>
          </cell>
          <cell r="G142" t="e">
            <v>#N/A</v>
          </cell>
          <cell r="H142" t="e">
            <v>#N/A</v>
          </cell>
        </row>
        <row r="143">
          <cell r="B143" t="str">
            <v>ANF</v>
          </cell>
          <cell r="C143">
            <v>0.38010546102087528</v>
          </cell>
          <cell r="E143">
            <v>2</v>
          </cell>
          <cell r="F143" t="e">
            <v>#DIV/0!</v>
          </cell>
          <cell r="G143" t="e">
            <v>#N/A</v>
          </cell>
          <cell r="H143" t="e">
            <v>#N/A</v>
          </cell>
        </row>
        <row r="144">
          <cell r="B144" t="str">
            <v>ANN</v>
          </cell>
          <cell r="C144">
            <v>0.4056266750878747</v>
          </cell>
          <cell r="E144">
            <v>3</v>
          </cell>
          <cell r="F144" t="e">
            <v>#DIV/0!</v>
          </cell>
          <cell r="G144" t="e">
            <v>#N/A</v>
          </cell>
          <cell r="H144" t="e">
            <v>#N/A</v>
          </cell>
        </row>
        <row r="145">
          <cell r="B145" t="str">
            <v>ARO</v>
          </cell>
          <cell r="C145">
            <v>0.42478198661474498</v>
          </cell>
          <cell r="E145">
            <v>4</v>
          </cell>
          <cell r="F145" t="e">
            <v>#DIV/0!</v>
          </cell>
          <cell r="G145" t="e">
            <v>#N/A</v>
          </cell>
          <cell r="H145" t="e">
            <v>#N/A</v>
          </cell>
        </row>
        <row r="146">
          <cell r="B146" t="str">
            <v>CHS</v>
          </cell>
          <cell r="C146">
            <v>-72.720352560025106</v>
          </cell>
          <cell r="E146">
            <v>5</v>
          </cell>
          <cell r="F146" t="e">
            <v>#DIV/0!</v>
          </cell>
          <cell r="G146" t="e">
            <v>#N/A</v>
          </cell>
          <cell r="H146" t="e">
            <v>#N/A</v>
          </cell>
        </row>
        <row r="147">
          <cell r="B147" t="str">
            <v>COH</v>
          </cell>
          <cell r="C147">
            <v>0.34262208874140121</v>
          </cell>
          <cell r="E147">
            <v>6</v>
          </cell>
          <cell r="F147" t="e">
            <v>#DIV/0!</v>
          </cell>
          <cell r="G147" t="e">
            <v>#N/A</v>
          </cell>
          <cell r="H147" t="e">
            <v>#N/A</v>
          </cell>
        </row>
        <row r="148">
          <cell r="B148" t="str">
            <v>GPS</v>
          </cell>
          <cell r="C148">
            <v>0.44999999999999996</v>
          </cell>
          <cell r="E148">
            <v>7</v>
          </cell>
          <cell r="F148" t="e">
            <v>#DIV/0!</v>
          </cell>
          <cell r="G148" t="e">
            <v>#N/A</v>
          </cell>
          <cell r="H148" t="e">
            <v>#N/A</v>
          </cell>
        </row>
        <row r="149">
          <cell r="B149" t="str">
            <v>KORS</v>
          </cell>
          <cell r="C149">
            <v>0.69971165684375791</v>
          </cell>
          <cell r="E149">
            <v>8</v>
          </cell>
          <cell r="F149" t="e">
            <v>#DIV/0!</v>
          </cell>
          <cell r="G149" t="e">
            <v>#N/A</v>
          </cell>
          <cell r="H149" t="e">
            <v>#N/A</v>
          </cell>
        </row>
        <row r="150">
          <cell r="B150" t="str">
            <v>LULU</v>
          </cell>
          <cell r="C150">
            <v>-0.5</v>
          </cell>
          <cell r="E150">
            <v>9</v>
          </cell>
          <cell r="F150" t="e">
            <v>#DIV/0!</v>
          </cell>
          <cell r="G150" t="e">
            <v>#N/A</v>
          </cell>
          <cell r="H150" t="e">
            <v>#N/A</v>
          </cell>
        </row>
        <row r="151">
          <cell r="B151" t="str">
            <v>LTD</v>
          </cell>
          <cell r="C151">
            <v>0.10411835764549821</v>
          </cell>
          <cell r="E151">
            <v>10</v>
          </cell>
          <cell r="F151" t="e">
            <v>#DIV/0!</v>
          </cell>
          <cell r="G151" t="e">
            <v>#N/A</v>
          </cell>
          <cell r="H151" t="e">
            <v>#N/A</v>
          </cell>
        </row>
        <row r="152">
          <cell r="B152" t="str">
            <v>PLCE</v>
          </cell>
          <cell r="C152">
            <v>0.4</v>
          </cell>
          <cell r="E152">
            <v>11</v>
          </cell>
          <cell r="F152" t="e">
            <v>#DIV/0!</v>
          </cell>
          <cell r="G152" t="e">
            <v>#N/A</v>
          </cell>
          <cell r="H152" t="e">
            <v>#N/A</v>
          </cell>
        </row>
        <row r="153">
          <cell r="B153" t="str">
            <v>ROST</v>
          </cell>
          <cell r="C153">
            <v>0.37659535889101164</v>
          </cell>
          <cell r="E153">
            <v>12</v>
          </cell>
          <cell r="F153" t="e">
            <v>#DIV/0!</v>
          </cell>
          <cell r="G153" t="e">
            <v>#N/A</v>
          </cell>
          <cell r="H153" t="e">
            <v>#N/A</v>
          </cell>
        </row>
        <row r="154">
          <cell r="B154" t="str">
            <v>TIF</v>
          </cell>
          <cell r="C154">
            <v>0.22025176029526791</v>
          </cell>
          <cell r="E154">
            <v>13</v>
          </cell>
          <cell r="F154" t="e">
            <v>#DIV/0!</v>
          </cell>
          <cell r="G154" t="e">
            <v>#N/A</v>
          </cell>
          <cell r="H154" t="e">
            <v>#N/A</v>
          </cell>
        </row>
        <row r="155">
          <cell r="B155" t="str">
            <v>TJX</v>
          </cell>
          <cell r="C155">
            <v>0.32413234626289633</v>
          </cell>
          <cell r="E155">
            <v>14</v>
          </cell>
          <cell r="F155" t="e">
            <v>#DIV/0!</v>
          </cell>
          <cell r="G155" t="e">
            <v>#N/A</v>
          </cell>
          <cell r="H155" t="e">
            <v>#N/A</v>
          </cell>
        </row>
        <row r="156">
          <cell r="B156" t="str">
            <v>TLB</v>
          </cell>
          <cell r="C156">
            <v>0.20357470611216757</v>
          </cell>
          <cell r="E156">
            <v>15</v>
          </cell>
          <cell r="F156" t="e">
            <v>#DIV/0!</v>
          </cell>
          <cell r="G156" t="e">
            <v>#N/A</v>
          </cell>
          <cell r="H156" t="e">
            <v>#N/A</v>
          </cell>
        </row>
        <row r="157">
          <cell r="B157" t="str">
            <v>URBN</v>
          </cell>
          <cell r="C157" t="e">
            <v>#DIV/0!</v>
          </cell>
          <cell r="E157">
            <v>16</v>
          </cell>
          <cell r="F157" t="e">
            <v>#DIV/0!</v>
          </cell>
          <cell r="G157" t="e">
            <v>#N/A</v>
          </cell>
          <cell r="H157" t="e">
            <v>#N/A</v>
          </cell>
        </row>
        <row r="158">
          <cell r="B158" t="str">
            <v>EXPR</v>
          </cell>
          <cell r="C158">
            <v>0.14291068805216237</v>
          </cell>
          <cell r="E158">
            <v>17</v>
          </cell>
          <cell r="F158" t="e">
            <v>#DIV/0!</v>
          </cell>
          <cell r="G158" t="e">
            <v>#N/A</v>
          </cell>
          <cell r="H158" t="e">
            <v>#N/A</v>
          </cell>
        </row>
        <row r="183">
          <cell r="D183">
            <v>1997</v>
          </cell>
          <cell r="E183">
            <v>1998</v>
          </cell>
          <cell r="F183">
            <v>1999</v>
          </cell>
          <cell r="G183">
            <v>2000</v>
          </cell>
          <cell r="H183">
            <v>2001</v>
          </cell>
          <cell r="I183">
            <v>2002</v>
          </cell>
          <cell r="J183">
            <v>2003</v>
          </cell>
          <cell r="K183">
            <v>2004</v>
          </cell>
          <cell r="L183">
            <v>2005</v>
          </cell>
          <cell r="M183">
            <v>2006</v>
          </cell>
          <cell r="N183">
            <v>2007</v>
          </cell>
          <cell r="O183">
            <v>2008</v>
          </cell>
          <cell r="P183">
            <v>2009</v>
          </cell>
          <cell r="Q183">
            <v>2010</v>
          </cell>
          <cell r="R183">
            <v>2011</v>
          </cell>
          <cell r="S183" t="str">
            <v>2012E</v>
          </cell>
          <cell r="T183" t="str">
            <v>2013E</v>
          </cell>
          <cell r="U183" t="str">
            <v>2014E</v>
          </cell>
          <cell r="V183" t="str">
            <v>2015E</v>
          </cell>
          <cell r="W183" t="str">
            <v>2013e-2015e</v>
          </cell>
        </row>
        <row r="184">
          <cell r="B184" t="str">
            <v>AEO</v>
          </cell>
          <cell r="C184" t="str">
            <v>End of Year # Stores</v>
          </cell>
          <cell r="D184">
            <v>332</v>
          </cell>
          <cell r="E184">
            <v>386</v>
          </cell>
          <cell r="F184">
            <v>466</v>
          </cell>
          <cell r="G184">
            <v>554</v>
          </cell>
          <cell r="H184">
            <v>678</v>
          </cell>
          <cell r="I184">
            <v>753</v>
          </cell>
          <cell r="J184">
            <v>805</v>
          </cell>
          <cell r="K184">
            <v>846</v>
          </cell>
          <cell r="L184">
            <v>869</v>
          </cell>
          <cell r="M184">
            <v>911</v>
          </cell>
          <cell r="N184">
            <v>987</v>
          </cell>
          <cell r="O184">
            <v>1098</v>
          </cell>
          <cell r="P184">
            <v>1103</v>
          </cell>
          <cell r="Q184">
            <v>1077</v>
          </cell>
          <cell r="R184">
            <v>1069</v>
          </cell>
          <cell r="S184">
            <v>1044</v>
          </cell>
          <cell r="T184">
            <v>1054</v>
          </cell>
          <cell r="U184">
            <v>1066</v>
          </cell>
          <cell r="V184">
            <v>1078</v>
          </cell>
          <cell r="W184" t="str">
            <v xml:space="preserve">Est. Renewal + New </v>
          </cell>
        </row>
        <row r="185">
          <cell r="C185" t="str">
            <v>New Store Openings</v>
          </cell>
          <cell r="D185">
            <v>36</v>
          </cell>
          <cell r="E185">
            <v>56</v>
          </cell>
          <cell r="F185">
            <v>80</v>
          </cell>
          <cell r="G185">
            <v>90</v>
          </cell>
          <cell r="H185">
            <v>127</v>
          </cell>
          <cell r="I185">
            <v>79</v>
          </cell>
          <cell r="J185">
            <v>59</v>
          </cell>
          <cell r="K185">
            <v>50</v>
          </cell>
          <cell r="L185">
            <v>36</v>
          </cell>
          <cell r="M185">
            <v>50</v>
          </cell>
          <cell r="N185">
            <v>80</v>
          </cell>
          <cell r="O185">
            <v>122</v>
          </cell>
          <cell r="P185">
            <v>29</v>
          </cell>
          <cell r="Q185">
            <v>34</v>
          </cell>
          <cell r="R185">
            <v>33</v>
          </cell>
          <cell r="S185">
            <v>17</v>
          </cell>
          <cell r="T185">
            <v>50</v>
          </cell>
          <cell r="U185">
            <v>34</v>
          </cell>
          <cell r="V185">
            <v>34</v>
          </cell>
          <cell r="W185" t="str">
            <v>Stores as % of Total</v>
          </cell>
        </row>
        <row r="186">
          <cell r="C186" t="str">
            <v>Store Closings</v>
          </cell>
          <cell r="D186">
            <v>7</v>
          </cell>
          <cell r="E186">
            <v>2</v>
          </cell>
          <cell r="F186">
            <v>0</v>
          </cell>
          <cell r="G186">
            <v>2</v>
          </cell>
          <cell r="H186">
            <v>3</v>
          </cell>
          <cell r="I186">
            <v>4</v>
          </cell>
          <cell r="J186">
            <v>7</v>
          </cell>
          <cell r="K186">
            <v>9</v>
          </cell>
          <cell r="L186">
            <v>13</v>
          </cell>
          <cell r="M186">
            <v>8</v>
          </cell>
          <cell r="N186">
            <v>4</v>
          </cell>
          <cell r="O186">
            <v>11</v>
          </cell>
          <cell r="P186">
            <v>24</v>
          </cell>
          <cell r="Q186">
            <v>51</v>
          </cell>
          <cell r="R186">
            <v>29</v>
          </cell>
          <cell r="S186">
            <v>41</v>
          </cell>
          <cell r="T186">
            <v>40</v>
          </cell>
          <cell r="U186">
            <v>22</v>
          </cell>
          <cell r="V186">
            <v>22</v>
          </cell>
        </row>
        <row r="187">
          <cell r="C187" t="str">
            <v xml:space="preserve">Stores Up for Negotation as a % of Total </v>
          </cell>
          <cell r="T187">
            <v>0.10341555977229601</v>
          </cell>
          <cell r="U187">
            <v>7.879924953095685E-2</v>
          </cell>
          <cell r="V187">
            <v>6.4935064935064929E-2</v>
          </cell>
          <cell r="W187">
            <v>0.24714987423831777</v>
          </cell>
          <cell r="Y187" t="str">
            <v>GPS2009</v>
          </cell>
          <cell r="Z187">
            <v>0.172882846425089</v>
          </cell>
          <cell r="AB187" t="str">
            <v>GPS</v>
          </cell>
          <cell r="AC187">
            <v>0.6</v>
          </cell>
          <cell r="AE187" t="str">
            <v>GPS</v>
          </cell>
          <cell r="AF187" t="str">
            <v xml:space="preserve">GPS </v>
          </cell>
        </row>
        <row r="188">
          <cell r="C188" t="str">
            <v>Gross Square Footage</v>
          </cell>
          <cell r="D188">
            <v>1.3933610000000001</v>
          </cell>
          <cell r="E188">
            <v>1.624933</v>
          </cell>
          <cell r="F188">
            <v>2.03938</v>
          </cell>
          <cell r="G188">
            <v>2.5968629999999999</v>
          </cell>
          <cell r="H188">
            <v>3.3346939999999998</v>
          </cell>
          <cell r="I188">
            <v>3.8174419999999998</v>
          </cell>
          <cell r="J188">
            <v>4.2394970000000001</v>
          </cell>
          <cell r="K188">
            <v>4.540095</v>
          </cell>
          <cell r="L188">
            <v>4.7724869999999999</v>
          </cell>
          <cell r="M188">
            <v>5.1730650000000002</v>
          </cell>
          <cell r="N188">
            <v>5.7099320000000002</v>
          </cell>
          <cell r="O188">
            <v>6.3281669999999997</v>
          </cell>
          <cell r="P188">
            <v>6.2153549999999997</v>
          </cell>
          <cell r="Q188">
            <v>6.2884250000000002</v>
          </cell>
          <cell r="R188">
            <v>6.2902839999999998</v>
          </cell>
          <cell r="S188">
            <v>6.2032780000000001</v>
          </cell>
          <cell r="T188">
            <v>6.2632779999999997</v>
          </cell>
          <cell r="U188">
            <v>6.3254780000000004</v>
          </cell>
          <cell r="V188">
            <v>6.3876780000000011</v>
          </cell>
        </row>
        <row r="189">
          <cell r="B189" t="str">
            <v>ANF</v>
          </cell>
          <cell r="C189" t="str">
            <v>End of Year # Stores</v>
          </cell>
          <cell r="D189">
            <v>156</v>
          </cell>
          <cell r="E189">
            <v>196</v>
          </cell>
          <cell r="F189">
            <v>250</v>
          </cell>
          <cell r="G189">
            <v>354</v>
          </cell>
          <cell r="H189">
            <v>491</v>
          </cell>
          <cell r="I189">
            <v>597</v>
          </cell>
          <cell r="J189">
            <v>700</v>
          </cell>
          <cell r="K189">
            <v>788</v>
          </cell>
          <cell r="L189">
            <v>851</v>
          </cell>
          <cell r="M189">
            <v>944</v>
          </cell>
          <cell r="N189">
            <v>1035</v>
          </cell>
          <cell r="O189">
            <v>1125</v>
          </cell>
          <cell r="P189">
            <v>1097</v>
          </cell>
          <cell r="Q189">
            <v>1070</v>
          </cell>
          <cell r="R189">
            <v>1046</v>
          </cell>
          <cell r="S189">
            <v>1053</v>
          </cell>
          <cell r="T189">
            <v>1026</v>
          </cell>
          <cell r="U189">
            <v>1017</v>
          </cell>
          <cell r="V189">
            <v>1002</v>
          </cell>
          <cell r="W189" t="str">
            <v xml:space="preserve">Est. Renewal + New </v>
          </cell>
          <cell r="Y189" t="str">
            <v>LTD2009</v>
          </cell>
          <cell r="Z189">
            <v>0.11694669587971274</v>
          </cell>
          <cell r="AB189" t="str">
            <v>PLCE</v>
          </cell>
          <cell r="AC189">
            <v>0.4606230830142336</v>
          </cell>
          <cell r="AE189" t="str">
            <v>PLCE</v>
          </cell>
        </row>
        <row r="190">
          <cell r="C190" t="str">
            <v>New Store Openings</v>
          </cell>
          <cell r="D190">
            <v>30</v>
          </cell>
          <cell r="E190">
            <v>41</v>
          </cell>
          <cell r="F190">
            <v>54</v>
          </cell>
          <cell r="G190">
            <v>104</v>
          </cell>
          <cell r="H190">
            <v>138</v>
          </cell>
          <cell r="I190">
            <v>112</v>
          </cell>
          <cell r="J190">
            <v>106</v>
          </cell>
          <cell r="K190">
            <v>109</v>
          </cell>
          <cell r="L190">
            <v>81</v>
          </cell>
          <cell r="M190">
            <v>104</v>
          </cell>
          <cell r="N190">
            <v>99</v>
          </cell>
          <cell r="O190">
            <v>97</v>
          </cell>
          <cell r="P190">
            <v>22</v>
          </cell>
          <cell r="Q190">
            <v>37</v>
          </cell>
          <cell r="R190">
            <v>47</v>
          </cell>
          <cell r="S190">
            <v>53</v>
          </cell>
          <cell r="T190">
            <v>23</v>
          </cell>
          <cell r="U190">
            <v>21</v>
          </cell>
          <cell r="V190">
            <v>11</v>
          </cell>
          <cell r="W190" t="str">
            <v>Stores as % of Total</v>
          </cell>
          <cell r="Y190" t="str">
            <v>TLB2009</v>
          </cell>
          <cell r="Z190">
            <v>0.23630547032851901</v>
          </cell>
          <cell r="AB190" t="str">
            <v>URBN</v>
          </cell>
          <cell r="AC190">
            <v>0.41715569113610479</v>
          </cell>
          <cell r="AE190" t="str">
            <v>URBN</v>
          </cell>
        </row>
        <row r="191">
          <cell r="C191" t="str">
            <v>Store Closings</v>
          </cell>
          <cell r="D191">
            <v>1</v>
          </cell>
          <cell r="E191">
            <v>1</v>
          </cell>
          <cell r="F191">
            <v>0</v>
          </cell>
          <cell r="G191">
            <v>0</v>
          </cell>
          <cell r="H191">
            <v>1</v>
          </cell>
          <cell r="I191">
            <v>6</v>
          </cell>
          <cell r="J191">
            <v>3</v>
          </cell>
          <cell r="K191">
            <v>21</v>
          </cell>
          <cell r="L191">
            <v>22</v>
          </cell>
          <cell r="M191">
            <v>13</v>
          </cell>
          <cell r="N191">
            <v>6</v>
          </cell>
          <cell r="O191">
            <v>10</v>
          </cell>
          <cell r="P191">
            <v>51</v>
          </cell>
          <cell r="Q191">
            <v>64</v>
          </cell>
          <cell r="R191">
            <v>71</v>
          </cell>
          <cell r="S191">
            <v>46</v>
          </cell>
          <cell r="T191">
            <v>50</v>
          </cell>
          <cell r="U191">
            <v>30</v>
          </cell>
          <cell r="V191">
            <v>26</v>
          </cell>
        </row>
        <row r="192">
          <cell r="C192" t="str">
            <v xml:space="preserve">Stores Up for Negotation as a % of Total </v>
          </cell>
          <cell r="T192">
            <v>0.12573099415204678</v>
          </cell>
          <cell r="U192">
            <v>0.12782694198623401</v>
          </cell>
          <cell r="V192">
            <v>9.1816367265469059E-2</v>
          </cell>
          <cell r="W192">
            <v>0.34537430340374986</v>
          </cell>
          <cell r="Y192" t="str">
            <v>TIF2009</v>
          </cell>
          <cell r="Z192">
            <v>0.30832187996873905</v>
          </cell>
          <cell r="AB192" t="str">
            <v>JCG</v>
          </cell>
          <cell r="AC192">
            <v>0.40734666829785499</v>
          </cell>
          <cell r="AE192" t="str">
            <v>JCG</v>
          </cell>
          <cell r="AF192" t="str">
            <v xml:space="preserve">JCG </v>
          </cell>
        </row>
        <row r="193">
          <cell r="C193" t="str">
            <v>Gross Square Footage</v>
          </cell>
          <cell r="D193">
            <v>1.5217640000000001</v>
          </cell>
          <cell r="E193">
            <v>1.7906640000000003</v>
          </cell>
          <cell r="F193">
            <v>2.1739999999999999</v>
          </cell>
          <cell r="G193">
            <v>2.8490000000000002</v>
          </cell>
          <cell r="H193">
            <v>3.673</v>
          </cell>
          <cell r="I193">
            <v>4.3575140000000001</v>
          </cell>
          <cell r="J193">
            <v>5.0158140000000007</v>
          </cell>
          <cell r="K193">
            <v>5.5903639999999992</v>
          </cell>
          <cell r="L193">
            <v>6.0253639999999997</v>
          </cell>
          <cell r="M193">
            <v>6.6933639999999999</v>
          </cell>
          <cell r="N193">
            <v>7.337364</v>
          </cell>
          <cell r="O193">
            <v>8.0223639999999996</v>
          </cell>
          <cell r="P193">
            <v>7.8471839999999995</v>
          </cell>
          <cell r="Q193">
            <v>7.7568339999999996</v>
          </cell>
          <cell r="R193">
            <v>7.7781839999999995</v>
          </cell>
          <cell r="S193">
            <v>7.9546839999999994</v>
          </cell>
          <cell r="T193">
            <v>7.8556839999999992</v>
          </cell>
          <cell r="U193">
            <v>7.8356839999999996</v>
          </cell>
          <cell r="V193">
            <v>7.7582839999999997</v>
          </cell>
        </row>
        <row r="194">
          <cell r="B194" t="str">
            <v>ANN</v>
          </cell>
          <cell r="C194" t="str">
            <v>End of Year # Stores</v>
          </cell>
          <cell r="D194">
            <v>324</v>
          </cell>
          <cell r="E194">
            <v>365</v>
          </cell>
          <cell r="F194">
            <v>405</v>
          </cell>
          <cell r="G194">
            <v>478</v>
          </cell>
          <cell r="H194">
            <v>538</v>
          </cell>
          <cell r="I194">
            <v>584</v>
          </cell>
          <cell r="J194">
            <v>648</v>
          </cell>
          <cell r="K194">
            <v>738</v>
          </cell>
          <cell r="L194">
            <v>824</v>
          </cell>
          <cell r="M194">
            <v>869</v>
          </cell>
          <cell r="N194">
            <v>929</v>
          </cell>
          <cell r="O194">
            <v>935</v>
          </cell>
          <cell r="P194">
            <v>907</v>
          </cell>
          <cell r="Q194">
            <v>896</v>
          </cell>
          <cell r="R194">
            <v>953</v>
          </cell>
          <cell r="S194">
            <v>984</v>
          </cell>
          <cell r="T194">
            <v>1019</v>
          </cell>
          <cell r="U194">
            <v>1042</v>
          </cell>
          <cell r="V194">
            <v>1062</v>
          </cell>
          <cell r="W194" t="str">
            <v xml:space="preserve">Est. Renewal + New </v>
          </cell>
          <cell r="Y194" t="str">
            <v>ANF2009</v>
          </cell>
          <cell r="Z194">
            <v>0.44586656238183364</v>
          </cell>
          <cell r="AB194" t="str">
            <v>TLB</v>
          </cell>
          <cell r="AC194">
            <v>0.37738107711413327</v>
          </cell>
          <cell r="AE194" t="str">
            <v>TLB</v>
          </cell>
          <cell r="AF194" t="str">
            <v xml:space="preserve">TLB </v>
          </cell>
        </row>
        <row r="195">
          <cell r="C195" t="str">
            <v>New Store Openings</v>
          </cell>
          <cell r="D195">
            <v>27</v>
          </cell>
          <cell r="E195">
            <v>45</v>
          </cell>
          <cell r="F195">
            <v>47</v>
          </cell>
          <cell r="G195">
            <v>81</v>
          </cell>
          <cell r="H195">
            <v>67</v>
          </cell>
          <cell r="I195">
            <v>49</v>
          </cell>
          <cell r="J195">
            <v>70</v>
          </cell>
          <cell r="K195">
            <v>95</v>
          </cell>
          <cell r="L195">
            <v>97</v>
          </cell>
          <cell r="M195">
            <v>70</v>
          </cell>
          <cell r="N195">
            <v>77</v>
          </cell>
          <cell r="O195">
            <v>66</v>
          </cell>
          <cell r="P195">
            <v>14</v>
          </cell>
          <cell r="Q195">
            <v>34</v>
          </cell>
          <cell r="R195">
            <v>76</v>
          </cell>
          <cell r="S195">
            <v>63</v>
          </cell>
          <cell r="T195">
            <v>65</v>
          </cell>
          <cell r="U195">
            <v>28</v>
          </cell>
          <cell r="V195">
            <v>25</v>
          </cell>
          <cell r="W195" t="str">
            <v>Stores as % of Total</v>
          </cell>
          <cell r="Y195" t="str">
            <v>URBN2009</v>
          </cell>
          <cell r="Z195">
            <v>0.43109594588854916</v>
          </cell>
          <cell r="AB195" t="str">
            <v>ANF</v>
          </cell>
          <cell r="AC195">
            <v>0.31524129122736722</v>
          </cell>
          <cell r="AE195" t="str">
            <v>ANF</v>
          </cell>
          <cell r="AF195" t="str">
            <v xml:space="preserve">ANF </v>
          </cell>
        </row>
        <row r="196">
          <cell r="C196" t="str">
            <v>Store Closings</v>
          </cell>
          <cell r="D196">
            <v>12</v>
          </cell>
          <cell r="E196">
            <v>4</v>
          </cell>
          <cell r="F196">
            <v>7</v>
          </cell>
          <cell r="G196">
            <v>8</v>
          </cell>
          <cell r="H196">
            <v>7</v>
          </cell>
          <cell r="I196">
            <v>3</v>
          </cell>
          <cell r="J196">
            <v>6</v>
          </cell>
          <cell r="K196">
            <v>5</v>
          </cell>
          <cell r="L196">
            <v>11</v>
          </cell>
          <cell r="M196">
            <v>25</v>
          </cell>
          <cell r="N196">
            <v>17</v>
          </cell>
          <cell r="O196">
            <v>60</v>
          </cell>
          <cell r="P196">
            <v>42</v>
          </cell>
          <cell r="Q196">
            <v>45</v>
          </cell>
          <cell r="R196">
            <v>19</v>
          </cell>
          <cell r="S196">
            <v>32</v>
          </cell>
          <cell r="T196">
            <v>30</v>
          </cell>
          <cell r="U196">
            <v>5</v>
          </cell>
          <cell r="V196">
            <v>5</v>
          </cell>
        </row>
        <row r="197">
          <cell r="C197" t="str">
            <v xml:space="preserve">Stores Up for Negotation as a % of Total </v>
          </cell>
          <cell r="T197">
            <v>0.1324828263002944</v>
          </cell>
          <cell r="U197">
            <v>0.11804222648752399</v>
          </cell>
          <cell r="V197">
            <v>0.11487758945386065</v>
          </cell>
          <cell r="W197">
            <v>0.36540264224167907</v>
          </cell>
          <cell r="Y197" t="str">
            <v>ARO2009</v>
          </cell>
          <cell r="Z197">
            <v>0.37257664709719507</v>
          </cell>
          <cell r="AB197" t="str">
            <v>COH</v>
          </cell>
          <cell r="AC197">
            <v>0.31480360058911533</v>
          </cell>
          <cell r="AE197" t="str">
            <v>COH</v>
          </cell>
          <cell r="AF197" t="str">
            <v xml:space="preserve">COH </v>
          </cell>
        </row>
        <row r="198">
          <cell r="C198" t="str">
            <v>Gross Square Footage</v>
          </cell>
          <cell r="D198">
            <v>1.7565</v>
          </cell>
          <cell r="E198">
            <v>1.9180000000000001</v>
          </cell>
          <cell r="F198">
            <v>2.1545000000000005</v>
          </cell>
          <cell r="G198">
            <v>2.4874999999999998</v>
          </cell>
          <cell r="H198">
            <v>2.8754999999999997</v>
          </cell>
          <cell r="I198">
            <v>3.1802999999999999</v>
          </cell>
          <cell r="J198">
            <v>3.4832999999999998</v>
          </cell>
          <cell r="K198">
            <v>3.9319999999999999</v>
          </cell>
          <cell r="L198">
            <v>4.5015000000000001</v>
          </cell>
          <cell r="M198">
            <v>4.9400000000000004</v>
          </cell>
          <cell r="N198">
            <v>5.2445000000000004</v>
          </cell>
          <cell r="O198">
            <v>5.4510000000000005</v>
          </cell>
          <cell r="P198">
            <v>5.42</v>
          </cell>
          <cell r="Q198">
            <v>5.3159999999999998</v>
          </cell>
          <cell r="R198">
            <v>5.4339999999999993</v>
          </cell>
          <cell r="S198">
            <v>5.7029499999999995</v>
          </cell>
          <cell r="T198">
            <v>5.9311499999999997</v>
          </cell>
          <cell r="U198">
            <v>6.1110999999999995</v>
          </cell>
          <cell r="V198">
            <v>6.2420999999999989</v>
          </cell>
        </row>
        <row r="199">
          <cell r="B199" t="str">
            <v>ARO</v>
          </cell>
          <cell r="C199" t="str">
            <v>End of Year # Stores</v>
          </cell>
          <cell r="D199" t="str">
            <v>NA</v>
          </cell>
          <cell r="E199" t="str">
            <v>NA</v>
          </cell>
          <cell r="F199">
            <v>151</v>
          </cell>
          <cell r="G199">
            <v>224</v>
          </cell>
          <cell r="H199">
            <v>278</v>
          </cell>
          <cell r="I199">
            <v>367</v>
          </cell>
          <cell r="J199">
            <v>459</v>
          </cell>
          <cell r="K199">
            <v>561</v>
          </cell>
          <cell r="L199">
            <v>671</v>
          </cell>
          <cell r="M199">
            <v>742</v>
          </cell>
          <cell r="N199">
            <v>828</v>
          </cell>
          <cell r="O199">
            <v>914</v>
          </cell>
          <cell r="P199">
            <v>952</v>
          </cell>
          <cell r="Q199">
            <v>1012</v>
          </cell>
          <cell r="R199">
            <v>1057</v>
          </cell>
          <cell r="S199">
            <v>1095</v>
          </cell>
          <cell r="T199">
            <v>1151</v>
          </cell>
          <cell r="U199">
            <v>1181</v>
          </cell>
          <cell r="V199">
            <v>1219</v>
          </cell>
          <cell r="W199" t="str">
            <v xml:space="preserve">Est. Renewal + New </v>
          </cell>
          <cell r="Y199" t="str">
            <v>COH2009</v>
          </cell>
          <cell r="Z199">
            <v>0.40221365664572795</v>
          </cell>
          <cell r="AB199" t="str">
            <v>TIF</v>
          </cell>
          <cell r="AC199">
            <v>0.31466034456172814</v>
          </cell>
          <cell r="AE199" t="str">
            <v>TIF</v>
          </cell>
          <cell r="AF199" t="str">
            <v xml:space="preserve">TIF </v>
          </cell>
        </row>
        <row r="200">
          <cell r="C200" t="str">
            <v>New Store Openings</v>
          </cell>
          <cell r="D200" t="str">
            <v>NA</v>
          </cell>
          <cell r="E200" t="str">
            <v>NA</v>
          </cell>
          <cell r="F200">
            <v>40</v>
          </cell>
          <cell r="G200">
            <v>74</v>
          </cell>
          <cell r="H200">
            <v>62</v>
          </cell>
          <cell r="I200">
            <v>93</v>
          </cell>
          <cell r="J200">
            <v>95</v>
          </cell>
          <cell r="K200">
            <v>103</v>
          </cell>
          <cell r="L200">
            <v>119</v>
          </cell>
          <cell r="M200">
            <v>74</v>
          </cell>
          <cell r="N200">
            <v>88</v>
          </cell>
          <cell r="O200">
            <v>88</v>
          </cell>
          <cell r="P200">
            <v>53</v>
          </cell>
          <cell r="Q200">
            <v>68</v>
          </cell>
          <cell r="R200">
            <v>47</v>
          </cell>
          <cell r="S200">
            <v>48</v>
          </cell>
          <cell r="T200">
            <v>74</v>
          </cell>
          <cell r="U200">
            <v>40</v>
          </cell>
          <cell r="V200">
            <v>40</v>
          </cell>
          <cell r="W200" t="str">
            <v>Stores as % of Total</v>
          </cell>
          <cell r="Y200" t="str">
            <v>AEO2009</v>
          </cell>
          <cell r="Z200">
            <v>0.23462101636520241</v>
          </cell>
          <cell r="AB200" t="str">
            <v>TJX</v>
          </cell>
          <cell r="AC200">
            <v>0.31280725462882786</v>
          </cell>
          <cell r="AE200" t="str">
            <v>TJX</v>
          </cell>
          <cell r="AF200" t="str">
            <v xml:space="preserve">TJX </v>
          </cell>
        </row>
        <row r="201">
          <cell r="C201" t="str">
            <v>Store Closings</v>
          </cell>
          <cell r="D201" t="str">
            <v>NA</v>
          </cell>
          <cell r="E201" t="str">
            <v>NA</v>
          </cell>
          <cell r="F201">
            <v>7</v>
          </cell>
          <cell r="G201">
            <v>1</v>
          </cell>
          <cell r="H201">
            <v>8</v>
          </cell>
          <cell r="I201">
            <v>4</v>
          </cell>
          <cell r="J201">
            <v>3</v>
          </cell>
          <cell r="K201">
            <v>1</v>
          </cell>
          <cell r="L201">
            <v>9</v>
          </cell>
          <cell r="M201">
            <v>3</v>
          </cell>
          <cell r="N201">
            <v>2</v>
          </cell>
          <cell r="O201">
            <v>2</v>
          </cell>
          <cell r="P201">
            <v>15</v>
          </cell>
          <cell r="Q201">
            <v>8</v>
          </cell>
          <cell r="R201">
            <v>2</v>
          </cell>
          <cell r="S201">
            <v>10</v>
          </cell>
          <cell r="T201">
            <v>18</v>
          </cell>
          <cell r="U201">
            <v>10</v>
          </cell>
          <cell r="V201">
            <v>2</v>
          </cell>
        </row>
        <row r="202">
          <cell r="C202" t="str">
            <v xml:space="preserve">Stores Up for Negotation as a % of Total </v>
          </cell>
          <cell r="T202">
            <v>0.14682884448305822</v>
          </cell>
          <cell r="U202">
            <v>0.12108382726502964</v>
          </cell>
          <cell r="V202">
            <v>0.13043478260869565</v>
          </cell>
          <cell r="W202">
            <v>0.39834745435678354</v>
          </cell>
          <cell r="Y202" t="str">
            <v>CHS2009</v>
          </cell>
          <cell r="Z202">
            <v>0.40320803378882658</v>
          </cell>
          <cell r="AB202" t="str">
            <v>ARO</v>
          </cell>
          <cell r="AC202">
            <v>0.28132227506821411</v>
          </cell>
          <cell r="AE202" t="str">
            <v>ARO</v>
          </cell>
          <cell r="AF202" t="str">
            <v xml:space="preserve">ARO </v>
          </cell>
        </row>
        <row r="203">
          <cell r="C203" t="str">
            <v>Gross Square Footage</v>
          </cell>
          <cell r="D203" t="str">
            <v>NA</v>
          </cell>
          <cell r="E203" t="str">
            <v>NA</v>
          </cell>
          <cell r="F203">
            <v>0.54661000000000004</v>
          </cell>
          <cell r="G203">
            <v>0.77510999999999997</v>
          </cell>
          <cell r="H203">
            <v>0.96269700000000002</v>
          </cell>
          <cell r="I203">
            <v>1.299606</v>
          </cell>
          <cell r="J203">
            <v>1.611669</v>
          </cell>
          <cell r="K203">
            <v>1.9784060000000001</v>
          </cell>
          <cell r="L203">
            <v>2.373475</v>
          </cell>
          <cell r="M203">
            <v>2.6259999999999999</v>
          </cell>
          <cell r="N203">
            <v>2.9352140000000002</v>
          </cell>
          <cell r="O203">
            <v>3.2846139999999999</v>
          </cell>
          <cell r="P203">
            <v>3.4283760000000001</v>
          </cell>
          <cell r="Q203">
            <v>3.703033</v>
          </cell>
          <cell r="R203">
            <v>3.9087839999999998</v>
          </cell>
          <cell r="S203">
            <v>4.0513839999999997</v>
          </cell>
          <cell r="T203">
            <v>4.2435840000000002</v>
          </cell>
          <cell r="U203">
            <v>4.3551840000000004</v>
          </cell>
          <cell r="V203">
            <v>4.4915840000000005</v>
          </cell>
        </row>
        <row r="204">
          <cell r="B204" t="str">
            <v>CHS</v>
          </cell>
          <cell r="C204" t="str">
            <v>End of Year # Stores</v>
          </cell>
          <cell r="D204">
            <v>141</v>
          </cell>
          <cell r="E204">
            <v>162</v>
          </cell>
          <cell r="F204">
            <v>200</v>
          </cell>
          <cell r="G204">
            <v>250</v>
          </cell>
          <cell r="H204">
            <v>311</v>
          </cell>
          <cell r="I204">
            <v>378</v>
          </cell>
          <cell r="J204">
            <v>548</v>
          </cell>
          <cell r="K204">
            <v>657</v>
          </cell>
          <cell r="L204">
            <v>763</v>
          </cell>
          <cell r="M204">
            <v>920</v>
          </cell>
          <cell r="N204">
            <v>1038</v>
          </cell>
          <cell r="O204">
            <v>1076</v>
          </cell>
          <cell r="P204">
            <v>1080</v>
          </cell>
          <cell r="Q204">
            <v>1151</v>
          </cell>
          <cell r="R204">
            <v>1256</v>
          </cell>
          <cell r="S204">
            <v>1357</v>
          </cell>
          <cell r="T204">
            <v>1485</v>
          </cell>
          <cell r="U204">
            <v>1588</v>
          </cell>
          <cell r="V204">
            <v>1691</v>
          </cell>
          <cell r="W204" t="str">
            <v xml:space="preserve">Est. Renewal + New </v>
          </cell>
          <cell r="Y204" t="str">
            <v>ROST2009</v>
          </cell>
          <cell r="Z204">
            <v>0.35910877163928379</v>
          </cell>
          <cell r="AB204" t="str">
            <v>AEO</v>
          </cell>
          <cell r="AC204">
            <v>0.28042089756544664</v>
          </cell>
          <cell r="AE204" t="str">
            <v>AEO</v>
          </cell>
          <cell r="AF204" t="str">
            <v xml:space="preserve">AEO </v>
          </cell>
        </row>
        <row r="205">
          <cell r="C205" t="str">
            <v>New Store Openings</v>
          </cell>
          <cell r="D205">
            <v>15</v>
          </cell>
          <cell r="E205">
            <v>25</v>
          </cell>
          <cell r="F205">
            <v>41</v>
          </cell>
          <cell r="G205">
            <v>53</v>
          </cell>
          <cell r="H205">
            <v>64</v>
          </cell>
          <cell r="I205">
            <v>67</v>
          </cell>
          <cell r="J205">
            <v>58</v>
          </cell>
          <cell r="K205">
            <v>118</v>
          </cell>
          <cell r="L205">
            <v>106</v>
          </cell>
          <cell r="M205">
            <v>158</v>
          </cell>
          <cell r="N205">
            <v>146</v>
          </cell>
          <cell r="O205">
            <v>49</v>
          </cell>
          <cell r="P205">
            <v>30</v>
          </cell>
          <cell r="Q205">
            <v>80</v>
          </cell>
          <cell r="R205">
            <v>137</v>
          </cell>
          <cell r="S205">
            <v>125</v>
          </cell>
          <cell r="T205">
            <v>145</v>
          </cell>
          <cell r="U205">
            <v>120</v>
          </cell>
          <cell r="V205">
            <v>120</v>
          </cell>
          <cell r="W205" t="str">
            <v>Stores as % of Total</v>
          </cell>
          <cell r="Y205" t="str">
            <v>TJX2009</v>
          </cell>
          <cell r="Z205">
            <v>0.30601265074429024</v>
          </cell>
          <cell r="AB205" t="str">
            <v>ROST</v>
          </cell>
          <cell r="AC205">
            <v>0.27287831460692641</v>
          </cell>
          <cell r="AE205" t="str">
            <v>ROST</v>
          </cell>
        </row>
        <row r="206">
          <cell r="C206" t="str">
            <v>Store Closings</v>
          </cell>
          <cell r="D206">
            <v>7</v>
          </cell>
          <cell r="E206">
            <v>4</v>
          </cell>
          <cell r="F206">
            <v>3</v>
          </cell>
          <cell r="G206">
            <v>3</v>
          </cell>
          <cell r="H206">
            <v>3</v>
          </cell>
          <cell r="I206">
            <v>0</v>
          </cell>
          <cell r="J206">
            <v>2</v>
          </cell>
          <cell r="K206">
            <v>9</v>
          </cell>
          <cell r="L206">
            <v>0</v>
          </cell>
          <cell r="M206">
            <v>6</v>
          </cell>
          <cell r="N206">
            <v>18</v>
          </cell>
          <cell r="O206">
            <v>11</v>
          </cell>
          <cell r="P206">
            <v>26</v>
          </cell>
          <cell r="Q206">
            <v>9</v>
          </cell>
          <cell r="R206">
            <v>32</v>
          </cell>
          <cell r="S206">
            <v>24</v>
          </cell>
          <cell r="T206">
            <v>17</v>
          </cell>
          <cell r="U206">
            <v>17</v>
          </cell>
          <cell r="V206">
            <v>17</v>
          </cell>
        </row>
        <row r="207">
          <cell r="C207" t="str">
            <v xml:space="preserve">Stores Up for Negotation as a % of Total </v>
          </cell>
          <cell r="T207">
            <v>0.13670033670033671</v>
          </cell>
          <cell r="U207">
            <v>0.14987405541561713</v>
          </cell>
          <cell r="V207">
            <v>0.13364872856298049</v>
          </cell>
          <cell r="W207">
            <v>0.4202231206789343</v>
          </cell>
          <cell r="Y207" t="str">
            <v>ANN2009</v>
          </cell>
          <cell r="Z207">
            <v>0.34249710739925038</v>
          </cell>
          <cell r="AB207" t="str">
            <v>CHS</v>
          </cell>
          <cell r="AC207">
            <v>0.25976024802294312</v>
          </cell>
          <cell r="AE207" t="str">
            <v>CHS</v>
          </cell>
          <cell r="AF207" t="str">
            <v xml:space="preserve">CHS </v>
          </cell>
        </row>
        <row r="208">
          <cell r="C208" t="str">
            <v>Gross Square Footage</v>
          </cell>
          <cell r="D208">
            <v>0</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row>
        <row r="209">
          <cell r="B209" t="str">
            <v>COH</v>
          </cell>
          <cell r="C209" t="str">
            <v>End of Year # Stores</v>
          </cell>
          <cell r="D209" t="str">
            <v>NA</v>
          </cell>
          <cell r="E209" t="str">
            <v>NA</v>
          </cell>
          <cell r="F209" t="str">
            <v>NA</v>
          </cell>
          <cell r="G209">
            <v>239</v>
          </cell>
          <cell r="H209">
            <v>265</v>
          </cell>
          <cell r="I209">
            <v>295</v>
          </cell>
          <cell r="J209">
            <v>325</v>
          </cell>
          <cell r="K209">
            <v>350</v>
          </cell>
          <cell r="L209">
            <v>378</v>
          </cell>
          <cell r="M209">
            <v>422</v>
          </cell>
          <cell r="N209">
            <v>489</v>
          </cell>
          <cell r="O209">
            <v>548</v>
          </cell>
          <cell r="P209">
            <v>624</v>
          </cell>
          <cell r="Q209">
            <v>665</v>
          </cell>
          <cell r="R209">
            <v>723</v>
          </cell>
          <cell r="S209">
            <v>832</v>
          </cell>
          <cell r="T209">
            <v>912</v>
          </cell>
          <cell r="U209">
            <v>983</v>
          </cell>
          <cell r="V209">
            <v>1054</v>
          </cell>
          <cell r="W209" t="str">
            <v xml:space="preserve">Est. Renewal + New </v>
          </cell>
          <cell r="Y209" t="str">
            <v>JCG2009</v>
          </cell>
          <cell r="Z209">
            <v>0.29111373453400685</v>
          </cell>
          <cell r="AB209" t="str">
            <v>ANN</v>
          </cell>
          <cell r="AC209">
            <v>0.15037683740834962</v>
          </cell>
          <cell r="AE209" t="str">
            <v>ANN</v>
          </cell>
          <cell r="AF209" t="str">
            <v xml:space="preserve">ANN </v>
          </cell>
        </row>
        <row r="210">
          <cell r="C210" t="str">
            <v>New Store Openings</v>
          </cell>
          <cell r="D210" t="str">
            <v>NA</v>
          </cell>
          <cell r="E210" t="str">
            <v>NA</v>
          </cell>
          <cell r="F210" t="str">
            <v>NA</v>
          </cell>
          <cell r="G210">
            <v>10</v>
          </cell>
          <cell r="H210">
            <v>26</v>
          </cell>
          <cell r="I210">
            <v>33</v>
          </cell>
          <cell r="J210">
            <v>37</v>
          </cell>
          <cell r="K210">
            <v>29</v>
          </cell>
          <cell r="L210">
            <v>38</v>
          </cell>
          <cell r="M210">
            <v>50</v>
          </cell>
          <cell r="N210">
            <v>70</v>
          </cell>
          <cell r="O210">
            <v>60</v>
          </cell>
          <cell r="P210">
            <v>85</v>
          </cell>
          <cell r="Q210">
            <v>52</v>
          </cell>
          <cell r="R210">
            <v>65</v>
          </cell>
          <cell r="S210">
            <v>114</v>
          </cell>
          <cell r="T210">
            <v>83</v>
          </cell>
          <cell r="U210">
            <v>74</v>
          </cell>
          <cell r="V210">
            <v>74</v>
          </cell>
          <cell r="W210" t="str">
            <v>Stores as % of Total</v>
          </cell>
          <cell r="Y210" t="str">
            <v>PLCE2009</v>
          </cell>
          <cell r="Z210">
            <v>0.40735649884065694</v>
          </cell>
          <cell r="AB210" t="str">
            <v>LTD</v>
          </cell>
          <cell r="AC210">
            <v>7.3625433459171691E-2</v>
          </cell>
          <cell r="AE210" t="str">
            <v>LTD</v>
          </cell>
          <cell r="AF210" t="str">
            <v xml:space="preserve">LTD </v>
          </cell>
        </row>
        <row r="211">
          <cell r="C211" t="str">
            <v>Store Closings</v>
          </cell>
          <cell r="D211" t="str">
            <v>NA</v>
          </cell>
          <cell r="E211" t="str">
            <v>NA</v>
          </cell>
          <cell r="F211" t="str">
            <v>NA</v>
          </cell>
          <cell r="G211">
            <v>4</v>
          </cell>
          <cell r="H211">
            <v>0</v>
          </cell>
          <cell r="I211">
            <v>3</v>
          </cell>
          <cell r="J211">
            <v>7</v>
          </cell>
          <cell r="K211">
            <v>4</v>
          </cell>
          <cell r="L211">
            <v>10</v>
          </cell>
          <cell r="M211">
            <v>6</v>
          </cell>
          <cell r="N211">
            <v>3</v>
          </cell>
          <cell r="O211">
            <v>1</v>
          </cell>
          <cell r="P211">
            <v>9</v>
          </cell>
          <cell r="Q211">
            <v>11</v>
          </cell>
          <cell r="R211">
            <v>7</v>
          </cell>
          <cell r="S211">
            <v>5</v>
          </cell>
          <cell r="T211">
            <v>3</v>
          </cell>
          <cell r="U211">
            <v>3</v>
          </cell>
          <cell r="V211">
            <v>3</v>
          </cell>
        </row>
        <row r="212">
          <cell r="C212" t="str">
            <v xml:space="preserve">Stores Up for Negotation as a % of Total </v>
          </cell>
          <cell r="T212">
            <v>0.13157894736842105</v>
          </cell>
          <cell r="U212">
            <v>0.10478128179043744</v>
          </cell>
          <cell r="V212">
            <v>0.10626185958254269</v>
          </cell>
          <cell r="W212">
            <v>0.34262208874140121</v>
          </cell>
        </row>
        <row r="213">
          <cell r="C213" t="str">
            <v>Gross Square Footage</v>
          </cell>
          <cell r="D213" t="str">
            <v>NA</v>
          </cell>
          <cell r="E213" t="str">
            <v>NA</v>
          </cell>
          <cell r="F213" t="str">
            <v>NA</v>
          </cell>
          <cell r="G213">
            <v>0</v>
          </cell>
          <cell r="H213">
            <v>0</v>
          </cell>
          <cell r="I213">
            <v>0</v>
          </cell>
          <cell r="J213">
            <v>0</v>
          </cell>
          <cell r="K213">
            <v>0</v>
          </cell>
          <cell r="L213">
            <v>0</v>
          </cell>
          <cell r="M213">
            <v>0</v>
          </cell>
          <cell r="N213">
            <v>0</v>
          </cell>
          <cell r="O213">
            <v>0</v>
          </cell>
          <cell r="P213">
            <v>0</v>
          </cell>
          <cell r="Q213">
            <v>0</v>
          </cell>
          <cell r="R213">
            <v>0</v>
          </cell>
          <cell r="S213">
            <v>0</v>
          </cell>
          <cell r="T213">
            <v>48</v>
          </cell>
          <cell r="U213">
            <v>50</v>
          </cell>
          <cell r="V213">
            <v>52</v>
          </cell>
        </row>
        <row r="214">
          <cell r="B214" t="str">
            <v>EXPR</v>
          </cell>
          <cell r="C214" t="str">
            <v>End of Year # Stores</v>
          </cell>
          <cell r="D214" t="str">
            <v>NA</v>
          </cell>
          <cell r="E214">
            <v>1234</v>
          </cell>
          <cell r="F214">
            <v>1187</v>
          </cell>
          <cell r="G214">
            <v>1136</v>
          </cell>
          <cell r="H214">
            <v>1106</v>
          </cell>
          <cell r="I214">
            <v>1031</v>
          </cell>
          <cell r="J214">
            <v>956</v>
          </cell>
          <cell r="K214">
            <v>884</v>
          </cell>
          <cell r="L214">
            <v>743</v>
          </cell>
          <cell r="M214">
            <v>658</v>
          </cell>
          <cell r="N214">
            <v>587</v>
          </cell>
          <cell r="O214">
            <v>581</v>
          </cell>
          <cell r="P214">
            <v>573</v>
          </cell>
          <cell r="Q214">
            <v>591</v>
          </cell>
          <cell r="R214">
            <v>609</v>
          </cell>
          <cell r="S214">
            <v>625</v>
          </cell>
          <cell r="T214">
            <v>632</v>
          </cell>
          <cell r="U214">
            <v>647</v>
          </cell>
          <cell r="V214">
            <v>657</v>
          </cell>
          <cell r="W214" t="str">
            <v xml:space="preserve">Est. Renewal + New </v>
          </cell>
        </row>
        <row r="215">
          <cell r="C215" t="str">
            <v>New Store Openings</v>
          </cell>
          <cell r="D215" t="str">
            <v>NA</v>
          </cell>
          <cell r="E215">
            <v>4</v>
          </cell>
          <cell r="F215">
            <v>9</v>
          </cell>
          <cell r="G215">
            <v>4</v>
          </cell>
          <cell r="H215">
            <v>16</v>
          </cell>
          <cell r="I215">
            <v>21</v>
          </cell>
          <cell r="J215">
            <v>7</v>
          </cell>
          <cell r="K215">
            <v>15</v>
          </cell>
          <cell r="L215">
            <v>17</v>
          </cell>
          <cell r="M215">
            <v>2</v>
          </cell>
          <cell r="N215">
            <v>2</v>
          </cell>
          <cell r="O215">
            <v>4</v>
          </cell>
          <cell r="P215">
            <v>7</v>
          </cell>
          <cell r="Q215">
            <v>23</v>
          </cell>
          <cell r="R215">
            <v>27</v>
          </cell>
          <cell r="S215">
            <v>28</v>
          </cell>
          <cell r="T215">
            <v>16</v>
          </cell>
          <cell r="U215">
            <v>20</v>
          </cell>
          <cell r="V215">
            <v>15</v>
          </cell>
          <cell r="W215" t="str">
            <v>Stores as % of Total</v>
          </cell>
          <cell r="Y215">
            <v>660</v>
          </cell>
          <cell r="Z215">
            <v>581</v>
          </cell>
          <cell r="AA215">
            <v>582</v>
          </cell>
        </row>
        <row r="216">
          <cell r="C216" t="str">
            <v>Store Closings</v>
          </cell>
          <cell r="D216" t="str">
            <v>NA</v>
          </cell>
          <cell r="E216" t="str">
            <v>NA</v>
          </cell>
          <cell r="F216" t="str">
            <v>NA</v>
          </cell>
          <cell r="G216" t="str">
            <v>NA</v>
          </cell>
          <cell r="H216" t="str">
            <v>NA</v>
          </cell>
          <cell r="I216" t="str">
            <v>NA</v>
          </cell>
          <cell r="J216" t="str">
            <v>NA</v>
          </cell>
          <cell r="K216">
            <v>0</v>
          </cell>
          <cell r="L216">
            <v>0</v>
          </cell>
          <cell r="M216">
            <v>0</v>
          </cell>
          <cell r="N216">
            <v>0</v>
          </cell>
          <cell r="O216">
            <v>10</v>
          </cell>
          <cell r="P216">
            <v>6</v>
          </cell>
          <cell r="Q216">
            <v>5</v>
          </cell>
          <cell r="R216">
            <v>9</v>
          </cell>
          <cell r="S216">
            <v>12</v>
          </cell>
          <cell r="T216">
            <v>9</v>
          </cell>
          <cell r="U216">
            <v>5</v>
          </cell>
          <cell r="V216">
            <v>5</v>
          </cell>
        </row>
        <row r="217">
          <cell r="C217" t="str">
            <v xml:space="preserve">Stores Up for Negotation as a % of Total </v>
          </cell>
          <cell r="T217">
            <v>3.6392405063291139E-2</v>
          </cell>
          <cell r="U217">
            <v>5.4095826893353939E-2</v>
          </cell>
          <cell r="V217">
            <v>4.8706240487062402E-2</v>
          </cell>
          <cell r="W217">
            <v>0.13919447244370747</v>
          </cell>
        </row>
        <row r="218">
          <cell r="C218" t="str">
            <v>Gross Square Footage</v>
          </cell>
          <cell r="D218" t="str">
            <v>NA</v>
          </cell>
          <cell r="E218" t="str">
            <v>NA</v>
          </cell>
          <cell r="F218" t="str">
            <v>NA</v>
          </cell>
          <cell r="G218" t="str">
            <v>NA</v>
          </cell>
          <cell r="H218" t="str">
            <v>NA</v>
          </cell>
          <cell r="I218" t="str">
            <v>NA</v>
          </cell>
          <cell r="J218" t="str">
            <v>NA</v>
          </cell>
          <cell r="K218">
            <v>6.867</v>
          </cell>
          <cell r="L218">
            <v>6.4770000000000003</v>
          </cell>
          <cell r="M218">
            <v>5.7770000000000001</v>
          </cell>
          <cell r="N218">
            <v>5.1420000000000003</v>
          </cell>
          <cell r="O218">
            <v>5.032</v>
          </cell>
          <cell r="P218">
            <v>4.9945069999999996</v>
          </cell>
          <cell r="Q218">
            <v>5.1280000000000001</v>
          </cell>
          <cell r="R218">
            <v>5.2670000000000003</v>
          </cell>
          <cell r="S218">
            <v>5.4062000000000001</v>
          </cell>
          <cell r="T218">
            <v>5.4691999999999998</v>
          </cell>
          <cell r="U218">
            <v>5.6041999999999996</v>
          </cell>
          <cell r="V218">
            <v>5.6941999999999995</v>
          </cell>
        </row>
        <row r="219">
          <cell r="B219" t="str">
            <v>GES</v>
          </cell>
          <cell r="C219" t="str">
            <v>End of Year # Stores</v>
          </cell>
          <cell r="D219" t="str">
            <v>NA</v>
          </cell>
          <cell r="E219" t="str">
            <v>NA</v>
          </cell>
          <cell r="F219" t="str">
            <v>NA</v>
          </cell>
          <cell r="G219" t="str">
            <v>NA</v>
          </cell>
          <cell r="H219" t="str">
            <v>NA</v>
          </cell>
          <cell r="I219" t="str">
            <v>NA</v>
          </cell>
          <cell r="J219" t="str">
            <v>NA</v>
          </cell>
          <cell r="K219" t="str">
            <v>NA</v>
          </cell>
          <cell r="L219" t="str">
            <v>NA</v>
          </cell>
          <cell r="M219" t="str">
            <v>NA</v>
          </cell>
          <cell r="N219">
            <v>413</v>
          </cell>
          <cell r="O219">
            <v>486</v>
          </cell>
          <cell r="P219">
            <v>544</v>
          </cell>
          <cell r="Q219">
            <v>649</v>
          </cell>
          <cell r="R219">
            <v>734</v>
          </cell>
          <cell r="S219">
            <v>837</v>
          </cell>
          <cell r="T219">
            <v>837</v>
          </cell>
          <cell r="U219">
            <v>837</v>
          </cell>
          <cell r="V219">
            <v>837</v>
          </cell>
          <cell r="W219" t="str">
            <v xml:space="preserve">Est. Renewal + New </v>
          </cell>
        </row>
        <row r="220">
          <cell r="C220" t="str">
            <v>New Store Openings</v>
          </cell>
          <cell r="D220" t="str">
            <v>NA</v>
          </cell>
          <cell r="E220" t="str">
            <v>NA</v>
          </cell>
          <cell r="F220" t="str">
            <v>NA</v>
          </cell>
          <cell r="G220" t="str">
            <v>NA</v>
          </cell>
          <cell r="H220" t="str">
            <v>NA</v>
          </cell>
          <cell r="I220" t="str">
            <v>NA</v>
          </cell>
          <cell r="J220" t="str">
            <v>NA</v>
          </cell>
          <cell r="K220" t="str">
            <v>NA</v>
          </cell>
          <cell r="L220" t="str">
            <v>NA</v>
          </cell>
          <cell r="M220" t="str">
            <v>NA</v>
          </cell>
          <cell r="N220" t="str">
            <v>NA</v>
          </cell>
          <cell r="O220">
            <v>73</v>
          </cell>
          <cell r="P220">
            <v>58</v>
          </cell>
          <cell r="Q220">
            <v>105</v>
          </cell>
          <cell r="R220">
            <v>85</v>
          </cell>
          <cell r="S220">
            <v>103</v>
          </cell>
          <cell r="T220">
            <v>0</v>
          </cell>
          <cell r="U220">
            <v>0</v>
          </cell>
          <cell r="V220">
            <v>0</v>
          </cell>
          <cell r="W220" t="str">
            <v>Stores as % of Total</v>
          </cell>
        </row>
        <row r="221">
          <cell r="C221" t="str">
            <v>Store Closings</v>
          </cell>
          <cell r="D221">
            <v>-6508</v>
          </cell>
          <cell r="E221">
            <v>-9054</v>
          </cell>
          <cell r="F221">
            <v>-11600</v>
          </cell>
          <cell r="G221">
            <v>-13673</v>
          </cell>
          <cell r="H221">
            <v>-13848</v>
          </cell>
          <cell r="I221">
            <v>-14455</v>
          </cell>
          <cell r="J221">
            <v>-15854</v>
          </cell>
          <cell r="K221">
            <v>-16267</v>
          </cell>
          <cell r="L221">
            <v>-16015</v>
          </cell>
          <cell r="M221">
            <v>-15916</v>
          </cell>
          <cell r="N221">
            <v>-15732</v>
          </cell>
          <cell r="O221">
            <v>-14526</v>
          </cell>
          <cell r="P221">
            <v>-14197</v>
          </cell>
          <cell r="Q221">
            <v>-14664</v>
          </cell>
          <cell r="R221">
            <v>-14549</v>
          </cell>
          <cell r="S221">
            <v>-15651</v>
          </cell>
          <cell r="T221">
            <v>-15557.613676301589</v>
          </cell>
          <cell r="U221">
            <v>-16123.430031544121</v>
          </cell>
          <cell r="V221">
            <v>-16480.247519048262</v>
          </cell>
        </row>
        <row r="222">
          <cell r="C222" t="str">
            <v>Stores Up for Negotiation as a % of Total</v>
          </cell>
          <cell r="S222" t="str">
            <v>NA</v>
          </cell>
          <cell r="T222" t="str">
            <v>NA</v>
          </cell>
          <cell r="U222" t="str">
            <v>NA</v>
          </cell>
          <cell r="V222" t="str">
            <v>NA</v>
          </cell>
          <cell r="W222">
            <v>0</v>
          </cell>
        </row>
        <row r="223">
          <cell r="C223" t="str">
            <v>Gross Square Footage</v>
          </cell>
          <cell r="D223">
            <v>9.2418280423096411E-2</v>
          </cell>
          <cell r="E223">
            <v>0.20605216943141902</v>
          </cell>
          <cell r="F223">
            <v>7.6963951833128208E-2</v>
          </cell>
          <cell r="G223">
            <v>9.8632819651960579E-2</v>
          </cell>
          <cell r="H223">
            <v>-7.0239366803548364E-4</v>
          </cell>
          <cell r="I223">
            <v>-1.364751715485446E-3</v>
          </cell>
          <cell r="J223">
            <v>0.11019013468117667</v>
          </cell>
          <cell r="K223">
            <v>4.7067975609023982E-2</v>
          </cell>
          <cell r="L223">
            <v>-2.005022203512774E-2</v>
          </cell>
          <cell r="M223">
            <v>-2.8279756009248036E-2</v>
          </cell>
          <cell r="N223">
            <v>-2.7967456994279494E-2</v>
          </cell>
          <cell r="O223">
            <v>-8.1101168564105541E-2</v>
          </cell>
          <cell r="P223">
            <v>-1.1379140965551482E-2</v>
          </cell>
          <cell r="Q223">
            <v>4.6469551086676386E-2</v>
          </cell>
          <cell r="R223">
            <v>-4.1257834560385342E-3</v>
          </cell>
          <cell r="S223">
            <v>6.4818376524268917E-2</v>
          </cell>
          <cell r="T223">
            <v>-1.1116159396982295E-2</v>
          </cell>
          <cell r="U223">
            <v>-1.3273353469245297E-2</v>
          </cell>
          <cell r="V223">
            <v>-1.6032368173021672E-2</v>
          </cell>
        </row>
        <row r="224">
          <cell r="B224" t="str">
            <v>GPS</v>
          </cell>
          <cell r="C224" t="str">
            <v>End of Year # Stores</v>
          </cell>
          <cell r="D224">
            <v>2130</v>
          </cell>
          <cell r="E224">
            <v>2466</v>
          </cell>
          <cell r="F224">
            <v>3018</v>
          </cell>
          <cell r="G224">
            <v>2848</v>
          </cell>
          <cell r="H224">
            <v>3097</v>
          </cell>
          <cell r="I224">
            <v>3117</v>
          </cell>
          <cell r="J224">
            <v>3022</v>
          </cell>
          <cell r="K224">
            <v>2994</v>
          </cell>
          <cell r="L224">
            <v>3053</v>
          </cell>
          <cell r="M224">
            <v>3131</v>
          </cell>
          <cell r="N224">
            <v>3167</v>
          </cell>
          <cell r="O224">
            <v>3149</v>
          </cell>
          <cell r="P224">
            <v>3095</v>
          </cell>
          <cell r="Q224">
            <v>3068</v>
          </cell>
          <cell r="R224">
            <v>3072</v>
          </cell>
          <cell r="S224">
            <v>3131</v>
          </cell>
          <cell r="T224">
            <v>3211</v>
          </cell>
          <cell r="U224">
            <v>3338</v>
          </cell>
          <cell r="V224">
            <v>3465</v>
          </cell>
          <cell r="W224" t="str">
            <v xml:space="preserve">Est. Renewal + New </v>
          </cell>
        </row>
        <row r="225">
          <cell r="C225" t="str">
            <v>New Store Openings</v>
          </cell>
          <cell r="D225">
            <v>298</v>
          </cell>
          <cell r="E225">
            <v>356</v>
          </cell>
          <cell r="F225">
            <v>570</v>
          </cell>
          <cell r="G225">
            <v>731</v>
          </cell>
          <cell r="H225">
            <v>324</v>
          </cell>
          <cell r="I225">
            <v>115</v>
          </cell>
          <cell r="J225">
            <v>35</v>
          </cell>
          <cell r="K225">
            <v>130</v>
          </cell>
          <cell r="L225">
            <v>198</v>
          </cell>
          <cell r="M225">
            <v>194</v>
          </cell>
          <cell r="N225">
            <v>214</v>
          </cell>
          <cell r="O225">
            <v>101</v>
          </cell>
          <cell r="P225">
            <v>47</v>
          </cell>
          <cell r="Q225">
            <v>71</v>
          </cell>
          <cell r="R225">
            <v>102</v>
          </cell>
          <cell r="S225">
            <v>148</v>
          </cell>
          <cell r="T225">
            <v>160</v>
          </cell>
          <cell r="U225">
            <v>160</v>
          </cell>
          <cell r="V225">
            <v>160</v>
          </cell>
          <cell r="W225" t="str">
            <v>Stores as % of Total</v>
          </cell>
        </row>
        <row r="226">
          <cell r="C226" t="str">
            <v>Store Closings</v>
          </cell>
          <cell r="D226">
            <v>22</v>
          </cell>
          <cell r="E226">
            <v>20</v>
          </cell>
          <cell r="F226">
            <v>18</v>
          </cell>
          <cell r="G226">
            <v>73</v>
          </cell>
          <cell r="H226">
            <v>75</v>
          </cell>
          <cell r="I226">
            <v>95</v>
          </cell>
          <cell r="J226">
            <v>130</v>
          </cell>
          <cell r="K226">
            <v>158</v>
          </cell>
          <cell r="L226">
            <v>139</v>
          </cell>
          <cell r="M226">
            <v>116</v>
          </cell>
          <cell r="N226">
            <v>178</v>
          </cell>
          <cell r="O226">
            <v>119</v>
          </cell>
          <cell r="P226">
            <v>101</v>
          </cell>
          <cell r="Q226">
            <v>98</v>
          </cell>
          <cell r="R226">
            <v>98</v>
          </cell>
          <cell r="S226">
            <v>89</v>
          </cell>
          <cell r="T226">
            <v>80</v>
          </cell>
          <cell r="U226">
            <v>33</v>
          </cell>
          <cell r="V226">
            <v>33</v>
          </cell>
        </row>
        <row r="227">
          <cell r="C227" t="str">
            <v>Stores Up for Negotiation as a % of Total</v>
          </cell>
          <cell r="T227">
            <v>0.15</v>
          </cell>
          <cell r="U227">
            <v>0.15</v>
          </cell>
          <cell r="V227">
            <v>0.15</v>
          </cell>
          <cell r="W227">
            <v>0.45</v>
          </cell>
        </row>
        <row r="228">
          <cell r="C228" t="str">
            <v>Gross Square Footage</v>
          </cell>
          <cell r="D228">
            <v>15.312700000000001</v>
          </cell>
          <cell r="E228">
            <v>18.757000000000001</v>
          </cell>
          <cell r="F228">
            <v>23.978099999999998</v>
          </cell>
          <cell r="G228">
            <v>31.373437000000003</v>
          </cell>
          <cell r="H228">
            <v>36.333391999999996</v>
          </cell>
          <cell r="I228">
            <v>37.251519999999999</v>
          </cell>
          <cell r="J228">
            <v>36.518203999999997</v>
          </cell>
          <cell r="K228">
            <v>36.590928999999996</v>
          </cell>
          <cell r="L228">
            <v>37.765228999999998</v>
          </cell>
          <cell r="M228">
            <v>38.9</v>
          </cell>
          <cell r="N228">
            <v>39.6</v>
          </cell>
          <cell r="O228">
            <v>39.5</v>
          </cell>
          <cell r="P228">
            <v>38.799999999999997</v>
          </cell>
          <cell r="Q228">
            <v>38.200000000000003</v>
          </cell>
          <cell r="R228">
            <v>37.200000000000003</v>
          </cell>
          <cell r="S228">
            <v>36.6</v>
          </cell>
          <cell r="T228">
            <v>37.045000000000002</v>
          </cell>
          <cell r="U228">
            <v>37.109800000000007</v>
          </cell>
          <cell r="V228">
            <v>37.174600000000005</v>
          </cell>
        </row>
        <row r="229">
          <cell r="B229" t="str">
            <v>JCG</v>
          </cell>
          <cell r="C229" t="str">
            <v>End of Year # Stores</v>
          </cell>
          <cell r="F229">
            <v>123</v>
          </cell>
          <cell r="G229">
            <v>146</v>
          </cell>
          <cell r="H229">
            <v>177</v>
          </cell>
          <cell r="I229">
            <v>194</v>
          </cell>
          <cell r="J229">
            <v>196</v>
          </cell>
          <cell r="K229">
            <v>197</v>
          </cell>
          <cell r="L229">
            <v>203</v>
          </cell>
          <cell r="M229">
            <v>227</v>
          </cell>
          <cell r="N229">
            <v>260</v>
          </cell>
          <cell r="O229">
            <v>300</v>
          </cell>
          <cell r="P229">
            <v>321</v>
          </cell>
          <cell r="Q229">
            <v>335</v>
          </cell>
          <cell r="R229">
            <v>366</v>
          </cell>
          <cell r="S229">
            <v>400</v>
          </cell>
          <cell r="T229">
            <v>435</v>
          </cell>
          <cell r="U229">
            <v>471</v>
          </cell>
          <cell r="V229">
            <v>8.88624888199654</v>
          </cell>
          <cell r="W229" t="str">
            <v xml:space="preserve">Est. Renewal + New </v>
          </cell>
        </row>
        <row r="230">
          <cell r="C230" t="str">
            <v>New Store Openings</v>
          </cell>
          <cell r="F230">
            <v>13</v>
          </cell>
          <cell r="G230">
            <v>23</v>
          </cell>
          <cell r="H230">
            <v>31</v>
          </cell>
          <cell r="I230">
            <v>17</v>
          </cell>
          <cell r="J230">
            <v>2</v>
          </cell>
          <cell r="K230">
            <v>1</v>
          </cell>
          <cell r="L230">
            <v>6</v>
          </cell>
          <cell r="M230">
            <v>24</v>
          </cell>
          <cell r="N230">
            <v>33</v>
          </cell>
          <cell r="O230">
            <v>40</v>
          </cell>
          <cell r="P230">
            <v>21</v>
          </cell>
          <cell r="Q230">
            <v>14</v>
          </cell>
          <cell r="R230">
            <v>31</v>
          </cell>
          <cell r="S230">
            <v>34</v>
          </cell>
          <cell r="T230">
            <v>35</v>
          </cell>
          <cell r="U230">
            <v>36</v>
          </cell>
          <cell r="W230" t="str">
            <v>Stores as % of Total</v>
          </cell>
        </row>
        <row r="231">
          <cell r="C231" t="str">
            <v xml:space="preserve">Stores Up for Negotation as a % of Total </v>
          </cell>
          <cell r="S231">
            <v>0.1275</v>
          </cell>
          <cell r="T231">
            <v>8.5057471264367815E-2</v>
          </cell>
          <cell r="U231">
            <v>7.8556263269639062E-2</v>
          </cell>
          <cell r="W231">
            <v>0.16361373453400688</v>
          </cell>
        </row>
        <row r="232">
          <cell r="B232" t="str">
            <v>KORS</v>
          </cell>
          <cell r="C232" t="str">
            <v>End of Year # Stores</v>
          </cell>
          <cell r="D232">
            <v>0</v>
          </cell>
          <cell r="E232">
            <v>0</v>
          </cell>
          <cell r="F232">
            <v>0</v>
          </cell>
          <cell r="G232">
            <v>0</v>
          </cell>
          <cell r="H232">
            <v>0</v>
          </cell>
          <cell r="I232">
            <v>0</v>
          </cell>
          <cell r="J232">
            <v>0</v>
          </cell>
          <cell r="K232">
            <v>0</v>
          </cell>
          <cell r="L232">
            <v>0</v>
          </cell>
          <cell r="M232">
            <v>0</v>
          </cell>
          <cell r="N232">
            <v>0</v>
          </cell>
          <cell r="O232">
            <v>74</v>
          </cell>
          <cell r="P232">
            <v>106</v>
          </cell>
          <cell r="Q232">
            <v>166</v>
          </cell>
          <cell r="R232">
            <v>237</v>
          </cell>
          <cell r="S232">
            <v>307</v>
          </cell>
          <cell r="T232">
            <v>379</v>
          </cell>
          <cell r="U232">
            <v>444</v>
          </cell>
          <cell r="V232">
            <v>504</v>
          </cell>
          <cell r="W232" t="str">
            <v xml:space="preserve">Est. Renewal + New </v>
          </cell>
        </row>
        <row r="233">
          <cell r="C233" t="str">
            <v>New Store Openings</v>
          </cell>
          <cell r="D233">
            <v>0</v>
          </cell>
          <cell r="E233">
            <v>0</v>
          </cell>
          <cell r="F233">
            <v>0</v>
          </cell>
          <cell r="G233">
            <v>0</v>
          </cell>
          <cell r="H233">
            <v>0</v>
          </cell>
          <cell r="I233">
            <v>0</v>
          </cell>
          <cell r="J233">
            <v>0</v>
          </cell>
          <cell r="K233">
            <v>0</v>
          </cell>
          <cell r="L233">
            <v>0</v>
          </cell>
          <cell r="M233">
            <v>0</v>
          </cell>
          <cell r="N233">
            <v>0</v>
          </cell>
          <cell r="O233">
            <v>74</v>
          </cell>
          <cell r="P233">
            <v>32</v>
          </cell>
          <cell r="Q233">
            <v>60</v>
          </cell>
          <cell r="R233">
            <v>71</v>
          </cell>
          <cell r="S233">
            <v>70</v>
          </cell>
          <cell r="T233">
            <v>72</v>
          </cell>
          <cell r="U233">
            <v>65</v>
          </cell>
          <cell r="V233">
            <v>60</v>
          </cell>
          <cell r="W233" t="str">
            <v>Stores as % of Total</v>
          </cell>
        </row>
        <row r="234">
          <cell r="C234" t="str">
            <v>Store Closings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row>
        <row r="235">
          <cell r="C235" t="str">
            <v xml:space="preserve">Stores Up for Negotation as a % of Total </v>
          </cell>
          <cell r="T235">
            <v>0.18997361477572558</v>
          </cell>
          <cell r="U235">
            <v>0.1463963963963964</v>
          </cell>
          <cell r="V235">
            <v>0.11904761904761904</v>
          </cell>
          <cell r="W235">
            <v>0.45541763021974102</v>
          </cell>
        </row>
        <row r="236">
          <cell r="C236" t="str">
            <v>Gross Square Footage</v>
          </cell>
          <cell r="D236">
            <v>0</v>
          </cell>
          <cell r="E236">
            <v>0</v>
          </cell>
          <cell r="F236">
            <v>0</v>
          </cell>
          <cell r="G236">
            <v>0</v>
          </cell>
          <cell r="H236">
            <v>0</v>
          </cell>
          <cell r="I236">
            <v>0</v>
          </cell>
          <cell r="J236">
            <v>0</v>
          </cell>
          <cell r="K236">
            <v>0</v>
          </cell>
          <cell r="L236">
            <v>0</v>
          </cell>
          <cell r="M236">
            <v>0</v>
          </cell>
          <cell r="N236">
            <v>0</v>
          </cell>
          <cell r="O236">
            <v>0.186362</v>
          </cell>
          <cell r="P236">
            <v>0.26346800000000004</v>
          </cell>
          <cell r="Q236">
            <v>0.37071299999999996</v>
          </cell>
          <cell r="R236">
            <v>0.53605600000000009</v>
          </cell>
          <cell r="S236">
            <v>0.67179600000000006</v>
          </cell>
          <cell r="T236">
            <v>0.71599999999999997</v>
          </cell>
          <cell r="U236">
            <v>0.75420299999999996</v>
          </cell>
          <cell r="V236">
            <v>0.79125199999999996</v>
          </cell>
        </row>
        <row r="237">
          <cell r="B237" t="str">
            <v>LTD</v>
          </cell>
          <cell r="C237" t="str">
            <v>End of Year # Stores</v>
          </cell>
          <cell r="D237">
            <v>5640</v>
          </cell>
          <cell r="E237">
            <v>5382</v>
          </cell>
          <cell r="F237">
            <v>5023</v>
          </cell>
          <cell r="G237">
            <v>5129</v>
          </cell>
          <cell r="H237">
            <v>4614</v>
          </cell>
          <cell r="I237">
            <v>4036</v>
          </cell>
          <cell r="J237">
            <v>3911</v>
          </cell>
          <cell r="K237">
            <v>3779</v>
          </cell>
          <cell r="L237">
            <v>3590</v>
          </cell>
          <cell r="M237">
            <v>3766</v>
          </cell>
          <cell r="N237">
            <v>2926</v>
          </cell>
          <cell r="O237">
            <v>3014</v>
          </cell>
          <cell r="P237">
            <v>2971</v>
          </cell>
          <cell r="Q237">
            <v>2968</v>
          </cell>
          <cell r="R237">
            <v>2941</v>
          </cell>
          <cell r="S237">
            <v>2876</v>
          </cell>
          <cell r="T237">
            <v>2908</v>
          </cell>
          <cell r="U237">
            <v>2923</v>
          </cell>
          <cell r="V237">
            <v>2938</v>
          </cell>
          <cell r="W237" t="str">
            <v xml:space="preserve">Est. Renewal + New </v>
          </cell>
        </row>
        <row r="238">
          <cell r="C238" t="str">
            <v>New Store Openings</v>
          </cell>
          <cell r="D238">
            <v>315</v>
          </cell>
          <cell r="E238">
            <v>251</v>
          </cell>
          <cell r="F238">
            <v>295</v>
          </cell>
          <cell r="G238">
            <v>330</v>
          </cell>
          <cell r="H238">
            <v>282</v>
          </cell>
          <cell r="I238">
            <v>108</v>
          </cell>
          <cell r="J238">
            <v>25</v>
          </cell>
          <cell r="K238">
            <v>39</v>
          </cell>
          <cell r="L238">
            <v>50</v>
          </cell>
          <cell r="M238">
            <v>343</v>
          </cell>
          <cell r="N238">
            <v>129</v>
          </cell>
          <cell r="O238">
            <v>146</v>
          </cell>
          <cell r="P238">
            <v>59</v>
          </cell>
          <cell r="Q238">
            <v>43</v>
          </cell>
          <cell r="R238">
            <v>40</v>
          </cell>
          <cell r="S238">
            <v>48</v>
          </cell>
          <cell r="T238">
            <v>80</v>
          </cell>
          <cell r="U238">
            <v>55</v>
          </cell>
          <cell r="V238">
            <v>55</v>
          </cell>
          <cell r="W238" t="str">
            <v>Stores as % of Total</v>
          </cell>
        </row>
        <row r="239">
          <cell r="C239" t="str">
            <v>Store Closings</v>
          </cell>
          <cell r="D239">
            <v>304</v>
          </cell>
          <cell r="E239">
            <v>350</v>
          </cell>
          <cell r="F239">
            <v>303</v>
          </cell>
          <cell r="G239">
            <v>224</v>
          </cell>
          <cell r="H239">
            <v>146</v>
          </cell>
          <cell r="I239">
            <v>174</v>
          </cell>
          <cell r="J239">
            <v>150</v>
          </cell>
          <cell r="K239">
            <v>171</v>
          </cell>
          <cell r="L239">
            <v>239</v>
          </cell>
          <cell r="M239">
            <v>167</v>
          </cell>
          <cell r="N239">
            <v>45</v>
          </cell>
          <cell r="O239">
            <v>58</v>
          </cell>
          <cell r="P239">
            <v>102</v>
          </cell>
          <cell r="Q239">
            <v>46</v>
          </cell>
          <cell r="R239">
            <v>67</v>
          </cell>
          <cell r="S239">
            <v>113</v>
          </cell>
          <cell r="T239">
            <v>48</v>
          </cell>
          <cell r="U239">
            <v>40</v>
          </cell>
          <cell r="V239">
            <v>40</v>
          </cell>
        </row>
        <row r="240">
          <cell r="C240" t="str">
            <v xml:space="preserve">Stores Up for Negotation as a % of Total </v>
          </cell>
          <cell r="T240">
            <v>3.6107290233837692E-2</v>
          </cell>
          <cell r="U240">
            <v>3.215874101950051E-2</v>
          </cell>
          <cell r="V240">
            <v>3.5738597685500341E-2</v>
          </cell>
          <cell r="W240">
            <v>0.10400462893883855</v>
          </cell>
        </row>
        <row r="241">
          <cell r="C241" t="str">
            <v>Gross Square Footage</v>
          </cell>
          <cell r="D241">
            <v>35.5</v>
          </cell>
          <cell r="E241">
            <v>32.895000000000003</v>
          </cell>
          <cell r="F241">
            <v>29.49</v>
          </cell>
          <cell r="G241">
            <v>29.03</v>
          </cell>
          <cell r="H241">
            <v>25.182500000000001</v>
          </cell>
          <cell r="I241">
            <v>20.37125</v>
          </cell>
          <cell r="J241">
            <v>20.047499999999999</v>
          </cell>
          <cell r="K241">
            <v>19.751249999999999</v>
          </cell>
          <cell r="L241">
            <v>19.164999999999999</v>
          </cell>
          <cell r="M241">
            <v>18.463750000000001</v>
          </cell>
          <cell r="N241">
            <v>12.887499999999999</v>
          </cell>
          <cell r="O241">
            <v>13.6225</v>
          </cell>
          <cell r="P241">
            <v>13.6675</v>
          </cell>
          <cell r="Q241">
            <v>13.71875</v>
          </cell>
          <cell r="R241">
            <v>13.6775</v>
          </cell>
          <cell r="S241">
            <v>13.561249999999999</v>
          </cell>
          <cell r="T241">
            <v>13.93375</v>
          </cell>
          <cell r="U241">
            <v>14.506425620000002</v>
          </cell>
          <cell r="V241">
            <v>14.705800620000002</v>
          </cell>
        </row>
        <row r="242">
          <cell r="B242" t="str">
            <v>LULU</v>
          </cell>
          <cell r="C242" t="str">
            <v>End of Year # Stores</v>
          </cell>
          <cell r="D242">
            <v>0</v>
          </cell>
          <cell r="E242">
            <v>0</v>
          </cell>
          <cell r="F242">
            <v>0</v>
          </cell>
          <cell r="G242">
            <v>0</v>
          </cell>
          <cell r="H242">
            <v>0</v>
          </cell>
          <cell r="I242">
            <v>12</v>
          </cell>
          <cell r="J242">
            <v>17</v>
          </cell>
          <cell r="K242">
            <v>24</v>
          </cell>
          <cell r="L242">
            <v>37</v>
          </cell>
          <cell r="M242">
            <v>51</v>
          </cell>
          <cell r="N242">
            <v>81</v>
          </cell>
          <cell r="O242">
            <v>113</v>
          </cell>
          <cell r="P242">
            <v>124</v>
          </cell>
          <cell r="Q242">
            <v>133</v>
          </cell>
          <cell r="R242">
            <v>174</v>
          </cell>
          <cell r="S242">
            <v>211</v>
          </cell>
          <cell r="T242">
            <v>254</v>
          </cell>
          <cell r="U242">
            <v>293</v>
          </cell>
          <cell r="V242">
            <v>332</v>
          </cell>
          <cell r="W242" t="str">
            <v xml:space="preserve">Est. Renewal + New </v>
          </cell>
        </row>
        <row r="243">
          <cell r="C243" t="str">
            <v>New Store Openings</v>
          </cell>
          <cell r="D243">
            <v>0</v>
          </cell>
          <cell r="E243">
            <v>0</v>
          </cell>
          <cell r="F243">
            <v>0</v>
          </cell>
          <cell r="G243">
            <v>0</v>
          </cell>
          <cell r="H243">
            <v>0</v>
          </cell>
          <cell r="I243">
            <v>12</v>
          </cell>
          <cell r="J243">
            <v>5</v>
          </cell>
          <cell r="K243">
            <v>7</v>
          </cell>
          <cell r="L243">
            <v>13</v>
          </cell>
          <cell r="M243">
            <v>14</v>
          </cell>
          <cell r="N243">
            <v>30</v>
          </cell>
          <cell r="O243">
            <v>33</v>
          </cell>
          <cell r="P243">
            <v>12</v>
          </cell>
          <cell r="Q243">
            <v>10</v>
          </cell>
          <cell r="R243">
            <v>42</v>
          </cell>
          <cell r="S243">
            <v>38</v>
          </cell>
          <cell r="T243">
            <v>44</v>
          </cell>
          <cell r="U243">
            <v>40</v>
          </cell>
          <cell r="V243">
            <v>40</v>
          </cell>
          <cell r="W243" t="str">
            <v>Stores as % of Total</v>
          </cell>
        </row>
        <row r="244">
          <cell r="C244" t="str">
            <v>Store Closings</v>
          </cell>
          <cell r="G244">
            <v>0</v>
          </cell>
          <cell r="H244">
            <v>0</v>
          </cell>
          <cell r="I244">
            <v>0</v>
          </cell>
          <cell r="J244">
            <v>0</v>
          </cell>
          <cell r="K244">
            <v>0</v>
          </cell>
          <cell r="L244">
            <v>0</v>
          </cell>
          <cell r="M244">
            <v>0</v>
          </cell>
          <cell r="N244">
            <v>0</v>
          </cell>
          <cell r="O244">
            <v>1</v>
          </cell>
          <cell r="P244">
            <v>1</v>
          </cell>
          <cell r="Q244">
            <v>1</v>
          </cell>
          <cell r="R244">
            <v>1</v>
          </cell>
          <cell r="S244">
            <v>1</v>
          </cell>
          <cell r="T244">
            <v>1</v>
          </cell>
          <cell r="U244">
            <v>1</v>
          </cell>
          <cell r="V244">
            <v>1</v>
          </cell>
        </row>
        <row r="245">
          <cell r="C245" t="str">
            <v xml:space="preserve">Stores Up for Negotation as a % of Total </v>
          </cell>
          <cell r="T245">
            <v>0.19291338582677164</v>
          </cell>
          <cell r="U245">
            <v>0.16040955631399317</v>
          </cell>
          <cell r="V245">
            <v>0.15963855421686746</v>
          </cell>
          <cell r="W245">
            <v>0.51296149635763233</v>
          </cell>
        </row>
        <row r="246">
          <cell r="C246" t="str">
            <v>Gross Square Footage</v>
          </cell>
          <cell r="F246" t="str">
            <v>NA</v>
          </cell>
          <cell r="G246" t="str">
            <v>NA</v>
          </cell>
          <cell r="H246" t="str">
            <v>NA</v>
          </cell>
          <cell r="I246" t="str">
            <v>NA</v>
          </cell>
          <cell r="J246" t="str">
            <v>NA</v>
          </cell>
          <cell r="K246" t="str">
            <v>NA</v>
          </cell>
          <cell r="L246">
            <v>7.8299999999999995E-2</v>
          </cell>
          <cell r="M246">
            <v>0.11890000000000001</v>
          </cell>
          <cell r="N246">
            <v>0.2059</v>
          </cell>
          <cell r="O246">
            <v>0.28839999999999999</v>
          </cell>
          <cell r="P246">
            <v>0.31416000000000005</v>
          </cell>
          <cell r="Q246">
            <v>0.374</v>
          </cell>
          <cell r="R246">
            <v>0.49399999999999999</v>
          </cell>
          <cell r="S246">
            <v>0.60199999999999998</v>
          </cell>
          <cell r="T246">
            <v>0.72468246445497619</v>
          </cell>
          <cell r="U246">
            <v>0.83868246445497618</v>
          </cell>
          <cell r="V246">
            <v>0.95168246445497617</v>
          </cell>
        </row>
        <row r="247">
          <cell r="B247" t="str">
            <v>PLCE</v>
          </cell>
          <cell r="C247" t="str">
            <v>End of Year # Stores</v>
          </cell>
          <cell r="D247">
            <v>155</v>
          </cell>
          <cell r="E247">
            <v>209</v>
          </cell>
          <cell r="F247">
            <v>293</v>
          </cell>
          <cell r="G247">
            <v>400</v>
          </cell>
          <cell r="H247">
            <v>520</v>
          </cell>
          <cell r="I247">
            <v>643</v>
          </cell>
          <cell r="J247">
            <v>691</v>
          </cell>
          <cell r="K247">
            <v>750</v>
          </cell>
          <cell r="L247">
            <v>802</v>
          </cell>
          <cell r="M247">
            <v>866</v>
          </cell>
          <cell r="N247">
            <v>904</v>
          </cell>
          <cell r="O247">
            <v>917</v>
          </cell>
          <cell r="P247">
            <v>947</v>
          </cell>
          <cell r="Q247">
            <v>995</v>
          </cell>
          <cell r="R247">
            <v>1049</v>
          </cell>
          <cell r="S247">
            <v>1095</v>
          </cell>
          <cell r="T247">
            <v>1140</v>
          </cell>
          <cell r="U247">
            <v>1135</v>
          </cell>
          <cell r="V247">
            <v>1105</v>
          </cell>
          <cell r="W247" t="str">
            <v xml:space="preserve">Est. Renewal + New </v>
          </cell>
        </row>
        <row r="248">
          <cell r="C248" t="str">
            <v>New Store Openings</v>
          </cell>
          <cell r="D248">
            <v>47</v>
          </cell>
          <cell r="E248">
            <v>54</v>
          </cell>
          <cell r="F248">
            <v>84</v>
          </cell>
          <cell r="G248">
            <v>108</v>
          </cell>
          <cell r="H248">
            <v>121</v>
          </cell>
          <cell r="I248">
            <v>126</v>
          </cell>
          <cell r="J248">
            <v>53</v>
          </cell>
          <cell r="K248">
            <v>62</v>
          </cell>
          <cell r="L248">
            <v>70</v>
          </cell>
          <cell r="M248">
            <v>88</v>
          </cell>
          <cell r="N248">
            <v>69</v>
          </cell>
          <cell r="O248">
            <v>40</v>
          </cell>
          <cell r="P248">
            <v>45</v>
          </cell>
          <cell r="Q248">
            <v>67</v>
          </cell>
          <cell r="R248">
            <v>88</v>
          </cell>
          <cell r="S248">
            <v>64</v>
          </cell>
          <cell r="T248">
            <v>55</v>
          </cell>
          <cell r="U248">
            <v>25</v>
          </cell>
          <cell r="V248">
            <v>0</v>
          </cell>
          <cell r="W248" t="str">
            <v>Stores as % of Total</v>
          </cell>
        </row>
        <row r="249">
          <cell r="C249" t="str">
            <v>Store Closings</v>
          </cell>
          <cell r="D249">
            <v>0</v>
          </cell>
          <cell r="E249">
            <v>0</v>
          </cell>
          <cell r="F249">
            <v>0</v>
          </cell>
          <cell r="G249">
            <v>1</v>
          </cell>
          <cell r="H249">
            <v>1</v>
          </cell>
          <cell r="I249">
            <v>3</v>
          </cell>
          <cell r="J249">
            <v>5</v>
          </cell>
          <cell r="K249">
            <v>3</v>
          </cell>
          <cell r="L249">
            <v>7</v>
          </cell>
          <cell r="M249">
            <v>13</v>
          </cell>
          <cell r="N249">
            <v>24</v>
          </cell>
          <cell r="O249">
            <v>14</v>
          </cell>
          <cell r="P249">
            <v>6</v>
          </cell>
          <cell r="Q249">
            <v>19</v>
          </cell>
          <cell r="R249">
            <v>34</v>
          </cell>
          <cell r="S249">
            <v>18</v>
          </cell>
          <cell r="T249">
            <v>10</v>
          </cell>
          <cell r="U249">
            <v>30</v>
          </cell>
          <cell r="V249">
            <v>30</v>
          </cell>
        </row>
        <row r="250">
          <cell r="C250" t="str">
            <v xml:space="preserve">Stores Up for Negotation as a % of Total </v>
          </cell>
          <cell r="T250">
            <v>9.4736842105263161E-2</v>
          </cell>
          <cell r="U250">
            <v>7.6651982378854622E-2</v>
          </cell>
          <cell r="V250">
            <v>6.3348416289592757E-2</v>
          </cell>
          <cell r="W250">
            <v>0.23473724077371055</v>
          </cell>
        </row>
        <row r="251">
          <cell r="C251" t="str">
            <v>Gross Square Footage</v>
          </cell>
          <cell r="D251">
            <v>0.63906499999999999</v>
          </cell>
          <cell r="E251">
            <v>0.84749499999999989</v>
          </cell>
          <cell r="F251">
            <v>1.2130000000000001</v>
          </cell>
          <cell r="G251">
            <v>1.6679999999999999</v>
          </cell>
          <cell r="H251">
            <v>2.2400000000000002</v>
          </cell>
          <cell r="I251">
            <v>2.8340000000000001</v>
          </cell>
          <cell r="J251">
            <v>3.081</v>
          </cell>
          <cell r="K251">
            <v>3.3959999999999999</v>
          </cell>
          <cell r="L251">
            <v>3.6379999999999999</v>
          </cell>
          <cell r="M251">
            <v>4.024</v>
          </cell>
          <cell r="N251">
            <v>4.2779999999999996</v>
          </cell>
          <cell r="O251">
            <v>4.5100509999999998</v>
          </cell>
          <cell r="P251">
            <v>4.7015260000000003</v>
          </cell>
          <cell r="Q251">
            <v>4.9186930000000002</v>
          </cell>
          <cell r="R251">
            <v>5.1427430000000003</v>
          </cell>
          <cell r="S251">
            <v>5.3267430000000004</v>
          </cell>
          <cell r="T251">
            <v>5.4617430000000002</v>
          </cell>
          <cell r="U251">
            <v>5.4467430000000006</v>
          </cell>
          <cell r="V251">
            <v>5.3567430000000007</v>
          </cell>
        </row>
        <row r="252">
          <cell r="B252" t="str">
            <v>ROST</v>
          </cell>
          <cell r="C252" t="str">
            <v>End of Year # Stores</v>
          </cell>
          <cell r="D252">
            <v>325</v>
          </cell>
          <cell r="E252">
            <v>349</v>
          </cell>
          <cell r="F252">
            <v>378</v>
          </cell>
          <cell r="G252">
            <v>409</v>
          </cell>
          <cell r="H252">
            <v>452</v>
          </cell>
          <cell r="I252">
            <v>507</v>
          </cell>
          <cell r="J252">
            <v>568</v>
          </cell>
          <cell r="K252">
            <v>649</v>
          </cell>
          <cell r="L252">
            <v>734</v>
          </cell>
          <cell r="M252">
            <v>797</v>
          </cell>
          <cell r="N252">
            <v>890</v>
          </cell>
          <cell r="O252">
            <v>956</v>
          </cell>
          <cell r="P252">
            <v>1005</v>
          </cell>
          <cell r="Q252">
            <v>1055</v>
          </cell>
          <cell r="R252">
            <v>1125</v>
          </cell>
          <cell r="S252">
            <v>1199</v>
          </cell>
          <cell r="T252">
            <v>1271</v>
          </cell>
          <cell r="U252">
            <v>1343</v>
          </cell>
          <cell r="V252">
            <v>1415</v>
          </cell>
          <cell r="W252" t="str">
            <v xml:space="preserve">Est. Renewal + New </v>
          </cell>
        </row>
        <row r="253">
          <cell r="C253" t="str">
            <v>New Store Openings</v>
          </cell>
          <cell r="D253">
            <v>17</v>
          </cell>
          <cell r="E253">
            <v>26</v>
          </cell>
          <cell r="F253">
            <v>34</v>
          </cell>
          <cell r="G253">
            <v>34</v>
          </cell>
          <cell r="H253">
            <v>45</v>
          </cell>
          <cell r="I253">
            <v>60</v>
          </cell>
          <cell r="J253">
            <v>66</v>
          </cell>
          <cell r="K253">
            <v>84</v>
          </cell>
          <cell r="L253">
            <v>86</v>
          </cell>
          <cell r="M253">
            <v>66</v>
          </cell>
          <cell r="N253">
            <v>97</v>
          </cell>
          <cell r="O253">
            <v>77</v>
          </cell>
          <cell r="P253">
            <v>56</v>
          </cell>
          <cell r="Q253">
            <v>56</v>
          </cell>
          <cell r="R253">
            <v>78</v>
          </cell>
          <cell r="S253">
            <v>82</v>
          </cell>
          <cell r="T253">
            <v>82</v>
          </cell>
          <cell r="U253">
            <v>82</v>
          </cell>
          <cell r="V253">
            <v>82</v>
          </cell>
          <cell r="W253" t="str">
            <v>Stores as % of Total</v>
          </cell>
        </row>
        <row r="254">
          <cell r="C254" t="str">
            <v>Store Closings</v>
          </cell>
          <cell r="D254">
            <v>1</v>
          </cell>
          <cell r="E254">
            <v>2</v>
          </cell>
          <cell r="F254">
            <v>5</v>
          </cell>
          <cell r="G254">
            <v>3</v>
          </cell>
          <cell r="H254">
            <v>2</v>
          </cell>
          <cell r="I254">
            <v>5</v>
          </cell>
          <cell r="J254">
            <v>5</v>
          </cell>
          <cell r="K254">
            <v>3</v>
          </cell>
          <cell r="L254">
            <v>1</v>
          </cell>
          <cell r="M254">
            <v>3</v>
          </cell>
          <cell r="N254">
            <v>4</v>
          </cell>
          <cell r="O254">
            <v>11</v>
          </cell>
          <cell r="P254">
            <v>7</v>
          </cell>
          <cell r="Q254">
            <v>6</v>
          </cell>
          <cell r="R254">
            <v>8</v>
          </cell>
          <cell r="S254">
            <v>8</v>
          </cell>
          <cell r="T254">
            <v>10</v>
          </cell>
          <cell r="U254">
            <v>10</v>
          </cell>
          <cell r="V254">
            <v>10</v>
          </cell>
        </row>
        <row r="255">
          <cell r="C255" t="str">
            <v xml:space="preserve">Stores Up for Negotation as a % of Total </v>
          </cell>
          <cell r="T255">
            <v>0.11644374508261211</v>
          </cell>
          <cell r="U255">
            <v>0.12360387192851824</v>
          </cell>
          <cell r="V255">
            <v>0.11872791519434629</v>
          </cell>
          <cell r="W255">
            <v>0.35877553220547664</v>
          </cell>
        </row>
        <row r="256">
          <cell r="C256" t="str">
            <v>Gross Square Footage</v>
          </cell>
          <cell r="D256">
            <v>8.9644999999999975</v>
          </cell>
          <cell r="E256">
            <v>9.7712500000000002</v>
          </cell>
          <cell r="F256">
            <v>10.692500000000001</v>
          </cell>
          <cell r="G256">
            <v>11.6625</v>
          </cell>
          <cell r="H256">
            <v>13.105</v>
          </cell>
          <cell r="I256">
            <v>14.803750000000001</v>
          </cell>
          <cell r="J256">
            <v>16.651250000000001</v>
          </cell>
          <cell r="K256">
            <v>19.06625</v>
          </cell>
          <cell r="L256">
            <v>21.64875</v>
          </cell>
          <cell r="M256">
            <v>23.302499999999998</v>
          </cell>
          <cell r="N256">
            <v>26.375</v>
          </cell>
          <cell r="O256">
            <v>28.125</v>
          </cell>
          <cell r="P256">
            <v>29.625</v>
          </cell>
          <cell r="Q256">
            <v>31</v>
          </cell>
          <cell r="R256">
            <v>32.952300000000001</v>
          </cell>
          <cell r="S256">
            <v>35.0105</v>
          </cell>
          <cell r="T256">
            <v>37.010100000000001</v>
          </cell>
          <cell r="U256">
            <v>39.009700000000002</v>
          </cell>
          <cell r="V256">
            <v>41.009300000000003</v>
          </cell>
        </row>
        <row r="257">
          <cell r="B257" t="str">
            <v>TEA</v>
          </cell>
          <cell r="C257" t="str">
            <v>End of Year # Stores</v>
          </cell>
          <cell r="D257">
            <v>0</v>
          </cell>
          <cell r="E257">
            <v>0</v>
          </cell>
          <cell r="F257">
            <v>0</v>
          </cell>
          <cell r="G257">
            <v>0</v>
          </cell>
          <cell r="H257">
            <v>0</v>
          </cell>
          <cell r="I257">
            <v>0</v>
          </cell>
          <cell r="J257">
            <v>0</v>
          </cell>
          <cell r="K257">
            <v>0</v>
          </cell>
          <cell r="L257">
            <v>0</v>
          </cell>
          <cell r="M257">
            <v>47</v>
          </cell>
          <cell r="N257">
            <v>59</v>
          </cell>
          <cell r="O257">
            <v>87</v>
          </cell>
          <cell r="P257">
            <v>108</v>
          </cell>
          <cell r="Q257">
            <v>146</v>
          </cell>
          <cell r="R257">
            <v>200</v>
          </cell>
          <cell r="S257">
            <v>306</v>
          </cell>
          <cell r="T257">
            <v>386</v>
          </cell>
          <cell r="U257">
            <v>466</v>
          </cell>
          <cell r="V257">
            <v>546</v>
          </cell>
          <cell r="W257" t="str">
            <v xml:space="preserve">Est. Renewal + New </v>
          </cell>
        </row>
        <row r="258">
          <cell r="C258" t="str">
            <v>New Store Openings</v>
          </cell>
          <cell r="D258">
            <v>0</v>
          </cell>
          <cell r="E258">
            <v>0</v>
          </cell>
          <cell r="F258">
            <v>0</v>
          </cell>
          <cell r="G258">
            <v>0</v>
          </cell>
          <cell r="H258">
            <v>0</v>
          </cell>
          <cell r="I258">
            <v>0</v>
          </cell>
          <cell r="J258">
            <v>0</v>
          </cell>
          <cell r="K258">
            <v>0</v>
          </cell>
          <cell r="L258">
            <v>0</v>
          </cell>
          <cell r="M258">
            <v>47</v>
          </cell>
          <cell r="N258">
            <v>12</v>
          </cell>
          <cell r="O258">
            <v>28</v>
          </cell>
          <cell r="P258">
            <v>21</v>
          </cell>
          <cell r="Q258">
            <v>38</v>
          </cell>
          <cell r="R258">
            <v>54</v>
          </cell>
          <cell r="S258">
            <v>106</v>
          </cell>
          <cell r="T258">
            <v>80</v>
          </cell>
          <cell r="U258">
            <v>80</v>
          </cell>
          <cell r="V258">
            <v>80</v>
          </cell>
          <cell r="W258" t="str">
            <v>Stores as % of Total</v>
          </cell>
        </row>
        <row r="259">
          <cell r="C259" t="str">
            <v>Store Closings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row>
        <row r="260">
          <cell r="C260" t="str">
            <v xml:space="preserve">Stores Up for Negotation as a % of Total </v>
          </cell>
          <cell r="T260">
            <v>0.20725388601036268</v>
          </cell>
          <cell r="U260">
            <v>0.17167381974248927</v>
          </cell>
          <cell r="V260">
            <v>0.14652014652014653</v>
          </cell>
          <cell r="W260">
            <v>0.52544785227299851</v>
          </cell>
        </row>
        <row r="261">
          <cell r="C261" t="str">
            <v>Gross Square Footage</v>
          </cell>
          <cell r="D261">
            <v>0</v>
          </cell>
          <cell r="E261">
            <v>0</v>
          </cell>
          <cell r="F261">
            <v>0</v>
          </cell>
          <cell r="G261">
            <v>0</v>
          </cell>
          <cell r="H261">
            <v>0</v>
          </cell>
          <cell r="I261">
            <v>0</v>
          </cell>
          <cell r="J261">
            <v>0</v>
          </cell>
          <cell r="K261">
            <v>0</v>
          </cell>
          <cell r="L261">
            <v>0</v>
          </cell>
          <cell r="M261">
            <v>4.2999999999999997E-2</v>
          </cell>
          <cell r="N261">
            <v>5.3999999999999999E-2</v>
          </cell>
          <cell r="O261">
            <v>7.6999999999999999E-2</v>
          </cell>
          <cell r="P261">
            <v>9.5000000000000001E-2</v>
          </cell>
          <cell r="Q261">
            <v>0.13</v>
          </cell>
          <cell r="R261">
            <v>0.18021999999999999</v>
          </cell>
          <cell r="S261">
            <v>0.27879999999999999</v>
          </cell>
          <cell r="T261">
            <v>0.35320000000000007</v>
          </cell>
          <cell r="U261">
            <v>0.42760000000000004</v>
          </cell>
          <cell r="V261">
            <v>0.502</v>
          </cell>
        </row>
        <row r="262">
          <cell r="B262" t="str">
            <v>TIF</v>
          </cell>
          <cell r="C262" t="str">
            <v>End of Year # Stores</v>
          </cell>
          <cell r="D262">
            <v>96</v>
          </cell>
          <cell r="E262">
            <v>104</v>
          </cell>
          <cell r="F262">
            <v>110</v>
          </cell>
          <cell r="G262">
            <v>119</v>
          </cell>
          <cell r="H262">
            <v>126</v>
          </cell>
          <cell r="I262">
            <v>131</v>
          </cell>
          <cell r="J262">
            <v>141</v>
          </cell>
          <cell r="K262">
            <v>151</v>
          </cell>
          <cell r="L262">
            <v>154</v>
          </cell>
          <cell r="M262">
            <v>167</v>
          </cell>
          <cell r="N262">
            <v>184</v>
          </cell>
          <cell r="O262">
            <v>210</v>
          </cell>
          <cell r="P262">
            <v>224</v>
          </cell>
          <cell r="Q262">
            <v>233</v>
          </cell>
          <cell r="R262">
            <v>248</v>
          </cell>
          <cell r="S262">
            <v>276</v>
          </cell>
          <cell r="T262">
            <v>298</v>
          </cell>
          <cell r="U262">
            <v>320</v>
          </cell>
          <cell r="V262">
            <v>342</v>
          </cell>
          <cell r="W262" t="str">
            <v xml:space="preserve">Est. Renewal + New </v>
          </cell>
        </row>
        <row r="263">
          <cell r="C263" t="str">
            <v>New Store Openings</v>
          </cell>
          <cell r="D263">
            <v>15</v>
          </cell>
          <cell r="E263">
            <v>8</v>
          </cell>
          <cell r="F263">
            <v>6</v>
          </cell>
          <cell r="G263">
            <v>9</v>
          </cell>
          <cell r="H263">
            <v>7</v>
          </cell>
          <cell r="I263">
            <v>6</v>
          </cell>
          <cell r="J263">
            <v>10</v>
          </cell>
          <cell r="K263">
            <v>10</v>
          </cell>
          <cell r="L263">
            <v>6</v>
          </cell>
          <cell r="M263">
            <v>13</v>
          </cell>
          <cell r="N263">
            <v>17</v>
          </cell>
          <cell r="O263">
            <v>22</v>
          </cell>
          <cell r="P263">
            <v>14</v>
          </cell>
          <cell r="Q263">
            <v>10</v>
          </cell>
          <cell r="R263">
            <v>15</v>
          </cell>
          <cell r="S263">
            <v>28</v>
          </cell>
          <cell r="T263">
            <v>22</v>
          </cell>
          <cell r="U263">
            <v>22</v>
          </cell>
          <cell r="V263">
            <v>22</v>
          </cell>
          <cell r="W263" t="str">
            <v>Stores as % of Total</v>
          </cell>
        </row>
        <row r="264">
          <cell r="C264" t="str">
            <v>Store Closings</v>
          </cell>
          <cell r="D264">
            <v>0</v>
          </cell>
          <cell r="E264">
            <v>0</v>
          </cell>
          <cell r="F264">
            <v>0</v>
          </cell>
          <cell r="G264">
            <v>0</v>
          </cell>
          <cell r="H264">
            <v>0</v>
          </cell>
          <cell r="I264">
            <v>1</v>
          </cell>
          <cell r="J264">
            <v>0</v>
          </cell>
          <cell r="K264">
            <v>0</v>
          </cell>
          <cell r="L264">
            <v>3</v>
          </cell>
          <cell r="M264">
            <v>0</v>
          </cell>
          <cell r="N264">
            <v>0</v>
          </cell>
          <cell r="O264">
            <v>0</v>
          </cell>
          <cell r="P264">
            <v>0</v>
          </cell>
          <cell r="Q264">
            <v>1</v>
          </cell>
          <cell r="R264">
            <v>0</v>
          </cell>
          <cell r="S264">
            <v>0</v>
          </cell>
          <cell r="T264">
            <v>0</v>
          </cell>
          <cell r="U264">
            <v>0</v>
          </cell>
          <cell r="V264">
            <v>0</v>
          </cell>
        </row>
        <row r="265">
          <cell r="C265" t="str">
            <v xml:space="preserve">Stores Up for Negotation as a % of Total </v>
          </cell>
          <cell r="T265">
            <v>0.10738255033557047</v>
          </cell>
          <cell r="U265">
            <v>0.1</v>
          </cell>
          <cell r="V265">
            <v>8.1871345029239762E-2</v>
          </cell>
          <cell r="W265">
            <v>0.28925389536481022</v>
          </cell>
        </row>
        <row r="266">
          <cell r="C266" t="str">
            <v>Gross Square Footage</v>
          </cell>
          <cell r="D266">
            <v>0.43045</v>
          </cell>
          <cell r="E266">
            <v>0.47145000000000004</v>
          </cell>
          <cell r="F266">
            <v>0.51644999999999996</v>
          </cell>
          <cell r="G266">
            <v>0.56045</v>
          </cell>
          <cell r="H266">
            <v>0.60899999999999999</v>
          </cell>
          <cell r="I266">
            <v>0.64200000000000002</v>
          </cell>
          <cell r="J266">
            <v>0.67199999999999993</v>
          </cell>
          <cell r="K266">
            <v>0.72499999999999998</v>
          </cell>
          <cell r="L266">
            <v>0.745</v>
          </cell>
          <cell r="M266">
            <v>0.79200000000000004</v>
          </cell>
          <cell r="N266">
            <v>0.86</v>
          </cell>
          <cell r="O266">
            <v>0.93500000000000005</v>
          </cell>
          <cell r="P266">
            <v>0.98220000000000007</v>
          </cell>
          <cell r="Q266">
            <v>1.0390999999999999</v>
          </cell>
          <cell r="R266">
            <v>1.0667</v>
          </cell>
          <cell r="S266">
            <v>1.1520000000000001</v>
          </cell>
          <cell r="T266">
            <v>1.2075</v>
          </cell>
          <cell r="U266">
            <v>1.2594000000000001</v>
          </cell>
          <cell r="V266">
            <v>1.3113000000000001</v>
          </cell>
        </row>
        <row r="267">
          <cell r="B267" t="str">
            <v>TJX</v>
          </cell>
          <cell r="C267" t="str">
            <v>End of Year # Stores</v>
          </cell>
          <cell r="D267">
            <v>1171</v>
          </cell>
          <cell r="E267">
            <v>1246</v>
          </cell>
          <cell r="F267">
            <v>1357</v>
          </cell>
          <cell r="G267">
            <v>1493</v>
          </cell>
          <cell r="H267">
            <v>1665</v>
          </cell>
          <cell r="I267">
            <v>1843</v>
          </cell>
          <cell r="J267">
            <v>2062</v>
          </cell>
          <cell r="K267">
            <v>2224</v>
          </cell>
          <cell r="L267">
            <v>2381</v>
          </cell>
          <cell r="M267">
            <v>2466</v>
          </cell>
          <cell r="N267">
            <v>2563</v>
          </cell>
          <cell r="O267">
            <v>2652</v>
          </cell>
          <cell r="P267">
            <v>2743</v>
          </cell>
          <cell r="Q267">
            <v>2859</v>
          </cell>
          <cell r="R267">
            <v>2905</v>
          </cell>
          <cell r="S267">
            <v>3050</v>
          </cell>
          <cell r="T267">
            <v>3200</v>
          </cell>
          <cell r="U267">
            <v>3357</v>
          </cell>
          <cell r="V267">
            <v>3514</v>
          </cell>
          <cell r="W267" t="str">
            <v xml:space="preserve">Est. Renewal + New </v>
          </cell>
        </row>
        <row r="268">
          <cell r="C268" t="str">
            <v>New Store Openings</v>
          </cell>
          <cell r="D268">
            <v>35</v>
          </cell>
          <cell r="E268">
            <v>75</v>
          </cell>
          <cell r="F268">
            <v>111</v>
          </cell>
          <cell r="G268">
            <v>136</v>
          </cell>
          <cell r="H268">
            <v>172</v>
          </cell>
          <cell r="I268">
            <v>178</v>
          </cell>
          <cell r="J268">
            <v>219</v>
          </cell>
          <cell r="K268">
            <v>162</v>
          </cell>
          <cell r="L268">
            <v>157</v>
          </cell>
          <cell r="M268">
            <v>85</v>
          </cell>
          <cell r="N268">
            <v>97</v>
          </cell>
          <cell r="O268">
            <v>123</v>
          </cell>
          <cell r="P268">
            <v>91</v>
          </cell>
          <cell r="Q268">
            <v>116</v>
          </cell>
          <cell r="R268">
            <v>46</v>
          </cell>
          <cell r="S268">
            <v>145</v>
          </cell>
          <cell r="T268">
            <v>150</v>
          </cell>
          <cell r="U268">
            <v>157</v>
          </cell>
          <cell r="V268">
            <v>157</v>
          </cell>
          <cell r="W268" t="str">
            <v>Stores as % of Total</v>
          </cell>
        </row>
        <row r="269">
          <cell r="C269" t="str">
            <v>Store Closings</v>
          </cell>
          <cell r="D269">
            <v>0</v>
          </cell>
          <cell r="E269">
            <v>0</v>
          </cell>
          <cell r="F269">
            <v>0</v>
          </cell>
          <cell r="G269">
            <v>0</v>
          </cell>
          <cell r="H269">
            <v>0</v>
          </cell>
          <cell r="I269">
            <v>0</v>
          </cell>
          <cell r="J269">
            <v>0</v>
          </cell>
          <cell r="K269">
            <v>0</v>
          </cell>
          <cell r="L269">
            <v>0</v>
          </cell>
          <cell r="M269">
            <v>0</v>
          </cell>
          <cell r="N269">
            <v>0</v>
          </cell>
          <cell r="O269">
            <v>-34</v>
          </cell>
          <cell r="P269">
            <v>0</v>
          </cell>
          <cell r="Q269">
            <v>0</v>
          </cell>
          <cell r="R269">
            <v>0</v>
          </cell>
          <cell r="S269">
            <v>0</v>
          </cell>
          <cell r="T269">
            <v>0</v>
          </cell>
          <cell r="U269">
            <v>0</v>
          </cell>
          <cell r="V269">
            <v>0</v>
          </cell>
        </row>
        <row r="270">
          <cell r="C270" t="str">
            <v xml:space="preserve">Stores Up for Negotation as a % of Total </v>
          </cell>
          <cell r="T270">
            <v>0.1153125</v>
          </cell>
          <cell r="U270">
            <v>9.5025320226392609E-2</v>
          </cell>
          <cell r="V270">
            <v>8.9356858281161064E-2</v>
          </cell>
          <cell r="W270">
            <v>0.29969467850755366</v>
          </cell>
        </row>
        <row r="271">
          <cell r="C271" t="str">
            <v>Gross Square Footage</v>
          </cell>
          <cell r="D271">
            <v>35.017000000000003</v>
          </cell>
          <cell r="E271">
            <v>37.126000000000005</v>
          </cell>
          <cell r="F271">
            <v>40.164999999999999</v>
          </cell>
          <cell r="G271">
            <v>43.978999999999999</v>
          </cell>
          <cell r="H271">
            <v>48.988999999999997</v>
          </cell>
          <cell r="I271">
            <v>53.826000000000001</v>
          </cell>
          <cell r="J271">
            <v>60.49</v>
          </cell>
          <cell r="K271">
            <v>64.709434678384909</v>
          </cell>
          <cell r="L271">
            <v>70.575000000000003</v>
          </cell>
          <cell r="M271">
            <v>73.7</v>
          </cell>
          <cell r="N271">
            <v>76.239999999999995</v>
          </cell>
          <cell r="O271">
            <v>78</v>
          </cell>
          <cell r="P271">
            <v>80.7</v>
          </cell>
          <cell r="Q271">
            <v>84.1</v>
          </cell>
          <cell r="R271">
            <v>85.3</v>
          </cell>
          <cell r="S271">
            <v>89.1</v>
          </cell>
          <cell r="T271">
            <v>93.5014751119229</v>
          </cell>
          <cell r="U271">
            <v>98.067991049235928</v>
          </cell>
          <cell r="V271">
            <v>102.55106830134042</v>
          </cell>
        </row>
        <row r="272">
          <cell r="B272" t="str">
            <v>TLB</v>
          </cell>
          <cell r="C272" t="str">
            <v>End of Year # Stores</v>
          </cell>
          <cell r="D272">
            <v>385</v>
          </cell>
          <cell r="E272">
            <v>406</v>
          </cell>
          <cell r="F272">
            <v>425</v>
          </cell>
          <cell r="G272">
            <v>443</v>
          </cell>
          <cell r="H272">
            <v>468</v>
          </cell>
          <cell r="I272">
            <v>495</v>
          </cell>
          <cell r="J272">
            <v>523</v>
          </cell>
          <cell r="K272">
            <v>552</v>
          </cell>
          <cell r="L272">
            <v>565</v>
          </cell>
          <cell r="M272">
            <v>584</v>
          </cell>
          <cell r="N272">
            <v>596</v>
          </cell>
          <cell r="O272">
            <v>587</v>
          </cell>
          <cell r="P272">
            <v>580</v>
          </cell>
          <cell r="Q272">
            <v>568</v>
          </cell>
          <cell r="R272">
            <v>502</v>
          </cell>
          <cell r="S272">
            <v>487</v>
          </cell>
          <cell r="T272">
            <v>487</v>
          </cell>
          <cell r="U272">
            <v>492</v>
          </cell>
          <cell r="V272">
            <v>497</v>
          </cell>
          <cell r="W272" t="str">
            <v xml:space="preserve">Est. Renewal + New </v>
          </cell>
        </row>
        <row r="273">
          <cell r="C273" t="str">
            <v>New Store Openings</v>
          </cell>
          <cell r="D273">
            <v>42</v>
          </cell>
          <cell r="E273">
            <v>21</v>
          </cell>
          <cell r="F273">
            <v>19</v>
          </cell>
          <cell r="G273">
            <v>18</v>
          </cell>
          <cell r="H273">
            <v>25</v>
          </cell>
          <cell r="I273">
            <v>27</v>
          </cell>
          <cell r="J273">
            <v>28</v>
          </cell>
          <cell r="K273">
            <v>29</v>
          </cell>
          <cell r="L273">
            <v>13</v>
          </cell>
          <cell r="M273">
            <v>19</v>
          </cell>
          <cell r="N273">
            <v>12</v>
          </cell>
          <cell r="O273">
            <v>0</v>
          </cell>
          <cell r="P273">
            <v>23</v>
          </cell>
          <cell r="Q273">
            <v>11</v>
          </cell>
          <cell r="R273">
            <v>17</v>
          </cell>
          <cell r="S273">
            <v>10</v>
          </cell>
          <cell r="T273">
            <v>10</v>
          </cell>
          <cell r="U273">
            <v>10</v>
          </cell>
          <cell r="V273">
            <v>10</v>
          </cell>
          <cell r="W273" t="str">
            <v>Stores as % of Total</v>
          </cell>
        </row>
        <row r="274">
          <cell r="C274" t="str">
            <v>Store Closings</v>
          </cell>
          <cell r="D274">
            <v>0</v>
          </cell>
          <cell r="E274">
            <v>0</v>
          </cell>
          <cell r="F274">
            <v>0</v>
          </cell>
          <cell r="G274">
            <v>0</v>
          </cell>
          <cell r="H274">
            <v>0</v>
          </cell>
          <cell r="I274">
            <v>0</v>
          </cell>
          <cell r="J274">
            <v>0</v>
          </cell>
          <cell r="K274">
            <v>0</v>
          </cell>
          <cell r="L274">
            <v>0</v>
          </cell>
          <cell r="M274">
            <v>0</v>
          </cell>
          <cell r="N274">
            <v>0</v>
          </cell>
          <cell r="O274">
            <v>9</v>
          </cell>
          <cell r="P274">
            <v>30</v>
          </cell>
          <cell r="Q274">
            <v>23</v>
          </cell>
          <cell r="R274">
            <v>83</v>
          </cell>
          <cell r="S274">
            <v>25</v>
          </cell>
          <cell r="T274">
            <v>10</v>
          </cell>
          <cell r="U274">
            <v>5</v>
          </cell>
          <cell r="V274">
            <v>5</v>
          </cell>
        </row>
        <row r="275">
          <cell r="C275" t="str">
            <v xml:space="preserve">Stores Up for Negotation as a % of Total </v>
          </cell>
          <cell r="T275">
            <v>7.8028747433264892E-2</v>
          </cell>
          <cell r="U275">
            <v>7.926829268292683E-2</v>
          </cell>
          <cell r="V275">
            <v>4.6277665995975853E-2</v>
          </cell>
          <cell r="W275">
            <v>0.20357470611216757</v>
          </cell>
        </row>
        <row r="276">
          <cell r="C276" t="str">
            <v>Gross Square Footage</v>
          </cell>
          <cell r="D276">
            <v>2.5437400000000001</v>
          </cell>
          <cell r="E276">
            <v>2.7048299999999998</v>
          </cell>
          <cell r="F276">
            <v>2.828948</v>
          </cell>
          <cell r="G276">
            <v>2.9967269999999999</v>
          </cell>
          <cell r="H276">
            <v>3.294467</v>
          </cell>
          <cell r="I276">
            <v>3.6110330000000004</v>
          </cell>
          <cell r="J276">
            <v>3.9305100000000004</v>
          </cell>
          <cell r="K276">
            <v>4.203074</v>
          </cell>
          <cell r="L276">
            <v>3.9878990000000001</v>
          </cell>
          <cell r="M276">
            <v>5.0563150000000006</v>
          </cell>
          <cell r="N276">
            <v>4.2145130000000002</v>
          </cell>
          <cell r="O276">
            <v>4.2075279999999999</v>
          </cell>
          <cell r="P276">
            <v>4.1718799999999998</v>
          </cell>
          <cell r="Q276">
            <v>4.0542310000000006</v>
          </cell>
          <cell r="R276">
            <v>3.5655850000000004</v>
          </cell>
          <cell r="S276">
            <v>3.4342350000000006</v>
          </cell>
          <cell r="T276">
            <v>3.4101350000000008</v>
          </cell>
          <cell r="U276">
            <v>3.4217850000000007</v>
          </cell>
          <cell r="V276">
            <v>3.4334350000000007</v>
          </cell>
        </row>
        <row r="277">
          <cell r="B277" t="str">
            <v>URBN</v>
          </cell>
          <cell r="C277" t="str">
            <v>End of Year # Stores</v>
          </cell>
          <cell r="D277">
            <v>35</v>
          </cell>
          <cell r="E277">
            <v>46</v>
          </cell>
          <cell r="F277">
            <v>57</v>
          </cell>
          <cell r="G277">
            <v>68</v>
          </cell>
          <cell r="H277">
            <v>80</v>
          </cell>
          <cell r="I277">
            <v>93</v>
          </cell>
          <cell r="J277">
            <v>114</v>
          </cell>
          <cell r="K277">
            <v>142</v>
          </cell>
          <cell r="L277">
            <v>175</v>
          </cell>
          <cell r="M277">
            <v>207</v>
          </cell>
          <cell r="N277">
            <v>245</v>
          </cell>
          <cell r="O277">
            <v>294</v>
          </cell>
          <cell r="P277">
            <v>327</v>
          </cell>
          <cell r="Q277">
            <v>372</v>
          </cell>
          <cell r="R277">
            <v>429</v>
          </cell>
          <cell r="S277">
            <v>480</v>
          </cell>
          <cell r="T277">
            <v>517</v>
          </cell>
          <cell r="U277">
            <v>568</v>
          </cell>
          <cell r="V277">
            <v>619</v>
          </cell>
          <cell r="W277" t="str">
            <v xml:space="preserve">Est. Renewal + New </v>
          </cell>
        </row>
        <row r="278">
          <cell r="C278" t="str">
            <v>New Store Openings</v>
          </cell>
          <cell r="D278">
            <v>3</v>
          </cell>
          <cell r="E278">
            <v>11</v>
          </cell>
          <cell r="F278">
            <v>13</v>
          </cell>
          <cell r="G278">
            <v>11</v>
          </cell>
          <cell r="H278">
            <v>12</v>
          </cell>
          <cell r="I278">
            <v>13</v>
          </cell>
          <cell r="J278">
            <v>21</v>
          </cell>
          <cell r="K278">
            <v>28</v>
          </cell>
          <cell r="L278">
            <v>33</v>
          </cell>
          <cell r="M278">
            <v>32</v>
          </cell>
          <cell r="N278">
            <v>38</v>
          </cell>
          <cell r="O278">
            <v>49</v>
          </cell>
          <cell r="P278">
            <v>33</v>
          </cell>
          <cell r="Q278">
            <v>45</v>
          </cell>
          <cell r="R278">
            <v>57</v>
          </cell>
          <cell r="S278">
            <v>49</v>
          </cell>
          <cell r="T278">
            <v>37</v>
          </cell>
          <cell r="U278">
            <v>51</v>
          </cell>
          <cell r="V278">
            <v>51</v>
          </cell>
          <cell r="W278" t="str">
            <v>Stores as % of Total</v>
          </cell>
        </row>
        <row r="279">
          <cell r="C279" t="str">
            <v>Store Closings</v>
          </cell>
          <cell r="D279">
            <v>1</v>
          </cell>
          <cell r="E279">
            <v>0</v>
          </cell>
          <cell r="F279">
            <v>2</v>
          </cell>
          <cell r="G279">
            <v>0</v>
          </cell>
          <cell r="H279">
            <v>0</v>
          </cell>
          <cell r="I279">
            <v>0</v>
          </cell>
          <cell r="J279">
            <v>0</v>
          </cell>
          <cell r="K279">
            <v>0</v>
          </cell>
          <cell r="L279">
            <v>0</v>
          </cell>
          <cell r="M279">
            <v>0</v>
          </cell>
          <cell r="N279">
            <v>0</v>
          </cell>
          <cell r="O279">
            <v>0</v>
          </cell>
          <cell r="P279">
            <v>0</v>
          </cell>
          <cell r="Q279">
            <v>0</v>
          </cell>
          <cell r="R279">
            <v>0</v>
          </cell>
          <cell r="S279">
            <v>-2</v>
          </cell>
          <cell r="T279">
            <v>0</v>
          </cell>
          <cell r="U279">
            <v>0</v>
          </cell>
          <cell r="V279">
            <v>0</v>
          </cell>
        </row>
        <row r="280">
          <cell r="C280" t="str">
            <v xml:space="preserve">Stores Up for Negotation as a % of Total </v>
          </cell>
          <cell r="T280">
            <v>0.11218568665377177</v>
          </cell>
          <cell r="U280">
            <v>0.13908450704225353</v>
          </cell>
          <cell r="V280">
            <v>0.13570274636510501</v>
          </cell>
          <cell r="W280">
            <v>0.38697294006113037</v>
          </cell>
        </row>
        <row r="281">
          <cell r="C281" t="str">
            <v>Gross Square Footage</v>
          </cell>
          <cell r="D281">
            <v>0.44773066666666667</v>
          </cell>
          <cell r="E281">
            <v>0.55796400000000002</v>
          </cell>
          <cell r="F281">
            <v>0.69685466666666673</v>
          </cell>
          <cell r="G281">
            <v>0.84262133333333333</v>
          </cell>
          <cell r="H281">
            <v>0.99933333333333341</v>
          </cell>
          <cell r="I281">
            <v>1.1349066666666665</v>
          </cell>
          <cell r="J281">
            <v>1.3449199999999999</v>
          </cell>
          <cell r="K281">
            <v>1.6447626666666668</v>
          </cell>
          <cell r="L281">
            <v>1.9426666666666668</v>
          </cell>
          <cell r="M281">
            <v>2.3146666666666662</v>
          </cell>
          <cell r="N281">
            <v>2.6860360000000001</v>
          </cell>
          <cell r="O281">
            <v>3.047228</v>
          </cell>
          <cell r="P281">
            <v>3.3461946666666664</v>
          </cell>
          <cell r="Q281">
            <v>0.11676706595272801</v>
          </cell>
          <cell r="R281">
            <v>9.4863149331535057E-2</v>
          </cell>
          <cell r="S281">
            <v>2295.9241510084089</v>
          </cell>
          <cell r="T281">
            <v>-0.99948653071889548</v>
          </cell>
          <cell r="U281">
            <v>5.5374159999999994</v>
          </cell>
        </row>
        <row r="285">
          <cell r="Q285">
            <v>11.891783239173689</v>
          </cell>
          <cell r="R285">
            <v>12.077802008784207</v>
          </cell>
          <cell r="S285">
            <v>147.50269035343581</v>
          </cell>
          <cell r="T285">
            <v>15.689227061509351</v>
          </cell>
        </row>
        <row r="287">
          <cell r="S287">
            <v>574.36918675210222</v>
          </cell>
          <cell r="T287">
            <v>0.19859898343402019</v>
          </cell>
        </row>
      </sheetData>
      <sheetData sheetId="12">
        <row r="2">
          <cell r="O2" t="str">
            <v>2013-2015e</v>
          </cell>
        </row>
        <row r="3">
          <cell r="C3" t="str">
            <v>Store Closings</v>
          </cell>
          <cell r="F3">
            <v>2007</v>
          </cell>
          <cell r="G3">
            <v>2008</v>
          </cell>
          <cell r="H3">
            <v>2009</v>
          </cell>
          <cell r="I3">
            <v>2010</v>
          </cell>
          <cell r="J3">
            <v>2011</v>
          </cell>
          <cell r="K3">
            <v>2012</v>
          </cell>
          <cell r="L3" t="str">
            <v>2013E</v>
          </cell>
          <cell r="M3" t="str">
            <v>2014E</v>
          </cell>
          <cell r="N3" t="str">
            <v>2015E</v>
          </cell>
          <cell r="O3" t="str">
            <v>closings</v>
          </cell>
          <cell r="S3" t="str">
            <v>Check:</v>
          </cell>
        </row>
        <row r="4">
          <cell r="C4" t="str">
            <v>TLB</v>
          </cell>
          <cell r="D4" t="str">
            <v>End of Period</v>
          </cell>
          <cell r="E4">
            <v>584</v>
          </cell>
          <cell r="F4">
            <v>596</v>
          </cell>
          <cell r="G4">
            <v>587</v>
          </cell>
          <cell r="H4">
            <v>580</v>
          </cell>
          <cell r="I4">
            <v>568</v>
          </cell>
          <cell r="J4">
            <v>502</v>
          </cell>
          <cell r="K4">
            <v>487</v>
          </cell>
          <cell r="L4">
            <v>487</v>
          </cell>
          <cell r="M4">
            <v>492</v>
          </cell>
        </row>
        <row r="5">
          <cell r="D5" t="str">
            <v>Closings</v>
          </cell>
          <cell r="E5">
            <v>0</v>
          </cell>
          <cell r="F5">
            <v>0</v>
          </cell>
          <cell r="G5">
            <v>9</v>
          </cell>
          <cell r="H5">
            <v>30</v>
          </cell>
          <cell r="I5">
            <v>23</v>
          </cell>
          <cell r="J5">
            <v>83</v>
          </cell>
          <cell r="K5">
            <v>25</v>
          </cell>
          <cell r="L5">
            <v>10</v>
          </cell>
          <cell r="M5">
            <v>5</v>
          </cell>
          <cell r="O5">
            <v>40</v>
          </cell>
        </row>
        <row r="6">
          <cell r="D6" t="str">
            <v>as a % of stores</v>
          </cell>
          <cell r="F6">
            <v>0</v>
          </cell>
          <cell r="G6">
            <v>1.5100671140939598E-2</v>
          </cell>
          <cell r="H6">
            <v>5.1107325383304938E-2</v>
          </cell>
          <cell r="I6">
            <v>3.9655172413793106E-2</v>
          </cell>
          <cell r="J6">
            <v>0.14612676056338028</v>
          </cell>
          <cell r="K6">
            <v>4.9800796812749001E-2</v>
          </cell>
          <cell r="L6">
            <v>2.0533880903490759E-2</v>
          </cell>
          <cell r="M6">
            <v>1.0266940451745379E-2</v>
          </cell>
        </row>
        <row r="7">
          <cell r="D7" t="str">
            <v>'11-'13 closings as % '10 ending stores (or '11 begin store cnt)</v>
          </cell>
          <cell r="O7">
            <v>7.9681274900398405E-2</v>
          </cell>
        </row>
        <row r="8">
          <cell r="C8" t="str">
            <v>ANF</v>
          </cell>
          <cell r="D8" t="str">
            <v>End of Period</v>
          </cell>
          <cell r="E8">
            <v>944</v>
          </cell>
          <cell r="F8">
            <v>1035</v>
          </cell>
          <cell r="G8">
            <v>1125</v>
          </cell>
          <cell r="H8">
            <v>1097</v>
          </cell>
          <cell r="I8">
            <v>1069</v>
          </cell>
          <cell r="J8">
            <v>1041</v>
          </cell>
          <cell r="K8">
            <v>1041</v>
          </cell>
          <cell r="L8">
            <v>1026</v>
          </cell>
          <cell r="M8">
            <v>961</v>
          </cell>
          <cell r="N8">
            <v>932</v>
          </cell>
          <cell r="S8">
            <v>1097</v>
          </cell>
          <cell r="T8">
            <v>1069</v>
          </cell>
          <cell r="U8">
            <v>1041</v>
          </cell>
          <cell r="V8">
            <v>1041</v>
          </cell>
          <cell r="W8">
            <v>1014</v>
          </cell>
          <cell r="X8">
            <v>981</v>
          </cell>
        </row>
        <row r="9">
          <cell r="D9" t="str">
            <v>Closings</v>
          </cell>
          <cell r="E9">
            <v>13</v>
          </cell>
          <cell r="F9">
            <v>6</v>
          </cell>
          <cell r="G9">
            <v>10</v>
          </cell>
          <cell r="H9">
            <v>51</v>
          </cell>
          <cell r="I9">
            <v>65</v>
          </cell>
          <cell r="J9">
            <v>74</v>
          </cell>
          <cell r="K9">
            <v>47</v>
          </cell>
          <cell r="L9">
            <v>50</v>
          </cell>
          <cell r="M9">
            <v>66</v>
          </cell>
          <cell r="N9">
            <v>59</v>
          </cell>
          <cell r="O9">
            <v>175</v>
          </cell>
        </row>
        <row r="10">
          <cell r="D10" t="str">
            <v>as a % of stores</v>
          </cell>
          <cell r="F10">
            <v>6.3559322033898309E-3</v>
          </cell>
          <cell r="G10">
            <v>9.6618357487922701E-3</v>
          </cell>
          <cell r="H10">
            <v>4.5333333333333337E-2</v>
          </cell>
          <cell r="I10">
            <v>5.9252506836827715E-2</v>
          </cell>
          <cell r="J10">
            <v>6.9223573433115054E-2</v>
          </cell>
          <cell r="K10">
            <v>4.5148895292987511E-2</v>
          </cell>
          <cell r="L10">
            <v>4.8030739673390971E-2</v>
          </cell>
          <cell r="M10">
            <v>6.4327485380116955E-2</v>
          </cell>
          <cell r="N10">
            <v>6.1394380853277836E-2</v>
          </cell>
        </row>
        <row r="11">
          <cell r="D11" t="str">
            <v>'11-'13 closings as % '10 ending stores (or '11 begin store cnt)</v>
          </cell>
          <cell r="O11">
            <v>0.16810758885686838</v>
          </cell>
          <cell r="Q11">
            <v>0.117898687528788</v>
          </cell>
        </row>
        <row r="12">
          <cell r="C12" t="str">
            <v>ARO</v>
          </cell>
          <cell r="D12" t="str">
            <v>End of Period</v>
          </cell>
          <cell r="E12">
            <v>742</v>
          </cell>
          <cell r="F12">
            <v>828</v>
          </cell>
          <cell r="G12">
            <v>914</v>
          </cell>
          <cell r="H12">
            <v>952</v>
          </cell>
          <cell r="I12">
            <v>1012</v>
          </cell>
          <cell r="J12">
            <v>1057</v>
          </cell>
          <cell r="K12">
            <v>1095</v>
          </cell>
          <cell r="L12">
            <v>1151</v>
          </cell>
          <cell r="M12">
            <v>860</v>
          </cell>
          <cell r="N12">
            <v>806</v>
          </cell>
        </row>
        <row r="13">
          <cell r="D13" t="str">
            <v>Closings</v>
          </cell>
          <cell r="E13">
            <v>-3</v>
          </cell>
          <cell r="F13">
            <v>-2</v>
          </cell>
          <cell r="G13">
            <v>-2</v>
          </cell>
          <cell r="H13">
            <v>-15</v>
          </cell>
          <cell r="I13">
            <v>-8</v>
          </cell>
          <cell r="J13">
            <v>2</v>
          </cell>
          <cell r="K13">
            <v>10</v>
          </cell>
          <cell r="L13">
            <v>18</v>
          </cell>
          <cell r="M13">
            <v>248</v>
          </cell>
          <cell r="N13">
            <v>55</v>
          </cell>
          <cell r="O13">
            <v>321</v>
          </cell>
        </row>
        <row r="14">
          <cell r="D14" t="str">
            <v>as a % of stores</v>
          </cell>
          <cell r="F14">
            <v>-2.6954177897574125E-3</v>
          </cell>
          <cell r="G14">
            <v>-2.4154589371980675E-3</v>
          </cell>
          <cell r="H14">
            <v>-1.6411378555798686E-2</v>
          </cell>
          <cell r="I14">
            <v>-8.4033613445378148E-3</v>
          </cell>
          <cell r="J14">
            <v>1.976284584980237E-3</v>
          </cell>
          <cell r="K14">
            <v>9.4607379375591296E-3</v>
          </cell>
          <cell r="L14">
            <v>1.643835616438356E-2</v>
          </cell>
          <cell r="M14">
            <v>0.21546481320590791</v>
          </cell>
          <cell r="N14">
            <v>6.3953488372093026E-2</v>
          </cell>
        </row>
        <row r="15">
          <cell r="D15" t="str">
            <v>'10-'12 closings as % '09 ending stores (or '10 begin store cnt)</v>
          </cell>
          <cell r="O15">
            <v>0.29315068493150687</v>
          </cell>
        </row>
        <row r="16">
          <cell r="C16" t="str">
            <v>PLCE</v>
          </cell>
          <cell r="D16" t="str">
            <v>End of Period</v>
          </cell>
          <cell r="E16">
            <v>866</v>
          </cell>
          <cell r="F16">
            <v>904</v>
          </cell>
          <cell r="G16">
            <v>917</v>
          </cell>
          <cell r="H16">
            <v>947</v>
          </cell>
          <cell r="I16">
            <v>995</v>
          </cell>
          <cell r="J16">
            <v>1049</v>
          </cell>
          <cell r="K16">
            <v>1095</v>
          </cell>
          <cell r="L16">
            <v>1140</v>
          </cell>
          <cell r="M16">
            <v>1112</v>
          </cell>
          <cell r="N16">
            <v>1092</v>
          </cell>
        </row>
        <row r="17">
          <cell r="D17" t="str">
            <v>Closings</v>
          </cell>
          <cell r="E17">
            <v>13</v>
          </cell>
          <cell r="F17">
            <v>24</v>
          </cell>
          <cell r="G17">
            <v>14</v>
          </cell>
          <cell r="H17">
            <v>6</v>
          </cell>
          <cell r="I17">
            <v>19</v>
          </cell>
          <cell r="J17">
            <v>34</v>
          </cell>
          <cell r="K17">
            <v>18</v>
          </cell>
          <cell r="L17">
            <v>38</v>
          </cell>
          <cell r="M17">
            <v>30</v>
          </cell>
          <cell r="N17">
            <v>20</v>
          </cell>
          <cell r="O17">
            <v>88</v>
          </cell>
        </row>
        <row r="18">
          <cell r="D18" t="str">
            <v>as a % of stores</v>
          </cell>
          <cell r="F18">
            <v>2.771362586605081E-2</v>
          </cell>
          <cell r="G18">
            <v>1.5486725663716814E-2</v>
          </cell>
          <cell r="H18">
            <v>6.5430752453653216E-3</v>
          </cell>
          <cell r="I18">
            <v>2.0063357972544878E-2</v>
          </cell>
          <cell r="J18">
            <v>3.4170854271356785E-2</v>
          </cell>
          <cell r="K18">
            <v>1.7159199237368923E-2</v>
          </cell>
          <cell r="L18">
            <v>3.4703196347031964E-2</v>
          </cell>
          <cell r="M18">
            <v>2.6315789473684209E-2</v>
          </cell>
          <cell r="N18">
            <v>1.7985611510791366E-2</v>
          </cell>
        </row>
        <row r="19">
          <cell r="D19" t="str">
            <v>'10-'12 closings as % '09 ending stores (or '10 begin store cnt)</v>
          </cell>
          <cell r="O19">
            <v>8.0365296803652966E-2</v>
          </cell>
        </row>
        <row r="20">
          <cell r="C20" t="str">
            <v>ANN</v>
          </cell>
          <cell r="D20" t="str">
            <v>End of Period</v>
          </cell>
          <cell r="E20">
            <v>869</v>
          </cell>
          <cell r="F20">
            <v>929</v>
          </cell>
          <cell r="G20">
            <v>935</v>
          </cell>
          <cell r="H20">
            <v>907</v>
          </cell>
          <cell r="I20">
            <v>896</v>
          </cell>
          <cell r="J20">
            <v>953</v>
          </cell>
          <cell r="K20">
            <v>984</v>
          </cell>
          <cell r="L20">
            <v>1019</v>
          </cell>
          <cell r="M20">
            <v>1030</v>
          </cell>
          <cell r="N20">
            <v>1035</v>
          </cell>
          <cell r="S20">
            <v>907</v>
          </cell>
          <cell r="T20">
            <v>896</v>
          </cell>
          <cell r="U20">
            <v>953</v>
          </cell>
        </row>
        <row r="21">
          <cell r="D21" t="str">
            <v>Closings</v>
          </cell>
          <cell r="E21">
            <v>25</v>
          </cell>
          <cell r="F21">
            <v>17</v>
          </cell>
          <cell r="G21">
            <v>60</v>
          </cell>
          <cell r="H21">
            <v>42</v>
          </cell>
          <cell r="I21">
            <v>45</v>
          </cell>
          <cell r="J21">
            <v>19</v>
          </cell>
          <cell r="K21">
            <v>32</v>
          </cell>
          <cell r="L21">
            <v>30</v>
          </cell>
          <cell r="M21">
            <v>45</v>
          </cell>
          <cell r="N21">
            <v>35</v>
          </cell>
          <cell r="O21">
            <v>110</v>
          </cell>
        </row>
        <row r="22">
          <cell r="D22" t="str">
            <v>as a % of stores</v>
          </cell>
          <cell r="F22">
            <v>1.9562715765247412E-2</v>
          </cell>
          <cell r="G22">
            <v>6.4585575888051666E-2</v>
          </cell>
          <cell r="H22">
            <v>4.4919786096256686E-2</v>
          </cell>
          <cell r="I22">
            <v>4.9614112458654908E-2</v>
          </cell>
          <cell r="J22">
            <v>2.1205357142857144E-2</v>
          </cell>
          <cell r="K22">
            <v>3.3578174186778595E-2</v>
          </cell>
          <cell r="L22">
            <v>3.048780487804878E-2</v>
          </cell>
          <cell r="M22">
            <v>4.4160942100098133E-2</v>
          </cell>
          <cell r="N22">
            <v>3.3980582524271843E-2</v>
          </cell>
        </row>
        <row r="23">
          <cell r="D23" t="str">
            <v>'11-'13 closings as % '10 ending stores (or '11 begin store cnt)</v>
          </cell>
          <cell r="O23">
            <v>0.11178861788617886</v>
          </cell>
        </row>
        <row r="24">
          <cell r="C24" t="str">
            <v>AEO</v>
          </cell>
          <cell r="D24" t="str">
            <v>End of Period</v>
          </cell>
          <cell r="E24">
            <v>0</v>
          </cell>
          <cell r="F24">
            <v>987</v>
          </cell>
          <cell r="G24">
            <v>1098</v>
          </cell>
          <cell r="H24">
            <v>1103</v>
          </cell>
          <cell r="I24">
            <v>1077</v>
          </cell>
          <cell r="J24">
            <v>1069</v>
          </cell>
          <cell r="K24">
            <v>1044</v>
          </cell>
          <cell r="L24">
            <v>1054</v>
          </cell>
          <cell r="M24">
            <v>-21</v>
          </cell>
          <cell r="N24">
            <v>-20</v>
          </cell>
        </row>
        <row r="25">
          <cell r="D25" t="str">
            <v>Closings</v>
          </cell>
          <cell r="E25">
            <v>8</v>
          </cell>
          <cell r="F25">
            <v>4</v>
          </cell>
          <cell r="G25">
            <v>11</v>
          </cell>
          <cell r="H25">
            <v>24</v>
          </cell>
          <cell r="I25">
            <v>51</v>
          </cell>
          <cell r="J25">
            <v>29</v>
          </cell>
          <cell r="K25">
            <v>41</v>
          </cell>
          <cell r="L25">
            <v>40</v>
          </cell>
          <cell r="M25">
            <v>49</v>
          </cell>
          <cell r="N25">
            <v>50</v>
          </cell>
          <cell r="O25">
            <v>139</v>
          </cell>
        </row>
        <row r="26">
          <cell r="D26" t="str">
            <v>as a % of stores</v>
          </cell>
          <cell r="F26" t="e">
            <v>#DIV/0!</v>
          </cell>
          <cell r="G26">
            <v>1.1144883485309016E-2</v>
          </cell>
          <cell r="H26">
            <v>2.185792349726776E-2</v>
          </cell>
          <cell r="I26">
            <v>4.6237533998186767E-2</v>
          </cell>
          <cell r="J26">
            <v>2.6926648096564532E-2</v>
          </cell>
          <cell r="K26">
            <v>3.8353601496725911E-2</v>
          </cell>
          <cell r="L26">
            <v>3.8314176245210725E-2</v>
          </cell>
          <cell r="M26">
            <v>4.6489563567362426E-2</v>
          </cell>
          <cell r="N26">
            <v>-2.3809523809523809</v>
          </cell>
        </row>
        <row r="27">
          <cell r="D27" t="str">
            <v>'11-'13 closings as % '10 ending stores (or '11 begin store cnt)</v>
          </cell>
          <cell r="O27">
            <v>0.13314176245210729</v>
          </cell>
        </row>
        <row r="28">
          <cell r="C28" t="str">
            <v>GPS</v>
          </cell>
          <cell r="D28" t="str">
            <v>End of Period</v>
          </cell>
          <cell r="E28">
            <v>3131</v>
          </cell>
          <cell r="F28">
            <v>3167</v>
          </cell>
          <cell r="G28">
            <v>3149</v>
          </cell>
          <cell r="H28">
            <v>3095</v>
          </cell>
          <cell r="I28">
            <v>3068</v>
          </cell>
          <cell r="J28">
            <v>3072</v>
          </cell>
          <cell r="K28">
            <v>3131</v>
          </cell>
          <cell r="L28">
            <v>3211</v>
          </cell>
          <cell r="M28">
            <v>3280</v>
          </cell>
          <cell r="N28">
            <v>3260</v>
          </cell>
          <cell r="S28">
            <v>3095</v>
          </cell>
          <cell r="T28">
            <v>3068</v>
          </cell>
          <cell r="U28">
            <v>3072</v>
          </cell>
        </row>
        <row r="29">
          <cell r="D29" t="str">
            <v>Closings</v>
          </cell>
          <cell r="E29">
            <v>116</v>
          </cell>
          <cell r="F29">
            <v>178</v>
          </cell>
          <cell r="G29">
            <v>119</v>
          </cell>
          <cell r="H29">
            <v>101</v>
          </cell>
          <cell r="I29">
            <v>98</v>
          </cell>
          <cell r="J29">
            <v>98</v>
          </cell>
          <cell r="K29">
            <v>89</v>
          </cell>
          <cell r="L29">
            <v>80</v>
          </cell>
          <cell r="M29">
            <v>53</v>
          </cell>
          <cell r="N29">
            <v>170</v>
          </cell>
          <cell r="O29">
            <v>303</v>
          </cell>
        </row>
        <row r="30">
          <cell r="D30" t="str">
            <v>as a % of stores</v>
          </cell>
          <cell r="F30">
            <v>5.6850846374960073E-2</v>
          </cell>
          <cell r="G30">
            <v>3.7574992106094093E-2</v>
          </cell>
          <cell r="H30">
            <v>3.207367418228009E-2</v>
          </cell>
          <cell r="I30">
            <v>3.1663974151857836E-2</v>
          </cell>
          <cell r="J30">
            <v>3.1942633637548894E-2</v>
          </cell>
          <cell r="K30">
            <v>2.8971354166666668E-2</v>
          </cell>
          <cell r="L30">
            <v>2.5550942190993294E-2</v>
          </cell>
          <cell r="M30">
            <v>1.6505761445032699E-2</v>
          </cell>
          <cell r="N30">
            <v>5.1829268292682924E-2</v>
          </cell>
        </row>
        <row r="31">
          <cell r="D31" t="str">
            <v>'11-'13 closings as % '10 ending stores (or '11 begin store cnt)</v>
          </cell>
          <cell r="O31">
            <v>9.6774193548387094E-2</v>
          </cell>
        </row>
        <row r="32">
          <cell r="C32" t="str">
            <v>LTD</v>
          </cell>
          <cell r="D32" t="str">
            <v>End of Period</v>
          </cell>
          <cell r="E32">
            <v>3766</v>
          </cell>
          <cell r="F32">
            <v>2926</v>
          </cell>
          <cell r="G32">
            <v>3014</v>
          </cell>
          <cell r="H32">
            <v>2971</v>
          </cell>
          <cell r="I32">
            <v>2968</v>
          </cell>
          <cell r="J32">
            <v>2941</v>
          </cell>
          <cell r="K32">
            <v>2876</v>
          </cell>
          <cell r="L32">
            <v>2908</v>
          </cell>
          <cell r="M32">
            <v>2916</v>
          </cell>
          <cell r="N32">
            <v>2935</v>
          </cell>
        </row>
        <row r="33">
          <cell r="D33" t="str">
            <v>Closings</v>
          </cell>
          <cell r="E33">
            <v>167</v>
          </cell>
          <cell r="F33">
            <v>45</v>
          </cell>
          <cell r="G33">
            <v>58</v>
          </cell>
          <cell r="H33">
            <v>102</v>
          </cell>
          <cell r="I33">
            <v>46</v>
          </cell>
          <cell r="J33">
            <v>67</v>
          </cell>
          <cell r="K33">
            <v>113</v>
          </cell>
          <cell r="L33">
            <v>48</v>
          </cell>
          <cell r="M33">
            <v>47</v>
          </cell>
          <cell r="N33">
            <v>47</v>
          </cell>
          <cell r="O33">
            <v>142</v>
          </cell>
        </row>
        <row r="34">
          <cell r="D34" t="str">
            <v>as a % of stores</v>
          </cell>
          <cell r="F34">
            <v>1.1949017525225704E-2</v>
          </cell>
          <cell r="G34">
            <v>1.9822282980177717E-2</v>
          </cell>
          <cell r="H34">
            <v>3.3842070338420703E-2</v>
          </cell>
          <cell r="I34">
            <v>1.5483002356109055E-2</v>
          </cell>
          <cell r="J34">
            <v>2.257412398921833E-2</v>
          </cell>
          <cell r="K34">
            <v>3.8422305338320299E-2</v>
          </cell>
          <cell r="L34">
            <v>1.6689847009735744E-2</v>
          </cell>
          <cell r="M34">
            <v>1.6162310866574967E-2</v>
          </cell>
          <cell r="N34">
            <v>1.6117969821673524E-2</v>
          </cell>
        </row>
        <row r="35">
          <cell r="D35" t="str">
            <v>'11-'13 closings as % '10 ending stores (or '11 begin store cnt)</v>
          </cell>
          <cell r="O35">
            <v>4.9374130737134911E-2</v>
          </cell>
        </row>
        <row r="38">
          <cell r="C38" t="str">
            <v>LULU</v>
          </cell>
          <cell r="D38" t="str">
            <v>End of Period</v>
          </cell>
          <cell r="E38">
            <v>7</v>
          </cell>
          <cell r="F38">
            <v>7</v>
          </cell>
          <cell r="G38">
            <v>5</v>
          </cell>
          <cell r="H38">
            <v>0</v>
          </cell>
          <cell r="I38">
            <v>0</v>
          </cell>
          <cell r="J38">
            <v>0</v>
          </cell>
          <cell r="K38">
            <v>1</v>
          </cell>
          <cell r="L38">
            <v>2</v>
          </cell>
          <cell r="M38">
            <v>1</v>
          </cell>
          <cell r="N38">
            <v>1</v>
          </cell>
        </row>
        <row r="39">
          <cell r="D39" t="str">
            <v>Closings</v>
          </cell>
          <cell r="E39">
            <v>0</v>
          </cell>
          <cell r="F39">
            <v>0</v>
          </cell>
          <cell r="G39">
            <v>1</v>
          </cell>
          <cell r="H39">
            <v>1</v>
          </cell>
          <cell r="I39">
            <v>1</v>
          </cell>
          <cell r="J39">
            <v>1</v>
          </cell>
          <cell r="K39">
            <v>1</v>
          </cell>
          <cell r="L39">
            <v>1</v>
          </cell>
          <cell r="M39">
            <v>1</v>
          </cell>
          <cell r="N39">
            <v>1</v>
          </cell>
          <cell r="O39">
            <v>3</v>
          </cell>
        </row>
        <row r="40">
          <cell r="D40" t="str">
            <v>as a % of stores</v>
          </cell>
          <cell r="F40">
            <v>0</v>
          </cell>
          <cell r="G40">
            <v>0.14285714285714285</v>
          </cell>
          <cell r="H40">
            <v>0.2</v>
          </cell>
          <cell r="I40" t="e">
            <v>#DIV/0!</v>
          </cell>
          <cell r="J40" t="e">
            <v>#DIV/0!</v>
          </cell>
          <cell r="K40" t="e">
            <v>#DIV/0!</v>
          </cell>
          <cell r="L40">
            <v>1</v>
          </cell>
          <cell r="M40">
            <v>0.5</v>
          </cell>
          <cell r="N40">
            <v>1</v>
          </cell>
        </row>
        <row r="41">
          <cell r="D41" t="str">
            <v>'11-'13 closings as % '10 ending stores (or '11 begin store cnt)</v>
          </cell>
          <cell r="O41">
            <v>3</v>
          </cell>
        </row>
        <row r="42">
          <cell r="D42" t="str">
            <v>Average</v>
          </cell>
          <cell r="O42">
            <v>0.117898687528788</v>
          </cell>
        </row>
        <row r="44">
          <cell r="C44" t="str">
            <v>CHS</v>
          </cell>
          <cell r="D44" t="str">
            <v>End of Period</v>
          </cell>
          <cell r="E44">
            <v>920</v>
          </cell>
          <cell r="F44">
            <v>1038</v>
          </cell>
          <cell r="G44">
            <v>1076</v>
          </cell>
          <cell r="H44">
            <v>1080</v>
          </cell>
          <cell r="I44">
            <v>1151</v>
          </cell>
          <cell r="J44">
            <v>1256</v>
          </cell>
          <cell r="K44">
            <v>1357</v>
          </cell>
          <cell r="L44">
            <v>1485</v>
          </cell>
          <cell r="M44">
            <v>1588</v>
          </cell>
          <cell r="N44">
            <v>-2</v>
          </cell>
        </row>
        <row r="45">
          <cell r="D45" t="str">
            <v>Closings</v>
          </cell>
          <cell r="E45">
            <v>6</v>
          </cell>
          <cell r="F45">
            <v>18</v>
          </cell>
          <cell r="G45">
            <v>11</v>
          </cell>
          <cell r="H45">
            <v>26</v>
          </cell>
          <cell r="I45">
            <v>9</v>
          </cell>
          <cell r="J45">
            <v>32</v>
          </cell>
          <cell r="K45">
            <v>24</v>
          </cell>
          <cell r="L45">
            <v>17</v>
          </cell>
          <cell r="M45">
            <v>-5</v>
          </cell>
          <cell r="N45">
            <v>-2</v>
          </cell>
          <cell r="O45">
            <v>10</v>
          </cell>
        </row>
        <row r="46">
          <cell r="D46" t="str">
            <v>as a % of stores</v>
          </cell>
          <cell r="F46">
            <v>1.9565217391304349E-2</v>
          </cell>
          <cell r="G46">
            <v>1.0597302504816955E-2</v>
          </cell>
          <cell r="H46">
            <v>2.4163568773234202E-2</v>
          </cell>
          <cell r="I46">
            <v>8.3333333333333332E-3</v>
          </cell>
          <cell r="J46">
            <v>2.780191138140747E-2</v>
          </cell>
          <cell r="K46">
            <v>1.9108280254777069E-2</v>
          </cell>
          <cell r="L46">
            <v>1.2527634487840826E-2</v>
          </cell>
          <cell r="M46">
            <v>-3.3670033670033669E-3</v>
          </cell>
          <cell r="N46">
            <v>-1.2594458438287153E-3</v>
          </cell>
        </row>
        <row r="47">
          <cell r="D47" t="str">
            <v>'10-'12 closings as % '09 ending stores (or '10 begin store cnt)</v>
          </cell>
          <cell r="O47">
            <v>7.9617834394904458E-3</v>
          </cell>
        </row>
        <row r="48">
          <cell r="C48" t="str">
            <v>COH</v>
          </cell>
          <cell r="D48" t="str">
            <v>End of Period</v>
          </cell>
          <cell r="E48">
            <v>422</v>
          </cell>
          <cell r="F48">
            <v>489</v>
          </cell>
          <cell r="G48">
            <v>548</v>
          </cell>
          <cell r="H48">
            <v>624</v>
          </cell>
          <cell r="I48">
            <v>665</v>
          </cell>
          <cell r="J48">
            <v>723</v>
          </cell>
          <cell r="K48">
            <v>832</v>
          </cell>
          <cell r="L48">
            <v>912</v>
          </cell>
          <cell r="M48">
            <v>983</v>
          </cell>
          <cell r="N48">
            <v>1054</v>
          </cell>
        </row>
        <row r="49">
          <cell r="D49" t="str">
            <v>Closings</v>
          </cell>
          <cell r="E49">
            <v>6</v>
          </cell>
          <cell r="F49">
            <v>3</v>
          </cell>
          <cell r="G49">
            <v>1</v>
          </cell>
          <cell r="H49">
            <v>9</v>
          </cell>
          <cell r="I49">
            <v>11</v>
          </cell>
          <cell r="J49">
            <v>7</v>
          </cell>
          <cell r="K49">
            <v>5</v>
          </cell>
          <cell r="L49">
            <v>3</v>
          </cell>
          <cell r="M49">
            <v>3</v>
          </cell>
          <cell r="N49">
            <v>3</v>
          </cell>
          <cell r="O49">
            <v>11</v>
          </cell>
        </row>
        <row r="50">
          <cell r="D50" t="str">
            <v>as a % of stores</v>
          </cell>
          <cell r="F50">
            <v>7.1090047393364926E-3</v>
          </cell>
          <cell r="G50">
            <v>2.0449897750511249E-3</v>
          </cell>
          <cell r="H50">
            <v>1.6423357664233577E-2</v>
          </cell>
          <cell r="I50">
            <v>1.7628205128205128E-2</v>
          </cell>
          <cell r="J50">
            <v>1.0526315789473684E-2</v>
          </cell>
          <cell r="K50">
            <v>6.9156293222683261E-3</v>
          </cell>
          <cell r="L50">
            <v>3.605769230769231E-3</v>
          </cell>
          <cell r="M50">
            <v>3.2894736842105261E-3</v>
          </cell>
          <cell r="N50">
            <v>3.0518819938962359E-3</v>
          </cell>
        </row>
        <row r="51">
          <cell r="D51" t="str">
            <v>'10-'12 closings as % '09 ending stores (or '10 begin store cnt)</v>
          </cell>
          <cell r="O51">
            <v>1.5214384508990318E-2</v>
          </cell>
        </row>
        <row r="52">
          <cell r="C52" t="str">
            <v>JCG</v>
          </cell>
          <cell r="D52" t="str">
            <v>End of Period</v>
          </cell>
          <cell r="E52">
            <v>227</v>
          </cell>
          <cell r="F52">
            <v>260</v>
          </cell>
          <cell r="G52">
            <v>300</v>
          </cell>
          <cell r="H52">
            <v>321</v>
          </cell>
          <cell r="I52">
            <v>335</v>
          </cell>
          <cell r="J52">
            <v>366</v>
          </cell>
          <cell r="K52">
            <v>400</v>
          </cell>
          <cell r="L52">
            <v>435</v>
          </cell>
          <cell r="M52">
            <v>471</v>
          </cell>
          <cell r="N52">
            <v>8.88624888199654</v>
          </cell>
        </row>
        <row r="53">
          <cell r="D53" t="str">
            <v>Closings</v>
          </cell>
          <cell r="E53">
            <v>5</v>
          </cell>
          <cell r="F53">
            <v>4</v>
          </cell>
          <cell r="G53">
            <v>4</v>
          </cell>
          <cell r="H53">
            <v>3</v>
          </cell>
          <cell r="I53">
            <v>1</v>
          </cell>
          <cell r="J53">
            <v>4</v>
          </cell>
          <cell r="K53">
            <v>3</v>
          </cell>
          <cell r="L53">
            <v>3</v>
          </cell>
          <cell r="M53">
            <v>3</v>
          </cell>
          <cell r="N53" t="e">
            <v>#REF!</v>
          </cell>
          <cell r="O53">
            <v>9</v>
          </cell>
        </row>
        <row r="54">
          <cell r="D54" t="str">
            <v>as a % of stores</v>
          </cell>
          <cell r="F54">
            <v>1.7621145374449341E-2</v>
          </cell>
          <cell r="G54">
            <v>1.5384615384615385E-2</v>
          </cell>
          <cell r="H54">
            <v>0.01</v>
          </cell>
          <cell r="I54">
            <v>3.1152647975077881E-3</v>
          </cell>
          <cell r="J54">
            <v>1.1940298507462687E-2</v>
          </cell>
          <cell r="K54">
            <v>8.1967213114754103E-3</v>
          </cell>
          <cell r="L54">
            <v>7.4999999999999997E-3</v>
          </cell>
          <cell r="M54">
            <v>6.8965517241379309E-3</v>
          </cell>
          <cell r="N54" t="e">
            <v>#REF!</v>
          </cell>
        </row>
        <row r="55">
          <cell r="D55" t="str">
            <v>'09-'11 closings as % '08 ending stores (or '09 begin store cnt)</v>
          </cell>
          <cell r="O55">
            <v>2.4590163934426229E-2</v>
          </cell>
        </row>
        <row r="56">
          <cell r="C56" t="str">
            <v>ROST</v>
          </cell>
          <cell r="D56" t="str">
            <v>End of Period</v>
          </cell>
          <cell r="E56">
            <v>797</v>
          </cell>
          <cell r="F56">
            <v>890</v>
          </cell>
          <cell r="G56">
            <v>956</v>
          </cell>
          <cell r="H56">
            <v>1005</v>
          </cell>
          <cell r="I56">
            <v>1055</v>
          </cell>
          <cell r="J56">
            <v>1125</v>
          </cell>
          <cell r="K56">
            <v>1199</v>
          </cell>
          <cell r="L56">
            <v>1276</v>
          </cell>
          <cell r="M56">
            <v>1362</v>
          </cell>
          <cell r="N56">
            <v>1446</v>
          </cell>
        </row>
        <row r="57">
          <cell r="D57" t="str">
            <v>Closings</v>
          </cell>
          <cell r="E57">
            <v>3</v>
          </cell>
          <cell r="F57">
            <v>4</v>
          </cell>
          <cell r="G57">
            <v>11</v>
          </cell>
          <cell r="H57">
            <v>7</v>
          </cell>
          <cell r="I57">
            <v>6</v>
          </cell>
          <cell r="J57">
            <v>8</v>
          </cell>
          <cell r="K57">
            <v>8</v>
          </cell>
          <cell r="L57">
            <v>11</v>
          </cell>
          <cell r="M57">
            <v>9</v>
          </cell>
          <cell r="N57">
            <v>10</v>
          </cell>
          <cell r="O57">
            <v>28</v>
          </cell>
        </row>
        <row r="58">
          <cell r="D58" t="str">
            <v>as a % of stores</v>
          </cell>
          <cell r="F58">
            <v>5.018820577164366E-3</v>
          </cell>
          <cell r="G58">
            <v>1.2359550561797753E-2</v>
          </cell>
          <cell r="H58">
            <v>7.3221757322175732E-3</v>
          </cell>
          <cell r="I58">
            <v>5.9701492537313433E-3</v>
          </cell>
          <cell r="J58">
            <v>7.5829383886255926E-3</v>
          </cell>
          <cell r="K58">
            <v>7.1111111111111115E-3</v>
          </cell>
          <cell r="L58">
            <v>9.1743119266055051E-3</v>
          </cell>
          <cell r="M58">
            <v>7.0532915360501571E-3</v>
          </cell>
          <cell r="N58">
            <v>7.3421439060205578E-3</v>
          </cell>
        </row>
        <row r="59">
          <cell r="D59" t="str">
            <v>'10-'12 closings as % '09 ending stores (or '10 begin store cnt)</v>
          </cell>
          <cell r="O59">
            <v>2.4888888888888887E-2</v>
          </cell>
        </row>
        <row r="60">
          <cell r="C60" t="str">
            <v>TJX</v>
          </cell>
          <cell r="D60" t="str">
            <v>End of Period</v>
          </cell>
          <cell r="E60">
            <v>2466</v>
          </cell>
          <cell r="F60">
            <v>2563</v>
          </cell>
          <cell r="G60">
            <v>2652</v>
          </cell>
          <cell r="H60">
            <v>2743</v>
          </cell>
          <cell r="I60">
            <v>2859</v>
          </cell>
          <cell r="J60">
            <v>2905</v>
          </cell>
          <cell r="K60">
            <v>3050</v>
          </cell>
          <cell r="L60">
            <v>3219</v>
          </cell>
          <cell r="M60">
            <v>3395</v>
          </cell>
          <cell r="N60">
            <v>3614</v>
          </cell>
        </row>
        <row r="61">
          <cell r="D61" t="str">
            <v>Closings</v>
          </cell>
          <cell r="E61">
            <v>0</v>
          </cell>
          <cell r="F61">
            <v>0</v>
          </cell>
          <cell r="G61">
            <v>-34</v>
          </cell>
          <cell r="H61">
            <v>0</v>
          </cell>
          <cell r="I61">
            <v>0</v>
          </cell>
          <cell r="J61">
            <v>0</v>
          </cell>
          <cell r="K61">
            <v>0</v>
          </cell>
          <cell r="L61">
            <v>0</v>
          </cell>
          <cell r="M61">
            <v>0</v>
          </cell>
          <cell r="N61">
            <v>0</v>
          </cell>
          <cell r="O61">
            <v>0</v>
          </cell>
        </row>
        <row r="62">
          <cell r="D62" t="str">
            <v>as a % of stores</v>
          </cell>
          <cell r="F62">
            <v>0</v>
          </cell>
          <cell r="G62">
            <v>-1.3265704252828716E-2</v>
          </cell>
          <cell r="H62">
            <v>0</v>
          </cell>
          <cell r="I62">
            <v>0</v>
          </cell>
          <cell r="J62">
            <v>0</v>
          </cell>
          <cell r="K62">
            <v>0</v>
          </cell>
          <cell r="L62">
            <v>0</v>
          </cell>
          <cell r="M62">
            <v>0</v>
          </cell>
          <cell r="N62">
            <v>0</v>
          </cell>
        </row>
        <row r="63">
          <cell r="D63" t="str">
            <v>'10-'12 closings as % '09 ending stores (or '10 begin store cnt)</v>
          </cell>
          <cell r="O63">
            <v>0</v>
          </cell>
        </row>
        <row r="64">
          <cell r="C64" t="str">
            <v>TIF</v>
          </cell>
          <cell r="D64" t="str">
            <v>End of Period</v>
          </cell>
          <cell r="E64">
            <v>167</v>
          </cell>
          <cell r="F64">
            <v>184</v>
          </cell>
          <cell r="G64">
            <v>210</v>
          </cell>
          <cell r="H64">
            <v>224</v>
          </cell>
          <cell r="I64">
            <v>233</v>
          </cell>
          <cell r="J64">
            <v>248</v>
          </cell>
          <cell r="K64">
            <v>276</v>
          </cell>
          <cell r="L64">
            <v>298</v>
          </cell>
          <cell r="M64">
            <v>295</v>
          </cell>
          <cell r="N64">
            <v>307</v>
          </cell>
        </row>
        <row r="65">
          <cell r="D65" t="str">
            <v>Closings</v>
          </cell>
          <cell r="E65">
            <v>0</v>
          </cell>
          <cell r="F65">
            <v>0</v>
          </cell>
          <cell r="G65">
            <v>0</v>
          </cell>
          <cell r="H65">
            <v>0</v>
          </cell>
          <cell r="I65">
            <v>1</v>
          </cell>
          <cell r="J65">
            <v>0</v>
          </cell>
          <cell r="K65">
            <v>0</v>
          </cell>
          <cell r="L65">
            <v>0</v>
          </cell>
          <cell r="M65">
            <v>0</v>
          </cell>
          <cell r="N65">
            <v>0</v>
          </cell>
          <cell r="O65">
            <v>0</v>
          </cell>
        </row>
        <row r="66">
          <cell r="D66" t="str">
            <v>as a % of stores</v>
          </cell>
          <cell r="F66">
            <v>0</v>
          </cell>
          <cell r="G66">
            <v>0</v>
          </cell>
          <cell r="H66">
            <v>0</v>
          </cell>
          <cell r="I66">
            <v>4.464285714285714E-3</v>
          </cell>
          <cell r="J66">
            <v>0</v>
          </cell>
          <cell r="K66">
            <v>0</v>
          </cell>
          <cell r="L66">
            <v>0</v>
          </cell>
          <cell r="M66">
            <v>0</v>
          </cell>
          <cell r="N66">
            <v>0</v>
          </cell>
        </row>
        <row r="67">
          <cell r="D67" t="str">
            <v>'10-'12 closings as % '09 ending stores (or '10 begin store cnt)</v>
          </cell>
          <cell r="O67">
            <v>0</v>
          </cell>
        </row>
        <row r="68">
          <cell r="C68" t="str">
            <v>URBN</v>
          </cell>
          <cell r="D68" t="str">
            <v>End of Period</v>
          </cell>
          <cell r="E68">
            <v>0</v>
          </cell>
          <cell r="F68">
            <v>245</v>
          </cell>
          <cell r="G68">
            <v>294</v>
          </cell>
          <cell r="H68">
            <v>327</v>
          </cell>
          <cell r="I68">
            <v>372</v>
          </cell>
          <cell r="J68">
            <v>429</v>
          </cell>
          <cell r="K68">
            <v>0</v>
          </cell>
          <cell r="L68">
            <v>1</v>
          </cell>
          <cell r="M68">
            <v>0</v>
          </cell>
          <cell r="N68">
            <v>2</v>
          </cell>
        </row>
        <row r="69">
          <cell r="D69" t="str">
            <v>Closings</v>
          </cell>
          <cell r="E69">
            <v>0</v>
          </cell>
          <cell r="F69">
            <v>0</v>
          </cell>
          <cell r="G69">
            <v>0</v>
          </cell>
          <cell r="H69">
            <v>0</v>
          </cell>
          <cell r="I69">
            <v>0</v>
          </cell>
          <cell r="J69">
            <v>0</v>
          </cell>
          <cell r="K69">
            <v>-2</v>
          </cell>
          <cell r="L69">
            <v>0</v>
          </cell>
          <cell r="M69">
            <v>-3</v>
          </cell>
          <cell r="N69">
            <v>-3</v>
          </cell>
          <cell r="O69">
            <v>-5</v>
          </cell>
        </row>
        <row r="70">
          <cell r="D70" t="str">
            <v>as a % of stores</v>
          </cell>
          <cell r="F70" t="e">
            <v>#DIV/0!</v>
          </cell>
          <cell r="G70">
            <v>0</v>
          </cell>
          <cell r="H70">
            <v>0</v>
          </cell>
          <cell r="I70">
            <v>0</v>
          </cell>
          <cell r="J70">
            <v>0</v>
          </cell>
          <cell r="K70">
            <v>-4.662004662004662E-3</v>
          </cell>
          <cell r="L70" t="e">
            <v>#DIV/0!</v>
          </cell>
          <cell r="M70">
            <v>-3</v>
          </cell>
          <cell r="N70" t="e">
            <v>#DIV/0!</v>
          </cell>
        </row>
        <row r="71">
          <cell r="D71" t="str">
            <v>'10-'12 closings as % '09 ending stores (or '10 begin store cnt)</v>
          </cell>
          <cell r="O71">
            <v>-1.1655011655011656E-2</v>
          </cell>
        </row>
        <row r="72">
          <cell r="C72" t="str">
            <v>EXPR</v>
          </cell>
          <cell r="D72" t="str">
            <v>End of Period</v>
          </cell>
          <cell r="E72">
            <v>658</v>
          </cell>
          <cell r="F72">
            <v>587</v>
          </cell>
          <cell r="G72">
            <v>581</v>
          </cell>
          <cell r="H72">
            <v>573</v>
          </cell>
          <cell r="I72">
            <v>591</v>
          </cell>
          <cell r="J72">
            <v>609</v>
          </cell>
          <cell r="K72">
            <v>625</v>
          </cell>
          <cell r="L72">
            <v>632</v>
          </cell>
          <cell r="M72">
            <v>629</v>
          </cell>
          <cell r="N72">
            <v>629</v>
          </cell>
        </row>
        <row r="73">
          <cell r="D73" t="str">
            <v>Closings</v>
          </cell>
          <cell r="E73" t="e">
            <v>#REF!</v>
          </cell>
          <cell r="F73" t="e">
            <v>#REF!</v>
          </cell>
          <cell r="G73">
            <v>10</v>
          </cell>
          <cell r="H73">
            <v>6</v>
          </cell>
          <cell r="I73">
            <v>5</v>
          </cell>
          <cell r="J73">
            <v>9</v>
          </cell>
          <cell r="K73">
            <v>12</v>
          </cell>
          <cell r="L73">
            <v>9</v>
          </cell>
          <cell r="M73">
            <v>5</v>
          </cell>
          <cell r="N73">
            <v>5</v>
          </cell>
          <cell r="O73">
            <v>26</v>
          </cell>
        </row>
        <row r="74">
          <cell r="D74" t="str">
            <v>as a % of stores</v>
          </cell>
          <cell r="F74" t="e">
            <v>#REF!</v>
          </cell>
          <cell r="G74">
            <v>1.7035775127768313E-2</v>
          </cell>
          <cell r="H74">
            <v>1.0327022375215147E-2</v>
          </cell>
          <cell r="I74">
            <v>8.7260034904013961E-3</v>
          </cell>
          <cell r="J74">
            <v>1.5228426395939087E-2</v>
          </cell>
          <cell r="K74">
            <v>1.9704433497536946E-2</v>
          </cell>
          <cell r="L74">
            <v>1.44E-2</v>
          </cell>
          <cell r="M74">
            <v>7.9113924050632917E-3</v>
          </cell>
          <cell r="N74">
            <v>7.9491255961844191E-3</v>
          </cell>
        </row>
        <row r="75">
          <cell r="D75" t="str">
            <v>'10-'12 closings as % '09 ending stores (or '10 begin store cnt)</v>
          </cell>
          <cell r="O75">
            <v>4.2692939244663386E-2</v>
          </cell>
        </row>
        <row r="90">
          <cell r="J90">
            <v>0</v>
          </cell>
          <cell r="K90">
            <v>1</v>
          </cell>
          <cell r="L90">
            <v>2</v>
          </cell>
          <cell r="M90">
            <v>3</v>
          </cell>
          <cell r="N90">
            <v>4</v>
          </cell>
        </row>
        <row r="92">
          <cell r="C92" t="str">
            <v>Store Openings</v>
          </cell>
          <cell r="I92">
            <v>2010</v>
          </cell>
          <cell r="J92">
            <v>2011</v>
          </cell>
          <cell r="K92">
            <v>2012</v>
          </cell>
          <cell r="L92" t="str">
            <v>2013E</v>
          </cell>
          <cell r="M92" t="str">
            <v>2014E</v>
          </cell>
          <cell r="N92" t="str">
            <v>2015E</v>
          </cell>
        </row>
        <row r="93">
          <cell r="C93" t="str">
            <v>KORS</v>
          </cell>
          <cell r="D93" t="str">
            <v>End of Year # Stores</v>
          </cell>
          <cell r="I93">
            <v>106</v>
          </cell>
          <cell r="J93">
            <v>166</v>
          </cell>
          <cell r="K93">
            <v>237</v>
          </cell>
          <cell r="L93">
            <v>303</v>
          </cell>
          <cell r="M93">
            <v>405</v>
          </cell>
          <cell r="N93">
            <v>526</v>
          </cell>
        </row>
        <row r="94">
          <cell r="D94" t="str">
            <v>New Store Openings</v>
          </cell>
          <cell r="I94">
            <v>32</v>
          </cell>
          <cell r="J94">
            <v>60</v>
          </cell>
          <cell r="K94">
            <v>71</v>
          </cell>
          <cell r="L94">
            <v>66</v>
          </cell>
          <cell r="M94">
            <v>102</v>
          </cell>
          <cell r="N94">
            <v>121</v>
          </cell>
        </row>
        <row r="95">
          <cell r="D95" t="str">
            <v>Gross Square Footage</v>
          </cell>
          <cell r="I95">
            <v>5.6603773584905674E-4</v>
          </cell>
          <cell r="J95">
            <v>4.265324118147954E-4</v>
          </cell>
          <cell r="K95">
            <v>3.4961665288653766E-4</v>
          </cell>
          <cell r="L95">
            <v>1.6521559532391717E-4</v>
          </cell>
          <cell r="M95">
            <v>3.1550113710201424E-4</v>
          </cell>
          <cell r="N95">
            <v>2.5679716471858416E-4</v>
          </cell>
        </row>
        <row r="96">
          <cell r="D96" t="str">
            <v>y/y chg. square footage</v>
          </cell>
          <cell r="J96">
            <v>-0.24645940579386161</v>
          </cell>
          <cell r="K96">
            <v>-0.18032805197851021</v>
          </cell>
          <cell r="L96">
            <v>-0.52743785526276077</v>
          </cell>
          <cell r="M96">
            <v>0.90963290410600384</v>
          </cell>
          <cell r="N96">
            <v>-0.18606580287680141</v>
          </cell>
        </row>
        <row r="97">
          <cell r="C97" t="str">
            <v>LULU</v>
          </cell>
          <cell r="D97" t="str">
            <v>End of Year # Stores</v>
          </cell>
          <cell r="I97">
            <v>0</v>
          </cell>
          <cell r="J97">
            <v>0</v>
          </cell>
          <cell r="K97">
            <v>1</v>
          </cell>
          <cell r="L97">
            <v>2</v>
          </cell>
          <cell r="M97">
            <v>1</v>
          </cell>
          <cell r="N97">
            <v>1</v>
          </cell>
        </row>
        <row r="98">
          <cell r="D98" t="str">
            <v>New Store Openings</v>
          </cell>
          <cell r="I98">
            <v>1</v>
          </cell>
          <cell r="J98">
            <v>1</v>
          </cell>
          <cell r="K98">
            <v>2</v>
          </cell>
          <cell r="L98">
            <v>2</v>
          </cell>
          <cell r="M98">
            <v>0</v>
          </cell>
          <cell r="N98">
            <v>1</v>
          </cell>
        </row>
        <row r="99">
          <cell r="D99" t="str">
            <v>Gross Square Footage</v>
          </cell>
          <cell r="I99">
            <v>1</v>
          </cell>
          <cell r="J99">
            <v>0.434</v>
          </cell>
          <cell r="K99">
            <v>0.54800000000000004</v>
          </cell>
          <cell r="L99">
            <v>0.67100000000000004</v>
          </cell>
          <cell r="M99">
            <v>0</v>
          </cell>
          <cell r="N99">
            <v>0</v>
          </cell>
        </row>
        <row r="100">
          <cell r="D100" t="str">
            <v>y/y chg. square footage</v>
          </cell>
          <cell r="J100">
            <v>-0.56600000000000006</v>
          </cell>
          <cell r="K100">
            <v>0.26267281105990792</v>
          </cell>
          <cell r="L100">
            <v>0.22445255474452552</v>
          </cell>
          <cell r="M100">
            <v>-1</v>
          </cell>
          <cell r="N100" t="e">
            <v>#DIV/0!</v>
          </cell>
        </row>
        <row r="101">
          <cell r="C101" t="str">
            <v>TEA</v>
          </cell>
          <cell r="D101" t="str">
            <v>End of Year # Stores</v>
          </cell>
          <cell r="I101">
            <v>146</v>
          </cell>
          <cell r="J101">
            <v>200</v>
          </cell>
          <cell r="K101">
            <v>260</v>
          </cell>
          <cell r="L101">
            <v>340</v>
          </cell>
          <cell r="M101">
            <v>420</v>
          </cell>
          <cell r="N101">
            <v>420</v>
          </cell>
        </row>
        <row r="102">
          <cell r="D102" t="str">
            <v>New Store Openings</v>
          </cell>
          <cell r="I102">
            <v>38</v>
          </cell>
          <cell r="J102">
            <v>54</v>
          </cell>
          <cell r="K102">
            <v>60</v>
          </cell>
          <cell r="L102">
            <v>80</v>
          </cell>
          <cell r="M102">
            <v>80</v>
          </cell>
          <cell r="N102">
            <v>80</v>
          </cell>
        </row>
        <row r="103">
          <cell r="D103" t="str">
            <v>Gross Square Footage</v>
          </cell>
          <cell r="I103">
            <v>0.13</v>
          </cell>
          <cell r="J103">
            <v>0.18021999999999999</v>
          </cell>
          <cell r="K103">
            <v>0.23602000000000001</v>
          </cell>
          <cell r="L103">
            <v>0.30002000000000001</v>
          </cell>
          <cell r="M103">
            <v>0.36401999999999995</v>
          </cell>
          <cell r="N103">
            <v>0.36401999999999995</v>
          </cell>
        </row>
        <row r="104">
          <cell r="D104" t="str">
            <v>y/y chg. square footage</v>
          </cell>
          <cell r="J104">
            <v>0.38630769230769224</v>
          </cell>
          <cell r="K104">
            <v>0.30962157363222742</v>
          </cell>
          <cell r="L104">
            <v>0.27116346072366748</v>
          </cell>
          <cell r="M104">
            <v>0.21331911205919596</v>
          </cell>
          <cell r="N104">
            <v>0</v>
          </cell>
        </row>
        <row r="105">
          <cell r="C105" t="str">
            <v>URBN</v>
          </cell>
          <cell r="D105" t="str">
            <v>End of Year # Stores</v>
          </cell>
          <cell r="I105">
            <v>372</v>
          </cell>
          <cell r="J105">
            <v>429</v>
          </cell>
          <cell r="K105">
            <v>0</v>
          </cell>
          <cell r="L105">
            <v>1</v>
          </cell>
          <cell r="M105">
            <v>0</v>
          </cell>
          <cell r="N105">
            <v>2</v>
          </cell>
        </row>
        <row r="106">
          <cell r="D106" t="str">
            <v>New Store Openings</v>
          </cell>
          <cell r="I106">
            <v>45</v>
          </cell>
          <cell r="J106">
            <v>57</v>
          </cell>
          <cell r="K106">
            <v>49</v>
          </cell>
          <cell r="L106">
            <v>37</v>
          </cell>
          <cell r="M106">
            <v>38</v>
          </cell>
          <cell r="N106">
            <v>33</v>
          </cell>
        </row>
        <row r="107">
          <cell r="D107" t="str">
            <v>Gross Square Footage</v>
          </cell>
          <cell r="I107">
            <v>4.951378557939913</v>
          </cell>
          <cell r="J107">
            <v>3.9141679999999996</v>
          </cell>
          <cell r="K107">
            <v>4.2913493333333328</v>
          </cell>
          <cell r="L107">
            <v>4.6583493333333319</v>
          </cell>
          <cell r="M107">
            <v>5.8610094607379377</v>
          </cell>
          <cell r="N107">
            <v>5.6772816399286983</v>
          </cell>
        </row>
        <row r="108">
          <cell r="D108" t="str">
            <v>y/y chg. square footage</v>
          </cell>
          <cell r="J108">
            <v>-0.20947914723196981</v>
          </cell>
          <cell r="K108">
            <v>9.6363092573781506E-2</v>
          </cell>
          <cell r="L108">
            <v>8.5520886670610308E-2</v>
          </cell>
          <cell r="M108">
            <v>0.25817302253371999</v>
          </cell>
          <cell r="N108">
            <v>-3.1347470438327307E-2</v>
          </cell>
        </row>
        <row r="111">
          <cell r="L111">
            <v>-7.2488137949208317E-2</v>
          </cell>
        </row>
      </sheetData>
      <sheetData sheetId="13">
        <row r="1">
          <cell r="K1" t="str">
            <v>Rent Expense as a % of Sales Relative to Sales Productivity</v>
          </cell>
        </row>
        <row r="2">
          <cell r="B2">
            <v>2</v>
          </cell>
          <cell r="C2">
            <v>42</v>
          </cell>
          <cell r="D2">
            <v>23</v>
          </cell>
          <cell r="F2">
            <v>41</v>
          </cell>
          <cell r="G2">
            <v>21</v>
          </cell>
        </row>
        <row r="3">
          <cell r="C3" t="str">
            <v>2012A</v>
          </cell>
          <cell r="D3" t="str">
            <v>2012A</v>
          </cell>
          <cell r="F3" t="str">
            <v>2012A</v>
          </cell>
          <cell r="G3" t="str">
            <v>2012A</v>
          </cell>
        </row>
        <row r="4">
          <cell r="A4" t="str">
            <v>2012</v>
          </cell>
          <cell r="C4" t="str">
            <v>Total Sales per</v>
          </cell>
          <cell r="D4" t="str">
            <v>Rent as %</v>
          </cell>
          <cell r="F4" t="str">
            <v>Sales per</v>
          </cell>
          <cell r="G4" t="str">
            <v>Rent as %</v>
          </cell>
        </row>
        <row r="5">
          <cell r="C5" t="str">
            <v>Square Ft</v>
          </cell>
          <cell r="D5" t="str">
            <v>of Revenue</v>
          </cell>
          <cell r="F5" t="str">
            <v>Square Ft</v>
          </cell>
          <cell r="G5" t="str">
            <v>of Revenue</v>
          </cell>
        </row>
        <row r="6">
          <cell r="A6" t="str">
            <v>AEO2012</v>
          </cell>
          <cell r="B6" t="str">
            <v>AEO</v>
          </cell>
          <cell r="C6">
            <v>556.41489592799871</v>
          </cell>
          <cell r="D6">
            <v>0.10946507309679895</v>
          </cell>
          <cell r="F6">
            <v>477.65316270123833</v>
          </cell>
          <cell r="G6">
            <v>0.12645528685503399</v>
          </cell>
          <cell r="J6">
            <v>1</v>
          </cell>
          <cell r="AL6" t="str">
            <v>AEO</v>
          </cell>
          <cell r="AM6">
            <v>556.41489592799871</v>
          </cell>
          <cell r="AN6">
            <v>0.10946507309679895</v>
          </cell>
        </row>
        <row r="7">
          <cell r="A7" t="str">
            <v>ANF2012</v>
          </cell>
          <cell r="B7" t="str">
            <v>ANF</v>
          </cell>
          <cell r="C7">
            <v>574.6052968644251</v>
          </cell>
          <cell r="D7">
            <v>0.13179221890549467</v>
          </cell>
          <cell r="F7">
            <v>574.6052968644251</v>
          </cell>
          <cell r="G7">
            <v>0.15602665073739372</v>
          </cell>
          <cell r="J7">
            <v>2</v>
          </cell>
          <cell r="AL7" t="str">
            <v>ANF</v>
          </cell>
          <cell r="AM7">
            <v>574.6052968644251</v>
          </cell>
          <cell r="AN7">
            <v>0.13179221890549467</v>
          </cell>
        </row>
        <row r="8">
          <cell r="A8" t="str">
            <v>ANN2012</v>
          </cell>
          <cell r="B8" t="str">
            <v>ANN</v>
          </cell>
          <cell r="C8">
            <v>416.54038699269682</v>
          </cell>
          <cell r="D8">
            <v>0.12403994259756541</v>
          </cell>
          <cell r="F8">
            <v>416.54038699269682</v>
          </cell>
          <cell r="G8">
            <v>0.14313320399313553</v>
          </cell>
          <cell r="J8">
            <v>3</v>
          </cell>
          <cell r="AL8" t="str">
            <v>ANN</v>
          </cell>
          <cell r="AM8">
            <v>416.54038699269682</v>
          </cell>
          <cell r="AN8">
            <v>0.12403994259756541</v>
          </cell>
        </row>
        <row r="9">
          <cell r="A9" t="str">
            <v>ARO2012</v>
          </cell>
          <cell r="B9" t="str">
            <v>ARO</v>
          </cell>
          <cell r="C9">
            <v>602.39488381222384</v>
          </cell>
          <cell r="D9">
            <v>8.7383988118237624E-2</v>
          </cell>
          <cell r="F9">
            <v>602.39488381222384</v>
          </cell>
          <cell r="G9">
            <v>9.6125698305994267E-2</v>
          </cell>
          <cell r="J9">
            <v>4</v>
          </cell>
          <cell r="AL9" t="str">
            <v>ARO</v>
          </cell>
          <cell r="AM9">
            <v>602.39488381222384</v>
          </cell>
          <cell r="AN9">
            <v>8.7383988118237624E-2</v>
          </cell>
        </row>
        <row r="10">
          <cell r="A10" t="str">
            <v>CHS2012</v>
          </cell>
          <cell r="B10" t="str">
            <v>CHS</v>
          </cell>
          <cell r="C10">
            <v>4990793.7258014008</v>
          </cell>
          <cell r="D10">
            <v>7.9812262960484798E-2</v>
          </cell>
          <cell r="F10">
            <v>624.2786762617161</v>
          </cell>
          <cell r="G10">
            <v>9.2956103365497214E-2</v>
          </cell>
          <cell r="J10">
            <v>5</v>
          </cell>
          <cell r="AL10" t="str">
            <v>CHS</v>
          </cell>
          <cell r="AM10">
            <v>4990793.7258014008</v>
          </cell>
          <cell r="AN10">
            <v>7.9812262960484798E-2</v>
          </cell>
        </row>
        <row r="11">
          <cell r="A11" t="str">
            <v>COH2012</v>
          </cell>
          <cell r="B11" t="str">
            <v>COH</v>
          </cell>
          <cell r="C11">
            <v>2191.0094270103577</v>
          </cell>
          <cell r="D11">
            <v>3.4982012079537157E-5</v>
          </cell>
          <cell r="F11">
            <v>1943.2337028269992</v>
          </cell>
          <cell r="G11">
            <v>3.9442460333284837E-5</v>
          </cell>
          <cell r="J11">
            <v>6</v>
          </cell>
          <cell r="AL11" t="str">
            <v>COH</v>
          </cell>
          <cell r="AM11">
            <v>2191.0094270103577</v>
          </cell>
          <cell r="AN11">
            <v>3.4982012079537157E-5</v>
          </cell>
        </row>
        <row r="12">
          <cell r="A12" t="str">
            <v>EXPR2012</v>
          </cell>
          <cell r="B12" t="str">
            <v>EXPR</v>
          </cell>
          <cell r="C12">
            <v>402.51639620732294</v>
          </cell>
          <cell r="D12">
            <v>0.13382112027127621</v>
          </cell>
          <cell r="F12">
            <v>347.29789753775805</v>
          </cell>
          <cell r="G12">
            <v>0.15509795898538264</v>
          </cell>
          <cell r="J12">
            <v>7</v>
          </cell>
          <cell r="AL12" t="str">
            <v>EXPR</v>
          </cell>
          <cell r="AM12">
            <v>402.51639620732294</v>
          </cell>
          <cell r="AN12">
            <v>0.13382112027127621</v>
          </cell>
        </row>
        <row r="13">
          <cell r="A13" t="str">
            <v>GPS2012</v>
          </cell>
          <cell r="B13" t="str">
            <v>GPS</v>
          </cell>
          <cell r="C13">
            <v>422.42914979757086</v>
          </cell>
          <cell r="D13">
            <v>0.11351964730688134</v>
          </cell>
          <cell r="F13">
            <v>374.73684210526318</v>
          </cell>
          <cell r="G13">
            <v>0.11645883586785527</v>
          </cell>
          <cell r="J13">
            <v>8</v>
          </cell>
          <cell r="AL13" t="str">
            <v>GPS</v>
          </cell>
          <cell r="AM13">
            <v>422.42914979757086</v>
          </cell>
          <cell r="AN13">
            <v>0.11351964730688134</v>
          </cell>
        </row>
        <row r="14">
          <cell r="A14" t="str">
            <v>KORS2012</v>
          </cell>
          <cell r="B14" t="str">
            <v>KORS</v>
          </cell>
          <cell r="C14">
            <v>5992094.4345859783</v>
          </cell>
          <cell r="D14">
            <v>6.4530410344054365E-2</v>
          </cell>
          <cell r="F14">
            <v>5992094.4345859783</v>
          </cell>
          <cell r="G14">
            <v>6.7208427178607824E-2</v>
          </cell>
          <cell r="J14">
            <v>9</v>
          </cell>
          <cell r="AL14" t="str">
            <v>KORS</v>
          </cell>
          <cell r="AM14">
            <v>5992094.4345859783</v>
          </cell>
          <cell r="AN14">
            <v>6.4530410344054365E-2</v>
          </cell>
        </row>
        <row r="15">
          <cell r="A15" t="str">
            <v>LTD2012</v>
          </cell>
          <cell r="B15" t="str">
            <v>LTD</v>
          </cell>
          <cell r="C15">
            <v>767.91335872607954</v>
          </cell>
          <cell r="D15">
            <v>-9.6206576184754474E-3</v>
          </cell>
          <cell r="F15">
            <v>604.88091413886457</v>
          </cell>
          <cell r="G15">
            <v>-1.1349604379189139E-2</v>
          </cell>
          <cell r="J15">
            <v>10</v>
          </cell>
          <cell r="AL15" t="str">
            <v>LTD</v>
          </cell>
          <cell r="AM15">
            <v>767.91335872607954</v>
          </cell>
          <cell r="AN15">
            <v>-9.6206576184754474E-3</v>
          </cell>
        </row>
        <row r="16">
          <cell r="A16" t="str">
            <v>LULU2012</v>
          </cell>
          <cell r="B16" t="str">
            <v>LULU</v>
          </cell>
          <cell r="C16">
            <v>2500.6532846715327</v>
          </cell>
          <cell r="D16">
            <v>6.0150705144203197E-2</v>
          </cell>
          <cell r="F16" t="e">
            <v>#N/A</v>
          </cell>
          <cell r="G16">
            <v>6.0150705144203197E-2</v>
          </cell>
          <cell r="J16">
            <v>11</v>
          </cell>
          <cell r="AL16" t="str">
            <v>LULU</v>
          </cell>
          <cell r="AM16">
            <v>2500.6532846715327</v>
          </cell>
          <cell r="AN16">
            <v>6.0150705144203197E-2</v>
          </cell>
        </row>
        <row r="17">
          <cell r="A17" t="str">
            <v>PLCE2012</v>
          </cell>
          <cell r="B17" t="str">
            <v>PLCE</v>
          </cell>
          <cell r="C17">
            <v>345.6685457146607</v>
          </cell>
          <cell r="D17">
            <v>0.14313360258106445</v>
          </cell>
          <cell r="F17">
            <v>304.58910098878653</v>
          </cell>
          <cell r="G17">
            <v>0.16243780255590382</v>
          </cell>
          <cell r="J17">
            <v>12</v>
          </cell>
          <cell r="AL17" t="str">
            <v>PLCE</v>
          </cell>
          <cell r="AM17">
            <v>345.6685457146607</v>
          </cell>
          <cell r="AN17">
            <v>0.14313360258106445</v>
          </cell>
        </row>
        <row r="18">
          <cell r="A18" t="str">
            <v>ROST2012</v>
          </cell>
          <cell r="B18" t="str">
            <v>ROST</v>
          </cell>
          <cell r="C18">
            <v>286.07017368325023</v>
          </cell>
          <cell r="D18">
            <v>5.4542007485805309E-2</v>
          </cell>
          <cell r="F18">
            <v>286.07017368325023</v>
          </cell>
          <cell r="G18">
            <v>5.4542007485805309E-2</v>
          </cell>
          <cell r="J18">
            <v>13</v>
          </cell>
          <cell r="AL18" t="str">
            <v>TIF</v>
          </cell>
          <cell r="AM18">
            <v>3420.2451886239687</v>
          </cell>
          <cell r="AN18">
            <v>8.6018880675675216E-2</v>
          </cell>
        </row>
        <row r="19">
          <cell r="A19" t="str">
            <v>TIF2012</v>
          </cell>
          <cell r="B19" t="str">
            <v>TIF</v>
          </cell>
          <cell r="C19">
            <v>3420.2451886239687</v>
          </cell>
          <cell r="D19">
            <v>8.6018880675675216E-2</v>
          </cell>
          <cell r="F19">
            <v>3365.8830179294127</v>
          </cell>
          <cell r="G19">
            <v>9.2356361645005838E-2</v>
          </cell>
          <cell r="J19">
            <v>14</v>
          </cell>
          <cell r="AL19" t="str">
            <v>URBN</v>
          </cell>
          <cell r="AM19">
            <v>651.29281792331381</v>
          </cell>
          <cell r="AN19">
            <v>9.4505110512804441E-2</v>
          </cell>
        </row>
        <row r="20">
          <cell r="A20" t="str">
            <v>TJX2012</v>
          </cell>
          <cell r="B20" t="str">
            <v>TJX</v>
          </cell>
          <cell r="C20">
            <v>296.7703211009175</v>
          </cell>
          <cell r="D20">
            <v>6.0213525023907991E-2</v>
          </cell>
          <cell r="F20">
            <v>296.7703211009175</v>
          </cell>
          <cell r="G20">
            <v>6.0213525023907991E-2</v>
          </cell>
          <cell r="J20">
            <v>15</v>
          </cell>
        </row>
        <row r="21">
          <cell r="A21" t="str">
            <v>URBN2012</v>
          </cell>
          <cell r="B21" t="str">
            <v>URBN</v>
          </cell>
          <cell r="C21">
            <v>651.29281792331381</v>
          </cell>
          <cell r="D21">
            <v>9.4505110512804441E-2</v>
          </cell>
          <cell r="F21">
            <v>616.65546066008153</v>
          </cell>
          <cell r="G21">
            <v>9.9813434990348712E-2</v>
          </cell>
          <cell r="J21">
            <v>16</v>
          </cell>
        </row>
        <row r="24">
          <cell r="B24" t="str">
            <v>max</v>
          </cell>
          <cell r="C24">
            <v>5992094.4345859783</v>
          </cell>
          <cell r="D24">
            <v>0.14313360258106445</v>
          </cell>
          <cell r="AL24" t="str">
            <v>ROST</v>
          </cell>
          <cell r="AM24">
            <v>286.07017368325023</v>
          </cell>
          <cell r="AN24">
            <v>5.4542007485805309E-2</v>
          </cell>
        </row>
        <row r="25">
          <cell r="B25" t="str">
            <v>min</v>
          </cell>
          <cell r="C25">
            <v>286.07017368325023</v>
          </cell>
          <cell r="D25">
            <v>-9.6206576184754474E-3</v>
          </cell>
          <cell r="AL25" t="str">
            <v>TJX</v>
          </cell>
          <cell r="AM25">
            <v>296.7703211009175</v>
          </cell>
          <cell r="AN25">
            <v>6.0213525023907991E-2</v>
          </cell>
        </row>
        <row r="27">
          <cell r="K27" t="str">
            <v>Rent Per Square Foot Relative to Sales Productivity</v>
          </cell>
        </row>
        <row r="29">
          <cell r="B29">
            <v>2</v>
          </cell>
          <cell r="C29">
            <v>42</v>
          </cell>
          <cell r="D29">
            <v>39</v>
          </cell>
        </row>
        <row r="30">
          <cell r="C30" t="str">
            <v>Sales per</v>
          </cell>
          <cell r="D30" t="str">
            <v>Rent per</v>
          </cell>
          <cell r="AV30" t="str">
            <v>AEO</v>
          </cell>
          <cell r="AW30">
            <v>477.65316270123833</v>
          </cell>
          <cell r="AX30">
            <v>0.12645528685503399</v>
          </cell>
        </row>
        <row r="31">
          <cell r="C31" t="str">
            <v>Square Ft</v>
          </cell>
          <cell r="D31" t="str">
            <v>Square Ft</v>
          </cell>
          <cell r="AV31" t="str">
            <v>ANF</v>
          </cell>
          <cell r="AW31">
            <v>574.6052968644251</v>
          </cell>
          <cell r="AX31">
            <v>0.15602665073739372</v>
          </cell>
        </row>
        <row r="32">
          <cell r="A32" t="str">
            <v>AEO2012</v>
          </cell>
          <cell r="B32" t="str">
            <v>AEO</v>
          </cell>
          <cell r="C32">
            <v>556.41489592799871</v>
          </cell>
          <cell r="D32">
            <v>60.907997254906157</v>
          </cell>
          <cell r="G32">
            <v>0.99168537411331648</v>
          </cell>
          <cell r="J32">
            <v>1</v>
          </cell>
          <cell r="AV32" t="str">
            <v>ANN</v>
          </cell>
          <cell r="AW32">
            <v>416.54038699269682</v>
          </cell>
          <cell r="AX32">
            <v>0.14313320399313553</v>
          </cell>
        </row>
        <row r="33">
          <cell r="A33" t="str">
            <v>ANF2012</v>
          </cell>
          <cell r="B33" t="str">
            <v>ANF</v>
          </cell>
          <cell r="C33">
            <v>574.6052968644251</v>
          </cell>
          <cell r="D33">
            <v>75.728507068613069</v>
          </cell>
          <cell r="J33">
            <v>2</v>
          </cell>
          <cell r="AV33" t="str">
            <v>ARO</v>
          </cell>
          <cell r="AW33">
            <v>602.39488381222384</v>
          </cell>
          <cell r="AX33">
            <v>9.6125698305994267E-2</v>
          </cell>
        </row>
        <row r="34">
          <cell r="A34" t="str">
            <v>ANN2012</v>
          </cell>
          <cell r="B34" t="str">
            <v>ANN</v>
          </cell>
          <cell r="C34">
            <v>416.54038699269682</v>
          </cell>
          <cell r="D34">
            <v>51.667645692141797</v>
          </cell>
          <cell r="J34">
            <v>3</v>
          </cell>
          <cell r="AV34" t="str">
            <v>CHS</v>
          </cell>
          <cell r="AW34">
            <v>624.2786762617161</v>
          </cell>
          <cell r="AX34">
            <v>9.2956103365497214E-2</v>
          </cell>
        </row>
        <row r="35">
          <cell r="A35" t="str">
            <v>ARO2012</v>
          </cell>
          <cell r="B35" t="str">
            <v>ARO</v>
          </cell>
          <cell r="C35">
            <v>602.39488381222384</v>
          </cell>
          <cell r="D35">
            <v>52.639667369534507</v>
          </cell>
          <cell r="J35">
            <v>4</v>
          </cell>
          <cell r="AV35" t="str">
            <v>COH</v>
          </cell>
          <cell r="AW35">
            <v>1943.2337028269992</v>
          </cell>
          <cell r="AX35">
            <v>3.9442460333284837E-5</v>
          </cell>
        </row>
        <row r="36">
          <cell r="A36" t="str">
            <v>CHS2012</v>
          </cell>
          <cell r="B36" t="str">
            <v>CHS</v>
          </cell>
          <cell r="C36">
            <v>4990793.7258014008</v>
          </cell>
          <cell r="D36">
            <v>398326.54122519906</v>
          </cell>
          <cell r="J36">
            <v>5</v>
          </cell>
          <cell r="AV36" t="str">
            <v>EXPR</v>
          </cell>
          <cell r="AW36">
            <v>347.29789753775805</v>
          </cell>
          <cell r="AX36">
            <v>0.15509795898538264</v>
          </cell>
        </row>
        <row r="37">
          <cell r="A37" t="str">
            <v>COH2012</v>
          </cell>
          <cell r="B37" t="str">
            <v>COH</v>
          </cell>
          <cell r="C37">
            <v>2191.0094270103577</v>
          </cell>
          <cell r="D37">
            <v>7.6645918242056119E-2</v>
          </cell>
          <cell r="J37">
            <v>6</v>
          </cell>
          <cell r="AV37" t="str">
            <v>GPS</v>
          </cell>
          <cell r="AW37">
            <v>374.73684210526318</v>
          </cell>
          <cell r="AX37">
            <v>0.11645883586785527</v>
          </cell>
        </row>
        <row r="38">
          <cell r="A38" t="str">
            <v>EXPR2012</v>
          </cell>
          <cell r="B38" t="str">
            <v>EXPR</v>
          </cell>
          <cell r="C38">
            <v>402.51639620732294</v>
          </cell>
          <cell r="D38">
            <v>53.865195068020832</v>
          </cell>
          <cell r="J38">
            <v>7</v>
          </cell>
          <cell r="AV38" t="str">
            <v>KORS</v>
          </cell>
          <cell r="AW38">
            <v>5992094.4345859783</v>
          </cell>
          <cell r="AX38">
            <v>6.7208427178607824E-2</v>
          </cell>
        </row>
        <row r="39">
          <cell r="A39" t="str">
            <v>GPS2012</v>
          </cell>
          <cell r="B39" t="str">
            <v>GPS</v>
          </cell>
          <cell r="C39">
            <v>422.42914979757086</v>
          </cell>
          <cell r="D39">
            <v>47.954008097165996</v>
          </cell>
          <cell r="J39">
            <v>8</v>
          </cell>
          <cell r="AV39" t="str">
            <v>LTD</v>
          </cell>
          <cell r="AW39">
            <v>604.88091413886457</v>
          </cell>
          <cell r="AX39">
            <v>-1.1349604379189139E-2</v>
          </cell>
        </row>
        <row r="40">
          <cell r="A40" t="str">
            <v>KORS2012</v>
          </cell>
          <cell r="B40" t="str">
            <v>KORS</v>
          </cell>
          <cell r="C40">
            <v>5992094.4345859783</v>
          </cell>
          <cell r="D40">
            <v>402719.24245421297</v>
          </cell>
          <cell r="J40">
            <v>9</v>
          </cell>
          <cell r="AV40" t="str">
            <v>LULU</v>
          </cell>
          <cell r="AW40" t="e">
            <v>#N/A</v>
          </cell>
          <cell r="AX40">
            <v>6.0150705144203197E-2</v>
          </cell>
        </row>
        <row r="41">
          <cell r="A41" t="str">
            <v>LTD2012</v>
          </cell>
          <cell r="B41" t="str">
            <v>LTD</v>
          </cell>
          <cell r="C41">
            <v>767.91335872607954</v>
          </cell>
          <cell r="D41">
            <v>-7.387831504957127</v>
          </cell>
          <cell r="J41">
            <v>10</v>
          </cell>
          <cell r="AV41" t="str">
            <v>PLCE</v>
          </cell>
          <cell r="AW41">
            <v>304.58910098878653</v>
          </cell>
          <cell r="AX41">
            <v>0.16243780255590382</v>
          </cell>
        </row>
        <row r="42">
          <cell r="A42" t="str">
            <v>LULU2012</v>
          </cell>
          <cell r="B42" t="str">
            <v>LULU</v>
          </cell>
          <cell r="C42">
            <v>2500.6532846715327</v>
          </cell>
          <cell r="D42">
            <v>150.41605839416056</v>
          </cell>
          <cell r="J42">
            <v>11</v>
          </cell>
          <cell r="AV42" t="str">
            <v>TIF</v>
          </cell>
          <cell r="AW42">
            <v>3365.8830179294127</v>
          </cell>
          <cell r="AX42">
            <v>9.2356361645005838E-2</v>
          </cell>
        </row>
        <row r="43">
          <cell r="A43" t="str">
            <v>PLCE2012</v>
          </cell>
          <cell r="B43" t="str">
            <v>PLCE</v>
          </cell>
          <cell r="C43">
            <v>345.6685457146607</v>
          </cell>
          <cell r="D43">
            <v>49.476784247096752</v>
          </cell>
          <cell r="J43">
            <v>12</v>
          </cell>
          <cell r="AV43" t="str">
            <v>URBN</v>
          </cell>
          <cell r="AW43">
            <v>616.65546066008153</v>
          </cell>
          <cell r="AX43">
            <v>9.9813434990348712E-2</v>
          </cell>
        </row>
        <row r="44">
          <cell r="A44" t="str">
            <v>ROST2012</v>
          </cell>
          <cell r="B44" t="str">
            <v>ROST</v>
          </cell>
          <cell r="C44">
            <v>286.07017368325023</v>
          </cell>
          <cell r="D44">
            <v>15.602841554497461</v>
          </cell>
          <cell r="J44">
            <v>13</v>
          </cell>
        </row>
        <row r="45">
          <cell r="A45" t="str">
            <v>TIF2012</v>
          </cell>
          <cell r="B45" t="str">
            <v>TIF</v>
          </cell>
          <cell r="C45">
            <v>3420.2451886239687</v>
          </cell>
          <cell r="D45">
            <v>294.20566276179744</v>
          </cell>
          <cell r="J45">
            <v>14</v>
          </cell>
        </row>
        <row r="46">
          <cell r="A46" t="str">
            <v>TJX2012</v>
          </cell>
          <cell r="B46" t="str">
            <v>TJX</v>
          </cell>
          <cell r="C46">
            <v>296.7703211009175</v>
          </cell>
          <cell r="D46">
            <v>17.869587155963305</v>
          </cell>
          <cell r="J46">
            <v>15</v>
          </cell>
        </row>
        <row r="47">
          <cell r="A47" t="str">
            <v>URBN2012</v>
          </cell>
          <cell r="B47" t="str">
            <v>URBN</v>
          </cell>
          <cell r="C47">
            <v>651.29281792331381</v>
          </cell>
          <cell r="D47">
            <v>61.550499734038588</v>
          </cell>
          <cell r="J47">
            <v>16</v>
          </cell>
          <cell r="AV47" t="str">
            <v>TJX</v>
          </cell>
          <cell r="AW47">
            <v>296.7703211009175</v>
          </cell>
          <cell r="AX47">
            <v>6.0213525023907991E-2</v>
          </cell>
        </row>
        <row r="48">
          <cell r="C48" t="str">
            <v>max</v>
          </cell>
          <cell r="D48">
            <v>402719.24245421297</v>
          </cell>
          <cell r="AV48" t="str">
            <v>ROST</v>
          </cell>
          <cell r="AW48">
            <v>286.07017368325023</v>
          </cell>
          <cell r="AX48">
            <v>5.4542007485805309E-2</v>
          </cell>
        </row>
        <row r="49">
          <cell r="C49" t="str">
            <v>min</v>
          </cell>
          <cell r="D49">
            <v>-7.387831504957127</v>
          </cell>
        </row>
        <row r="52">
          <cell r="D52">
            <v>50123.14730926395</v>
          </cell>
          <cell r="I52">
            <v>4</v>
          </cell>
        </row>
        <row r="53">
          <cell r="D53">
            <v>33233.868010578008</v>
          </cell>
          <cell r="K53">
            <v>8</v>
          </cell>
          <cell r="L53">
            <v>0.625</v>
          </cell>
        </row>
        <row r="54">
          <cell r="K54">
            <v>5</v>
          </cell>
        </row>
        <row r="58">
          <cell r="B58" t="str">
            <v>AEO</v>
          </cell>
          <cell r="C58">
            <v>556.41489592799871</v>
          </cell>
          <cell r="D58">
            <v>60.907997254906157</v>
          </cell>
          <cell r="G58">
            <v>0.83441541839588385</v>
          </cell>
        </row>
        <row r="59">
          <cell r="B59" t="str">
            <v>ANF</v>
          </cell>
          <cell r="C59">
            <v>573.42437500905748</v>
          </cell>
          <cell r="D59">
            <v>75.572870756940176</v>
          </cell>
        </row>
        <row r="60">
          <cell r="B60" t="str">
            <v>ANN</v>
          </cell>
          <cell r="C60">
            <v>416.54038699269688</v>
          </cell>
          <cell r="D60">
            <v>51.667645692141797</v>
          </cell>
        </row>
        <row r="61">
          <cell r="B61" t="str">
            <v>ARO</v>
          </cell>
          <cell r="C61">
            <v>599.52955766762716</v>
          </cell>
          <cell r="D61">
            <v>52.389283743760188</v>
          </cell>
        </row>
        <row r="62">
          <cell r="B62" t="str">
            <v>CHS</v>
          </cell>
          <cell r="C62">
            <v>655.73204488974068</v>
          </cell>
          <cell r="D62">
            <v>52.335478675118473</v>
          </cell>
        </row>
        <row r="63">
          <cell r="B63" t="str">
            <v>COH</v>
          </cell>
          <cell r="C63">
            <v>2191.0094270103577</v>
          </cell>
          <cell r="D63">
            <v>145.08335272952749</v>
          </cell>
        </row>
        <row r="64">
          <cell r="B64" t="str">
            <v>EXPR</v>
          </cell>
          <cell r="C64">
            <v>402.51639620732294</v>
          </cell>
          <cell r="D64">
            <v>53.865195068020832</v>
          </cell>
        </row>
        <row r="65">
          <cell r="B65" t="str">
            <v>GPS</v>
          </cell>
          <cell r="C65">
            <v>424.14634146341456</v>
          </cell>
          <cell r="D65">
            <v>48.148943089430887</v>
          </cell>
        </row>
        <row r="66">
          <cell r="B66" t="str">
            <v>KORS</v>
          </cell>
          <cell r="C66">
            <v>1719.6195990428828</v>
          </cell>
          <cell r="D66">
            <v>233.01601264001974</v>
          </cell>
        </row>
        <row r="67">
          <cell r="B67" t="str">
            <v>LTD</v>
          </cell>
          <cell r="C67">
            <v>767.91335872607954</v>
          </cell>
          <cell r="D67">
            <v>56.613390849433259</v>
          </cell>
        </row>
        <row r="68">
          <cell r="B68" t="str">
            <v>LULU</v>
          </cell>
          <cell r="C68">
            <v>2500.6532846715322</v>
          </cell>
          <cell r="D68">
            <v>150.41605839416056</v>
          </cell>
        </row>
        <row r="69">
          <cell r="B69" t="str">
            <v>PLCE</v>
          </cell>
          <cell r="C69">
            <v>345.6685457146607</v>
          </cell>
          <cell r="D69">
            <v>49.476784247096752</v>
          </cell>
        </row>
        <row r="70">
          <cell r="B70" t="str">
            <v>TIF</v>
          </cell>
          <cell r="C70">
            <v>3420.4894758191731</v>
          </cell>
          <cell r="D70">
            <v>294.20566276179744</v>
          </cell>
        </row>
        <row r="71">
          <cell r="B71" t="str">
            <v>URBN</v>
          </cell>
          <cell r="C71">
            <v>649.80887279121066</v>
          </cell>
          <cell r="D71">
            <v>61.410259335334239</v>
          </cell>
        </row>
        <row r="72">
          <cell r="O72" t="str">
            <v>blah</v>
          </cell>
        </row>
        <row r="73">
          <cell r="O73" t="str">
            <v>hello</v>
          </cell>
        </row>
        <row r="74">
          <cell r="O74" t="str">
            <v>blah</v>
          </cell>
        </row>
        <row r="76">
          <cell r="B76" t="str">
            <v>TJX</v>
          </cell>
          <cell r="C76">
            <v>296.7703211009175</v>
          </cell>
          <cell r="D76">
            <v>17.869587155963305</v>
          </cell>
        </row>
        <row r="78">
          <cell r="B78" t="str">
            <v>ROST</v>
          </cell>
          <cell r="C78">
            <v>286.07017368325023</v>
          </cell>
          <cell r="D78">
            <v>15.602841554497461</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ables"/>
      <sheetName val="URBN Sales"/>
      <sheetName val="JWN Variance Chart"/>
      <sheetName val="JCP Variance Chart"/>
      <sheetName val="COH Variance Chart Data"/>
      <sheetName val="TJX Variance Chart Data"/>
      <sheetName val="SKS Variance Chart Data"/>
      <sheetName val="KSS Variance Chart Data"/>
      <sheetName val="M Variance Chart Data"/>
      <sheetName val="LTD Variance Chart Data"/>
      <sheetName val="VS. Consensus"/>
    </sheetNames>
    <sheetDataSet>
      <sheetData sheetId="0"/>
      <sheetData sheetId="1">
        <row r="1">
          <cell r="A1" t="str">
            <v>COH</v>
          </cell>
        </row>
        <row r="2">
          <cell r="A2" t="str">
            <v>As a % of Sales</v>
          </cell>
          <cell r="B2" t="str">
            <v>3Q10</v>
          </cell>
          <cell r="C2" t="str">
            <v>3Q09</v>
          </cell>
          <cell r="D2" t="str">
            <v>MS Estimate</v>
          </cell>
          <cell r="F2" t="str">
            <v>y/y∆ (bp)</v>
          </cell>
          <cell r="G2" t="str">
            <v>∆ vs 
Est. (bp)</v>
          </cell>
          <cell r="J2" t="str">
            <v>FQ1</v>
          </cell>
          <cell r="K2" t="str">
            <v>FQ2</v>
          </cell>
          <cell r="L2" t="str">
            <v>FQ3</v>
          </cell>
          <cell r="M2" t="str">
            <v>FY1</v>
          </cell>
          <cell r="N2" t="str">
            <v>FY2</v>
          </cell>
        </row>
        <row r="3">
          <cell r="A3" t="str">
            <v>Gross Income</v>
          </cell>
          <cell r="B3">
            <v>0.74116245487364618</v>
          </cell>
          <cell r="C3">
            <v>0.7096030889032745</v>
          </cell>
          <cell r="D3">
            <v>0.72560308890327452</v>
          </cell>
          <cell r="F3">
            <v>315.59365970371675</v>
          </cell>
          <cell r="G3">
            <v>155.59365970371664</v>
          </cell>
          <cell r="I3" t="str">
            <v>Consensus</v>
          </cell>
          <cell r="J3">
            <v>0.72</v>
          </cell>
          <cell r="K3">
            <v>0.42599999999999999</v>
          </cell>
          <cell r="M3">
            <v>2.081</v>
          </cell>
          <cell r="N3">
            <v>2.2749999999999999</v>
          </cell>
        </row>
        <row r="4">
          <cell r="A4" t="str">
            <v>SG&amp;A Expense</v>
          </cell>
          <cell r="B4">
            <v>0.44097833935018049</v>
          </cell>
          <cell r="C4">
            <v>0.44101067790723286</v>
          </cell>
          <cell r="D4">
            <v>0.43692237117798643</v>
          </cell>
          <cell r="F4">
            <v>-0.32338557052369321</v>
          </cell>
          <cell r="G4">
            <v>40.559681721940578</v>
          </cell>
          <cell r="I4" t="str">
            <v>MS Est.</v>
          </cell>
          <cell r="J4">
            <v>0.7264395435116795</v>
          </cell>
          <cell r="K4">
            <v>0.44398364879993413</v>
          </cell>
          <cell r="L4">
            <v>0.52239948825870619</v>
          </cell>
          <cell r="M4">
            <v>2.1327424509456789</v>
          </cell>
          <cell r="N4">
            <v>2.3543180587690742</v>
          </cell>
        </row>
        <row r="5">
          <cell r="A5" t="str">
            <v>Operating Income</v>
          </cell>
          <cell r="B5">
            <v>0.30018411552346569</v>
          </cell>
          <cell r="C5">
            <v>0.26859241099604159</v>
          </cell>
          <cell r="D5">
            <v>0.28868071772528814</v>
          </cell>
          <cell r="F5">
            <v>315.91704527424105</v>
          </cell>
          <cell r="G5">
            <v>115.03397798177551</v>
          </cell>
          <cell r="I5" t="str">
            <v>MS/C</v>
          </cell>
          <cell r="J5">
            <v>6.4395435116795241E-3</v>
          </cell>
          <cell r="K5">
            <v>1.7983648799934138E-2</v>
          </cell>
          <cell r="L5">
            <v>0.52239948825870619</v>
          </cell>
          <cell r="M5">
            <v>5.1742450945678975E-2</v>
          </cell>
          <cell r="N5">
            <v>7.9318058769074273E-2</v>
          </cell>
        </row>
        <row r="6">
          <cell r="A6" t="str">
            <v>Interest Expense</v>
          </cell>
          <cell r="B6">
            <v>-1.2515042117930205E-4</v>
          </cell>
          <cell r="C6">
            <v>1.6352699344135126E-4</v>
          </cell>
          <cell r="D6">
            <v>-1.7061939941546975E-3</v>
          </cell>
          <cell r="F6">
            <v>-2.8867741462065335</v>
          </cell>
          <cell r="G6">
            <v>15.810435729753955</v>
          </cell>
          <cell r="I6" t="str">
            <v>M Guidance</v>
          </cell>
          <cell r="J6">
            <v>0.67</v>
          </cell>
          <cell r="K6" t="str">
            <v>NA</v>
          </cell>
          <cell r="L6" t="str">
            <v>NA</v>
          </cell>
          <cell r="M6">
            <v>2.25</v>
          </cell>
          <cell r="N6" t="str">
            <v>NA</v>
          </cell>
        </row>
        <row r="7">
          <cell r="A7" t="str">
            <v>Earnings b4 Taxes</v>
          </cell>
          <cell r="B7">
            <v>0.30030926594464497</v>
          </cell>
          <cell r="C7">
            <v>0.26842888400260023</v>
          </cell>
          <cell r="D7">
            <v>0.29038691171944286</v>
          </cell>
          <cell r="F7">
            <v>318.80381942044733</v>
          </cell>
          <cell r="G7">
            <v>99.223542252021019</v>
          </cell>
          <cell r="I7" t="str">
            <v>N Guidance</v>
          </cell>
        </row>
        <row r="8">
          <cell r="A8" t="str">
            <v>Net Income</v>
          </cell>
          <cell r="B8">
            <v>0.19009265944645004</v>
          </cell>
          <cell r="C8">
            <v>0.16642588105235703</v>
          </cell>
          <cell r="D8">
            <v>0.182943754383249</v>
          </cell>
          <cell r="F8">
            <v>236.66778394093006</v>
          </cell>
          <cell r="G8">
            <v>71.48905063201039</v>
          </cell>
        </row>
        <row r="10">
          <cell r="A10" t="str">
            <v>EPS</v>
          </cell>
          <cell r="B10">
            <v>0.50314371257485024</v>
          </cell>
          <cell r="C10">
            <v>0.38320548925642983</v>
          </cell>
          <cell r="D10">
            <v>0.46802614782621577</v>
          </cell>
          <cell r="F10">
            <v>0.11993822331842041</v>
          </cell>
          <cell r="G10">
            <v>3.5117564748634478E-2</v>
          </cell>
        </row>
        <row r="12">
          <cell r="A12" t="str">
            <v>EPS Upsides/Downsides</v>
          </cell>
        </row>
        <row r="13">
          <cell r="A13" t="str">
            <v>Revenues</v>
          </cell>
          <cell r="B13">
            <v>1.3795699767058796E-2</v>
          </cell>
        </row>
        <row r="14">
          <cell r="A14" t="str">
            <v>Operating Margin</v>
          </cell>
          <cell r="B14">
            <v>1.8744559330757776E-2</v>
          </cell>
        </row>
        <row r="15">
          <cell r="A15" t="str">
            <v>Interest Expense</v>
          </cell>
          <cell r="B15">
            <v>-2.5705300518566792E-3</v>
          </cell>
        </row>
        <row r="16">
          <cell r="A16" t="str">
            <v>Tax Rate</v>
          </cell>
          <cell r="B16">
            <v>2.376385526818688E-3</v>
          </cell>
        </row>
        <row r="17">
          <cell r="A17" t="str">
            <v>Share Count</v>
          </cell>
          <cell r="B17">
            <v>3.11827661271602E-3</v>
          </cell>
        </row>
        <row r="18">
          <cell r="A18" t="str">
            <v>Total</v>
          </cell>
          <cell r="B18">
            <v>3.5464391185494604E-2</v>
          </cell>
        </row>
        <row r="20">
          <cell r="A20" t="str">
            <v>M</v>
          </cell>
        </row>
        <row r="21">
          <cell r="A21" t="str">
            <v>As a % of Sales</v>
          </cell>
          <cell r="B21" t="str">
            <v>4Q09</v>
          </cell>
          <cell r="C21" t="str">
            <v>4Q08</v>
          </cell>
          <cell r="D21" t="str">
            <v>MS Est.</v>
          </cell>
          <cell r="F21" t="str">
            <v>y/y∆ (bp)</v>
          </cell>
          <cell r="G21" t="str">
            <v>∆ vs MS
Est. (bp)</v>
          </cell>
          <cell r="J21" t="str">
            <v>FQ1</v>
          </cell>
          <cell r="K21" t="str">
            <v>FQ2</v>
          </cell>
          <cell r="M21" t="str">
            <v>FY1</v>
          </cell>
          <cell r="N21" t="str">
            <v>FY2</v>
          </cell>
        </row>
        <row r="22">
          <cell r="A22" t="str">
            <v>Same Store Sales</v>
          </cell>
          <cell r="B22">
            <v>-8.0000000000000002E-3</v>
          </cell>
          <cell r="C22">
            <v>-7.0000000000000007E-2</v>
          </cell>
          <cell r="D22">
            <v>-5.8421857088268997E-3</v>
          </cell>
          <cell r="F22">
            <v>620.00000000000011</v>
          </cell>
          <cell r="G22">
            <v>-21.578142911731003</v>
          </cell>
        </row>
        <row r="23">
          <cell r="A23" t="str">
            <v>Gross Income</v>
          </cell>
          <cell r="B23">
            <v>0.41686839087781885</v>
          </cell>
          <cell r="C23">
            <v>0.39349634484497104</v>
          </cell>
          <cell r="D23">
            <v>0.4229823306319937</v>
          </cell>
          <cell r="F23">
            <v>233.72046032847814</v>
          </cell>
          <cell r="G23">
            <v>-61.139397541748465</v>
          </cell>
          <cell r="I23" t="str">
            <v>Consensus</v>
          </cell>
          <cell r="J23">
            <v>-7.0000000000000007E-2</v>
          </cell>
          <cell r="K23">
            <v>1.1399999999999999</v>
          </cell>
          <cell r="M23">
            <v>1.1499999999999999</v>
          </cell>
          <cell r="N23">
            <v>1.47</v>
          </cell>
          <cell r="P23" t="str">
            <v>Bloomberg as of 8/11/09</v>
          </cell>
        </row>
        <row r="24">
          <cell r="A24" t="str">
            <v>SG&amp;A Expense</v>
          </cell>
          <cell r="B24">
            <v>0.2818193400433176</v>
          </cell>
          <cell r="C24">
            <v>0.28434585328963952</v>
          </cell>
          <cell r="D24">
            <v>0.29238058846006876</v>
          </cell>
          <cell r="F24">
            <v>-25.265132463219153</v>
          </cell>
          <cell r="G24">
            <v>-105.61248416751157</v>
          </cell>
          <cell r="I24" t="str">
            <v>MS Est.</v>
          </cell>
          <cell r="J24">
            <v>1.3152087854175281</v>
          </cell>
          <cell r="K24">
            <v>1.22</v>
          </cell>
          <cell r="M24">
            <v>1.25</v>
          </cell>
          <cell r="N24">
            <v>1.36</v>
          </cell>
        </row>
        <row r="25">
          <cell r="A25" t="str">
            <v>Operating Income</v>
          </cell>
          <cell r="B25">
            <v>0.13504905083450122</v>
          </cell>
          <cell r="C25">
            <v>0.10915049155533149</v>
          </cell>
          <cell r="D25">
            <v>0.13060174217192488</v>
          </cell>
          <cell r="F25">
            <v>258.98559279169729</v>
          </cell>
          <cell r="G25">
            <v>44.473086625763379</v>
          </cell>
          <cell r="I25" t="str">
            <v>MS/C</v>
          </cell>
          <cell r="K25">
            <v>8.0000000000000071E-2</v>
          </cell>
          <cell r="M25">
            <v>0.10000000000000009</v>
          </cell>
          <cell r="N25">
            <v>-0.10999999999999988</v>
          </cell>
        </row>
        <row r="26">
          <cell r="A26" t="str">
            <v>Interest Expense</v>
          </cell>
          <cell r="B26">
            <v>1.7709262326411009E-2</v>
          </cell>
          <cell r="C26">
            <v>1.8023695487774136E-2</v>
          </cell>
          <cell r="D26">
            <v>1.6762872564004581E-2</v>
          </cell>
          <cell r="F26">
            <v>-3.1443316136312709</v>
          </cell>
          <cell r="G26">
            <v>9.4638976240642858</v>
          </cell>
          <cell r="I26" t="str">
            <v>MG</v>
          </cell>
        </row>
        <row r="27">
          <cell r="A27" t="str">
            <v>Earnings b4 Taxes</v>
          </cell>
          <cell r="B27">
            <v>9.3642502229583383E-2</v>
          </cell>
          <cell r="C27">
            <v>6.3524073607259895E-2</v>
          </cell>
          <cell r="D27">
            <v>8.9001269302226765E-2</v>
          </cell>
          <cell r="F27">
            <v>301.18428622323489</v>
          </cell>
          <cell r="G27">
            <v>46.412329273566172</v>
          </cell>
          <cell r="I27" t="str">
            <v>NMG</v>
          </cell>
        </row>
        <row r="28">
          <cell r="A28" t="str">
            <v>Tax Rate</v>
          </cell>
          <cell r="B28">
            <v>0.37893593919652552</v>
          </cell>
          <cell r="C28">
            <v>0.38035961272475793</v>
          </cell>
          <cell r="D28">
            <v>0.40020087706019697</v>
          </cell>
          <cell r="F28">
            <v>-14.236735282324165</v>
          </cell>
          <cell r="G28">
            <v>-212.64937863671452</v>
          </cell>
        </row>
        <row r="29">
          <cell r="A29" t="str">
            <v>Net Income</v>
          </cell>
          <cell r="B29">
            <v>5.6695120397502866E-2</v>
          </cell>
          <cell r="C29">
            <v>5.6000000000000001E-2</v>
          </cell>
          <cell r="D29">
            <v>5.6070438993390141E-2</v>
          </cell>
          <cell r="F29">
            <v>6.9512039750286441</v>
          </cell>
          <cell r="G29">
            <v>6.2468140411272435</v>
          </cell>
        </row>
        <row r="31">
          <cell r="A31" t="str">
            <v>EPS</v>
          </cell>
          <cell r="B31">
            <v>1.3487385050695591</v>
          </cell>
          <cell r="C31">
            <v>1.2932312985703269</v>
          </cell>
          <cell r="D31">
            <v>1.3152087854175281</v>
          </cell>
          <cell r="F31">
            <v>5.5507206499232131E-2</v>
          </cell>
          <cell r="G31">
            <v>3.3529719652030998E-2</v>
          </cell>
        </row>
        <row r="33">
          <cell r="A33" t="str">
            <v>EPS Upsides/Downsides</v>
          </cell>
        </row>
        <row r="34">
          <cell r="A34" t="str">
            <v>Sales Variance</v>
          </cell>
          <cell r="B34">
            <v>-3.436359757770527E-4</v>
          </cell>
        </row>
        <row r="35">
          <cell r="A35" t="str">
            <v>Gross Margin</v>
          </cell>
          <cell r="B35">
            <v>-7.028610225707739E-2</v>
          </cell>
        </row>
        <row r="36">
          <cell r="A36" t="str">
            <v>SG&amp;A</v>
          </cell>
          <cell r="B36">
            <v>0.12141254510649906</v>
          </cell>
        </row>
        <row r="37">
          <cell r="A37" t="str">
            <v>Operating Margin</v>
          </cell>
          <cell r="B37">
            <v>5.1126442849421666E-2</v>
          </cell>
        </row>
        <row r="38">
          <cell r="A38" t="str">
            <v>Interest Expense</v>
          </cell>
          <cell r="B38">
            <v>-1.0827872995755723E-2</v>
          </cell>
        </row>
        <row r="39">
          <cell r="A39" t="str">
            <v>Tax Rate</v>
          </cell>
          <cell r="B39">
            <v>1.3911813251584314E-4</v>
          </cell>
        </row>
        <row r="40">
          <cell r="A40" t="str">
            <v>Shares</v>
          </cell>
          <cell r="B40">
            <v>-6.7117318972655937E-3</v>
          </cell>
        </row>
        <row r="41">
          <cell r="A41" t="str">
            <v>Total</v>
          </cell>
          <cell r="B41">
            <v>3.3382320113139144E-2</v>
          </cell>
        </row>
        <row r="43">
          <cell r="A43" t="str">
            <v>JCP</v>
          </cell>
        </row>
        <row r="44">
          <cell r="A44" t="str">
            <v>As a % of Sales</v>
          </cell>
          <cell r="B44" t="str">
            <v>2Q09</v>
          </cell>
          <cell r="C44" t="str">
            <v>2Q08</v>
          </cell>
          <cell r="D44" t="str">
            <v>MS Est.</v>
          </cell>
          <cell r="F44" t="str">
            <v>y/y∆ (bp)</v>
          </cell>
          <cell r="G44" t="str">
            <v>∆ vs MS
Est. (bp)</v>
          </cell>
          <cell r="J44" t="str">
            <v>FQ1</v>
          </cell>
          <cell r="K44" t="str">
            <v>FQ2</v>
          </cell>
          <cell r="L44" t="str">
            <v>FY1</v>
          </cell>
          <cell r="M44" t="str">
            <v>FY2</v>
          </cell>
        </row>
        <row r="45">
          <cell r="A45" t="str">
            <v>Gross Income</v>
          </cell>
          <cell r="B45">
            <v>0.39052747901801327</v>
          </cell>
          <cell r="C45">
            <v>0.40880043961122103</v>
          </cell>
          <cell r="D45">
            <v>0.37998198198198196</v>
          </cell>
          <cell r="F45">
            <v>-182.72960593207765</v>
          </cell>
          <cell r="G45">
            <v>105.45497036031304</v>
          </cell>
          <cell r="I45" t="str">
            <v>Consensus</v>
          </cell>
          <cell r="J45">
            <v>-0.01</v>
          </cell>
          <cell r="K45">
            <v>0.13</v>
          </cell>
          <cell r="L45">
            <v>0.88</v>
          </cell>
          <cell r="M45">
            <v>1.36</v>
          </cell>
          <cell r="N45" t="str">
            <v>Bloomberg</v>
          </cell>
          <cell r="O45">
            <v>40038</v>
          </cell>
        </row>
        <row r="46">
          <cell r="A46" t="str">
            <v>SG&amp;A Expense</v>
          </cell>
          <cell r="B46">
            <v>0.3160165321976135</v>
          </cell>
          <cell r="C46">
            <v>0.33123431892985855</v>
          </cell>
          <cell r="D46">
            <v>0.27389189189189189</v>
          </cell>
          <cell r="F46">
            <v>-152.17786732245054</v>
          </cell>
          <cell r="G46">
            <v>421.24640305721607</v>
          </cell>
          <cell r="I46" t="str">
            <v>MS Est.</v>
          </cell>
          <cell r="J46">
            <v>0.8553594903233469</v>
          </cell>
          <cell r="K46">
            <v>0.13</v>
          </cell>
          <cell r="L46">
            <v>0.87</v>
          </cell>
          <cell r="M46">
            <v>1.33</v>
          </cell>
        </row>
        <row r="47">
          <cell r="A47" t="str">
            <v>Operating Income</v>
          </cell>
          <cell r="B47">
            <v>2.7892927545231563E-2</v>
          </cell>
          <cell r="C47">
            <v>3.1873435876103265E-2</v>
          </cell>
          <cell r="D47">
            <v>6.9661501885608032E-2</v>
          </cell>
          <cell r="F47">
            <v>-39.805083308717023</v>
          </cell>
          <cell r="G47">
            <v>-417.68574340376466</v>
          </cell>
          <cell r="I47" t="str">
            <v>MS/C</v>
          </cell>
          <cell r="J47">
            <v>0.86535949032334691</v>
          </cell>
          <cell r="K47">
            <v>0</v>
          </cell>
          <cell r="L47">
            <v>-1.0000000000000009E-2</v>
          </cell>
          <cell r="M47">
            <v>-3.0000000000000027E-2</v>
          </cell>
        </row>
        <row r="48">
          <cell r="A48" t="str">
            <v>Interest Expense</v>
          </cell>
          <cell r="B48">
            <v>0</v>
          </cell>
          <cell r="C48">
            <v>0</v>
          </cell>
          <cell r="D48">
            <v>0</v>
          </cell>
          <cell r="F48">
            <v>0</v>
          </cell>
          <cell r="G48">
            <v>0</v>
          </cell>
          <cell r="I48" t="str">
            <v>MG</v>
          </cell>
        </row>
        <row r="49">
          <cell r="A49" t="str">
            <v>Earnings b4 Taxes</v>
          </cell>
          <cell r="B49">
            <v>138.16690201280809</v>
          </cell>
          <cell r="C49">
            <v>77.36492887791303</v>
          </cell>
          <cell r="D49">
            <v>20.474558308592531</v>
          </cell>
          <cell r="F49">
            <v>608019.73134895065</v>
          </cell>
          <cell r="G49">
            <v>1176923.4370421555</v>
          </cell>
          <cell r="I49" t="str">
            <v>MGN</v>
          </cell>
        </row>
        <row r="50">
          <cell r="A50" t="str">
            <v>Tax Rate</v>
          </cell>
          <cell r="B50">
            <v>0</v>
          </cell>
          <cell r="C50">
            <v>0</v>
          </cell>
          <cell r="D50">
            <v>0</v>
          </cell>
          <cell r="F50">
            <v>0</v>
          </cell>
          <cell r="G50">
            <v>0</v>
          </cell>
        </row>
        <row r="51">
          <cell r="A51" t="str">
            <v>Net Income</v>
          </cell>
          <cell r="B51">
            <v>85.658406517953949</v>
          </cell>
          <cell r="C51">
            <v>47.152740872066616</v>
          </cell>
          <cell r="D51">
            <v>10.820352277453523</v>
          </cell>
          <cell r="F51">
            <v>385056.65645887336</v>
          </cell>
          <cell r="G51">
            <v>748380.54240500426</v>
          </cell>
        </row>
        <row r="53">
          <cell r="A53" t="str">
            <v>EPS</v>
          </cell>
          <cell r="B53">
            <v>0.14074219483202524</v>
          </cell>
          <cell r="C53">
            <v>0.19354741634065173</v>
          </cell>
          <cell r="D53">
            <v>0.8553594903233469</v>
          </cell>
          <cell r="F53">
            <v>-5.2805221508626488E-2</v>
          </cell>
          <cell r="G53">
            <v>-0.71461729549132169</v>
          </cell>
        </row>
        <row r="55">
          <cell r="A55" t="str">
            <v>EPS Upsides/Downsides</v>
          </cell>
        </row>
        <row r="56">
          <cell r="A56" t="str">
            <v>Gross Margin</v>
          </cell>
          <cell r="B56">
            <v>-9.617582778843134E-2</v>
          </cell>
        </row>
        <row r="57">
          <cell r="A57" t="str">
            <v>Operating Expenses</v>
          </cell>
          <cell r="B57">
            <v>0.14882953124199277</v>
          </cell>
        </row>
        <row r="58">
          <cell r="A58" t="str">
            <v>Real Estate + Other Exp. (Inc.)</v>
          </cell>
          <cell r="B58">
            <v>-5.5156676128457718E-2</v>
          </cell>
        </row>
        <row r="59">
          <cell r="A59" t="str">
            <v>Operating Income</v>
          </cell>
          <cell r="B59">
            <v>-2.5029726748962895E-3</v>
          </cell>
        </row>
        <row r="60">
          <cell r="A60" t="str">
            <v>LIFO Charge</v>
          </cell>
          <cell r="B60">
            <v>0</v>
          </cell>
        </row>
        <row r="61">
          <cell r="A61" t="str">
            <v>Interest Expense</v>
          </cell>
          <cell r="B61">
            <v>2.3887504428639367E-3</v>
          </cell>
        </row>
        <row r="62">
          <cell r="A62" t="str">
            <v>Tax Rate</v>
          </cell>
          <cell r="B62">
            <v>4.3826380109566214E-3</v>
          </cell>
        </row>
        <row r="63">
          <cell r="A63" t="str">
            <v>Shares</v>
          </cell>
          <cell r="B63">
            <v>1.3564864172863622E-3</v>
          </cell>
        </row>
        <row r="64">
          <cell r="A64" t="str">
            <v>Total</v>
          </cell>
          <cell r="B64">
            <v>5.6249021962106304E-3</v>
          </cell>
        </row>
        <row r="66">
          <cell r="A66" t="str">
            <v>KSS</v>
          </cell>
        </row>
        <row r="67">
          <cell r="A67" t="str">
            <v>As a % of Sales</v>
          </cell>
          <cell r="B67" t="str">
            <v>4Q09</v>
          </cell>
          <cell r="C67" t="str">
            <v>4Q08</v>
          </cell>
          <cell r="D67" t="str">
            <v>MS Est.</v>
          </cell>
          <cell r="F67" t="str">
            <v>y/y∆ (bp)</v>
          </cell>
          <cell r="G67" t="str">
            <v>∆ vs MS
Est. (bp)</v>
          </cell>
          <cell r="J67" t="str">
            <v>FQ1</v>
          </cell>
          <cell r="K67" t="str">
            <v>FQ2</v>
          </cell>
          <cell r="L67" t="str">
            <v>FY1</v>
          </cell>
          <cell r="M67" t="str">
            <v>FY2</v>
          </cell>
        </row>
        <row r="68">
          <cell r="A68" t="str">
            <v>Gross Income</v>
          </cell>
          <cell r="B68">
            <v>0.36430834213305174</v>
          </cell>
          <cell r="C68">
            <v>0.34804202483285579</v>
          </cell>
          <cell r="D68">
            <v>0.35754202483285574</v>
          </cell>
          <cell r="F68">
            <v>162.66317300195954</v>
          </cell>
          <cell r="G68">
            <v>67.663173001960004</v>
          </cell>
          <cell r="I68" t="str">
            <v>Consensus</v>
          </cell>
          <cell r="J68">
            <v>0.60699999999999998</v>
          </cell>
          <cell r="K68">
            <v>1.232</v>
          </cell>
          <cell r="L68">
            <v>3.0419999999999998</v>
          </cell>
          <cell r="M68">
            <v>3.4220000000000002</v>
          </cell>
          <cell r="N68" t="str">
            <v>Bloomberg</v>
          </cell>
          <cell r="O68">
            <v>40128</v>
          </cell>
        </row>
        <row r="69">
          <cell r="A69" t="str">
            <v>SG&amp;A Expense</v>
          </cell>
          <cell r="B69">
            <v>0.20943329813445971</v>
          </cell>
          <cell r="C69">
            <v>0.21050620821394461</v>
          </cell>
          <cell r="D69">
            <v>0.20550620821394461</v>
          </cell>
          <cell r="F69">
            <v>-10.72910079484901</v>
          </cell>
          <cell r="G69">
            <v>39.270899205151032</v>
          </cell>
          <cell r="I69" t="str">
            <v>MS Est.</v>
          </cell>
          <cell r="J69">
            <v>1.37</v>
          </cell>
          <cell r="K69">
            <v>1.27</v>
          </cell>
          <cell r="L69">
            <v>3.08</v>
          </cell>
          <cell r="M69">
            <v>3.59</v>
          </cell>
        </row>
        <row r="70">
          <cell r="A70" t="str">
            <v>Operating Income</v>
          </cell>
          <cell r="B70">
            <v>0.12706793382611756</v>
          </cell>
          <cell r="C70">
            <v>0.10945558739255014</v>
          </cell>
          <cell r="D70">
            <v>0.12398231433098438</v>
          </cell>
          <cell r="F70">
            <v>176.12346433567419</v>
          </cell>
          <cell r="G70">
            <v>30.856194951331823</v>
          </cell>
          <cell r="I70" t="str">
            <v>MS/C</v>
          </cell>
          <cell r="J70">
            <v>0.76300000000000012</v>
          </cell>
          <cell r="K70">
            <v>3.8000000000000034E-2</v>
          </cell>
          <cell r="L70">
            <v>3.8000000000000256E-2</v>
          </cell>
          <cell r="M70">
            <v>0.16799999999999971</v>
          </cell>
        </row>
        <row r="71">
          <cell r="A71" t="str">
            <v>Interest Expense</v>
          </cell>
          <cell r="B71">
            <v>5.4558254135867656E-3</v>
          </cell>
          <cell r="C71">
            <v>5.7306590257879654E-3</v>
          </cell>
          <cell r="D71">
            <v>5.8271922900633606E-3</v>
          </cell>
          <cell r="F71">
            <v>-2.7483361220119984</v>
          </cell>
          <cell r="G71">
            <v>-3.7136687647659499</v>
          </cell>
          <cell r="I71" t="str">
            <v>MG</v>
          </cell>
        </row>
        <row r="72">
          <cell r="A72" t="str">
            <v>Earnings b4 Taxes</v>
          </cell>
          <cell r="B72">
            <v>0.1216121084125308</v>
          </cell>
          <cell r="C72">
            <v>0.10372492836676218</v>
          </cell>
          <cell r="D72">
            <v>0.11815512204092102</v>
          </cell>
          <cell r="F72">
            <v>178.87180045768613</v>
          </cell>
          <cell r="G72">
            <v>34.5698637160978</v>
          </cell>
        </row>
        <row r="73">
          <cell r="A73" t="str">
            <v>Net Income</v>
          </cell>
          <cell r="B73">
            <v>7.5853572685674053E-2</v>
          </cell>
          <cell r="C73">
            <v>6.4183381088825209E-2</v>
          </cell>
          <cell r="D73">
            <v>7.3610641031493798E-2</v>
          </cell>
          <cell r="F73">
            <v>116.70191596848845</v>
          </cell>
          <cell r="G73">
            <v>22.429316541802553</v>
          </cell>
        </row>
        <row r="75">
          <cell r="A75" t="str">
            <v>EPS</v>
          </cell>
          <cell r="B75">
            <v>1.4</v>
          </cell>
          <cell r="C75">
            <v>1.1000000000000001</v>
          </cell>
          <cell r="D75">
            <v>1.37</v>
          </cell>
          <cell r="F75">
            <v>0.29999999999999982</v>
          </cell>
          <cell r="G75">
            <v>2.9999999999999805E-2</v>
          </cell>
        </row>
        <row r="77">
          <cell r="A77" t="str">
            <v>EPS Upsides/Downsides</v>
          </cell>
        </row>
        <row r="78">
          <cell r="A78" t="str">
            <v>Reported Sales Variance</v>
          </cell>
          <cell r="B78">
            <v>0</v>
          </cell>
        </row>
        <row r="79">
          <cell r="A79" t="str">
            <v>Gross Margin</v>
          </cell>
          <cell r="B79">
            <v>7.7857794189564164E-2</v>
          </cell>
        </row>
        <row r="80">
          <cell r="A80" t="str">
            <v>SG&amp;A Expenses</v>
          </cell>
          <cell r="B80">
            <v>-4.5187735843620652E-2</v>
          </cell>
        </row>
        <row r="81">
          <cell r="A81" t="str">
            <v>Preopening Expense</v>
          </cell>
          <cell r="B81">
            <v>2.835153269306672E-3</v>
          </cell>
        </row>
        <row r="82">
          <cell r="A82" t="str">
            <v>Depreciation/Amortization</v>
          </cell>
          <cell r="B82">
            <v>0</v>
          </cell>
        </row>
        <row r="83">
          <cell r="A83" t="str">
            <v>Interest Expense, Net</v>
          </cell>
          <cell r="B83">
            <v>4.2731968594937973E-3</v>
          </cell>
        </row>
        <row r="84">
          <cell r="A84" t="str">
            <v>Tax Rate</v>
          </cell>
          <cell r="B84">
            <v>1.6461038961039123E-3</v>
          </cell>
        </row>
        <row r="85">
          <cell r="A85" t="str">
            <v>Shares</v>
          </cell>
          <cell r="B85">
            <v>-8.4967320261439827E-3</v>
          </cell>
        </row>
        <row r="86">
          <cell r="A86" t="str">
            <v>Total</v>
          </cell>
          <cell r="B86">
            <v>3.2927780344703908E-2</v>
          </cell>
        </row>
        <row r="88">
          <cell r="A88" t="str">
            <v>JWN</v>
          </cell>
        </row>
        <row r="89">
          <cell r="A89" t="str">
            <v>As a % of Sales</v>
          </cell>
          <cell r="B89" t="str">
            <v>3Q08</v>
          </cell>
          <cell r="C89" t="str">
            <v>3Q07</v>
          </cell>
          <cell r="D89" t="str">
            <v>MS Est.</v>
          </cell>
          <cell r="F89" t="str">
            <v>y/y∆ (bp)</v>
          </cell>
          <cell r="G89" t="str">
            <v>∆ vs MS
Est. (bp)</v>
          </cell>
          <cell r="J89" t="str">
            <v>FQ1</v>
          </cell>
          <cell r="K89" t="str">
            <v>FQ2</v>
          </cell>
          <cell r="L89" t="str">
            <v>FY1</v>
          </cell>
          <cell r="M89" t="str">
            <v>FY2</v>
          </cell>
        </row>
        <row r="90">
          <cell r="A90" t="str">
            <v>Gross Income</v>
          </cell>
          <cell r="B90">
            <v>0</v>
          </cell>
          <cell r="C90">
            <v>0</v>
          </cell>
          <cell r="D90">
            <v>0</v>
          </cell>
          <cell r="F90">
            <v>0</v>
          </cell>
          <cell r="G90">
            <v>0</v>
          </cell>
          <cell r="I90" t="str">
            <v>Consensus</v>
          </cell>
          <cell r="J90">
            <v>0.38200000000000001</v>
          </cell>
          <cell r="K90">
            <v>0.59599999999999997</v>
          </cell>
          <cell r="L90">
            <v>1.806</v>
          </cell>
          <cell r="M90">
            <v>2.1389999999999998</v>
          </cell>
          <cell r="N90" t="str">
            <v>Bloomberg</v>
          </cell>
          <cell r="O90">
            <v>40128</v>
          </cell>
        </row>
        <row r="91">
          <cell r="A91" t="str">
            <v>SG&amp;A Expense</v>
          </cell>
          <cell r="B91">
            <v>0</v>
          </cell>
          <cell r="C91">
            <v>0</v>
          </cell>
          <cell r="D91">
            <v>0</v>
          </cell>
          <cell r="F91">
            <v>0</v>
          </cell>
          <cell r="G91">
            <v>0</v>
          </cell>
          <cell r="I91" t="str">
            <v>MS Est.</v>
          </cell>
          <cell r="J91">
            <v>0</v>
          </cell>
          <cell r="K91">
            <v>0.2</v>
          </cell>
          <cell r="L91">
            <v>1.8</v>
          </cell>
          <cell r="M91">
            <v>1.07</v>
          </cell>
        </row>
        <row r="92">
          <cell r="A92" t="str">
            <v>Operating Income</v>
          </cell>
          <cell r="B92">
            <v>0</v>
          </cell>
          <cell r="C92">
            <v>0</v>
          </cell>
          <cell r="D92">
            <v>0</v>
          </cell>
          <cell r="F92">
            <v>0</v>
          </cell>
          <cell r="G92">
            <v>0</v>
          </cell>
          <cell r="I92" t="str">
            <v>MS/C</v>
          </cell>
          <cell r="J92">
            <v>-0.38200000000000001</v>
          </cell>
          <cell r="K92">
            <v>-0.39599999999999996</v>
          </cell>
          <cell r="L92">
            <v>-6.0000000000000053E-3</v>
          </cell>
          <cell r="M92">
            <v>-1.0689999999999997</v>
          </cell>
        </row>
        <row r="93">
          <cell r="A93" t="str">
            <v>Interest Expense</v>
          </cell>
          <cell r="B93">
            <v>0</v>
          </cell>
          <cell r="C93">
            <v>0</v>
          </cell>
          <cell r="D93">
            <v>0</v>
          </cell>
          <cell r="F93">
            <v>0</v>
          </cell>
          <cell r="G93">
            <v>0</v>
          </cell>
          <cell r="I93" t="str">
            <v>MG</v>
          </cell>
        </row>
        <row r="94">
          <cell r="A94" t="str">
            <v>Service &amp; Other</v>
          </cell>
          <cell r="B94">
            <v>0</v>
          </cell>
          <cell r="C94">
            <v>0</v>
          </cell>
          <cell r="D94">
            <v>0</v>
          </cell>
          <cell r="F94">
            <v>0</v>
          </cell>
          <cell r="G94">
            <v>0</v>
          </cell>
          <cell r="I94" t="str">
            <v>New</v>
          </cell>
        </row>
        <row r="95">
          <cell r="A95" t="str">
            <v>Earnings b4 Taxes</v>
          </cell>
          <cell r="B95">
            <v>0</v>
          </cell>
          <cell r="C95">
            <v>0</v>
          </cell>
          <cell r="D95">
            <v>0</v>
          </cell>
          <cell r="F95">
            <v>0</v>
          </cell>
          <cell r="G95">
            <v>0</v>
          </cell>
        </row>
        <row r="96">
          <cell r="A96" t="str">
            <v>Tax Rate</v>
          </cell>
          <cell r="B96">
            <v>0</v>
          </cell>
          <cell r="C96">
            <v>0</v>
          </cell>
          <cell r="D96">
            <v>0</v>
          </cell>
          <cell r="F96">
            <v>0</v>
          </cell>
          <cell r="G96">
            <v>0</v>
          </cell>
        </row>
        <row r="97">
          <cell r="A97" t="str">
            <v>Net Income</v>
          </cell>
          <cell r="B97">
            <v>0</v>
          </cell>
          <cell r="C97">
            <v>0</v>
          </cell>
          <cell r="D97">
            <v>0</v>
          </cell>
          <cell r="F97">
            <v>0</v>
          </cell>
          <cell r="G97">
            <v>0</v>
          </cell>
        </row>
        <row r="99">
          <cell r="A99" t="str">
            <v>EPS</v>
          </cell>
          <cell r="B99">
            <v>0</v>
          </cell>
          <cell r="C99">
            <v>0</v>
          </cell>
          <cell r="D99">
            <v>0</v>
          </cell>
          <cell r="F99">
            <v>0</v>
          </cell>
          <cell r="G99">
            <v>0</v>
          </cell>
        </row>
        <row r="101">
          <cell r="A101" t="str">
            <v>EPS Upsides/Downsides</v>
          </cell>
        </row>
        <row r="102">
          <cell r="A102">
            <v>0</v>
          </cell>
          <cell r="B102">
            <v>0</v>
          </cell>
        </row>
        <row r="103">
          <cell r="A103" t="str">
            <v>Source: Company data, Morgan Stanley Research  E = Morgan Stanley Research Estimate</v>
          </cell>
          <cell r="B103">
            <v>0</v>
          </cell>
        </row>
        <row r="104">
          <cell r="A104" t="str">
            <v>EPS Upsides/Downsides</v>
          </cell>
          <cell r="B104">
            <v>0</v>
          </cell>
        </row>
        <row r="105">
          <cell r="A105" t="str">
            <v>Reported Sales Variance</v>
          </cell>
          <cell r="B105">
            <v>-2.1583430631226738E-3</v>
          </cell>
        </row>
        <row r="106">
          <cell r="A106" t="str">
            <v>Gross Margin</v>
          </cell>
          <cell r="B106">
            <v>9.3948964248107891E-2</v>
          </cell>
        </row>
        <row r="107">
          <cell r="A107" t="str">
            <v>Total SG&amp;A</v>
          </cell>
          <cell r="B107">
            <v>-0.13372107319019222</v>
          </cell>
        </row>
        <row r="108">
          <cell r="A108" t="str">
            <v>Operating Margin</v>
          </cell>
          <cell r="B108">
            <v>0</v>
          </cell>
        </row>
        <row r="109">
          <cell r="A109" t="str">
            <v>Tax Rate</v>
          </cell>
          <cell r="B109">
            <v>9.3948964248107891E-2</v>
          </cell>
        </row>
        <row r="110">
          <cell r="A110" t="str">
            <v>Shares</v>
          </cell>
          <cell r="B110">
            <v>-0.13372107319019222</v>
          </cell>
        </row>
        <row r="111">
          <cell r="A111" t="str">
            <v>Total</v>
          </cell>
          <cell r="B111">
            <v>-4.1930452005207008E-2</v>
          </cell>
        </row>
        <row r="113">
          <cell r="A113" t="str">
            <v>SKS</v>
          </cell>
        </row>
        <row r="114">
          <cell r="A114" t="str">
            <v>As a % of Sales</v>
          </cell>
          <cell r="B114" t="str">
            <v>3Q09</v>
          </cell>
          <cell r="C114" t="str">
            <v>3Q08</v>
          </cell>
          <cell r="D114" t="str">
            <v>MS Est.</v>
          </cell>
          <cell r="F114" t="str">
            <v>y/y∆ (bp)</v>
          </cell>
          <cell r="G114" t="str">
            <v>∆ vs MS
Est. (bp)</v>
          </cell>
          <cell r="J114" t="str">
            <v>FQ1</v>
          </cell>
          <cell r="K114" t="str">
            <v>FQ2</v>
          </cell>
          <cell r="L114" t="str">
            <v>FY1</v>
          </cell>
          <cell r="M114" t="str">
            <v>FY2</v>
          </cell>
        </row>
        <row r="115">
          <cell r="A115" t="str">
            <v>Gross Income</v>
          </cell>
          <cell r="B115">
            <v>0.3907231769028765</v>
          </cell>
          <cell r="C115">
            <v>0.33156390807654762</v>
          </cell>
          <cell r="D115">
            <v>0.39027636388805009</v>
          </cell>
          <cell r="F115">
            <v>591.59268826328878</v>
          </cell>
          <cell r="G115">
            <v>4.4681301482640823</v>
          </cell>
          <cell r="I115" t="str">
            <v>Consensus</v>
          </cell>
          <cell r="J115">
            <v>-0.113</v>
          </cell>
          <cell r="K115">
            <v>-3.7999999999999999E-2</v>
          </cell>
          <cell r="L115">
            <v>-0.57499999999999996</v>
          </cell>
          <cell r="M115">
            <v>-0.34899999999999998</v>
          </cell>
          <cell r="N115" t="str">
            <v>Bloomberg</v>
          </cell>
          <cell r="O115">
            <v>40133</v>
          </cell>
        </row>
        <row r="116">
          <cell r="A116" t="str">
            <v>SG&amp;A Expense</v>
          </cell>
          <cell r="B116">
            <v>0.2428184106076488</v>
          </cell>
          <cell r="C116">
            <v>0.272497270340676</v>
          </cell>
          <cell r="D116">
            <v>0.2548642423756452</v>
          </cell>
          <cell r="F116">
            <v>-296.78859733027195</v>
          </cell>
          <cell r="G116">
            <v>-120.45831767996395</v>
          </cell>
          <cell r="I116" t="str">
            <v>MS Est.</v>
          </cell>
          <cell r="J116">
            <v>-1.5781525121147805E-2</v>
          </cell>
          <cell r="K116">
            <v>-7.0000000000000007E-2</v>
          </cell>
          <cell r="L116">
            <v>-0.59</v>
          </cell>
          <cell r="M116">
            <v>-0.35</v>
          </cell>
        </row>
        <row r="117">
          <cell r="A117" t="str">
            <v>Other Operating Expenses</v>
          </cell>
          <cell r="B117">
            <v>0.1287210309271713</v>
          </cell>
          <cell r="C117">
            <v>0.14260560872785277</v>
          </cell>
          <cell r="D117">
            <v>0.11997295045879695</v>
          </cell>
          <cell r="F117">
            <v>-138.84577800681475</v>
          </cell>
          <cell r="G117">
            <v>87.480804683743443</v>
          </cell>
          <cell r="I117" t="str">
            <v>MS/C</v>
          </cell>
          <cell r="J117">
            <v>9.7218474878852199E-2</v>
          </cell>
          <cell r="K117">
            <v>-3.2000000000000008E-2</v>
          </cell>
          <cell r="L117">
            <v>-1.5000000000000013E-2</v>
          </cell>
          <cell r="M117">
            <v>-1.0000000000000009E-3</v>
          </cell>
        </row>
        <row r="118">
          <cell r="A118" t="str">
            <v>Operating Income</v>
          </cell>
          <cell r="B118">
            <v>1.8221202599182782E-2</v>
          </cell>
          <cell r="C118">
            <v>-8.4795773424491586E-2</v>
          </cell>
          <cell r="D118">
            <v>1.4627638389771777E-2</v>
          </cell>
          <cell r="F118">
            <v>1030.1697602367437</v>
          </cell>
          <cell r="G118">
            <v>35.935642094110044</v>
          </cell>
        </row>
        <row r="119">
          <cell r="A119" t="str">
            <v>Interest Expense</v>
          </cell>
          <cell r="B119">
            <v>2.0676050365587218E-2</v>
          </cell>
          <cell r="C119">
            <v>2.2905626388730099E-2</v>
          </cell>
          <cell r="D119">
            <v>2.0468421239228773E-2</v>
          </cell>
          <cell r="F119">
            <v>-22.295760231428805</v>
          </cell>
          <cell r="G119">
            <v>2.0762912635844537</v>
          </cell>
        </row>
        <row r="120">
          <cell r="A120" t="str">
            <v>Earnings b4 Taxes</v>
          </cell>
          <cell r="B120">
            <v>5.6698146463637996E-5</v>
          </cell>
          <cell r="C120">
            <v>5.6698146463637996E-5</v>
          </cell>
          <cell r="D120">
            <v>5.6698146463637996E-5</v>
          </cell>
          <cell r="F120">
            <v>0</v>
          </cell>
          <cell r="G120">
            <v>0</v>
          </cell>
        </row>
        <row r="121">
          <cell r="A121" t="str">
            <v>Net Income</v>
          </cell>
          <cell r="B121">
            <v>-1.5571584659782067E-3</v>
          </cell>
          <cell r="C121">
            <v>-6.6810020735004902E-2</v>
          </cell>
          <cell r="D121">
            <v>-3.6564382174707932E-3</v>
          </cell>
          <cell r="F121">
            <v>652.52862269026696</v>
          </cell>
          <cell r="G121">
            <v>20.992797514925869</v>
          </cell>
        </row>
        <row r="123">
          <cell r="A123" t="str">
            <v>EPS</v>
          </cell>
          <cell r="B123">
            <v>-6.6533490389486675E-3</v>
          </cell>
          <cell r="C123">
            <v>-0.25767632111798916</v>
          </cell>
          <cell r="D123">
            <v>-1.5781525121147805E-2</v>
          </cell>
          <cell r="F123">
            <v>0.25102297207904051</v>
          </cell>
          <cell r="G123">
            <v>9.1281760821991381E-3</v>
          </cell>
        </row>
        <row r="125">
          <cell r="A125" t="str">
            <v>EPS Upsides/Downsides</v>
          </cell>
        </row>
        <row r="126">
          <cell r="A126" t="str">
            <v>Reported Sales Variance</v>
          </cell>
          <cell r="B126">
            <v>7.3141706523534907E-4</v>
          </cell>
        </row>
        <row r="127">
          <cell r="A127" t="str">
            <v>Gross Margin</v>
          </cell>
          <cell r="B127">
            <v>9.0502516031737673E-2</v>
          </cell>
        </row>
        <row r="128">
          <cell r="A128" t="str">
            <v>SG&amp;A Expenses</v>
          </cell>
          <cell r="B128">
            <v>9.135785673203356E-2</v>
          </cell>
        </row>
        <row r="129">
          <cell r="A129" t="str">
            <v>Other Operating Expenses</v>
          </cell>
          <cell r="B129">
            <v>0.14148159111000269</v>
          </cell>
        </row>
        <row r="130">
          <cell r="A130" t="str">
            <v>Operating Margin</v>
          </cell>
          <cell r="B130">
            <v>0.3233419638737739</v>
          </cell>
        </row>
        <row r="131">
          <cell r="A131" t="str">
            <v>Interest Expense, Net</v>
          </cell>
          <cell r="B131">
            <v>-2.9209222303217691E-2</v>
          </cell>
        </row>
        <row r="132">
          <cell r="A132" t="str">
            <v>Other (Income)</v>
          </cell>
          <cell r="B132">
            <v>-1.1491989190871084E-3</v>
          </cell>
        </row>
        <row r="133">
          <cell r="A133" t="str">
            <v>Tax Rate</v>
          </cell>
          <cell r="B133">
            <v>0.11636249147294966</v>
          </cell>
        </row>
        <row r="134">
          <cell r="A134" t="str">
            <v>Shares</v>
          </cell>
          <cell r="B134">
            <v>0</v>
          </cell>
        </row>
        <row r="135">
          <cell r="A135" t="str">
            <v>Total</v>
          </cell>
          <cell r="B135">
            <v>0.40934603412441872</v>
          </cell>
        </row>
        <row r="137">
          <cell r="A137" t="str">
            <v>LTD</v>
          </cell>
        </row>
        <row r="138">
          <cell r="A138" t="str">
            <v>As a % of Sales</v>
          </cell>
          <cell r="B138" t="str">
            <v>4Q09</v>
          </cell>
          <cell r="C138" t="str">
            <v>4Q08</v>
          </cell>
          <cell r="D138" t="str">
            <v>MS Est.</v>
          </cell>
          <cell r="F138" t="str">
            <v>y/y∆ (bp)</v>
          </cell>
          <cell r="G138" t="str">
            <v>∆ vs MS
Est. (bp)</v>
          </cell>
          <cell r="J138" t="str">
            <v>FQ1</v>
          </cell>
          <cell r="K138" t="str">
            <v>FQ2</v>
          </cell>
          <cell r="L138" t="str">
            <v>FQ3</v>
          </cell>
          <cell r="M138" t="str">
            <v>FY1</v>
          </cell>
          <cell r="N138" t="str">
            <v>FY2</v>
          </cell>
        </row>
        <row r="139">
          <cell r="A139" t="str">
            <v>Gross Income</v>
          </cell>
          <cell r="B139">
            <v>0.35943311437115333</v>
          </cell>
          <cell r="C139">
            <v>0.31784386724838393</v>
          </cell>
          <cell r="D139">
            <v>0.35784386724838391</v>
          </cell>
          <cell r="F139">
            <v>415.89247122769399</v>
          </cell>
          <cell r="G139">
            <v>15.892471227694216</v>
          </cell>
          <cell r="I139" t="str">
            <v>Consensus</v>
          </cell>
          <cell r="J139">
            <v>0.98499999999999999</v>
          </cell>
          <cell r="K139">
            <v>7.5999999999999998E-2</v>
          </cell>
          <cell r="M139">
            <v>0.98299999999999998</v>
          </cell>
          <cell r="N139">
            <v>1.202</v>
          </cell>
          <cell r="O139" t="str">
            <v>Bloomberg 2/24</v>
          </cell>
        </row>
        <row r="140">
          <cell r="A140" t="str">
            <v>SG&amp;A Expense</v>
          </cell>
          <cell r="B140">
            <v>0.26366684338267576</v>
          </cell>
          <cell r="C140">
            <v>0.28004500251269832</v>
          </cell>
          <cell r="D140">
            <v>0.26902521392184064</v>
          </cell>
          <cell r="F140">
            <v>-163.78159130022553</v>
          </cell>
          <cell r="G140">
            <v>-53.583705391648806</v>
          </cell>
          <cell r="I140" t="str">
            <v>MS Est.</v>
          </cell>
          <cell r="J140">
            <v>0.225114276362679</v>
          </cell>
          <cell r="K140" t="str">
            <v>none</v>
          </cell>
          <cell r="M140">
            <v>1.1010266280936629</v>
          </cell>
          <cell r="N140">
            <v>1.2665067931582552</v>
          </cell>
        </row>
        <row r="141">
          <cell r="A141" t="str">
            <v>Operating Income</v>
          </cell>
          <cell r="B141">
            <v>9.5766270988477592E-2</v>
          </cell>
          <cell r="C141">
            <v>3.779886473568559E-2</v>
          </cell>
          <cell r="D141">
            <v>8.8818653326543262E-2</v>
          </cell>
          <cell r="F141">
            <v>579.67406252792</v>
          </cell>
          <cell r="G141">
            <v>69.476176619343306</v>
          </cell>
          <cell r="I141" t="str">
            <v>MS/C</v>
          </cell>
          <cell r="J141">
            <v>-0.75988572363732099</v>
          </cell>
          <cell r="K141" t="e">
            <v>#VALUE!</v>
          </cell>
          <cell r="L141">
            <v>0</v>
          </cell>
          <cell r="M141">
            <v>0</v>
          </cell>
          <cell r="N141">
            <v>0</v>
          </cell>
        </row>
        <row r="142">
          <cell r="A142" t="str">
            <v>Interest Expense</v>
          </cell>
          <cell r="B142">
            <v>3.1643210377647633E-2</v>
          </cell>
          <cell r="C142">
            <v>3.5762043127987642E-2</v>
          </cell>
          <cell r="D142">
            <v>3.1378458603900941E-2</v>
          </cell>
          <cell r="F142">
            <v>-41.188327503400082</v>
          </cell>
          <cell r="G142">
            <v>2.6475177374669228</v>
          </cell>
          <cell r="I142" t="str">
            <v>MGT Guid</v>
          </cell>
          <cell r="J142" t="str">
            <v>$0.00-$(0.04)</v>
          </cell>
        </row>
        <row r="143">
          <cell r="A143" t="str">
            <v>Other Expense (Income)</v>
          </cell>
          <cell r="B143">
            <v>-7.3910090208000262E-3</v>
          </cell>
          <cell r="C143">
            <v>1.628761729547883E-4</v>
          </cell>
          <cell r="D143">
            <v>-3.6241263266891016E-3</v>
          </cell>
          <cell r="F143">
            <v>-75.538851937548145</v>
          </cell>
          <cell r="G143">
            <v>-37.668826941109245</v>
          </cell>
        </row>
        <row r="144">
          <cell r="A144" t="str">
            <v>Tax Rate</v>
          </cell>
          <cell r="B144">
            <v>0.40006660295948787</v>
          </cell>
          <cell r="C144">
            <v>0.195484070522735</v>
          </cell>
          <cell r="D144">
            <v>0.38</v>
          </cell>
          <cell r="F144">
            <v>2045.8253243675288</v>
          </cell>
          <cell r="G144">
            <v>200.66602959487867</v>
          </cell>
        </row>
        <row r="145">
          <cell r="A145" t="str">
            <v>Net Income</v>
          </cell>
          <cell r="B145">
            <v>4.2903678730295505E-2</v>
          </cell>
          <cell r="C145">
            <v>1.5076189532220727E-3</v>
          </cell>
          <cell r="D145">
            <v>3.7859879050585479E-2</v>
          </cell>
          <cell r="F145">
            <v>413.9605977707343</v>
          </cell>
          <cell r="G145">
            <v>50.437996797100261</v>
          </cell>
        </row>
        <row r="147">
          <cell r="A147" t="str">
            <v>EPS</v>
          </cell>
          <cell r="B147">
            <v>0.24893510925268417</v>
          </cell>
          <cell r="C147">
            <v>8.04553257961238E-3</v>
          </cell>
          <cell r="D147">
            <v>0.225114276362679</v>
          </cell>
          <cell r="F147">
            <v>0.24088957667307179</v>
          </cell>
          <cell r="G147">
            <v>2.3820832890005167E-2</v>
          </cell>
        </row>
        <row r="149">
          <cell r="A149" t="str">
            <v>EPS Upsides/Downsides</v>
          </cell>
        </row>
        <row r="150">
          <cell r="A150" t="str">
            <v>Gross Margin</v>
          </cell>
          <cell r="B150">
            <v>5.555265989990261E-3</v>
          </cell>
        </row>
        <row r="151">
          <cell r="A151" t="str">
            <v>SG&amp;A</v>
          </cell>
          <cell r="B151">
            <v>1.8634632007562379E-2</v>
          </cell>
        </row>
        <row r="152">
          <cell r="A152" t="str">
            <v>Operating Margin</v>
          </cell>
          <cell r="B152">
            <v>2.418989799755264E-2</v>
          </cell>
        </row>
        <row r="153">
          <cell r="A153" t="str">
            <v>Interest Expense, Net</v>
          </cell>
          <cell r="B153">
            <v>-9.2361681188376816E-4</v>
          </cell>
        </row>
        <row r="154">
          <cell r="A154" t="str">
            <v>Other expense (income)</v>
          </cell>
          <cell r="B154">
            <v>1.3112471077827939E-2</v>
          </cell>
        </row>
        <row r="155">
          <cell r="A155" t="str">
            <v>Tax Rate</v>
          </cell>
          <cell r="B155">
            <v>-8.3263942709177457E-3</v>
          </cell>
        </row>
        <row r="156">
          <cell r="A156" t="str">
            <v>Shares</v>
          </cell>
          <cell r="B156">
            <v>-6.1742795380068938E-3</v>
          </cell>
        </row>
        <row r="157">
          <cell r="A157" t="str">
            <v>Total</v>
          </cell>
          <cell r="B157">
            <v>2.1878078454572167E-2</v>
          </cell>
        </row>
        <row r="159">
          <cell r="A159" t="str">
            <v>GPS</v>
          </cell>
          <cell r="J159" t="str">
            <v>4Q09</v>
          </cell>
          <cell r="K159" t="str">
            <v>1Q10</v>
          </cell>
        </row>
        <row r="160">
          <cell r="A160" t="str">
            <v>As a % of Sales</v>
          </cell>
          <cell r="B160" t="str">
            <v>4Q09</v>
          </cell>
          <cell r="C160" t="str">
            <v>4Q08</v>
          </cell>
          <cell r="D160" t="str">
            <v>MS Est.</v>
          </cell>
          <cell r="F160" t="str">
            <v>y/y∆ (bp)</v>
          </cell>
          <cell r="G160" t="str">
            <v>∆ vs MS
Est. (bp)</v>
          </cell>
          <cell r="J160" t="str">
            <v>FQ1</v>
          </cell>
          <cell r="K160" t="str">
            <v>FQ2</v>
          </cell>
          <cell r="L160" t="str">
            <v>FQ3</v>
          </cell>
          <cell r="M160" t="str">
            <v>FY1</v>
          </cell>
          <cell r="N160" t="str">
            <v>FY2</v>
          </cell>
        </row>
        <row r="161">
          <cell r="A161" t="str">
            <v>Gross Income</v>
          </cell>
          <cell r="B161">
            <v>0.3922743753062225</v>
          </cell>
          <cell r="C161">
            <v>0.34027437530622245</v>
          </cell>
          <cell r="D161">
            <v>0.42196995226060091</v>
          </cell>
          <cell r="F161">
            <v>520.00000000000045</v>
          </cell>
          <cell r="G161">
            <v>-296.95576954378413</v>
          </cell>
          <cell r="I161" t="str">
            <v>Consensus</v>
          </cell>
          <cell r="J161">
            <v>0.5</v>
          </cell>
          <cell r="K161">
            <v>0.35399999999999998</v>
          </cell>
          <cell r="M161">
            <v>1.5029999999999999</v>
          </cell>
          <cell r="N161">
            <v>1.6339999999999999</v>
          </cell>
        </row>
        <row r="162">
          <cell r="A162" t="str">
            <v>SG&amp;A Expense</v>
          </cell>
          <cell r="B162">
            <v>0.25777315041646254</v>
          </cell>
          <cell r="C162">
            <v>0.24277315041646252</v>
          </cell>
          <cell r="D162">
            <v>0.2828268744734625</v>
          </cell>
          <cell r="F162">
            <v>150.00000000000014</v>
          </cell>
          <cell r="G162">
            <v>-250.5372405699996</v>
          </cell>
          <cell r="I162" t="str">
            <v>MS Est.</v>
          </cell>
          <cell r="J162">
            <v>0.50455187729779205</v>
          </cell>
          <cell r="K162">
            <v>0.43607954545454547</v>
          </cell>
          <cell r="M162">
            <v>1.5717170524816499</v>
          </cell>
          <cell r="N162">
            <v>1.6307831306006146</v>
          </cell>
        </row>
        <row r="163">
          <cell r="A163" t="str">
            <v>Operating Income</v>
          </cell>
          <cell r="B163">
            <v>0.13450122488975996</v>
          </cell>
          <cell r="C163">
            <v>9.7501224889759916E-2</v>
          </cell>
          <cell r="D163">
            <v>0.13914307778713844</v>
          </cell>
          <cell r="F163">
            <v>370.00000000000045</v>
          </cell>
          <cell r="G163">
            <v>-46.418528973784788</v>
          </cell>
          <cell r="I163" t="str">
            <v>MS/C</v>
          </cell>
          <cell r="J163">
            <v>4.5518772977920507E-3</v>
          </cell>
          <cell r="K163">
            <v>8.2079545454545488E-2</v>
          </cell>
          <cell r="M163">
            <v>6.8717052481650054E-2</v>
          </cell>
          <cell r="N163">
            <v>-3.2168693993852582E-3</v>
          </cell>
        </row>
        <row r="164">
          <cell r="A164" t="str">
            <v>Interest Expense</v>
          </cell>
          <cell r="B164">
            <v>0</v>
          </cell>
          <cell r="C164">
            <v>0</v>
          </cell>
          <cell r="D164">
            <v>0</v>
          </cell>
          <cell r="F164">
            <v>0</v>
          </cell>
          <cell r="G164">
            <v>0</v>
          </cell>
          <cell r="I164" t="str">
            <v>Guidance</v>
          </cell>
          <cell r="J164" t="str">
            <v>$0.33-$0.35</v>
          </cell>
        </row>
        <row r="165">
          <cell r="A165" t="str">
            <v>Earnings b4 Taxes</v>
          </cell>
          <cell r="B165">
            <v>0.13450122488975996</v>
          </cell>
          <cell r="C165">
            <v>9.8236158745712884E-2</v>
          </cell>
          <cell r="D165">
            <v>0.13949061485667194</v>
          </cell>
          <cell r="F165">
            <v>362.6506614404708</v>
          </cell>
          <cell r="G165">
            <v>-49.893899669119776</v>
          </cell>
        </row>
        <row r="166">
          <cell r="A166" t="str">
            <v>Tax Rate</v>
          </cell>
          <cell r="B166">
            <v>0.39</v>
          </cell>
          <cell r="C166">
            <v>0.3940149625935162</v>
          </cell>
          <cell r="D166">
            <v>0.39</v>
          </cell>
          <cell r="F166">
            <v>-40.149625935161914</v>
          </cell>
          <cell r="G166">
            <v>0</v>
          </cell>
        </row>
        <row r="167">
          <cell r="A167" t="str">
            <v>Net Income</v>
          </cell>
          <cell r="B167">
            <v>0.39</v>
          </cell>
          <cell r="C167">
            <v>0.3940149625935162</v>
          </cell>
          <cell r="D167">
            <v>8.5089275062569872E-2</v>
          </cell>
          <cell r="F167">
            <v>-40.149625935161914</v>
          </cell>
          <cell r="G167">
            <v>3049.1072493743018</v>
          </cell>
        </row>
        <row r="169">
          <cell r="A169" t="str">
            <v>EPS</v>
          </cell>
          <cell r="B169">
            <v>0.50455187729779205</v>
          </cell>
          <cell r="C169">
            <v>0.34219263456090654</v>
          </cell>
          <cell r="D169">
            <v>0.43995659234339185</v>
          </cell>
          <cell r="F169">
            <v>0.16235924273688551</v>
          </cell>
          <cell r="G169">
            <v>6.4595284954400201E-2</v>
          </cell>
        </row>
        <row r="171">
          <cell r="A171" t="str">
            <v>EPS Upsides/Downsides</v>
          </cell>
        </row>
        <row r="172">
          <cell r="A172" t="str">
            <v>Sales</v>
          </cell>
          <cell r="B172">
            <v>0</v>
          </cell>
        </row>
        <row r="173">
          <cell r="A173" t="str">
            <v>Gross Margin</v>
          </cell>
          <cell r="B173">
            <v>0</v>
          </cell>
        </row>
        <row r="174">
          <cell r="A174" t="str">
            <v>SG&amp;A Expenses</v>
          </cell>
          <cell r="B174">
            <v>0</v>
          </cell>
        </row>
        <row r="175">
          <cell r="A175" t="str">
            <v>Operating Margin</v>
          </cell>
          <cell r="B175" t="e">
            <v>#REF!</v>
          </cell>
        </row>
        <row r="176">
          <cell r="A176" t="str">
            <v>Interest Expense</v>
          </cell>
          <cell r="B176">
            <v>0</v>
          </cell>
        </row>
        <row r="177">
          <cell r="A177" t="str">
            <v>Interest Income</v>
          </cell>
          <cell r="B177">
            <v>0</v>
          </cell>
        </row>
        <row r="178">
          <cell r="A178" t="str">
            <v>Tax Rate</v>
          </cell>
          <cell r="B178">
            <v>0</v>
          </cell>
        </row>
        <row r="179">
          <cell r="A179" t="str">
            <v>Shares</v>
          </cell>
          <cell r="B179">
            <v>0</v>
          </cell>
        </row>
        <row r="180">
          <cell r="A180" t="str">
            <v>Total</v>
          </cell>
          <cell r="B180">
            <v>0</v>
          </cell>
        </row>
        <row r="182">
          <cell r="A182" t="str">
            <v>ROST</v>
          </cell>
        </row>
        <row r="183">
          <cell r="A183" t="str">
            <v>As a % of Sales</v>
          </cell>
          <cell r="B183" t="str">
            <v>2Q09</v>
          </cell>
          <cell r="C183" t="str">
            <v>2Q08</v>
          </cell>
          <cell r="D183" t="str">
            <v>MS Est.</v>
          </cell>
          <cell r="F183" t="str">
            <v>y/y∆ (bp)</v>
          </cell>
          <cell r="G183" t="str">
            <v>∆ vs MS
Est. (bp)</v>
          </cell>
          <cell r="J183" t="str">
            <v>FQ1</v>
          </cell>
          <cell r="K183" t="str">
            <v>FQ2</v>
          </cell>
          <cell r="L183" t="str">
            <v>FY1</v>
          </cell>
          <cell r="M183" t="str">
            <v>FY2</v>
          </cell>
        </row>
        <row r="184">
          <cell r="A184" t="str">
            <v>Gross Income</v>
          </cell>
          <cell r="B184">
            <v>0</v>
          </cell>
          <cell r="C184">
            <v>0</v>
          </cell>
          <cell r="D184">
            <v>0</v>
          </cell>
          <cell r="F184">
            <v>0</v>
          </cell>
          <cell r="G184">
            <v>0</v>
          </cell>
          <cell r="I184" t="str">
            <v>Consensus</v>
          </cell>
          <cell r="J184">
            <v>0.82</v>
          </cell>
          <cell r="K184">
            <v>0.56000000000000005</v>
          </cell>
          <cell r="L184">
            <v>3</v>
          </cell>
          <cell r="M184">
            <v>3.27</v>
          </cell>
          <cell r="N184" t="str">
            <v>Bloomberg</v>
          </cell>
          <cell r="O184">
            <v>40045</v>
          </cell>
        </row>
        <row r="185">
          <cell r="A185" t="str">
            <v>SG&amp;A Expense</v>
          </cell>
          <cell r="B185">
            <v>0</v>
          </cell>
          <cell r="C185">
            <v>0</v>
          </cell>
          <cell r="D185">
            <v>0</v>
          </cell>
          <cell r="F185">
            <v>0</v>
          </cell>
          <cell r="G185">
            <v>0</v>
          </cell>
          <cell r="I185" t="str">
            <v>MS Est.</v>
          </cell>
          <cell r="J185">
            <v>0</v>
          </cell>
          <cell r="K185">
            <v>0.56000000000000005</v>
          </cell>
          <cell r="L185">
            <v>3.03</v>
          </cell>
          <cell r="M185">
            <v>3.43</v>
          </cell>
        </row>
        <row r="186">
          <cell r="A186" t="str">
            <v>Operating Income</v>
          </cell>
          <cell r="B186">
            <v>0</v>
          </cell>
          <cell r="C186">
            <v>0</v>
          </cell>
          <cell r="D186">
            <v>0</v>
          </cell>
          <cell r="F186">
            <v>0</v>
          </cell>
          <cell r="G186">
            <v>0</v>
          </cell>
          <cell r="I186" t="str">
            <v>MS/C</v>
          </cell>
          <cell r="J186">
            <v>-0.82</v>
          </cell>
          <cell r="K186">
            <v>0</v>
          </cell>
          <cell r="L186">
            <v>2.9999999999999805E-2</v>
          </cell>
          <cell r="M186">
            <v>0.16000000000000014</v>
          </cell>
        </row>
        <row r="187">
          <cell r="A187" t="str">
            <v>Interest Expense</v>
          </cell>
          <cell r="B187">
            <v>0</v>
          </cell>
          <cell r="C187">
            <v>0</v>
          </cell>
          <cell r="D187">
            <v>0</v>
          </cell>
          <cell r="F187">
            <v>0</v>
          </cell>
          <cell r="G187">
            <v>0</v>
          </cell>
          <cell r="I187" t="str">
            <v>Guidance</v>
          </cell>
          <cell r="J187" t="str">
            <v>0.81-0.82</v>
          </cell>
        </row>
        <row r="188">
          <cell r="A188" t="str">
            <v>Earnings b4 Taxes</v>
          </cell>
          <cell r="B188">
            <v>0</v>
          </cell>
          <cell r="C188">
            <v>0</v>
          </cell>
          <cell r="D188">
            <v>0</v>
          </cell>
          <cell r="F188">
            <v>0</v>
          </cell>
          <cell r="G188">
            <v>0</v>
          </cell>
          <cell r="I188" t="str">
            <v>N Guidance</v>
          </cell>
        </row>
        <row r="189">
          <cell r="A189" t="str">
            <v>Tax Rate</v>
          </cell>
          <cell r="B189">
            <v>0</v>
          </cell>
          <cell r="C189">
            <v>0</v>
          </cell>
          <cell r="D189">
            <v>0</v>
          </cell>
          <cell r="F189">
            <v>0</v>
          </cell>
          <cell r="G189">
            <v>0</v>
          </cell>
        </row>
        <row r="190">
          <cell r="A190" t="str">
            <v>Net Income</v>
          </cell>
          <cell r="B190">
            <v>0</v>
          </cell>
          <cell r="C190">
            <v>0</v>
          </cell>
          <cell r="D190">
            <v>0</v>
          </cell>
          <cell r="F190">
            <v>0</v>
          </cell>
          <cell r="G190">
            <v>0</v>
          </cell>
        </row>
        <row r="192">
          <cell r="A192" t="str">
            <v>EPS</v>
          </cell>
          <cell r="B192">
            <v>0</v>
          </cell>
          <cell r="C192">
            <v>0</v>
          </cell>
          <cell r="D192">
            <v>0</v>
          </cell>
          <cell r="F192">
            <v>0</v>
          </cell>
          <cell r="G192">
            <v>0</v>
          </cell>
        </row>
        <row r="194">
          <cell r="A194" t="str">
            <v>EPS Upsides/Downsides</v>
          </cell>
        </row>
        <row r="195">
          <cell r="A195" t="str">
            <v>Gross Margin</v>
          </cell>
          <cell r="B195">
            <v>-9.3079415940881156E-3</v>
          </cell>
        </row>
        <row r="196">
          <cell r="A196" t="str">
            <v>SG&amp;A</v>
          </cell>
          <cell r="B196">
            <v>-4.1553199556378624E-3</v>
          </cell>
        </row>
        <row r="197">
          <cell r="A197" t="str">
            <v>Interest Expense, Net</v>
          </cell>
          <cell r="B197">
            <v>1.4972157034199365E-3</v>
          </cell>
        </row>
        <row r="198">
          <cell r="A198" t="str">
            <v>Tax Rate</v>
          </cell>
          <cell r="B198">
            <v>6.994656953981741E-3</v>
          </cell>
        </row>
        <row r="199">
          <cell r="A199" t="str">
            <v>Shares</v>
          </cell>
          <cell r="B199">
            <v>4.7205651805766191E-3</v>
          </cell>
        </row>
        <row r="200">
          <cell r="A200" t="str">
            <v>Total</v>
          </cell>
          <cell r="B200">
            <v>-2.508237117476806E-4</v>
          </cell>
        </row>
        <row r="202">
          <cell r="A202" t="str">
            <v>TJX</v>
          </cell>
        </row>
        <row r="203">
          <cell r="A203" t="str">
            <v>As a % of Sales</v>
          </cell>
          <cell r="B203" t="str">
            <v>3Q09</v>
          </cell>
          <cell r="C203" t="str">
            <v>3Q08</v>
          </cell>
          <cell r="D203" t="str">
            <v>MS Est.</v>
          </cell>
          <cell r="F203" t="str">
            <v>y/y∆ (bp)</v>
          </cell>
          <cell r="G203" t="str">
            <v>∆ vs MS
Est. (bp)</v>
          </cell>
          <cell r="J203" t="str">
            <v>FQ1</v>
          </cell>
          <cell r="K203" t="str">
            <v>FQ2</v>
          </cell>
          <cell r="L203" t="str">
            <v>FY1</v>
          </cell>
          <cell r="M203" t="str">
            <v>FY2</v>
          </cell>
        </row>
        <row r="204">
          <cell r="A204" t="str">
            <v>Gross Income</v>
          </cell>
          <cell r="B204">
            <v>0</v>
          </cell>
          <cell r="C204">
            <v>0</v>
          </cell>
          <cell r="D204">
            <v>0</v>
          </cell>
          <cell r="F204">
            <v>0</v>
          </cell>
          <cell r="G204">
            <v>0</v>
          </cell>
          <cell r="I204" t="str">
            <v>Consensus</v>
          </cell>
          <cell r="J204">
            <v>0.78400000000000003</v>
          </cell>
          <cell r="K204">
            <v>0.70599999999999996</v>
          </cell>
          <cell r="L204">
            <v>2.5819999999999999</v>
          </cell>
          <cell r="M204">
            <v>2.8839999999999999</v>
          </cell>
          <cell r="N204" t="str">
            <v>Bloomberg</v>
          </cell>
          <cell r="O204">
            <v>40133</v>
          </cell>
        </row>
        <row r="205">
          <cell r="A205" t="str">
            <v>SG&amp;A Expense</v>
          </cell>
          <cell r="B205">
            <v>0</v>
          </cell>
          <cell r="C205">
            <v>0</v>
          </cell>
          <cell r="D205">
            <v>0</v>
          </cell>
          <cell r="F205">
            <v>0</v>
          </cell>
          <cell r="G205">
            <v>0</v>
          </cell>
          <cell r="I205" t="str">
            <v>MS Est.</v>
          </cell>
          <cell r="J205">
            <v>0</v>
          </cell>
          <cell r="K205">
            <v>0.81</v>
          </cell>
          <cell r="L205">
            <v>2.7</v>
          </cell>
          <cell r="M205">
            <v>3.13</v>
          </cell>
        </row>
        <row r="206">
          <cell r="A206" t="str">
            <v>Operating Income</v>
          </cell>
          <cell r="B206">
            <v>0</v>
          </cell>
          <cell r="C206">
            <v>0</v>
          </cell>
          <cell r="D206">
            <v>0</v>
          </cell>
          <cell r="F206">
            <v>0</v>
          </cell>
          <cell r="G206">
            <v>0</v>
          </cell>
          <cell r="I206" t="str">
            <v>MS/C</v>
          </cell>
          <cell r="J206">
            <v>-0.78400000000000003</v>
          </cell>
          <cell r="K206">
            <v>0.10400000000000009</v>
          </cell>
          <cell r="L206">
            <v>0.11800000000000033</v>
          </cell>
          <cell r="M206">
            <v>0.246</v>
          </cell>
        </row>
        <row r="207">
          <cell r="A207" t="str">
            <v>Interest Expense</v>
          </cell>
          <cell r="B207">
            <v>0</v>
          </cell>
          <cell r="C207">
            <v>0</v>
          </cell>
          <cell r="D207">
            <v>0</v>
          </cell>
          <cell r="F207">
            <v>0</v>
          </cell>
          <cell r="G207">
            <v>0</v>
          </cell>
          <cell r="I207" t="str">
            <v>Mgt</v>
          </cell>
        </row>
        <row r="208">
          <cell r="A208" t="str">
            <v>Earnings b4 Taxes</v>
          </cell>
          <cell r="B208">
            <v>0</v>
          </cell>
          <cell r="C208">
            <v>0</v>
          </cell>
          <cell r="D208">
            <v>0</v>
          </cell>
          <cell r="F208">
            <v>0</v>
          </cell>
          <cell r="G208">
            <v>0</v>
          </cell>
          <cell r="I208" t="str">
            <v>New Guide</v>
          </cell>
        </row>
        <row r="209">
          <cell r="A209" t="str">
            <v>Tax Rate</v>
          </cell>
          <cell r="B209">
            <v>0</v>
          </cell>
          <cell r="C209">
            <v>0</v>
          </cell>
          <cell r="D209">
            <v>0</v>
          </cell>
          <cell r="F209">
            <v>0</v>
          </cell>
          <cell r="G209">
            <v>0</v>
          </cell>
        </row>
        <row r="210">
          <cell r="A210" t="str">
            <v>Net Income</v>
          </cell>
          <cell r="B210">
            <v>0</v>
          </cell>
          <cell r="C210">
            <v>0</v>
          </cell>
          <cell r="D210">
            <v>0</v>
          </cell>
          <cell r="F210">
            <v>0</v>
          </cell>
          <cell r="G210">
            <v>0</v>
          </cell>
        </row>
        <row r="212">
          <cell r="A212" t="str">
            <v>EPS</v>
          </cell>
          <cell r="B212">
            <v>0</v>
          </cell>
          <cell r="C212">
            <v>0</v>
          </cell>
          <cell r="D212">
            <v>0</v>
          </cell>
          <cell r="F212">
            <v>0</v>
          </cell>
          <cell r="G212">
            <v>0</v>
          </cell>
        </row>
        <row r="214">
          <cell r="A214" t="str">
            <v>EPS Upsides/Downsides</v>
          </cell>
        </row>
        <row r="215">
          <cell r="A215" t="str">
            <v>Reported Sales Variance</v>
          </cell>
          <cell r="B215">
            <v>-9.2385306540772958E-3</v>
          </cell>
        </row>
        <row r="216">
          <cell r="A216" t="str">
            <v>Gross Margin</v>
          </cell>
          <cell r="B216">
            <v>0.12327703340832144</v>
          </cell>
        </row>
        <row r="217">
          <cell r="A217" t="str">
            <v>SG&amp;A</v>
          </cell>
          <cell r="B217">
            <v>-9.2623490996430774E-2</v>
          </cell>
        </row>
        <row r="218">
          <cell r="A218" t="str">
            <v>Interest Expense, Net</v>
          </cell>
          <cell r="B218">
            <v>-1.7995738165169045E-3</v>
          </cell>
        </row>
        <row r="219">
          <cell r="A219" t="str">
            <v>Tax Rate</v>
          </cell>
          <cell r="B219">
            <v>1.0237504860645822E-2</v>
          </cell>
        </row>
        <row r="220">
          <cell r="A220" t="str">
            <v>Shares</v>
          </cell>
          <cell r="B220">
            <v>4.3935790474023406E-3</v>
          </cell>
        </row>
        <row r="221">
          <cell r="A221" t="str">
            <v>Total</v>
          </cell>
          <cell r="B221">
            <v>3.4246521849344624E-2</v>
          </cell>
        </row>
        <row r="223">
          <cell r="A223" t="str">
            <v>URBN</v>
          </cell>
        </row>
        <row r="224">
          <cell r="A224" t="str">
            <v>As a % of Sales</v>
          </cell>
          <cell r="B224" t="str">
            <v>4Q09</v>
          </cell>
          <cell r="C224" t="str">
            <v>4Q08</v>
          </cell>
          <cell r="D224" t="str">
            <v>MS Estimate</v>
          </cell>
          <cell r="F224" t="str">
            <v>y/y∆ (bp)</v>
          </cell>
          <cell r="G224" t="str">
            <v>∆ vs 
Est. (bp)</v>
          </cell>
          <cell r="J224" t="str">
            <v>FQ1</v>
          </cell>
          <cell r="K224" t="str">
            <v>FQ2</v>
          </cell>
          <cell r="L224" t="str">
            <v>FY1</v>
          </cell>
          <cell r="M224" t="str">
            <v>FY2</v>
          </cell>
        </row>
        <row r="225">
          <cell r="A225" t="str">
            <v>Gross Income</v>
          </cell>
          <cell r="B225">
            <v>0.41744081917711845</v>
          </cell>
          <cell r="C225">
            <v>0.34028633398808855</v>
          </cell>
          <cell r="D225">
            <v>0.39338633398808853</v>
          </cell>
          <cell r="F225">
            <v>771.54485189029901</v>
          </cell>
          <cell r="G225">
            <v>240.54485189029919</v>
          </cell>
          <cell r="I225" t="str">
            <v>Consensus</v>
          </cell>
          <cell r="J225">
            <v>0.40300000000000002</v>
          </cell>
          <cell r="K225">
            <v>0.25900000000000001</v>
          </cell>
          <cell r="L225">
            <v>1.234</v>
          </cell>
          <cell r="M225">
            <v>1.5580000000000001</v>
          </cell>
          <cell r="N225" t="str">
            <v>updated 3/3/2010</v>
          </cell>
        </row>
        <row r="226">
          <cell r="A226" t="str">
            <v>SG&amp;A Expense</v>
          </cell>
          <cell r="B226">
            <v>0.21580375637433241</v>
          </cell>
          <cell r="C226">
            <v>0.21590779368522153</v>
          </cell>
          <cell r="D226">
            <v>0.21140779368522153</v>
          </cell>
          <cell r="F226">
            <v>-1.0403731088912127</v>
          </cell>
          <cell r="G226">
            <v>43.959626891108826</v>
          </cell>
          <cell r="I226" t="str">
            <v>MS Est.</v>
          </cell>
          <cell r="J226">
            <v>0.40309878685263067</v>
          </cell>
          <cell r="K226">
            <v>0.38</v>
          </cell>
          <cell r="L226">
            <v>1.21</v>
          </cell>
          <cell r="M226">
            <v>1.5</v>
          </cell>
          <cell r="N226" t="str">
            <v>updated 3/3/2010</v>
          </cell>
        </row>
        <row r="227">
          <cell r="A227" t="str">
            <v>Operating Income</v>
          </cell>
          <cell r="B227">
            <v>0.20163706280278604</v>
          </cell>
          <cell r="C227">
            <v>0.12437854030286699</v>
          </cell>
          <cell r="D227">
            <v>0.18197854030286698</v>
          </cell>
          <cell r="F227">
            <v>772.58522499919047</v>
          </cell>
          <cell r="G227">
            <v>196.58522499919061</v>
          </cell>
          <cell r="I227" t="str">
            <v>MS/C</v>
          </cell>
          <cell r="J227">
            <v>9.8786852630650124E-5</v>
          </cell>
          <cell r="K227">
            <v>-0.25900000000000001</v>
          </cell>
          <cell r="L227">
            <v>-1.234</v>
          </cell>
          <cell r="M227">
            <v>-1.5580000000000001</v>
          </cell>
        </row>
        <row r="228">
          <cell r="A228" t="str">
            <v>Other Expenses (Income)</v>
          </cell>
          <cell r="B228">
            <v>-9.7707194478099143E-4</v>
          </cell>
          <cell r="C228">
            <v>-5.8120997169725901E-3</v>
          </cell>
          <cell r="D228">
            <v>-5.8120997169725901E-3</v>
          </cell>
          <cell r="F228">
            <v>48.350277721915987</v>
          </cell>
          <cell r="G228">
            <v>48.350277721915987</v>
          </cell>
          <cell r="I228" t="str">
            <v>Guidance</v>
          </cell>
          <cell r="J228" t="str">
            <v>NA</v>
          </cell>
          <cell r="K228" t="str">
            <v>NA</v>
          </cell>
          <cell r="L228" t="str">
            <v>NA</v>
          </cell>
          <cell r="M228" t="str">
            <v>NA</v>
          </cell>
        </row>
        <row r="229">
          <cell r="A229" t="str">
            <v>Income Before Taxes</v>
          </cell>
          <cell r="B229">
            <v>0.20261413474756704</v>
          </cell>
          <cell r="C229">
            <v>0.1301906400198396</v>
          </cell>
          <cell r="D229">
            <v>0.18779064001983956</v>
          </cell>
          <cell r="F229">
            <v>724.23494727727439</v>
          </cell>
          <cell r="G229">
            <v>148.23494727727481</v>
          </cell>
        </row>
        <row r="230">
          <cell r="A230" t="str">
            <v>Tax Rate</v>
          </cell>
          <cell r="B230">
            <v>0.34856630072880074</v>
          </cell>
          <cell r="C230">
            <v>0.38704703161141057</v>
          </cell>
          <cell r="D230">
            <v>0.374</v>
          </cell>
          <cell r="F230">
            <v>-384.80730882609839</v>
          </cell>
          <cell r="G230">
            <v>-254.33699271199262</v>
          </cell>
        </row>
        <row r="231">
          <cell r="A231" t="str">
            <v>Net Income</v>
          </cell>
          <cell r="B231">
            <v>0.13198967532324082</v>
          </cell>
          <cell r="C231">
            <v>7.9800739256570954E-2</v>
          </cell>
          <cell r="D231">
            <v>0.11755694065241959</v>
          </cell>
          <cell r="F231">
            <v>521.88936066669874</v>
          </cell>
          <cell r="G231">
            <v>144.32734670821233</v>
          </cell>
        </row>
        <row r="233">
          <cell r="A233" t="str">
            <v>EPS</v>
          </cell>
          <cell r="B233">
            <v>0.45049458331518716</v>
          </cell>
          <cell r="C233">
            <v>0.2383991529512581</v>
          </cell>
          <cell r="D233">
            <v>0.40309878685263067</v>
          </cell>
          <cell r="F233">
            <v>0.21209543036392906</v>
          </cell>
          <cell r="G233">
            <v>4.7395796462556483E-2</v>
          </cell>
        </row>
        <row r="235">
          <cell r="A235" t="str">
            <v>EPS Upsides/Downsides</v>
          </cell>
        </row>
        <row r="236">
          <cell r="A236" t="str">
            <v>Sales</v>
          </cell>
          <cell r="B236" t="e">
            <v>#REF!</v>
          </cell>
        </row>
        <row r="237">
          <cell r="A237" t="str">
            <v>Gross Margin</v>
          </cell>
          <cell r="B237">
            <v>5.3483017340296916E-2</v>
          </cell>
        </row>
        <row r="238">
          <cell r="A238" t="str">
            <v>SG&amp;A</v>
          </cell>
          <cell r="B238">
            <v>-9.7740336939839308E-3</v>
          </cell>
        </row>
        <row r="239">
          <cell r="A239" t="str">
            <v>Other Expenses (Income)</v>
          </cell>
          <cell r="B239">
            <v>-1.0750256018734979E-2</v>
          </cell>
        </row>
        <row r="240">
          <cell r="A240" t="str">
            <v>Tax Rate</v>
          </cell>
          <cell r="B240">
            <v>1.7588503278478228E-2</v>
          </cell>
        </row>
        <row r="241">
          <cell r="A241" t="str">
            <v>Shares</v>
          </cell>
          <cell r="B241">
            <v>-2.0935642207525196E-3</v>
          </cell>
        </row>
        <row r="242">
          <cell r="A242" t="str">
            <v>Total</v>
          </cell>
          <cell r="B242">
            <v>4.8453666685303709E-2</v>
          </cell>
        </row>
        <row r="243">
          <cell r="A243" t="str">
            <v>AEO</v>
          </cell>
        </row>
        <row r="244">
          <cell r="A244" t="str">
            <v>AEO</v>
          </cell>
          <cell r="B244" t="str">
            <v>3Q09</v>
          </cell>
          <cell r="C244" t="str">
            <v>3Q08</v>
          </cell>
          <cell r="D244" t="str">
            <v>MS Estimate</v>
          </cell>
          <cell r="F244" t="str">
            <v>y/y∆ (bp)</v>
          </cell>
          <cell r="G244" t="str">
            <v>∆ vs 
Est. (bp)</v>
          </cell>
          <cell r="J244" t="str">
            <v>FQ1</v>
          </cell>
          <cell r="K244" t="str">
            <v>FQ2</v>
          </cell>
          <cell r="M244" t="str">
            <v>FY1</v>
          </cell>
          <cell r="N244" t="str">
            <v>FY2</v>
          </cell>
        </row>
        <row r="245">
          <cell r="A245" t="str">
            <v>As a % of Sales</v>
          </cell>
          <cell r="B245" t="str">
            <v>4Q09</v>
          </cell>
          <cell r="C245" t="str">
            <v>4Q08</v>
          </cell>
          <cell r="D245" t="str">
            <v>MS Estimate</v>
          </cell>
          <cell r="F245" t="str">
            <v>y/y∆ (bp)</v>
          </cell>
          <cell r="G245" t="str">
            <v>∆ vs 
Est. (bp)</v>
          </cell>
          <cell r="I245" t="str">
            <v>Consensus</v>
          </cell>
          <cell r="J245" t="str">
            <v>FQ1</v>
          </cell>
          <cell r="K245" t="str">
            <v>FQ2</v>
          </cell>
          <cell r="M245" t="str">
            <v>FY1</v>
          </cell>
          <cell r="N245" t="str">
            <v>FY2</v>
          </cell>
          <cell r="O245" t="str">
            <v>updated 11/23/2009</v>
          </cell>
        </row>
        <row r="246">
          <cell r="A246" t="str">
            <v>Gross Income</v>
          </cell>
          <cell r="B246">
            <v>0.38593867923135189</v>
          </cell>
          <cell r="C246">
            <v>0.34406978028044605</v>
          </cell>
          <cell r="D246">
            <v>0.38593867923135189</v>
          </cell>
          <cell r="F246">
            <v>418.68898950905844</v>
          </cell>
          <cell r="G246">
            <v>0</v>
          </cell>
          <cell r="I246" t="str">
            <v>Consensus</v>
          </cell>
          <cell r="J246">
            <v>0.20516677394692481</v>
          </cell>
          <cell r="K246">
            <v>0.34</v>
          </cell>
          <cell r="M246">
            <v>0.77</v>
          </cell>
          <cell r="N246">
            <v>0.97</v>
          </cell>
        </row>
        <row r="247">
          <cell r="A247" t="str">
            <v>SG&amp;A</v>
          </cell>
          <cell r="B247">
            <v>0.26707126698025407</v>
          </cell>
          <cell r="C247">
            <v>0.27777851385668545</v>
          </cell>
          <cell r="D247">
            <v>0.26707126698025407</v>
          </cell>
          <cell r="F247">
            <v>-107.07246876431375</v>
          </cell>
          <cell r="G247">
            <v>0</v>
          </cell>
          <cell r="I247" t="str">
            <v>MS Est.</v>
          </cell>
          <cell r="J247">
            <v>-4.8332260530751792E-3</v>
          </cell>
          <cell r="K247">
            <v>1.8000000000000016E-2</v>
          </cell>
          <cell r="M247">
            <v>2.200000000000002E-2</v>
          </cell>
          <cell r="N247">
            <v>-6.2000000000000055E-2</v>
          </cell>
        </row>
        <row r="248">
          <cell r="A248" t="str">
            <v>Operating Income</v>
          </cell>
          <cell r="B248">
            <v>0.11886741225109779</v>
          </cell>
          <cell r="C248">
            <v>6.6291266423760653E-2</v>
          </cell>
          <cell r="D248">
            <v>0.11886741225109779</v>
          </cell>
          <cell r="F248">
            <v>525.76145827337132</v>
          </cell>
          <cell r="G248">
            <v>0</v>
          </cell>
          <cell r="I248" t="str">
            <v>MS/C</v>
          </cell>
          <cell r="J248" t="str">
            <v>0.20-0.21 op.</v>
          </cell>
        </row>
        <row r="249">
          <cell r="A249" t="str">
            <v>Interest and Other Income, net</v>
          </cell>
          <cell r="B249">
            <v>-4.7111590699647102E-4</v>
          </cell>
          <cell r="C249">
            <v>3.207463840123661E-3</v>
          </cell>
          <cell r="D249">
            <v>-4.7111590699647102E-4</v>
          </cell>
          <cell r="F249">
            <v>-36.78579747120132</v>
          </cell>
          <cell r="G249">
            <v>0</v>
          </cell>
          <cell r="I249" t="str">
            <v>M Guidance</v>
          </cell>
        </row>
        <row r="250">
          <cell r="A250" t="str">
            <v>Income Before Taxes</v>
          </cell>
          <cell r="B250">
            <v>0.11839629634410131</v>
          </cell>
          <cell r="C250">
            <v>6.9498730263884312E-2</v>
          </cell>
          <cell r="D250">
            <v>0.11839629634410131</v>
          </cell>
          <cell r="F250">
            <v>488.97566080217001</v>
          </cell>
          <cell r="G250">
            <v>0</v>
          </cell>
        </row>
        <row r="251">
          <cell r="A251" t="str">
            <v>Tax Rate</v>
          </cell>
          <cell r="B251">
            <v>0.38</v>
          </cell>
          <cell r="C251">
            <v>0.3856064818492333</v>
          </cell>
          <cell r="D251">
            <v>0.38</v>
          </cell>
          <cell r="F251">
            <v>-56.064818492332911</v>
          </cell>
          <cell r="G251">
            <v>0</v>
          </cell>
        </row>
        <row r="252">
          <cell r="A252" t="str">
            <v>Net Income</v>
          </cell>
          <cell r="B252">
            <v>7.340570373334282E-2</v>
          </cell>
          <cell r="C252">
            <v>4.2699569393839044E-2</v>
          </cell>
          <cell r="D252">
            <v>7.340570373334282E-2</v>
          </cell>
          <cell r="F252">
            <v>307.06134339503774</v>
          </cell>
          <cell r="G252">
            <v>0</v>
          </cell>
        </row>
        <row r="253">
          <cell r="A253" t="str">
            <v>EPS</v>
          </cell>
          <cell r="B253">
            <v>0.20516677394692481</v>
          </cell>
          <cell r="C253">
            <v>0.30139292156616848</v>
          </cell>
          <cell r="D253">
            <v>0.20516677394692481</v>
          </cell>
          <cell r="F253">
            <v>-9.6226147619243668E-2</v>
          </cell>
          <cell r="G253">
            <v>0</v>
          </cell>
        </row>
        <row r="254">
          <cell r="A254" t="str">
            <v>EPS</v>
          </cell>
          <cell r="B254">
            <v>0.33751528617009335</v>
          </cell>
          <cell r="C254">
            <v>0.18721951927964575</v>
          </cell>
          <cell r="D254">
            <v>0.33751528617009335</v>
          </cell>
          <cell r="F254">
            <v>0.1502957668904476</v>
          </cell>
          <cell r="G254">
            <v>0</v>
          </cell>
        </row>
        <row r="255">
          <cell r="A255" t="str">
            <v>EPS Upsides/Downsides</v>
          </cell>
        </row>
        <row r="256">
          <cell r="A256" t="str">
            <v>EPS Upsides/Downsides</v>
          </cell>
          <cell r="B256">
            <v>0</v>
          </cell>
        </row>
        <row r="257">
          <cell r="A257" t="str">
            <v>Gross Margin</v>
          </cell>
          <cell r="B257">
            <v>0</v>
          </cell>
        </row>
        <row r="258">
          <cell r="A258" t="str">
            <v>SG&amp;A</v>
          </cell>
          <cell r="B258">
            <v>0</v>
          </cell>
        </row>
        <row r="259">
          <cell r="A259" t="str">
            <v>Interest and Other Income, net</v>
          </cell>
          <cell r="B259">
            <v>0</v>
          </cell>
        </row>
        <row r="260">
          <cell r="A260" t="str">
            <v>Tax Rate</v>
          </cell>
          <cell r="B260">
            <v>0</v>
          </cell>
        </row>
        <row r="261">
          <cell r="A261" t="str">
            <v>Shares</v>
          </cell>
          <cell r="B261">
            <v>0</v>
          </cell>
        </row>
        <row r="262">
          <cell r="A262" t="str">
            <v>Total</v>
          </cell>
          <cell r="B262">
            <v>0</v>
          </cell>
        </row>
        <row r="263">
          <cell r="A263" t="str">
            <v>ANF</v>
          </cell>
          <cell r="I263" t="str">
            <v>From Bloomberg</v>
          </cell>
        </row>
        <row r="264">
          <cell r="A264" t="str">
            <v>ANF</v>
          </cell>
          <cell r="B264" t="str">
            <v>3Q09</v>
          </cell>
          <cell r="C264" t="str">
            <v>3Q08</v>
          </cell>
          <cell r="D264" t="str">
            <v>MS Est.</v>
          </cell>
          <cell r="F264" t="str">
            <v>y/y∆ (bp)</v>
          </cell>
          <cell r="G264" t="str">
            <v>∆ vs MS
Est. (bp)</v>
          </cell>
          <cell r="I264" t="str">
            <v>From Bloomberg</v>
          </cell>
          <cell r="J264" t="str">
            <v>FQ1</v>
          </cell>
          <cell r="K264" t="str">
            <v>FQ2</v>
          </cell>
          <cell r="M264" t="str">
            <v>FY1</v>
          </cell>
          <cell r="N264" t="str">
            <v>FY2</v>
          </cell>
          <cell r="O264" t="str">
            <v>FY3</v>
          </cell>
        </row>
        <row r="265">
          <cell r="A265" t="str">
            <v>As a % of Sales</v>
          </cell>
          <cell r="B265" t="str">
            <v>4Q09</v>
          </cell>
          <cell r="C265" t="str">
            <v>4Q08</v>
          </cell>
          <cell r="D265" t="str">
            <v>MS Est.</v>
          </cell>
          <cell r="F265" t="str">
            <v>y/y∆ (bp)</v>
          </cell>
          <cell r="G265" t="str">
            <v>∆ vs MS
Est. (bp)</v>
          </cell>
          <cell r="I265" t="str">
            <v>Consensus</v>
          </cell>
          <cell r="J265" t="str">
            <v>FQ1</v>
          </cell>
          <cell r="K265" t="str">
            <v>FQ2</v>
          </cell>
          <cell r="M265" t="str">
            <v>FY1</v>
          </cell>
          <cell r="N265" t="str">
            <v>FY2</v>
          </cell>
          <cell r="O265" t="str">
            <v>FY3</v>
          </cell>
          <cell r="P265">
            <v>40129</v>
          </cell>
        </row>
        <row r="266">
          <cell r="A266" t="str">
            <v>Gross Income</v>
          </cell>
          <cell r="B266">
            <v>0.63520055214206117</v>
          </cell>
          <cell r="C266">
            <v>0.64625120691184512</v>
          </cell>
          <cell r="D266">
            <v>0.6389308385648651</v>
          </cell>
          <cell r="F266">
            <v>-110.50654769783952</v>
          </cell>
          <cell r="G266">
            <v>-37.302864228039297</v>
          </cell>
          <cell r="I266" t="str">
            <v>Consensus</v>
          </cell>
          <cell r="J266">
            <v>0.86899999999999999</v>
          </cell>
          <cell r="K266">
            <v>-0.30550645974206669</v>
          </cell>
          <cell r="M266">
            <v>0.89300000000000002</v>
          </cell>
          <cell r="N266">
            <v>1.6679999999999999</v>
          </cell>
          <cell r="O266">
            <v>2.238</v>
          </cell>
          <cell r="P266">
            <v>40225</v>
          </cell>
        </row>
        <row r="267">
          <cell r="A267" t="str">
            <v>SG&amp;A Expense</v>
          </cell>
          <cell r="B267">
            <v>0.50553157028219287</v>
          </cell>
          <cell r="C267">
            <v>0.49192146483158294</v>
          </cell>
          <cell r="D267">
            <v>0.50634691694515288</v>
          </cell>
          <cell r="F267">
            <v>136.10105450609922</v>
          </cell>
          <cell r="G267">
            <v>-8.1534666296001479</v>
          </cell>
          <cell r="I267" t="str">
            <v>MS Est.</v>
          </cell>
          <cell r="J267">
            <v>0.91479700159346322</v>
          </cell>
          <cell r="K267">
            <v>-1.3135064597420667</v>
          </cell>
        </row>
        <row r="268">
          <cell r="A268" t="str">
            <v>Other Operating Expense</v>
          </cell>
          <cell r="B268">
            <v>-7.7650319287258102E-3</v>
          </cell>
          <cell r="C268">
            <v>-5.5372656653843921E-3</v>
          </cell>
          <cell r="D268">
            <v>-6.4792049741721819E-3</v>
          </cell>
          <cell r="F268">
            <v>-22.277662633414181</v>
          </cell>
          <cell r="G268">
            <v>-12.858269545536283</v>
          </cell>
          <cell r="I268" t="str">
            <v>MS/C</v>
          </cell>
          <cell r="J268">
            <v>4.5797001593463227E-2</v>
          </cell>
        </row>
        <row r="269">
          <cell r="A269" t="str">
            <v>Operating Income</v>
          </cell>
          <cell r="B269">
            <v>0.13743401378859399</v>
          </cell>
          <cell r="C269">
            <v>0.15986700774564663</v>
          </cell>
          <cell r="D269">
            <v>0.1390631265938844</v>
          </cell>
          <cell r="F269">
            <v>-224.32993957052645</v>
          </cell>
          <cell r="G269">
            <v>-16.291128052904057</v>
          </cell>
          <cell r="I269" t="str">
            <v>Guidance</v>
          </cell>
        </row>
        <row r="270">
          <cell r="A270" t="str">
            <v>Interest Expense (Income)</v>
          </cell>
          <cell r="B270">
            <v>1.1677462710645722E-3</v>
          </cell>
          <cell r="C270">
            <v>-1.4467648645149055E-3</v>
          </cell>
          <cell r="D270">
            <v>4.1688385501705005E-4</v>
          </cell>
          <cell r="F270">
            <v>26.145111355794779</v>
          </cell>
          <cell r="G270">
            <v>7.5086241604752209</v>
          </cell>
          <cell r="I270" t="str">
            <v>P Guidance</v>
          </cell>
        </row>
        <row r="271">
          <cell r="A271" t="str">
            <v>Earnings Before Taxes</v>
          </cell>
          <cell r="B271">
            <v>0.13626626751752943</v>
          </cell>
          <cell r="C271">
            <v>0.16131377261016155</v>
          </cell>
          <cell r="D271">
            <v>0.13864624273886736</v>
          </cell>
          <cell r="F271">
            <v>-250.47505092632122</v>
          </cell>
          <cell r="G271">
            <v>-23.799752213379264</v>
          </cell>
          <cell r="I271" t="str">
            <v>Consensus Comp</v>
          </cell>
        </row>
        <row r="272">
          <cell r="A272" t="str">
            <v>Tax Rate</v>
          </cell>
          <cell r="B272">
            <v>0.36083845574860479</v>
          </cell>
          <cell r="C272">
            <v>0.44367265418599672</v>
          </cell>
          <cell r="D272">
            <v>0.38500000000000001</v>
          </cell>
          <cell r="F272">
            <v>-828.34198437391922</v>
          </cell>
          <cell r="G272">
            <v>-241.61544251395216</v>
          </cell>
          <cell r="I272" t="str">
            <v>Consensus Comp</v>
          </cell>
        </row>
        <row r="273">
          <cell r="A273" t="str">
            <v>Net Income</v>
          </cell>
          <cell r="B273">
            <v>5.0704547372784445E-2</v>
          </cell>
          <cell r="C273">
            <v>6.974548561442645E-2</v>
          </cell>
          <cell r="D273">
            <v>7.2438837812268814E-2</v>
          </cell>
          <cell r="F273">
            <v>-190.40938241642004</v>
          </cell>
          <cell r="G273">
            <v>-217.34290439484369</v>
          </cell>
          <cell r="I273" t="str">
            <v>MS Est.</v>
          </cell>
        </row>
        <row r="274">
          <cell r="A274" t="str">
            <v>EPS</v>
          </cell>
          <cell r="B274">
            <v>0.29675419812915488</v>
          </cell>
          <cell r="C274">
            <v>0.71954597662320108</v>
          </cell>
          <cell r="D274">
            <v>0.20607553553155786</v>
          </cell>
          <cell r="F274">
            <v>-0.4227917784940462</v>
          </cell>
          <cell r="G274">
            <v>9.0678662597597021E-2</v>
          </cell>
        </row>
        <row r="275">
          <cell r="A275" t="str">
            <v>EPS</v>
          </cell>
          <cell r="B275">
            <v>0.91479700159346322</v>
          </cell>
          <cell r="C275">
            <v>0.9973146910195102</v>
          </cell>
          <cell r="D275">
            <v>0.91348144252652552</v>
          </cell>
          <cell r="F275">
            <v>-8.2517689426046981E-2</v>
          </cell>
          <cell r="G275">
            <v>1.3155590669376993E-3</v>
          </cell>
        </row>
        <row r="276">
          <cell r="A276" t="str">
            <v>EPS Upsides/Downsides</v>
          </cell>
        </row>
        <row r="277">
          <cell r="A277" t="str">
            <v>EPS Upsides/Downsides</v>
          </cell>
          <cell r="B277">
            <v>3.9594538117740255E-3</v>
          </cell>
          <cell r="I277" t="str">
            <v>running tally</v>
          </cell>
        </row>
        <row r="278">
          <cell r="A278" t="str">
            <v>Gross Margin</v>
          </cell>
          <cell r="B278">
            <v>-9.3823838608346158E-2</v>
          </cell>
          <cell r="I278">
            <v>-9.3823838608346158E-2</v>
          </cell>
        </row>
        <row r="279">
          <cell r="A279" t="str">
            <v>Stores and Distribution</v>
          </cell>
          <cell r="B279">
            <v>7.3388432416435279E-2</v>
          </cell>
          <cell r="I279">
            <v>-2.0435406191910879E-2</v>
          </cell>
        </row>
        <row r="280">
          <cell r="A280" t="str">
            <v>Marketing, General and Administrative Expenses</v>
          </cell>
          <cell r="B280">
            <v>-1.3406211970566307E-2</v>
          </cell>
          <cell r="I280">
            <v>-3.3841618162477188E-2</v>
          </cell>
        </row>
        <row r="281">
          <cell r="A281" t="str">
            <v>Other Operating Expense (Income)</v>
          </cell>
          <cell r="B281">
            <v>7.9346580895232471E-3</v>
          </cell>
          <cell r="I281">
            <v>-2.5906960072953941E-2</v>
          </cell>
        </row>
        <row r="282">
          <cell r="A282" t="str">
            <v>Operating Margin</v>
          </cell>
          <cell r="B282">
            <v>-1.1770010098571454E-2</v>
          </cell>
        </row>
        <row r="283">
          <cell r="A283" t="str">
            <v>Interest Expense, Net</v>
          </cell>
          <cell r="B283">
            <v>-4.9958905404242308E-3</v>
          </cell>
          <cell r="I283">
            <v>-3.090285061337817E-2</v>
          </cell>
        </row>
        <row r="284">
          <cell r="A284" t="str">
            <v>Tax Rate</v>
          </cell>
          <cell r="B284">
            <v>3.4581098368381503E-2</v>
          </cell>
          <cell r="I284">
            <v>3.6782477550033332E-3</v>
          </cell>
        </row>
        <row r="285">
          <cell r="A285" t="str">
            <v>Shares</v>
          </cell>
          <cell r="B285">
            <v>-3.5496818885781822E-3</v>
          </cell>
          <cell r="I285">
            <v>1.28565866425151E-4</v>
          </cell>
        </row>
        <row r="286">
          <cell r="A286" t="str">
            <v>Total</v>
          </cell>
          <cell r="B286">
            <v>1.28565866425151E-4</v>
          </cell>
        </row>
        <row r="287">
          <cell r="A287" t="str">
            <v>ARO</v>
          </cell>
        </row>
        <row r="288">
          <cell r="A288" t="str">
            <v>ARO</v>
          </cell>
          <cell r="B288" t="str">
            <v>3Q09</v>
          </cell>
          <cell r="C288" t="str">
            <v>3Q08</v>
          </cell>
          <cell r="D288" t="str">
            <v>MS Est.</v>
          </cell>
          <cell r="F288" t="str">
            <v>y/y∆ (bp)</v>
          </cell>
          <cell r="G288" t="str">
            <v>∆ vs MS
Est. (bp)</v>
          </cell>
          <cell r="J288" t="str">
            <v>FQ1</v>
          </cell>
          <cell r="K288" t="str">
            <v>FQ2</v>
          </cell>
          <cell r="L288" t="str">
            <v>FQ3</v>
          </cell>
          <cell r="M288" t="str">
            <v>FY1</v>
          </cell>
          <cell r="N288" t="str">
            <v>FY2</v>
          </cell>
        </row>
        <row r="289">
          <cell r="A289" t="str">
            <v>As a % of Sales</v>
          </cell>
          <cell r="B289" t="str">
            <v>3Q09</v>
          </cell>
          <cell r="C289" t="str">
            <v>3Q08</v>
          </cell>
          <cell r="D289" t="str">
            <v>MS Est.</v>
          </cell>
          <cell r="F289" t="str">
            <v>y/y∆ (bp)</v>
          </cell>
          <cell r="G289" t="str">
            <v>∆ vs MS
Est. (bp)</v>
          </cell>
          <cell r="I289" t="str">
            <v>Consensus</v>
          </cell>
          <cell r="J289" t="str">
            <v>FQ1</v>
          </cell>
          <cell r="K289" t="str">
            <v>FQ2</v>
          </cell>
          <cell r="L289" t="str">
            <v>FQ3</v>
          </cell>
          <cell r="M289" t="str">
            <v>FY1</v>
          </cell>
          <cell r="N289" t="str">
            <v>FY2</v>
          </cell>
        </row>
        <row r="290">
          <cell r="A290" t="str">
            <v>Gross Income</v>
          </cell>
          <cell r="B290">
            <v>0.39257147284965077</v>
          </cell>
          <cell r="C290">
            <v>0.35982922472756235</v>
          </cell>
          <cell r="D290">
            <v>0.39528365206998789</v>
          </cell>
          <cell r="F290">
            <v>327.42248122088426</v>
          </cell>
          <cell r="G290">
            <v>-27.121792203371186</v>
          </cell>
          <cell r="I290" t="str">
            <v>Consensus</v>
          </cell>
          <cell r="J290">
            <v>0.30712970000000001</v>
          </cell>
          <cell r="K290">
            <v>0.59615390000000001</v>
          </cell>
          <cell r="M290">
            <v>2.1453759999999997</v>
          </cell>
          <cell r="N290">
            <v>2.394126</v>
          </cell>
          <cell r="O290" t="str">
            <v>linked to working2</v>
          </cell>
        </row>
        <row r="291">
          <cell r="A291" t="str">
            <v>SG&amp;A Expense</v>
          </cell>
          <cell r="B291">
            <v>0.20646029325265305</v>
          </cell>
          <cell r="C291">
            <v>0.21385080398392656</v>
          </cell>
          <cell r="D291">
            <v>0.2117429985550526</v>
          </cell>
          <cell r="F291">
            <v>-73.905107312735026</v>
          </cell>
          <cell r="G291">
            <v>-52.827053023995482</v>
          </cell>
          <cell r="I291" t="str">
            <v>MS Est.</v>
          </cell>
          <cell r="J291">
            <v>0.92113662102337024</v>
          </cell>
          <cell r="K291">
            <v>1.3135602997739202</v>
          </cell>
          <cell r="M291">
            <v>3.2066781689519406</v>
          </cell>
          <cell r="N291">
            <v>3.5479305986742777</v>
          </cell>
          <cell r="O291" t="str">
            <v>linked to working2</v>
          </cell>
        </row>
        <row r="292">
          <cell r="A292" t="str">
            <v>Operating Income</v>
          </cell>
          <cell r="B292">
            <v>0.18611117959699769</v>
          </cell>
          <cell r="C292">
            <v>0.14597842074363579</v>
          </cell>
          <cell r="D292">
            <v>0.18354065351493529</v>
          </cell>
          <cell r="F292">
            <v>401.32758853361901</v>
          </cell>
          <cell r="G292">
            <v>25.705260820624019</v>
          </cell>
          <cell r="I292" t="str">
            <v>MS/C</v>
          </cell>
          <cell r="J292">
            <v>0.61400692102337029</v>
          </cell>
          <cell r="K292">
            <v>0.71740639977392018</v>
          </cell>
          <cell r="M292">
            <v>1.0613021689519408</v>
          </cell>
          <cell r="N292">
            <v>1.1538045986742778</v>
          </cell>
        </row>
        <row r="293">
          <cell r="A293" t="str">
            <v>Interest Expense (Income), Net</v>
          </cell>
          <cell r="B293">
            <v>-4.7548772713344299E-5</v>
          </cell>
          <cell r="C293">
            <v>-4.3565120519794122E-4</v>
          </cell>
          <cell r="D293">
            <v>-2.9837499988074993E-4</v>
          </cell>
          <cell r="F293">
            <v>3.8810243248459693</v>
          </cell>
          <cell r="G293">
            <v>2.5082622716740564</v>
          </cell>
          <cell r="I293" t="str">
            <v>M Guidance</v>
          </cell>
          <cell r="J293" t="str">
            <v>$0.61-$0.62</v>
          </cell>
        </row>
        <row r="294">
          <cell r="A294" t="str">
            <v>Income Before Taxes</v>
          </cell>
          <cell r="B294">
            <v>0.18615872836971104</v>
          </cell>
          <cell r="C294">
            <v>0.14641407194883371</v>
          </cell>
          <cell r="D294">
            <v>0.18383902851481601</v>
          </cell>
          <cell r="F294">
            <v>397.44656420877322</v>
          </cell>
          <cell r="G294">
            <v>23.196998548950244</v>
          </cell>
        </row>
        <row r="295">
          <cell r="A295" t="str">
            <v>Tax Provision (Benefit)</v>
          </cell>
          <cell r="B295">
            <v>0.40752828546562242</v>
          </cell>
          <cell r="C295">
            <v>0.39575215721835749</v>
          </cell>
          <cell r="D295">
            <v>0.39900000000000002</v>
          </cell>
          <cell r="F295">
            <v>117.76128247264927</v>
          </cell>
          <cell r="G295">
            <v>85.282854656223989</v>
          </cell>
        </row>
        <row r="296">
          <cell r="A296" t="str">
            <v>Net Income (Pre-Extraordinary)</v>
          </cell>
          <cell r="B296">
            <v>0.11029378097274217</v>
          </cell>
          <cell r="C296">
            <v>8.8470387127958974E-2</v>
          </cell>
          <cell r="D296">
            <v>0.11048725613740441</v>
          </cell>
          <cell r="F296">
            <v>218.23393844783197</v>
          </cell>
          <cell r="G296">
            <v>-1.9347516466224068</v>
          </cell>
        </row>
        <row r="297">
          <cell r="A297" t="str">
            <v>Diluted EPS (Pre-Extraordinary)</v>
          </cell>
          <cell r="B297">
            <v>0.92113662102337024</v>
          </cell>
          <cell r="C297">
            <v>0.6304289980190988</v>
          </cell>
          <cell r="D297">
            <v>0.92709190651576245</v>
          </cell>
          <cell r="F297">
            <v>0.29070762300427144</v>
          </cell>
          <cell r="G297">
            <v>-5.9552854923922149E-3</v>
          </cell>
        </row>
        <row r="298">
          <cell r="A298" t="str">
            <v>EPS Upsides/Downsides</v>
          </cell>
        </row>
        <row r="299">
          <cell r="A299" t="str">
            <v>EPS Upsides/Downsides</v>
          </cell>
          <cell r="B299">
            <v>-1.3419303182105114E-2</v>
          </cell>
        </row>
        <row r="300">
          <cell r="A300" t="str">
            <v>SG&amp;A</v>
          </cell>
          <cell r="B300">
            <v>-1.3419303182105114E-2</v>
          </cell>
        </row>
        <row r="301">
          <cell r="A301" t="str">
            <v>Operating Income</v>
          </cell>
          <cell r="B301">
            <v>2.613773586311971E-2</v>
          </cell>
        </row>
        <row r="302">
          <cell r="A302" t="str">
            <v>Tax Rate</v>
          </cell>
          <cell r="B302">
            <v>-1.2410206745309426E-3</v>
          </cell>
        </row>
        <row r="303">
          <cell r="A303" t="str">
            <v>Shares</v>
          </cell>
          <cell r="B303">
            <v>-1.3259225485726153E-2</v>
          </cell>
        </row>
        <row r="304">
          <cell r="A304" t="str">
            <v>EPS</v>
          </cell>
          <cell r="B304">
            <v>-4.3937840004031337E-3</v>
          </cell>
        </row>
        <row r="305">
          <cell r="A305" t="str">
            <v>Total</v>
          </cell>
          <cell r="B305">
            <v>-6.1755974796456337E-3</v>
          </cell>
        </row>
        <row r="306">
          <cell r="A306" t="str">
            <v>TGT</v>
          </cell>
        </row>
        <row r="307">
          <cell r="A307" t="str">
            <v>TGT</v>
          </cell>
          <cell r="B307" t="str">
            <v>4Q07</v>
          </cell>
          <cell r="C307" t="str">
            <v>4Q06</v>
          </cell>
          <cell r="D307" t="str">
            <v>MS Est.</v>
          </cell>
          <cell r="F307" t="str">
            <v>y/y∆ (bp)</v>
          </cell>
          <cell r="G307" t="str">
            <v>∆ vs MS
Est. (bp)</v>
          </cell>
        </row>
        <row r="308">
          <cell r="A308" t="str">
            <v>As a % of Sales</v>
          </cell>
          <cell r="B308" t="str">
            <v>4Q07</v>
          </cell>
          <cell r="C308" t="str">
            <v>4Q06</v>
          </cell>
          <cell r="D308" t="str">
            <v>MS Est.</v>
          </cell>
          <cell r="F308" t="str">
            <v>y/y∆ (bp)</v>
          </cell>
          <cell r="G308" t="str">
            <v>∆ vs MS
Est. (bp)</v>
          </cell>
        </row>
        <row r="309">
          <cell r="A309" t="str">
            <v>Gross Income</v>
          </cell>
          <cell r="B309">
            <v>0.30149999999999999</v>
          </cell>
          <cell r="C309">
            <v>0.30722922829415122</v>
          </cell>
          <cell r="D309">
            <v>0.30149999999999999</v>
          </cell>
          <cell r="F309">
            <v>-57.29228294151234</v>
          </cell>
          <cell r="G309">
            <v>0</v>
          </cell>
        </row>
        <row r="310">
          <cell r="A310" t="str">
            <v>SG&amp;A Expense</v>
          </cell>
          <cell r="B310">
            <v>0.20180000000000001</v>
          </cell>
          <cell r="C310">
            <v>0.19731174425242617</v>
          </cell>
          <cell r="D310">
            <v>0.20180000000000001</v>
          </cell>
          <cell r="F310">
            <v>44.882557475738324</v>
          </cell>
          <cell r="G310">
            <v>0</v>
          </cell>
        </row>
        <row r="311">
          <cell r="A311" t="str">
            <v>Operating Income</v>
          </cell>
          <cell r="B311">
            <v>7.8299999999999981E-2</v>
          </cell>
          <cell r="C311">
            <v>8.9054958742020865E-2</v>
          </cell>
          <cell r="D311">
            <v>7.8299999999999981E-2</v>
          </cell>
          <cell r="F311">
            <v>-107.54958742020884</v>
          </cell>
          <cell r="G311">
            <v>0</v>
          </cell>
        </row>
        <row r="312">
          <cell r="A312" t="str">
            <v>Interest Expense (Income)</v>
          </cell>
          <cell r="B312">
            <v>8.9523397104446754E-3</v>
          </cell>
          <cell r="C312">
            <v>7.8883180237687475E-3</v>
          </cell>
          <cell r="D312">
            <v>8.9523397104446754E-3</v>
          </cell>
          <cell r="F312">
            <v>10.64021686675928</v>
          </cell>
          <cell r="G312">
            <v>0</v>
          </cell>
        </row>
        <row r="313">
          <cell r="A313" t="str">
            <v>Earnings Before Taxes</v>
          </cell>
          <cell r="B313">
            <v>8.2896011892450883E-2</v>
          </cell>
          <cell r="C313">
            <v>9.367377653225388E-2</v>
          </cell>
          <cell r="D313">
            <v>6.0257749178857754E-2</v>
          </cell>
          <cell r="F313">
            <v>-18.254847645429173</v>
          </cell>
          <cell r="G313">
            <v>-20.000000000000018</v>
          </cell>
        </row>
        <row r="314">
          <cell r="A314" t="str">
            <v>Tax Rate</v>
          </cell>
          <cell r="B314">
            <v>0.38100000000000001</v>
          </cell>
          <cell r="C314">
            <v>0.38282548476454292</v>
          </cell>
          <cell r="D314">
            <v>0.38300000000000001</v>
          </cell>
          <cell r="F314">
            <v>-18.254847645429173</v>
          </cell>
          <cell r="G314">
            <v>-20.000000000000018</v>
          </cell>
        </row>
        <row r="315">
          <cell r="A315" t="str">
            <v>Net Income</v>
          </cell>
          <cell r="B315">
            <v>5.1312631361427101E-2</v>
          </cell>
          <cell r="C315">
            <v>5.781306762156832E-2</v>
          </cell>
          <cell r="D315">
            <v>3.7179031243355233E-2</v>
          </cell>
          <cell r="F315">
            <v>-65.004362601412197</v>
          </cell>
          <cell r="G315">
            <v>141.33600118071868</v>
          </cell>
        </row>
        <row r="316">
          <cell r="A316" t="str">
            <v>EPS</v>
          </cell>
          <cell r="B316">
            <v>1.1961704077679793</v>
          </cell>
          <cell r="C316">
            <v>1.287266004159926</v>
          </cell>
          <cell r="D316">
            <v>1.1961704077679793</v>
          </cell>
          <cell r="F316">
            <v>-9.1095596391946643E-2</v>
          </cell>
          <cell r="G316">
            <v>0</v>
          </cell>
        </row>
        <row r="317">
          <cell r="A317" t="str">
            <v>EPS</v>
          </cell>
          <cell r="B317">
            <v>1.1961704077679793</v>
          </cell>
          <cell r="C317">
            <v>1.287266004159926</v>
          </cell>
          <cell r="D317">
            <v>1.1961704077679793</v>
          </cell>
          <cell r="F317">
            <v>-9.1095596391946643E-2</v>
          </cell>
          <cell r="G317">
            <v>0</v>
          </cell>
        </row>
        <row r="318">
          <cell r="A318" t="str">
            <v>EPS Upsides/Downsides</v>
          </cell>
        </row>
        <row r="319">
          <cell r="A319" t="str">
            <v>EPS Upsides/Downsides</v>
          </cell>
          <cell r="B319">
            <v>2.2495220971553489E-4</v>
          </cell>
        </row>
        <row r="320">
          <cell r="A320" t="str">
            <v>Gross Income</v>
          </cell>
          <cell r="B320">
            <v>2.2495220971553489E-4</v>
          </cell>
        </row>
        <row r="321">
          <cell r="A321" t="str">
            <v>SG&amp;A Expense</v>
          </cell>
          <cell r="B321">
            <v>1.5056502792900478E-4</v>
          </cell>
        </row>
        <row r="322">
          <cell r="A322" t="str">
            <v>Operating Income</v>
          </cell>
          <cell r="B322">
            <v>5.8420424612691138E-5</v>
          </cell>
        </row>
        <row r="323">
          <cell r="A323" t="str">
            <v>Interest Expense (Income)</v>
          </cell>
          <cell r="B323">
            <v>6.6794315090834546E-6</v>
          </cell>
        </row>
        <row r="324">
          <cell r="A324" t="str">
            <v>Earnings Before Taxes</v>
          </cell>
        </row>
        <row r="325">
          <cell r="A325" t="str">
            <v>Tax Rate</v>
          </cell>
          <cell r="B325">
            <v>6.6794315090834546E-6</v>
          </cell>
        </row>
        <row r="326">
          <cell r="A326" t="str">
            <v>Total</v>
          </cell>
          <cell r="B326">
            <v>6.6794315090834546E-6</v>
          </cell>
        </row>
        <row r="327">
          <cell r="A327" t="str">
            <v>shares</v>
          </cell>
          <cell r="B327">
            <v>829.63621578113214</v>
          </cell>
        </row>
        <row r="328">
          <cell r="A328" t="str">
            <v>shares</v>
          </cell>
          <cell r="B328">
            <v>829.63621578113214</v>
          </cell>
        </row>
      </sheetData>
      <sheetData sheetId="2"/>
      <sheetData sheetId="3"/>
      <sheetData sheetId="4"/>
      <sheetData sheetId="5">
        <row r="1">
          <cell r="A1" t="str">
            <v>COH</v>
          </cell>
        </row>
        <row r="2">
          <cell r="B2" t="str">
            <v>3Q10</v>
          </cell>
          <cell r="C2" t="str">
            <v>MS Estimate</v>
          </cell>
          <cell r="D2" t="str">
            <v>FC Consensus</v>
          </cell>
          <cell r="E2" t="str">
            <v>Management Guidance</v>
          </cell>
          <cell r="F2" t="str">
            <v>3Q09</v>
          </cell>
          <cell r="H2" t="str">
            <v>y/y∆ (bp)</v>
          </cell>
          <cell r="I2" t="str">
            <v>∆ vs 
Est. (bp)</v>
          </cell>
        </row>
        <row r="3">
          <cell r="A3" t="str">
            <v>Sales</v>
          </cell>
          <cell r="B3">
            <v>0</v>
          </cell>
          <cell r="C3">
            <v>0</v>
          </cell>
          <cell r="D3">
            <v>659.173</v>
          </cell>
          <cell r="E3">
            <v>655</v>
          </cell>
          <cell r="F3">
            <v>0</v>
          </cell>
          <cell r="H3">
            <v>0</v>
          </cell>
          <cell r="I3">
            <v>0</v>
          </cell>
        </row>
        <row r="4">
          <cell r="A4" t="str">
            <v>EPS</v>
          </cell>
          <cell r="B4">
            <v>1.9105951722867136</v>
          </cell>
          <cell r="C4">
            <v>0.43855628046027123</v>
          </cell>
          <cell r="D4">
            <v>0.36</v>
          </cell>
          <cell r="F4">
            <v>0</v>
          </cell>
          <cell r="H4" t="e">
            <v>#DIV/0!</v>
          </cell>
          <cell r="I4">
            <v>1.4720388918264424</v>
          </cell>
        </row>
        <row r="5">
          <cell r="A5" t="str">
            <v>Operating Margin</v>
          </cell>
          <cell r="B5">
            <v>0</v>
          </cell>
          <cell r="C5">
            <v>0</v>
          </cell>
          <cell r="F5">
            <v>0</v>
          </cell>
          <cell r="H5">
            <v>0</v>
          </cell>
          <cell r="I5">
            <v>0</v>
          </cell>
        </row>
        <row r="6">
          <cell r="A6" t="str">
            <v>SG&amp;A Ratio</v>
          </cell>
          <cell r="B6">
            <v>0</v>
          </cell>
          <cell r="C6">
            <v>0</v>
          </cell>
          <cell r="F6">
            <v>0</v>
          </cell>
          <cell r="H6">
            <v>0</v>
          </cell>
          <cell r="I6">
            <v>0</v>
          </cell>
        </row>
        <row r="7">
          <cell r="A7" t="str">
            <v>Gross Margin</v>
          </cell>
          <cell r="B7">
            <v>-1.2409999999999997</v>
          </cell>
          <cell r="C7">
            <v>0</v>
          </cell>
          <cell r="F7">
            <v>0</v>
          </cell>
          <cell r="H7">
            <v>-12409.999999999996</v>
          </cell>
          <cell r="I7">
            <v>-12409.999999999996</v>
          </cell>
        </row>
        <row r="17">
          <cell r="B17" t="str">
            <v>Floating rate note, no commission after</v>
          </cell>
          <cell r="D17" t="str">
            <v>50K</v>
          </cell>
        </row>
        <row r="18">
          <cell r="B18" t="str">
            <v>Floating Rate Taxable MARS</v>
          </cell>
          <cell r="D18" t="str">
            <v>250K</v>
          </cell>
        </row>
      </sheetData>
      <sheetData sheetId="6">
        <row r="1">
          <cell r="A1" t="str">
            <v>TJX</v>
          </cell>
        </row>
        <row r="2">
          <cell r="A2" t="str">
            <v>FY08</v>
          </cell>
          <cell r="B2" t="str">
            <v>MS Estimate</v>
          </cell>
          <cell r="C2" t="str">
            <v>FC Consensus</v>
          </cell>
          <cell r="D2" t="str">
            <v>Management Guidance</v>
          </cell>
        </row>
        <row r="3">
          <cell r="A3" t="str">
            <v>Sales</v>
          </cell>
          <cell r="B3">
            <v>18626.920587592856</v>
          </cell>
          <cell r="C3">
            <v>18779.7</v>
          </cell>
          <cell r="D3">
            <v>18800</v>
          </cell>
        </row>
        <row r="4">
          <cell r="A4" t="str">
            <v>EPS</v>
          </cell>
          <cell r="B4">
            <v>1.859054126788775</v>
          </cell>
          <cell r="C4">
            <v>1.86</v>
          </cell>
          <cell r="D4">
            <v>1.84</v>
          </cell>
        </row>
        <row r="25">
          <cell r="A25" t="str">
            <v>Segment Profit Margin</v>
          </cell>
        </row>
        <row r="26">
          <cell r="B26" t="str">
            <v>1Q10</v>
          </cell>
          <cell r="C26" t="str">
            <v>1Q09</v>
          </cell>
          <cell r="D26" t="str">
            <v xml:space="preserve">y/y ∆ bps </v>
          </cell>
        </row>
        <row r="27">
          <cell r="A27" t="str">
            <v>Marmaxx</v>
          </cell>
          <cell r="B27">
            <v>0.14292234211059399</v>
          </cell>
          <cell r="C27">
            <v>0.11253751732714293</v>
          </cell>
          <cell r="D27">
            <v>303.84824783451057</v>
          </cell>
        </row>
        <row r="28">
          <cell r="A28" t="str">
            <v>Winners/HomeSense</v>
          </cell>
          <cell r="B28">
            <v>9.7944497097286837E-2</v>
          </cell>
          <cell r="C28">
            <v>4.6515850334361418E-2</v>
          </cell>
          <cell r="D28">
            <v>514.28646762925416</v>
          </cell>
        </row>
        <row r="29">
          <cell r="A29" t="str">
            <v>TK Maxx</v>
          </cell>
          <cell r="B29">
            <v>1.1338405403307196E-2</v>
          </cell>
          <cell r="C29">
            <v>2.2098094327688129E-2</v>
          </cell>
          <cell r="D29">
            <v>-107.59688924380933</v>
          </cell>
        </row>
        <row r="30">
          <cell r="A30" t="str">
            <v>HomeGoods</v>
          </cell>
          <cell r="B30">
            <v>8.8813479222594902E-2</v>
          </cell>
          <cell r="C30">
            <v>3.9737684839051282E-2</v>
          </cell>
          <cell r="D30">
            <v>490.75794383543621</v>
          </cell>
        </row>
        <row r="31">
          <cell r="A31" t="str">
            <v>AJ Wright</v>
          </cell>
          <cell r="B31">
            <v>4.6295989667847801E-2</v>
          </cell>
          <cell r="C31">
            <v>2.4599484932606441E-2</v>
          </cell>
          <cell r="D31">
            <v>216.96504735241359</v>
          </cell>
        </row>
        <row r="33">
          <cell r="A33" t="str">
            <v>Total (Pre-Corp. Expenses)</v>
          </cell>
          <cell r="B33">
            <v>0.11543015704050999</v>
          </cell>
          <cell r="C33">
            <v>8.7197167623898078E-2</v>
          </cell>
          <cell r="D33">
            <v>282.32989416611912</v>
          </cell>
        </row>
        <row r="46">
          <cell r="A46" t="str">
            <v>KSS Guidance</v>
          </cell>
        </row>
        <row r="47">
          <cell r="A47" t="str">
            <v>3Q09</v>
          </cell>
          <cell r="B47" t="str">
            <v>KSS</v>
          </cell>
          <cell r="C47" t="str">
            <v>MS Estimate</v>
          </cell>
        </row>
        <row r="48">
          <cell r="A48" t="str">
            <v>EPS</v>
          </cell>
          <cell r="B48" t="str">
            <v>$0.40-$0.44</v>
          </cell>
          <cell r="C48">
            <v>0.49</v>
          </cell>
        </row>
        <row r="49">
          <cell r="A49" t="str">
            <v>SSS</v>
          </cell>
          <cell r="B49" t="str">
            <v>(5)%-(3)%</v>
          </cell>
          <cell r="C49">
            <v>-1.2999999999999999E-2</v>
          </cell>
        </row>
        <row r="50">
          <cell r="A50" t="str">
            <v>Gross Margin</v>
          </cell>
          <cell r="B50" t="str">
            <v>+10-20 bps</v>
          </cell>
          <cell r="C50" t="str">
            <v>+30 bps</v>
          </cell>
        </row>
        <row r="51">
          <cell r="A51" t="str">
            <v>SG&amp;A</v>
          </cell>
          <cell r="B51" t="str">
            <v>+3-4%</v>
          </cell>
          <cell r="C51" t="str">
            <v>+2.8%</v>
          </cell>
        </row>
        <row r="53">
          <cell r="A53" t="str">
            <v>4Q09</v>
          </cell>
          <cell r="B53" t="str">
            <v>KSS</v>
          </cell>
          <cell r="C53" t="str">
            <v>MS Estimate</v>
          </cell>
        </row>
        <row r="54">
          <cell r="A54" t="str">
            <v>EPS</v>
          </cell>
          <cell r="B54" t="str">
            <v>$0.99-$1.06</v>
          </cell>
          <cell r="C54">
            <v>1.19</v>
          </cell>
        </row>
        <row r="55">
          <cell r="A55" t="str">
            <v>SSS</v>
          </cell>
          <cell r="B55" t="str">
            <v>(5)%-(3)%</v>
          </cell>
          <cell r="C55">
            <v>1.4999999999999999E-2</v>
          </cell>
        </row>
        <row r="56">
          <cell r="A56" t="str">
            <v>Gross Margin</v>
          </cell>
          <cell r="B56" t="str">
            <v>+20-30 bps</v>
          </cell>
          <cell r="C56" t="str">
            <v>+30 bps</v>
          </cell>
        </row>
        <row r="57">
          <cell r="A57" t="str">
            <v>SG&amp;A</v>
          </cell>
          <cell r="B57" t="str">
            <v>+3-4%</v>
          </cell>
          <cell r="C57" t="str">
            <v>+2.4%</v>
          </cell>
        </row>
        <row r="72">
          <cell r="B72" t="str">
            <v>1Q07</v>
          </cell>
          <cell r="C72" t="str">
            <v>2Q07</v>
          </cell>
          <cell r="D72" t="str">
            <v>3Q07</v>
          </cell>
          <cell r="E72" t="str">
            <v>4Q07</v>
          </cell>
        </row>
        <row r="73">
          <cell r="A73" t="str">
            <v>Comp Growth</v>
          </cell>
          <cell r="B73">
            <v>0.02</v>
          </cell>
          <cell r="C73">
            <v>0</v>
          </cell>
          <cell r="D73">
            <v>0.01</v>
          </cell>
          <cell r="E73">
            <v>0.04</v>
          </cell>
        </row>
        <row r="74">
          <cell r="A74" t="str">
            <v>Y/Y Operating Margin Expansion</v>
          </cell>
          <cell r="B74">
            <v>-4.8252690757108478</v>
          </cell>
          <cell r="C74">
            <v>0</v>
          </cell>
          <cell r="D74">
            <v>6.3212983778726528</v>
          </cell>
          <cell r="E74">
            <v>-35.848527742219083</v>
          </cell>
        </row>
      </sheetData>
      <sheetData sheetId="7"/>
      <sheetData sheetId="8"/>
      <sheetData sheetId="9">
        <row r="1">
          <cell r="A1" t="str">
            <v>FD</v>
          </cell>
        </row>
        <row r="2">
          <cell r="A2" t="str">
            <v>FY07</v>
          </cell>
          <cell r="B2" t="str">
            <v>MS Estimate</v>
          </cell>
          <cell r="C2" t="str">
            <v>FC Consensus</v>
          </cell>
          <cell r="D2" t="str">
            <v>Management Guidance</v>
          </cell>
        </row>
        <row r="3">
          <cell r="A3" t="str">
            <v>Sales</v>
          </cell>
          <cell r="B3">
            <v>18626.920587592856</v>
          </cell>
          <cell r="C3">
            <v>18779.7</v>
          </cell>
          <cell r="D3">
            <v>18800</v>
          </cell>
        </row>
        <row r="4">
          <cell r="A4" t="str">
            <v>EPS</v>
          </cell>
          <cell r="B4">
            <v>2.5210916050242727</v>
          </cell>
          <cell r="C4">
            <v>2.84</v>
          </cell>
          <cell r="D4">
            <v>1.84</v>
          </cell>
        </row>
        <row r="26">
          <cell r="A26" t="str">
            <v>FD</v>
          </cell>
        </row>
        <row r="27">
          <cell r="B27" t="str">
            <v>+ or- from 0</v>
          </cell>
          <cell r="C27" t="str">
            <v>N +1</v>
          </cell>
        </row>
        <row r="28">
          <cell r="A28" t="str">
            <v>Management Guidance</v>
          </cell>
          <cell r="B28">
            <v>2.4500000000000002</v>
          </cell>
          <cell r="C28">
            <v>0.15</v>
          </cell>
        </row>
        <row r="30">
          <cell r="B30" t="str">
            <v>Actual</v>
          </cell>
          <cell r="C30" t="str">
            <v>Axis</v>
          </cell>
        </row>
        <row r="31">
          <cell r="A31" t="str">
            <v>Morgan Stanley Estimate</v>
          </cell>
          <cell r="B31">
            <v>2.9</v>
          </cell>
          <cell r="C31">
            <v>50</v>
          </cell>
        </row>
        <row r="32">
          <cell r="A32" t="str">
            <v>Consensus</v>
          </cell>
          <cell r="B32">
            <v>2.84</v>
          </cell>
          <cell r="C32">
            <v>50</v>
          </cell>
        </row>
        <row r="50">
          <cell r="B50" t="str">
            <v>1Q06</v>
          </cell>
          <cell r="C50" t="str">
            <v>2Q06</v>
          </cell>
          <cell r="D50" t="str">
            <v>3Q06</v>
          </cell>
          <cell r="E50" t="str">
            <v>4Q06</v>
          </cell>
        </row>
        <row r="51">
          <cell r="A51" t="str">
            <v>FD Legacy Comp Growth</v>
          </cell>
          <cell r="B51">
            <v>0</v>
          </cell>
          <cell r="C51">
            <v>4.5999999999999999E-2</v>
          </cell>
          <cell r="D51">
            <v>5.8999999999999997E-2</v>
          </cell>
          <cell r="E51">
            <v>6.0999999999999999E-2</v>
          </cell>
        </row>
        <row r="52">
          <cell r="A52" t="str">
            <v>Operating Margin Expansion</v>
          </cell>
          <cell r="B52">
            <v>0</v>
          </cell>
          <cell r="C52">
            <v>0</v>
          </cell>
          <cell r="D52">
            <v>0</v>
          </cell>
          <cell r="E52">
            <v>0</v>
          </cell>
        </row>
      </sheetData>
      <sheetData sheetId="10">
        <row r="1">
          <cell r="A1" t="str">
            <v>LTD</v>
          </cell>
        </row>
        <row r="2">
          <cell r="A2" t="str">
            <v>FY08</v>
          </cell>
          <cell r="B2" t="str">
            <v>MS Estimate</v>
          </cell>
          <cell r="C2" t="str">
            <v>FC Consensus</v>
          </cell>
          <cell r="D2" t="str">
            <v>Management Guidance</v>
          </cell>
        </row>
        <row r="3">
          <cell r="A3" t="str">
            <v>Sales</v>
          </cell>
          <cell r="B3">
            <v>9042.7010000000009</v>
          </cell>
          <cell r="C3">
            <v>9635.4</v>
          </cell>
          <cell r="D3">
            <v>0</v>
          </cell>
        </row>
        <row r="4">
          <cell r="A4" t="str">
            <v>EPS</v>
          </cell>
          <cell r="B4">
            <v>0</v>
          </cell>
          <cell r="C4">
            <v>0</v>
          </cell>
          <cell r="D4">
            <v>0</v>
          </cell>
        </row>
        <row r="25">
          <cell r="A25" t="str">
            <v>Segment Profit Margin</v>
          </cell>
        </row>
        <row r="26">
          <cell r="F26" t="str">
            <v>bps ∆</v>
          </cell>
        </row>
        <row r="27">
          <cell r="B27" t="str">
            <v>1Q10</v>
          </cell>
          <cell r="C27" t="str">
            <v>1Q09</v>
          </cell>
          <cell r="D27" t="str">
            <v>MS Est.</v>
          </cell>
          <cell r="F27" t="str">
            <v>1Q09</v>
          </cell>
          <cell r="G27" t="str">
            <v>MS Est.</v>
          </cell>
        </row>
        <row r="28">
          <cell r="A28" t="str">
            <v>Victoria's Secret</v>
          </cell>
          <cell r="B28">
            <v>0.13238659563759983</v>
          </cell>
          <cell r="C28">
            <v>7.7521804896170138E-2</v>
          </cell>
          <cell r="D28">
            <v>0.14252180489617014</v>
          </cell>
          <cell r="F28">
            <v>548.64790741429692</v>
          </cell>
          <cell r="G28">
            <v>-101.3520925857031</v>
          </cell>
        </row>
        <row r="29">
          <cell r="A29" t="str">
            <v>Bath &amp; Body Works</v>
          </cell>
          <cell r="B29">
            <v>8.7683705624808289E-2</v>
          </cell>
          <cell r="C29">
            <v>9.8268193902651124E-3</v>
          </cell>
          <cell r="D29">
            <v>2.2326819390265113E-2</v>
          </cell>
          <cell r="F29">
            <v>778.56886234543174</v>
          </cell>
          <cell r="G29">
            <v>653.56886234543174</v>
          </cell>
        </row>
        <row r="30">
          <cell r="A30" t="str">
            <v>Apparel Total</v>
          </cell>
          <cell r="B30" t="str">
            <v>NA</v>
          </cell>
          <cell r="C30" t="str">
            <v>NA</v>
          </cell>
          <cell r="D30" t="str">
            <v>NA</v>
          </cell>
          <cell r="F30" t="str">
            <v>NA</v>
          </cell>
          <cell r="G30" t="str">
            <v>NA</v>
          </cell>
        </row>
        <row r="31">
          <cell r="A31" t="str">
            <v>Other</v>
          </cell>
          <cell r="B31">
            <v>-8.4426574604243854E-2</v>
          </cell>
          <cell r="C31">
            <v>-0.13145813191874914</v>
          </cell>
          <cell r="D31">
            <v>-7.6458131918749145E-2</v>
          </cell>
          <cell r="F31">
            <v>470.31557314505284</v>
          </cell>
          <cell r="G31">
            <v>-79.684426854947091</v>
          </cell>
        </row>
        <row r="32">
          <cell r="A32" t="str">
            <v>Total</v>
          </cell>
          <cell r="B32">
            <v>9.5766270988477564E-2</v>
          </cell>
          <cell r="C32">
            <v>3.779886473568559E-2</v>
          </cell>
          <cell r="D32">
            <v>8.881865332654329E-2</v>
          </cell>
          <cell r="F32">
            <v>579.67406252791977</v>
          </cell>
          <cell r="G32">
            <v>69.476176619342738</v>
          </cell>
        </row>
        <row r="37">
          <cell r="A37" t="str">
            <v>TJX</v>
          </cell>
        </row>
        <row r="38">
          <cell r="B38" t="str">
            <v>+ or- from 0</v>
          </cell>
          <cell r="C38" t="str">
            <v>N +1</v>
          </cell>
        </row>
        <row r="39">
          <cell r="A39" t="str">
            <v>Management Guidance</v>
          </cell>
          <cell r="B39">
            <v>1.75</v>
          </cell>
          <cell r="C39">
            <v>0.05</v>
          </cell>
        </row>
        <row r="41">
          <cell r="B41" t="str">
            <v>Actual</v>
          </cell>
          <cell r="C41" t="str">
            <v>Axis</v>
          </cell>
        </row>
        <row r="42">
          <cell r="A42" t="str">
            <v>Morgan Stanley Estimate</v>
          </cell>
          <cell r="B42">
            <v>1.98</v>
          </cell>
          <cell r="C42">
            <v>50</v>
          </cell>
        </row>
        <row r="43">
          <cell r="A43" t="str">
            <v>Consensus</v>
          </cell>
          <cell r="B43">
            <v>1.9</v>
          </cell>
          <cell r="C43">
            <v>50</v>
          </cell>
        </row>
        <row r="58">
          <cell r="X58" t="str">
            <v>2/24/12010</v>
          </cell>
        </row>
        <row r="60">
          <cell r="X60" t="str">
            <v>LTD Guidance</v>
          </cell>
        </row>
        <row r="61">
          <cell r="Y61" t="str">
            <v>1Q10 (Mgmt Guidance)</v>
          </cell>
          <cell r="Z61" t="str">
            <v>FY10 (Mgmt Guidance)</v>
          </cell>
          <cell r="AA61" t="str">
            <v>FY10 (MS estimate)</v>
          </cell>
        </row>
        <row r="62">
          <cell r="X62" t="str">
            <v>Comps</v>
          </cell>
          <cell r="Y62" t="str">
            <v>+2 to +4%</v>
          </cell>
          <cell r="Z62" t="str">
            <v>flat to +LSD</v>
          </cell>
          <cell r="AA62">
            <v>-1.2E-2</v>
          </cell>
        </row>
        <row r="63">
          <cell r="X63" t="str">
            <v>Gross margin rate</v>
          </cell>
          <cell r="Y63" t="str">
            <v>Up from 31.8% LY</v>
          </cell>
          <cell r="Z63" t="str">
            <v>Up from 35.1% LY</v>
          </cell>
          <cell r="AA63">
            <v>0.35899999999999999</v>
          </cell>
        </row>
        <row r="64">
          <cell r="X64" t="str">
            <v>SG&amp;A expense</v>
          </cell>
          <cell r="Y64" t="str">
            <v>About flat as % of sales</v>
          </cell>
          <cell r="Z64" t="str">
            <v>About flat as % of sales</v>
          </cell>
          <cell r="AA64" t="str">
            <v>Flat y/y as % of sales</v>
          </cell>
        </row>
        <row r="65">
          <cell r="X65" t="str">
            <v>Interest expense</v>
          </cell>
          <cell r="Y65" t="str">
            <v>Approx. $61 million</v>
          </cell>
          <cell r="Z65" t="str">
            <v>Approx. $215 million</v>
          </cell>
          <cell r="AA65" t="str">
            <v>$244 million</v>
          </cell>
        </row>
        <row r="66">
          <cell r="X66" t="str">
            <v>Interest income and other income</v>
          </cell>
          <cell r="Y66" t="str">
            <v>About $7 million</v>
          </cell>
          <cell r="Z66" t="str">
            <v>About $40 million</v>
          </cell>
          <cell r="AA66" t="str">
            <v>$14 million</v>
          </cell>
        </row>
        <row r="67">
          <cell r="X67" t="str">
            <v xml:space="preserve">Tax rate </v>
          </cell>
          <cell r="Y67" t="str">
            <v xml:space="preserve">About 38% </v>
          </cell>
          <cell r="Z67" t="str">
            <v xml:space="preserve">About 38% </v>
          </cell>
          <cell r="AA67">
            <v>0.39</v>
          </cell>
        </row>
        <row r="68">
          <cell r="X68" t="str">
            <v>Weighted avg. shares outstanding</v>
          </cell>
          <cell r="Y68" t="str">
            <v>Approx. 330 million</v>
          </cell>
          <cell r="Z68" t="str">
            <v>Approx. 330 million</v>
          </cell>
          <cell r="AA68" t="str">
            <v>318 million</v>
          </cell>
        </row>
        <row r="69">
          <cell r="X69" t="str">
            <v>Earnings per share</v>
          </cell>
          <cell r="Y69" t="str">
            <v>$0.05 - $0.10</v>
          </cell>
          <cell r="Z69" t="str">
            <v>$1.40 - $1.60</v>
          </cell>
          <cell r="AA69">
            <v>1.41</v>
          </cell>
        </row>
        <row r="70">
          <cell r="X70" t="str">
            <v>Capital expenditures</v>
          </cell>
          <cell r="Y70" t="str">
            <v>N/A</v>
          </cell>
          <cell r="Z70" t="str">
            <v>$250 - $300 million</v>
          </cell>
          <cell r="AA70" t="str">
            <v>$225 million</v>
          </cell>
        </row>
        <row r="71">
          <cell r="X71" t="str">
            <v>Depreciation and amortization</v>
          </cell>
          <cell r="Y71" t="str">
            <v>N/A</v>
          </cell>
          <cell r="Z71" t="str">
            <v>About $350 million</v>
          </cell>
          <cell r="AA71" t="str">
            <v>$340 million</v>
          </cell>
        </row>
        <row r="72">
          <cell r="X72" t="str">
            <v>Free cash flow</v>
          </cell>
          <cell r="Y72" t="str">
            <v>N/A</v>
          </cell>
          <cell r="Z72" t="str">
            <v>$500 - $600 million</v>
          </cell>
          <cell r="AA72" t="str">
            <v>$529 million</v>
          </cell>
        </row>
      </sheetData>
      <sheetData sheetId="1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ive Risk Reward Chart"/>
      <sheetName val="LIZ Drivers"/>
      <sheetName val="UA Driver"/>
      <sheetName val="UA Drivers"/>
      <sheetName val="Sheet1"/>
      <sheetName val="MW-Cache"/>
      <sheetName val="__FDSCACHE__"/>
      <sheetName val="Scenario Inputs2"/>
      <sheetName val="Scenario Inputs"/>
      <sheetName val="LIZ"/>
      <sheetName val="R5010 (2)"/>
    </sheetNames>
    <sheetDataSet>
      <sheetData sheetId="0"/>
      <sheetData sheetId="1"/>
      <sheetData sheetId="2"/>
      <sheetData sheetId="3"/>
      <sheetData sheetId="4"/>
      <sheetData sheetId="5"/>
      <sheetData sheetId="6"/>
      <sheetData sheetId="7"/>
      <sheetData sheetId="8">
        <row r="1">
          <cell r="B1">
            <v>39782</v>
          </cell>
          <cell r="C1" t="str">
            <v>Bear</v>
          </cell>
          <cell r="D1" t="str">
            <v>Base</v>
          </cell>
          <cell r="E1" t="str">
            <v>Bull</v>
          </cell>
          <cell r="G1" t="str">
            <v>SOTP</v>
          </cell>
          <cell r="K1" t="str">
            <v>P/E as of today</v>
          </cell>
        </row>
        <row r="2">
          <cell r="A2" t="str">
            <v>LIZ.N</v>
          </cell>
          <cell r="B2" t="str">
            <v>LIZ</v>
          </cell>
          <cell r="K2" t="str">
            <v>LIZ</v>
          </cell>
          <cell r="L2" t="e">
            <v>#VALUE!</v>
          </cell>
        </row>
        <row r="3">
          <cell r="B3" t="str">
            <v>Current Price</v>
          </cell>
          <cell r="D3" t="str">
            <v>#Calc</v>
          </cell>
          <cell r="K3" t="str">
            <v>JNY</v>
          </cell>
          <cell r="L3" t="e">
            <v>#VALUE!</v>
          </cell>
        </row>
        <row r="4">
          <cell r="B4" t="str">
            <v>Net Debt</v>
          </cell>
          <cell r="D4">
            <v>798.01300000000015</v>
          </cell>
          <cell r="K4" t="str">
            <v>WRC</v>
          </cell>
          <cell r="L4" t="e">
            <v>#VALUE!</v>
          </cell>
        </row>
        <row r="5">
          <cell r="B5" t="str">
            <v>Shares</v>
          </cell>
          <cell r="D5">
            <v>93.703999999999994</v>
          </cell>
          <cell r="K5" t="str">
            <v>PVH</v>
          </cell>
          <cell r="L5" t="e">
            <v>#VALUE!</v>
          </cell>
        </row>
        <row r="7">
          <cell r="B7" t="str">
            <v>Revenue</v>
          </cell>
          <cell r="C7">
            <v>-6.6357108530112452E-2</v>
          </cell>
          <cell r="D7">
            <v>-3.3845973767718252E-2</v>
          </cell>
          <cell r="E7">
            <v>-1.4128768261478464E-2</v>
          </cell>
          <cell r="K7" t="str">
            <v>GES</v>
          </cell>
          <cell r="L7" t="e">
            <v>#VALUE!</v>
          </cell>
        </row>
        <row r="8">
          <cell r="B8" t="str">
            <v>Gross Margin</v>
          </cell>
          <cell r="C8">
            <v>-128.72476703079562</v>
          </cell>
          <cell r="D8">
            <v>-90.996036928954197</v>
          </cell>
          <cell r="E8">
            <v>-39.295245448067732</v>
          </cell>
          <cell r="K8" t="str">
            <v>UA</v>
          </cell>
          <cell r="L8" t="e">
            <v>#VALUE!</v>
          </cell>
        </row>
        <row r="9">
          <cell r="B9" t="str">
            <v>Expense Ratio</v>
          </cell>
          <cell r="C9">
            <v>-16.156522960027452</v>
          </cell>
          <cell r="D9">
            <v>-39.565286944746589</v>
          </cell>
          <cell r="E9">
            <v>-82.030885314070545</v>
          </cell>
          <cell r="G9" t="e">
            <v>#VALUE!</v>
          </cell>
          <cell r="K9" t="str">
            <v>RL</v>
          </cell>
          <cell r="L9" t="e">
            <v>#VALUE!</v>
          </cell>
        </row>
        <row r="10">
          <cell r="B10" t="str">
            <v>Operating Margin</v>
          </cell>
          <cell r="C10">
            <v>-112.56824407076829</v>
          </cell>
          <cell r="D10">
            <v>-51.430749984207672</v>
          </cell>
          <cell r="E10">
            <v>42.735639866002749</v>
          </cell>
        </row>
        <row r="12">
          <cell r="B12" t="str">
            <v>P/E Valuation</v>
          </cell>
          <cell r="J12" t="str">
            <v>Liz Claiborne: Base Case Assumptions</v>
          </cell>
        </row>
        <row r="13">
          <cell r="B13" t="str">
            <v>EPS</v>
          </cell>
          <cell r="C13">
            <v>0.39172173589738984</v>
          </cell>
          <cell r="D13">
            <v>0.59632293685253845</v>
          </cell>
          <cell r="E13">
            <v>0.94772161341348582</v>
          </cell>
          <cell r="J13">
            <v>0.59632293685253845</v>
          </cell>
        </row>
        <row r="14">
          <cell r="B14" t="str">
            <v>P/E</v>
          </cell>
          <cell r="C14">
            <v>7</v>
          </cell>
          <cell r="D14">
            <v>9</v>
          </cell>
          <cell r="E14">
            <v>11</v>
          </cell>
        </row>
        <row r="15">
          <cell r="B15" t="str">
            <v>Scenario Price</v>
          </cell>
          <cell r="C15">
            <v>2.7420521512817291</v>
          </cell>
          <cell r="D15">
            <v>5.3669064316728461</v>
          </cell>
          <cell r="E15">
            <v>10.424937747548345</v>
          </cell>
        </row>
        <row r="16">
          <cell r="B16" t="str">
            <v>Ups/Downs</v>
          </cell>
          <cell r="C16" t="e">
            <v>#VALUE!</v>
          </cell>
          <cell r="D16" t="e">
            <v>#VALUE!</v>
          </cell>
          <cell r="E16" t="e">
            <v>#VALUE!</v>
          </cell>
        </row>
        <row r="18">
          <cell r="B18" t="str">
            <v>EBITDA Valuation</v>
          </cell>
        </row>
        <row r="19">
          <cell r="B19" t="str">
            <v>EBITDA</v>
          </cell>
          <cell r="C19">
            <v>286.15685640708614</v>
          </cell>
          <cell r="D19">
            <v>317.84754729244861</v>
          </cell>
          <cell r="E19">
            <v>365.73937752847428</v>
          </cell>
          <cell r="J19">
            <v>317.84754729244861</v>
          </cell>
        </row>
        <row r="20">
          <cell r="B20" t="str">
            <v>EV/EBITDA</v>
          </cell>
          <cell r="C20">
            <v>11</v>
          </cell>
          <cell r="D20">
            <v>0</v>
          </cell>
          <cell r="E20">
            <v>9</v>
          </cell>
          <cell r="G20">
            <v>3.7973007645817578</v>
          </cell>
        </row>
        <row r="21">
          <cell r="B21" t="str">
            <v>EV</v>
          </cell>
          <cell r="C21">
            <v>3147.7254204779474</v>
          </cell>
          <cell r="D21">
            <v>0</v>
          </cell>
          <cell r="E21">
            <v>3291.6543977562687</v>
          </cell>
        </row>
        <row r="22">
          <cell r="B22" t="str">
            <v>Implied Equity</v>
          </cell>
          <cell r="C22">
            <v>25.075903061533634</v>
          </cell>
          <cell r="D22">
            <v>-8.516317339708019</v>
          </cell>
          <cell r="E22">
            <v>26.611899147915448</v>
          </cell>
        </row>
        <row r="23">
          <cell r="B23" t="str">
            <v>Ups/Downs</v>
          </cell>
          <cell r="C23" t="e">
            <v>#VALUE!</v>
          </cell>
          <cell r="D23" t="e">
            <v>#VALUE!</v>
          </cell>
          <cell r="E23" t="e">
            <v>#VALUE!</v>
          </cell>
        </row>
        <row r="25">
          <cell r="B25" t="str">
            <v>Residual Income</v>
          </cell>
        </row>
        <row r="26">
          <cell r="B26" t="str">
            <v>Val-Cur</v>
          </cell>
          <cell r="J26">
            <v>23.757622379140592</v>
          </cell>
        </row>
        <row r="28">
          <cell r="B28" t="str">
            <v>FCF Valuation</v>
          </cell>
        </row>
        <row r="29">
          <cell r="B29" t="str">
            <v>FCF Per Share</v>
          </cell>
          <cell r="C29">
            <v>1.6651496506062415</v>
          </cell>
          <cell r="D29">
            <v>1.7526412115393128</v>
          </cell>
          <cell r="E29">
            <v>2.0397844788766752</v>
          </cell>
          <cell r="J29">
            <v>1.7526412115393128</v>
          </cell>
        </row>
        <row r="30">
          <cell r="B30" t="str">
            <v>Yield</v>
          </cell>
          <cell r="C30">
            <v>0.11971761675992125</v>
          </cell>
          <cell r="D30">
            <v>-1.1129962159385136</v>
          </cell>
          <cell r="E30">
            <v>0.11014895708475064</v>
          </cell>
        </row>
        <row r="32">
          <cell r="C32" t="str">
            <v>Trough</v>
          </cell>
          <cell r="D32" t="str">
            <v>5-Yr.</v>
          </cell>
          <cell r="E32" t="str">
            <v>Peak</v>
          </cell>
          <cell r="G32" t="str">
            <v>New Trough</v>
          </cell>
        </row>
        <row r="33">
          <cell r="B33" t="str">
            <v>P/E</v>
          </cell>
          <cell r="C33">
            <v>4.1204470316534083</v>
          </cell>
          <cell r="D33">
            <v>12.532633475042442</v>
          </cell>
          <cell r="E33">
            <v>20.621219484196743</v>
          </cell>
          <cell r="G33">
            <v>3.1204470316534083</v>
          </cell>
        </row>
        <row r="34">
          <cell r="B34" t="str">
            <v>EV/EBITDA</v>
          </cell>
          <cell r="C34">
            <v>299.1585</v>
          </cell>
          <cell r="D34">
            <v>323.00270076643244</v>
          </cell>
          <cell r="E34">
            <v>315.34630000000004</v>
          </cell>
          <cell r="G34">
            <v>298.6585</v>
          </cell>
        </row>
        <row r="36">
          <cell r="B36" t="str">
            <v>Recession</v>
          </cell>
          <cell r="C36" t="str">
            <v>Trough</v>
          </cell>
          <cell r="D36" t="str">
            <v>Mean</v>
          </cell>
          <cell r="E36" t="str">
            <v>Peak</v>
          </cell>
          <cell r="G36" t="str">
            <v>Average</v>
          </cell>
        </row>
        <row r="37">
          <cell r="B37" t="str">
            <v>P/E</v>
          </cell>
          <cell r="C37">
            <v>38.83488257972796</v>
          </cell>
          <cell r="D37">
            <v>0</v>
          </cell>
          <cell r="E37">
            <v>119.38721139465103</v>
          </cell>
          <cell r="G37">
            <v>19.41744128986398</v>
          </cell>
        </row>
        <row r="38">
          <cell r="B38" t="str">
            <v>EV/EBITDA</v>
          </cell>
          <cell r="C38">
            <v>11.594471180832928</v>
          </cell>
          <cell r="D38">
            <v>0</v>
          </cell>
          <cell r="E38">
            <v>11.010880043757094</v>
          </cell>
          <cell r="G38">
            <v>5.7972355904164639</v>
          </cell>
        </row>
        <row r="40">
          <cell r="B40" t="str">
            <v>Price Targets</v>
          </cell>
          <cell r="C40">
            <v>2.5</v>
          </cell>
          <cell r="D40">
            <v>5</v>
          </cell>
          <cell r="E40">
            <v>10.5</v>
          </cell>
          <cell r="O40">
            <v>2.5</v>
          </cell>
          <cell r="P40">
            <v>5</v>
          </cell>
          <cell r="Q40">
            <v>10.5</v>
          </cell>
        </row>
        <row r="41">
          <cell r="B41" t="str">
            <v>Ups/Downs</v>
          </cell>
          <cell r="C41" t="e">
            <v>#VALUE!</v>
          </cell>
          <cell r="D41" t="e">
            <v>#VALUE!</v>
          </cell>
          <cell r="E41" t="e">
            <v>#VALUE!</v>
          </cell>
        </row>
        <row r="42">
          <cell r="C42">
            <v>6.3820813881384062</v>
          </cell>
          <cell r="D42">
            <v>8.3847185660685462</v>
          </cell>
          <cell r="E42">
            <v>11.079202849644105</v>
          </cell>
        </row>
        <row r="43">
          <cell r="A43" t="str">
            <v>JNY.N</v>
          </cell>
          <cell r="B43" t="str">
            <v>JNY</v>
          </cell>
        </row>
        <row r="44">
          <cell r="B44" t="str">
            <v>Current Price</v>
          </cell>
          <cell r="D44" t="str">
            <v>#Calc</v>
          </cell>
        </row>
        <row r="45">
          <cell r="B45" t="str">
            <v>Net Debt</v>
          </cell>
          <cell r="D45">
            <v>582.83067580048032</v>
          </cell>
        </row>
        <row r="46">
          <cell r="B46" t="str">
            <v>Shares</v>
          </cell>
          <cell r="D46">
            <v>83</v>
          </cell>
        </row>
        <row r="48">
          <cell r="B48" t="str">
            <v>Revenue</v>
          </cell>
          <cell r="C48">
            <v>-2.307901574014426E-2</v>
          </cell>
          <cell r="D48">
            <v>1.7273526849326259E-5</v>
          </cell>
          <cell r="E48">
            <v>3.4790577670898548E-2</v>
          </cell>
          <cell r="G48" t="e">
            <v>#VALUE!</v>
          </cell>
        </row>
        <row r="49">
          <cell r="B49" t="str">
            <v>Gross Margin</v>
          </cell>
          <cell r="C49">
            <v>-117.78645744805694</v>
          </cell>
          <cell r="D49">
            <v>-59.059756967107525</v>
          </cell>
          <cell r="E49">
            <v>28.286142070195751</v>
          </cell>
        </row>
        <row r="50">
          <cell r="B50" t="str">
            <v>Expense Ratio</v>
          </cell>
          <cell r="C50">
            <v>-17.859818164190354</v>
          </cell>
          <cell r="D50">
            <v>-16.397089142762276</v>
          </cell>
          <cell r="E50">
            <v>-45.122434328145332</v>
          </cell>
        </row>
        <row r="51">
          <cell r="B51" t="str">
            <v>Operating Margin</v>
          </cell>
          <cell r="C51">
            <v>-99.926639283867488</v>
          </cell>
          <cell r="D51">
            <v>-42.662667824345732</v>
          </cell>
          <cell r="E51">
            <v>73.408576398340188</v>
          </cell>
        </row>
        <row r="53">
          <cell r="B53" t="str">
            <v>P/E Valuation</v>
          </cell>
          <cell r="J53" t="str">
            <v>Jones New York: Base Case Assumptions</v>
          </cell>
        </row>
        <row r="54">
          <cell r="B54" t="str">
            <v>EPS</v>
          </cell>
          <cell r="C54">
            <v>0.61728823323972237</v>
          </cell>
          <cell r="D54">
            <v>0.79672999545315148</v>
          </cell>
          <cell r="E54">
            <v>1.1656862274518387</v>
          </cell>
          <cell r="J54">
            <v>0.79672999545315148</v>
          </cell>
        </row>
        <row r="55">
          <cell r="B55" t="str">
            <v>P/E</v>
          </cell>
          <cell r="C55">
            <v>7</v>
          </cell>
          <cell r="D55">
            <v>9</v>
          </cell>
          <cell r="E55">
            <v>11</v>
          </cell>
        </row>
        <row r="56">
          <cell r="B56" t="str">
            <v>Scenario Price</v>
          </cell>
          <cell r="C56">
            <v>4.3210176326780569</v>
          </cell>
          <cell r="D56">
            <v>7.1705699590783638</v>
          </cell>
          <cell r="E56">
            <v>12.822548501970225</v>
          </cell>
        </row>
        <row r="57">
          <cell r="B57" t="str">
            <v>Ups/Downs</v>
          </cell>
          <cell r="C57" t="e">
            <v>#VALUE!</v>
          </cell>
          <cell r="D57" t="e">
            <v>#VALUE!</v>
          </cell>
          <cell r="E57" t="e">
            <v>#VALUE!</v>
          </cell>
        </row>
        <row r="59">
          <cell r="B59" t="str">
            <v>EBITDA Valuation</v>
          </cell>
        </row>
        <row r="60">
          <cell r="B60" t="str">
            <v>EBITDA</v>
          </cell>
          <cell r="C60">
            <v>221.06983294688666</v>
          </cell>
          <cell r="D60">
            <v>245.04954641820538</v>
          </cell>
          <cell r="E60">
            <v>294.16843447832446</v>
          </cell>
          <cell r="J60">
            <v>245.04954641820538</v>
          </cell>
        </row>
        <row r="61">
          <cell r="B61" t="str">
            <v>EV/EBITDA</v>
          </cell>
          <cell r="C61">
            <v>11</v>
          </cell>
          <cell r="D61">
            <v>0</v>
          </cell>
          <cell r="E61">
            <v>9</v>
          </cell>
          <cell r="G61">
            <v>4.3145065738565203</v>
          </cell>
        </row>
        <row r="62">
          <cell r="B62" t="str">
            <v>EV</v>
          </cell>
          <cell r="C62">
            <v>2431.7681624157531</v>
          </cell>
          <cell r="D62">
            <v>0</v>
          </cell>
          <cell r="E62">
            <v>2647.51591030492</v>
          </cell>
        </row>
        <row r="63">
          <cell r="B63" t="str">
            <v>Implied Equity</v>
          </cell>
          <cell r="C63">
            <v>22.276355260424975</v>
          </cell>
          <cell r="D63">
            <v>-7.022056334945546</v>
          </cell>
          <cell r="E63">
            <v>24.875725716920964</v>
          </cell>
        </row>
        <row r="64">
          <cell r="B64" t="str">
            <v>Ups/Downs</v>
          </cell>
          <cell r="C64" t="e">
            <v>#VALUE!</v>
          </cell>
          <cell r="D64" t="e">
            <v>#VALUE!</v>
          </cell>
          <cell r="E64" t="e">
            <v>#VALUE!</v>
          </cell>
        </row>
        <row r="66">
          <cell r="B66" t="str">
            <v>Residual Income</v>
          </cell>
        </row>
        <row r="67">
          <cell r="B67" t="str">
            <v>Val-Cur</v>
          </cell>
          <cell r="J67">
            <v>11.026665131182027</v>
          </cell>
        </row>
        <row r="69">
          <cell r="B69" t="str">
            <v>FCF Valuation</v>
          </cell>
        </row>
        <row r="70">
          <cell r="B70" t="str">
            <v>FCF Per Share</v>
          </cell>
          <cell r="C70">
            <v>1.4983974074057604</v>
          </cell>
          <cell r="D70">
            <v>1.6912537539147832</v>
          </cell>
          <cell r="E70">
            <v>2.0737124321978539</v>
          </cell>
          <cell r="J70">
            <v>1.6912537539147832</v>
          </cell>
        </row>
        <row r="71">
          <cell r="B71" t="str">
            <v>Yield</v>
          </cell>
          <cell r="C71">
            <v>0.11267258713316833</v>
          </cell>
          <cell r="D71">
            <v>22.775738775349954</v>
          </cell>
          <cell r="E71">
            <v>0.11001630579463952</v>
          </cell>
        </row>
        <row r="73">
          <cell r="C73" t="str">
            <v>Trough</v>
          </cell>
          <cell r="D73" t="str">
            <v>5-Yr.</v>
          </cell>
          <cell r="E73" t="str">
            <v>Peak</v>
          </cell>
          <cell r="G73" t="str">
            <v>New Trough</v>
          </cell>
        </row>
        <row r="74">
          <cell r="B74" t="str">
            <v>P/E</v>
          </cell>
          <cell r="C74">
            <v>6.4271182083309695</v>
          </cell>
          <cell r="D74">
            <v>12.392891578887301</v>
          </cell>
          <cell r="E74">
            <v>24.731174680467745</v>
          </cell>
          <cell r="G74">
            <v>5.4271182083309695</v>
          </cell>
          <cell r="J74">
            <v>9.4100048936091358</v>
          </cell>
        </row>
        <row r="75">
          <cell r="B75" t="str">
            <v>EV/EBITDA</v>
          </cell>
          <cell r="C75">
            <v>239.84399999999999</v>
          </cell>
          <cell r="D75">
            <v>255.64028263804386</v>
          </cell>
          <cell r="E75">
            <v>253.69650000000001</v>
          </cell>
          <cell r="G75">
            <v>239.34399999999999</v>
          </cell>
        </row>
        <row r="77">
          <cell r="B77" t="str">
            <v>Recession</v>
          </cell>
          <cell r="C77" t="str">
            <v>Trough</v>
          </cell>
          <cell r="D77" t="str">
            <v>Mean</v>
          </cell>
          <cell r="E77" t="str">
            <v>Peak</v>
          </cell>
          <cell r="G77" t="str">
            <v>Average</v>
          </cell>
        </row>
        <row r="78">
          <cell r="B78" t="str">
            <v>P/E</v>
          </cell>
          <cell r="C78">
            <v>32.655768648507156</v>
          </cell>
          <cell r="D78">
            <v>0</v>
          </cell>
          <cell r="E78">
            <v>132.64806136481181</v>
          </cell>
          <cell r="G78">
            <v>16.327884324253578</v>
          </cell>
        </row>
        <row r="79">
          <cell r="B79" t="str">
            <v>EV/EBITDA</v>
          </cell>
          <cell r="C79">
            <v>11.977090922263137</v>
          </cell>
          <cell r="D79">
            <v>0</v>
          </cell>
          <cell r="E79">
            <v>10.060946589376625</v>
          </cell>
          <cell r="G79">
            <v>5.9885454611315687</v>
          </cell>
        </row>
        <row r="81">
          <cell r="B81" t="str">
            <v>Price Targets</v>
          </cell>
          <cell r="C81">
            <v>4</v>
          </cell>
          <cell r="D81">
            <v>7</v>
          </cell>
          <cell r="E81">
            <v>13</v>
          </cell>
          <cell r="O81">
            <v>4</v>
          </cell>
          <cell r="P81">
            <v>7</v>
          </cell>
          <cell r="Q81">
            <v>13</v>
          </cell>
        </row>
        <row r="82">
          <cell r="B82" t="str">
            <v>Ups/Downs</v>
          </cell>
          <cell r="C82" t="e">
            <v>#VALUE!</v>
          </cell>
          <cell r="D82" t="e">
            <v>#VALUE!</v>
          </cell>
          <cell r="E82" t="e">
            <v>#VALUE!</v>
          </cell>
        </row>
        <row r="84">
          <cell r="A84" t="str">
            <v>WRC.N</v>
          </cell>
          <cell r="B84" t="str">
            <v>WRC</v>
          </cell>
        </row>
        <row r="85">
          <cell r="B85" t="str">
            <v>Current Price</v>
          </cell>
          <cell r="D85" t="str">
            <v>#Calc</v>
          </cell>
        </row>
        <row r="86">
          <cell r="B86" t="str">
            <v>Net Debt</v>
          </cell>
          <cell r="D86">
            <v>146.34019599656796</v>
          </cell>
        </row>
        <row r="87">
          <cell r="B87" t="str">
            <v>Shares</v>
          </cell>
          <cell r="D87">
            <v>46.780639000000001</v>
          </cell>
        </row>
        <row r="89">
          <cell r="B89" t="str">
            <v>Revenue</v>
          </cell>
          <cell r="C89">
            <v>-0.11976989950304207</v>
          </cell>
          <cell r="D89">
            <v>-2.5755049553264464E-2</v>
          </cell>
          <cell r="E89">
            <v>2.641037255466161E-3</v>
          </cell>
        </row>
        <row r="90">
          <cell r="B90" t="str">
            <v>Gross Margin</v>
          </cell>
          <cell r="C90">
            <v>-119.65735385759734</v>
          </cell>
          <cell r="D90">
            <v>-57.860654104995859</v>
          </cell>
          <cell r="E90">
            <v>-14.807151827720411</v>
          </cell>
        </row>
        <row r="91">
          <cell r="B91" t="str">
            <v>Expense Ratio</v>
          </cell>
          <cell r="C91">
            <v>77.998922105267937</v>
          </cell>
          <cell r="D91">
            <v>34.705478862581685</v>
          </cell>
          <cell r="E91">
            <v>31.128711896627472</v>
          </cell>
        </row>
        <row r="92">
          <cell r="B92" t="str">
            <v>Operating Margin</v>
          </cell>
          <cell r="C92">
            <v>-179.68581022683421</v>
          </cell>
          <cell r="D92">
            <v>-68.16021575468082</v>
          </cell>
          <cell r="E92">
            <v>-19.916157281824887</v>
          </cell>
        </row>
        <row r="94">
          <cell r="B94" t="str">
            <v>P/E Valuation</v>
          </cell>
          <cell r="J94" t="str">
            <v>Warnaco: Base Case Assumptions</v>
          </cell>
        </row>
        <row r="95">
          <cell r="B95" t="str">
            <v>EPS</v>
          </cell>
          <cell r="C95">
            <v>1.87</v>
          </cell>
          <cell r="D95">
            <v>2.4700000000000002</v>
          </cell>
          <cell r="E95">
            <v>2.74</v>
          </cell>
          <cell r="G95" t="e">
            <v>#VALUE!</v>
          </cell>
          <cell r="J95">
            <v>2.4618117734226126</v>
          </cell>
        </row>
        <row r="96">
          <cell r="B96" t="str">
            <v>P/E</v>
          </cell>
          <cell r="C96">
            <v>7</v>
          </cell>
          <cell r="D96">
            <v>9</v>
          </cell>
          <cell r="E96">
            <v>11</v>
          </cell>
        </row>
        <row r="97">
          <cell r="B97" t="str">
            <v>Scenario Price</v>
          </cell>
          <cell r="C97">
            <v>13.09</v>
          </cell>
          <cell r="D97">
            <v>22.23</v>
          </cell>
          <cell r="E97">
            <v>30.14</v>
          </cell>
        </row>
        <row r="98">
          <cell r="B98" t="str">
            <v>Ups/Downs</v>
          </cell>
          <cell r="C98" t="e">
            <v>#VALUE!</v>
          </cell>
          <cell r="D98" t="e">
            <v>#VALUE!</v>
          </cell>
          <cell r="E98" t="e">
            <v>#VALUE!</v>
          </cell>
        </row>
        <row r="100">
          <cell r="B100" t="str">
            <v>EBITDA Valuation</v>
          </cell>
        </row>
        <row r="101">
          <cell r="B101" t="str">
            <v>EBITDA</v>
          </cell>
          <cell r="C101">
            <v>273.64127016791991</v>
          </cell>
          <cell r="D101">
            <v>319.82543010478742</v>
          </cell>
          <cell r="E101">
            <v>339.57970290961413</v>
          </cell>
          <cell r="J101">
            <v>267.61990748481674</v>
          </cell>
        </row>
        <row r="102">
          <cell r="B102" t="str">
            <v>EV/EBITDA</v>
          </cell>
          <cell r="C102">
            <v>14</v>
          </cell>
          <cell r="D102">
            <v>0</v>
          </cell>
          <cell r="E102">
            <v>9</v>
          </cell>
          <cell r="G102">
            <v>4.8720627293441439</v>
          </cell>
        </row>
        <row r="103">
          <cell r="B103" t="str">
            <v>EV</v>
          </cell>
          <cell r="C103">
            <v>3830.9777823508789</v>
          </cell>
          <cell r="D103">
            <v>0</v>
          </cell>
          <cell r="E103">
            <v>3056.2173261865273</v>
          </cell>
        </row>
        <row r="104">
          <cell r="B104" t="str">
            <v>Implied Equity</v>
          </cell>
          <cell r="C104">
            <v>78.764156820395527</v>
          </cell>
          <cell r="D104">
            <v>-3.1282213993820811</v>
          </cell>
          <cell r="E104">
            <v>62.202594756988233</v>
          </cell>
        </row>
        <row r="105">
          <cell r="B105" t="str">
            <v>Ups/Downs</v>
          </cell>
          <cell r="C105" t="e">
            <v>#VALUE!</v>
          </cell>
          <cell r="D105" t="e">
            <v>#VALUE!</v>
          </cell>
          <cell r="E105" t="e">
            <v>#VALUE!</v>
          </cell>
        </row>
        <row r="107">
          <cell r="B107" t="str">
            <v>Residual Income</v>
          </cell>
        </row>
        <row r="108">
          <cell r="B108" t="str">
            <v>Val-Cur</v>
          </cell>
          <cell r="J108">
            <v>47.247361694811161</v>
          </cell>
        </row>
        <row r="110">
          <cell r="B110" t="str">
            <v>FCF Valuation</v>
          </cell>
        </row>
        <row r="111">
          <cell r="B111" t="str">
            <v>FCF Per Share</v>
          </cell>
          <cell r="C111">
            <v>3.979414945933359</v>
          </cell>
          <cell r="D111">
            <v>3.8835532092131673</v>
          </cell>
          <cell r="E111">
            <v>3.935765790688011</v>
          </cell>
          <cell r="J111">
            <v>3.4887129180590786</v>
          </cell>
        </row>
        <row r="112">
          <cell r="B112" t="str">
            <v>Yield</v>
          </cell>
          <cell r="C112">
            <v>8.6646376901905423E-2</v>
          </cell>
          <cell r="D112">
            <v>0.40661692195380583</v>
          </cell>
          <cell r="E112">
            <v>8.5242694361047575E-2</v>
          </cell>
        </row>
        <row r="114">
          <cell r="C114" t="str">
            <v>Trough</v>
          </cell>
          <cell r="D114" t="str">
            <v>5-Yr.</v>
          </cell>
          <cell r="E114" t="str">
            <v>Peak</v>
          </cell>
        </row>
        <row r="115">
          <cell r="B115" t="str">
            <v>P/E</v>
          </cell>
          <cell r="C115">
            <v>5.8995804573471604</v>
          </cell>
          <cell r="D115">
            <v>15.225137406424947</v>
          </cell>
          <cell r="E115">
            <v>19.74418957856701</v>
          </cell>
          <cell r="G115">
            <v>4.8995804573471604</v>
          </cell>
          <cell r="J115">
            <v>10.562358931886054</v>
          </cell>
        </row>
        <row r="116">
          <cell r="B116" t="str">
            <v>EV/EBITDA</v>
          </cell>
          <cell r="C116">
            <v>274.86070000000001</v>
          </cell>
          <cell r="D116">
            <v>271.92733993753131</v>
          </cell>
          <cell r="E116">
            <v>268.14100000000002</v>
          </cell>
          <cell r="G116">
            <v>274.36070000000001</v>
          </cell>
        </row>
        <row r="118">
          <cell r="B118" t="str">
            <v>Recession</v>
          </cell>
          <cell r="C118" t="str">
            <v>Trough</v>
          </cell>
          <cell r="D118" t="str">
            <v>Mean</v>
          </cell>
          <cell r="E118" t="str">
            <v>Peak</v>
          </cell>
          <cell r="G118" t="str">
            <v>Average</v>
          </cell>
        </row>
        <row r="119">
          <cell r="B119" t="str">
            <v>P/E</v>
          </cell>
          <cell r="C119">
            <v>33.220998804772435</v>
          </cell>
          <cell r="D119">
            <v>0</v>
          </cell>
          <cell r="E119">
            <v>134.16903974985749</v>
          </cell>
          <cell r="G119">
            <v>16.610499402386218</v>
          </cell>
        </row>
        <row r="120">
          <cell r="B120" t="str">
            <v>EV/EBITDA</v>
          </cell>
          <cell r="C120" t="str">
            <v>-</v>
          </cell>
          <cell r="D120">
            <v>0</v>
          </cell>
          <cell r="E120" t="str">
            <v>-</v>
          </cell>
          <cell r="G120">
            <v>0</v>
          </cell>
        </row>
        <row r="122">
          <cell r="B122" t="str">
            <v>Price Targets</v>
          </cell>
          <cell r="C122">
            <v>13.3143286066726</v>
          </cell>
          <cell r="D122">
            <v>22</v>
          </cell>
          <cell r="E122">
            <v>30.153107432493702</v>
          </cell>
          <cell r="O122">
            <v>13.3143286066726</v>
          </cell>
          <cell r="P122">
            <v>22</v>
          </cell>
          <cell r="Q122">
            <v>30.153107432493702</v>
          </cell>
        </row>
        <row r="123">
          <cell r="B123" t="str">
            <v>Ups/Downs</v>
          </cell>
          <cell r="C123" t="e">
            <v>#VALUE!</v>
          </cell>
          <cell r="D123" t="e">
            <v>#VALUE!</v>
          </cell>
          <cell r="E123" t="e">
            <v>#VALUE!</v>
          </cell>
        </row>
        <row r="124">
          <cell r="C124">
            <v>7.1199618217500529</v>
          </cell>
          <cell r="D124">
            <v>8.9068825910931171</v>
          </cell>
          <cell r="E124">
            <v>11.004783734486752</v>
          </cell>
        </row>
        <row r="125">
          <cell r="A125" t="str">
            <v>PVH.N</v>
          </cell>
          <cell r="B125" t="str">
            <v>PVH</v>
          </cell>
        </row>
        <row r="126">
          <cell r="B126" t="str">
            <v>Current Price</v>
          </cell>
          <cell r="D126" t="str">
            <v>#Calc</v>
          </cell>
        </row>
        <row r="127">
          <cell r="B127" t="str">
            <v>Net Debt</v>
          </cell>
          <cell r="D127">
            <v>202.00699999999949</v>
          </cell>
        </row>
        <row r="128">
          <cell r="B128" t="str">
            <v>Shares</v>
          </cell>
          <cell r="D128">
            <v>52.293999999999997</v>
          </cell>
        </row>
        <row r="130">
          <cell r="B130" t="str">
            <v>Revenue</v>
          </cell>
          <cell r="C130">
            <v>-6.8117249220791765E-2</v>
          </cell>
          <cell r="D130">
            <v>-3.1739824302132846E-2</v>
          </cell>
          <cell r="E130">
            <v>-1.1084924771722404E-2</v>
          </cell>
          <cell r="H130">
            <v>-7.6285701523983507E-2</v>
          </cell>
          <cell r="I130">
            <v>-3.4224458929715929E-2</v>
          </cell>
          <cell r="J130">
            <v>-5.6435284573952416E-4</v>
          </cell>
          <cell r="L130">
            <v>-7.3434977884946129E-2</v>
          </cell>
          <cell r="M130">
            <v>-1.8574336102211375E-2</v>
          </cell>
          <cell r="N130">
            <v>-1.4657847626209475E-2</v>
          </cell>
        </row>
        <row r="131">
          <cell r="B131" t="str">
            <v>Gross Margin</v>
          </cell>
          <cell r="C131">
            <v>-115.21074728246039</v>
          </cell>
          <cell r="D131">
            <v>-74.588543265898807</v>
          </cell>
          <cell r="E131">
            <v>-42.450498013919535</v>
          </cell>
          <cell r="H131">
            <v>-166.11433040271356</v>
          </cell>
          <cell r="I131">
            <v>-96.33603105782818</v>
          </cell>
          <cell r="J131">
            <v>-128.25676583740182</v>
          </cell>
        </row>
        <row r="132">
          <cell r="B132" t="str">
            <v>Expense Ratio</v>
          </cell>
          <cell r="C132">
            <v>71.983136258124134</v>
          </cell>
          <cell r="D132">
            <v>50.455743705470901</v>
          </cell>
          <cell r="E132">
            <v>31.931965238854442</v>
          </cell>
        </row>
        <row r="133">
          <cell r="B133" t="str">
            <v>Operating Margin</v>
          </cell>
          <cell r="C133">
            <v>-187.19388354058384</v>
          </cell>
          <cell r="D133">
            <v>-125.04428697136902</v>
          </cell>
          <cell r="E133">
            <v>-61.293027348627291</v>
          </cell>
        </row>
        <row r="135">
          <cell r="B135" t="str">
            <v>P/E Valuation</v>
          </cell>
          <cell r="J135" t="str">
            <v>Phillips-Van Heusen: Base Case Assumptions</v>
          </cell>
        </row>
        <row r="136">
          <cell r="B136" t="str">
            <v>EPS</v>
          </cell>
          <cell r="C136">
            <v>2.6975367948907065</v>
          </cell>
          <cell r="D136">
            <v>3.0202804920565067</v>
          </cell>
          <cell r="E136">
            <v>3.3219712718979792</v>
          </cell>
          <cell r="J136">
            <v>2.5625646500915376</v>
          </cell>
        </row>
        <row r="137">
          <cell r="B137" t="str">
            <v>P/E</v>
          </cell>
          <cell r="C137">
            <v>5</v>
          </cell>
          <cell r="D137">
            <v>8</v>
          </cell>
          <cell r="E137">
            <v>11</v>
          </cell>
        </row>
        <row r="138">
          <cell r="B138" t="str">
            <v>Scenario Price</v>
          </cell>
          <cell r="C138">
            <v>13.487683974453532</v>
          </cell>
          <cell r="D138">
            <v>24.162243936452054</v>
          </cell>
          <cell r="E138">
            <v>36.541683990877772</v>
          </cell>
        </row>
        <row r="139">
          <cell r="B139" t="str">
            <v>Ups/Downs</v>
          </cell>
          <cell r="C139" t="e">
            <v>#VALUE!</v>
          </cell>
          <cell r="D139" t="e">
            <v>#VALUE!</v>
          </cell>
          <cell r="E139" t="e">
            <v>#VALUE!</v>
          </cell>
        </row>
        <row r="141">
          <cell r="B141" t="str">
            <v>EBITDA Valuation</v>
          </cell>
        </row>
        <row r="142">
          <cell r="B142" t="str">
            <v>EBITDA</v>
          </cell>
          <cell r="C142">
            <v>302.38773729897332</v>
          </cell>
          <cell r="D142">
            <v>329.01846757906344</v>
          </cell>
          <cell r="E142">
            <v>353.74714620418871</v>
          </cell>
          <cell r="J142">
            <v>296.11657850148913</v>
          </cell>
        </row>
        <row r="143">
          <cell r="B143" t="str">
            <v>EV/EBITDA</v>
          </cell>
          <cell r="C143">
            <v>11</v>
          </cell>
          <cell r="D143">
            <v>0</v>
          </cell>
          <cell r="E143">
            <v>8</v>
          </cell>
          <cell r="G143">
            <v>4.5459145076988214</v>
          </cell>
        </row>
        <row r="144">
          <cell r="B144" t="str">
            <v>EV</v>
          </cell>
          <cell r="C144">
            <v>3326.2651102887066</v>
          </cell>
          <cell r="D144">
            <v>0</v>
          </cell>
          <cell r="E144">
            <v>2829.9771696335097</v>
          </cell>
        </row>
        <row r="145">
          <cell r="B145" t="str">
            <v>Implied Equity</v>
          </cell>
          <cell r="C145">
            <v>59.744102770656426</v>
          </cell>
          <cell r="D145">
            <v>-3.8629097028339676</v>
          </cell>
          <cell r="E145">
            <v>50.253760845097148</v>
          </cell>
        </row>
        <row r="146">
          <cell r="B146" t="str">
            <v>Ups/Downs</v>
          </cell>
          <cell r="C146" t="e">
            <v>#VALUE!</v>
          </cell>
          <cell r="D146" t="e">
            <v>#VALUE!</v>
          </cell>
          <cell r="E146" t="e">
            <v>#VALUE!</v>
          </cell>
        </row>
        <row r="148">
          <cell r="B148" t="str">
            <v>Residual Income</v>
          </cell>
        </row>
        <row r="149">
          <cell r="B149" t="str">
            <v>Val-Cur</v>
          </cell>
          <cell r="J149">
            <v>28.280014890537061</v>
          </cell>
        </row>
        <row r="151">
          <cell r="B151" t="str">
            <v>FCF Valuation</v>
          </cell>
        </row>
        <row r="152">
          <cell r="B152" t="str">
            <v>FCF Per Share</v>
          </cell>
          <cell r="C152">
            <v>3.1023693610209668</v>
          </cell>
          <cell r="D152">
            <v>3.5516863295785646</v>
          </cell>
          <cell r="E152">
            <v>3.943845867944578</v>
          </cell>
          <cell r="J152">
            <v>3.28539002263462</v>
          </cell>
        </row>
        <row r="153">
          <cell r="B153" t="str">
            <v>Yield</v>
          </cell>
          <cell r="C153">
            <v>8.4727397730142831E-2</v>
          </cell>
          <cell r="D153">
            <v>0.34993131190446175</v>
          </cell>
          <cell r="E153">
            <v>9.0876793716481663E-2</v>
          </cell>
        </row>
        <row r="155">
          <cell r="C155" t="str">
            <v>Trough</v>
          </cell>
          <cell r="D155" t="str">
            <v>5-Yr.</v>
          </cell>
          <cell r="E155" t="str">
            <v>Peak</v>
          </cell>
        </row>
        <row r="156">
          <cell r="B156" t="str">
            <v>P/E</v>
          </cell>
          <cell r="C156">
            <v>5.2061818093456127</v>
          </cell>
          <cell r="D156">
            <v>15.259176673924259</v>
          </cell>
          <cell r="E156">
            <v>20.669431279620856</v>
          </cell>
          <cell r="J156">
            <v>10.232679241634935</v>
          </cell>
        </row>
        <row r="157">
          <cell r="B157" t="str">
            <v>EV/EBITDA</v>
          </cell>
          <cell r="C157">
            <v>295.50900000000001</v>
          </cell>
          <cell r="D157">
            <v>328.76022298543529</v>
          </cell>
          <cell r="E157">
            <v>326.46520000000004</v>
          </cell>
        </row>
        <row r="159">
          <cell r="B159" t="str">
            <v>Recession</v>
          </cell>
          <cell r="C159" t="str">
            <v>Trough</v>
          </cell>
          <cell r="D159" t="str">
            <v>Mean</v>
          </cell>
          <cell r="E159" t="str">
            <v>Peak</v>
          </cell>
          <cell r="G159" t="str">
            <v>Average</v>
          </cell>
          <cell r="O159">
            <v>11</v>
          </cell>
          <cell r="P159">
            <v>22</v>
          </cell>
          <cell r="Q159">
            <v>31</v>
          </cell>
        </row>
        <row r="160">
          <cell r="B160" t="str">
            <v>P/E</v>
          </cell>
          <cell r="C160">
            <v>27.942809263417701</v>
          </cell>
          <cell r="D160">
            <v>0</v>
          </cell>
          <cell r="E160">
            <v>133.11565080531253</v>
          </cell>
          <cell r="G160">
            <v>13.97140463170885</v>
          </cell>
        </row>
        <row r="161">
          <cell r="B161" t="str">
            <v>EV/EBITDA</v>
          </cell>
          <cell r="C161">
            <v>10.881526792662877</v>
          </cell>
          <cell r="D161">
            <v>0</v>
          </cell>
          <cell r="E161">
            <v>9.0106642080704216</v>
          </cell>
          <cell r="G161">
            <v>5.4407633963314384</v>
          </cell>
        </row>
        <row r="163">
          <cell r="B163" t="str">
            <v>Price Targets</v>
          </cell>
          <cell r="C163">
            <v>11</v>
          </cell>
          <cell r="D163">
            <v>22</v>
          </cell>
          <cell r="E163">
            <v>31</v>
          </cell>
        </row>
        <row r="164">
          <cell r="B164" t="str">
            <v>Ups/Downs</v>
          </cell>
          <cell r="C164" t="e">
            <v>#VALUE!</v>
          </cell>
          <cell r="D164" t="e">
            <v>#VALUE!</v>
          </cell>
          <cell r="E164" t="e">
            <v>#VALUE!</v>
          </cell>
        </row>
        <row r="165">
          <cell r="C165">
            <v>4.077794238371335</v>
          </cell>
          <cell r="D165">
            <v>7.284091678856031</v>
          </cell>
          <cell r="E165">
            <v>9.3318085746986075</v>
          </cell>
        </row>
        <row r="166">
          <cell r="A166" t="str">
            <v>GES.N</v>
          </cell>
          <cell r="B166" t="str">
            <v>GES</v>
          </cell>
        </row>
        <row r="167">
          <cell r="B167" t="str">
            <v>Current Price</v>
          </cell>
          <cell r="D167" t="str">
            <v>#Calc</v>
          </cell>
        </row>
        <row r="168">
          <cell r="B168" t="str">
            <v>Net Debt</v>
          </cell>
          <cell r="D168">
            <v>-235.60499999999982</v>
          </cell>
        </row>
        <row r="169">
          <cell r="B169" t="str">
            <v>Shares</v>
          </cell>
          <cell r="D169">
            <v>93.893000000000001</v>
          </cell>
        </row>
        <row r="171">
          <cell r="B171" t="str">
            <v>Revenue</v>
          </cell>
          <cell r="C171">
            <v>5.0019061343269389E-3</v>
          </cell>
          <cell r="D171">
            <v>6.2067972955618389E-2</v>
          </cell>
          <cell r="E171">
            <v>8.6505074929410508E-2</v>
          </cell>
        </row>
        <row r="172">
          <cell r="B172" t="str">
            <v>Gross Margin</v>
          </cell>
          <cell r="C172">
            <v>-132.46959365692589</v>
          </cell>
          <cell r="D172">
            <v>-92.045492314125624</v>
          </cell>
          <cell r="E172">
            <v>-56.354346649143963</v>
          </cell>
        </row>
        <row r="173">
          <cell r="B173" t="str">
            <v>Expense Ratio</v>
          </cell>
          <cell r="C173">
            <v>43.820169861799044</v>
          </cell>
          <cell r="D173">
            <v>20.392820435544689</v>
          </cell>
          <cell r="E173">
            <v>9.2980880347370842E-2</v>
          </cell>
        </row>
        <row r="174">
          <cell r="B174" t="str">
            <v>Operating Margin</v>
          </cell>
          <cell r="C174">
            <v>-176.28976351872521</v>
          </cell>
          <cell r="D174">
            <v>-112.43831274967059</v>
          </cell>
          <cell r="E174">
            <v>-56.447327529490224</v>
          </cell>
        </row>
        <row r="176">
          <cell r="B176" t="str">
            <v>P/E Valuation</v>
          </cell>
          <cell r="J176" t="str">
            <v>Guess?: Base Case Assumptions</v>
          </cell>
        </row>
        <row r="177">
          <cell r="B177" t="str">
            <v>EPS</v>
          </cell>
          <cell r="C177">
            <v>2.2579131220645636</v>
          </cell>
          <cell r="D177">
            <v>2.5106239184555692</v>
          </cell>
          <cell r="E177">
            <v>2.6827665053331833</v>
          </cell>
          <cell r="J177">
            <v>2.5106239184555692</v>
          </cell>
        </row>
        <row r="178">
          <cell r="B178" t="str">
            <v>P/E</v>
          </cell>
          <cell r="C178">
            <v>6</v>
          </cell>
          <cell r="D178">
            <v>9</v>
          </cell>
          <cell r="E178">
            <v>12</v>
          </cell>
        </row>
        <row r="179">
          <cell r="B179" t="str">
            <v>Scenario Price</v>
          </cell>
          <cell r="C179">
            <v>13.547478732387383</v>
          </cell>
          <cell r="D179">
            <v>22.595615266100122</v>
          </cell>
          <cell r="E179">
            <v>32.193198063998196</v>
          </cell>
        </row>
        <row r="180">
          <cell r="B180" t="str">
            <v>Ups/Downs</v>
          </cell>
          <cell r="C180" t="e">
            <v>#VALUE!</v>
          </cell>
          <cell r="D180" t="e">
            <v>#VALUE!</v>
          </cell>
          <cell r="E180" t="e">
            <v>#VALUE!</v>
          </cell>
        </row>
        <row r="182">
          <cell r="B182" t="str">
            <v>EBITDA Valuation</v>
          </cell>
        </row>
        <row r="183">
          <cell r="B183" t="str">
            <v>EBITDA</v>
          </cell>
          <cell r="C183">
            <v>395.95327325664459</v>
          </cell>
          <cell r="D183">
            <v>432.95762994659856</v>
          </cell>
          <cell r="E183">
            <v>458.02811179010723</v>
          </cell>
          <cell r="J183">
            <v>432.95762994659856</v>
          </cell>
        </row>
        <row r="184">
          <cell r="B184" t="str">
            <v>EV/EBITDA</v>
          </cell>
          <cell r="C184">
            <v>12</v>
          </cell>
          <cell r="D184">
            <v>0</v>
          </cell>
          <cell r="E184">
            <v>9</v>
          </cell>
          <cell r="G184">
            <v>4.642892656853105</v>
          </cell>
        </row>
        <row r="185">
          <cell r="B185" t="str">
            <v>EV</v>
          </cell>
          <cell r="C185">
            <v>4751.4392790797356</v>
          </cell>
          <cell r="D185">
            <v>0</v>
          </cell>
          <cell r="E185">
            <v>4122.2530061109646</v>
          </cell>
        </row>
        <row r="186">
          <cell r="B186" t="str">
            <v>Implied Equity</v>
          </cell>
          <cell r="C186">
            <v>53.114122235733603</v>
          </cell>
          <cell r="D186">
            <v>2.5092924925180773</v>
          </cell>
          <cell r="E186">
            <v>46.413023400157243</v>
          </cell>
        </row>
        <row r="187">
          <cell r="B187" t="str">
            <v>Ups/Downs</v>
          </cell>
          <cell r="C187" t="e">
            <v>#VALUE!</v>
          </cell>
          <cell r="D187" t="e">
            <v>#VALUE!</v>
          </cell>
          <cell r="E187" t="e">
            <v>#VALUE!</v>
          </cell>
        </row>
        <row r="189">
          <cell r="B189" t="str">
            <v>Residual Income</v>
          </cell>
        </row>
        <row r="190">
          <cell r="B190" t="str">
            <v>Val-Cur</v>
          </cell>
          <cell r="J190">
            <v>44.100114552712384</v>
          </cell>
        </row>
        <row r="192">
          <cell r="B192" t="str">
            <v>FCF Valuation</v>
          </cell>
        </row>
        <row r="193">
          <cell r="B193" t="str">
            <v>FCF Per Share</v>
          </cell>
          <cell r="C193">
            <v>1.9620268022792264</v>
          </cell>
          <cell r="D193">
            <v>2.0333858335373303</v>
          </cell>
          <cell r="E193">
            <v>2.1215188246551513</v>
          </cell>
          <cell r="J193">
            <v>2.0333858335373303</v>
          </cell>
        </row>
        <row r="194">
          <cell r="B194" t="str">
            <v>Yield</v>
          </cell>
          <cell r="C194">
            <v>5.8865276974596217E-2</v>
          </cell>
          <cell r="D194">
            <v>0.16199110174697171</v>
          </cell>
          <cell r="E194">
            <v>5.3978394715806746E-2</v>
          </cell>
        </row>
        <row r="196">
          <cell r="C196" t="str">
            <v>Trough</v>
          </cell>
          <cell r="D196" t="str">
            <v>5-Yr.</v>
          </cell>
          <cell r="E196" t="str">
            <v>Peak</v>
          </cell>
          <cell r="O196">
            <v>10</v>
          </cell>
          <cell r="P196">
            <v>22</v>
          </cell>
          <cell r="Q196">
            <v>28</v>
          </cell>
        </row>
        <row r="197">
          <cell r="B197" t="str">
            <v>P/E</v>
          </cell>
          <cell r="C197">
            <v>2.7960526315789473</v>
          </cell>
          <cell r="D197">
            <v>21.424835061443098</v>
          </cell>
          <cell r="E197">
            <v>48.75</v>
          </cell>
          <cell r="J197">
            <v>12.110443846511023</v>
          </cell>
        </row>
        <row r="198">
          <cell r="B198" t="str">
            <v>EV/EBITDA</v>
          </cell>
          <cell r="C198">
            <v>418.6037</v>
          </cell>
          <cell r="D198">
            <v>418.89366514622878</v>
          </cell>
          <cell r="E198">
            <v>412.87130000000002</v>
          </cell>
        </row>
        <row r="200">
          <cell r="B200" t="str">
            <v>Recession</v>
          </cell>
          <cell r="C200" t="str">
            <v>Trough</v>
          </cell>
          <cell r="D200" t="str">
            <v>Mean</v>
          </cell>
          <cell r="E200" t="str">
            <v>Peak</v>
          </cell>
          <cell r="G200" t="str">
            <v>Average</v>
          </cell>
        </row>
        <row r="201">
          <cell r="B201" t="str">
            <v>P/E</v>
          </cell>
          <cell r="C201">
            <v>13.053715703642743</v>
          </cell>
          <cell r="D201">
            <v>0</v>
          </cell>
          <cell r="E201">
            <v>309.44987810540982</v>
          </cell>
          <cell r="G201">
            <v>6.5268578518213713</v>
          </cell>
        </row>
        <row r="202">
          <cell r="B202" t="str">
            <v>EV/EBITDA</v>
          </cell>
          <cell r="C202">
            <v>11.247450128851238</v>
          </cell>
          <cell r="D202">
            <v>0</v>
          </cell>
          <cell r="E202">
            <v>11.620803986217455</v>
          </cell>
          <cell r="G202">
            <v>5.6237250644256189</v>
          </cell>
        </row>
        <row r="204">
          <cell r="B204" t="str">
            <v>Price Targets</v>
          </cell>
          <cell r="C204">
            <v>10</v>
          </cell>
          <cell r="D204">
            <v>22</v>
          </cell>
          <cell r="E204">
            <v>28</v>
          </cell>
        </row>
        <row r="205">
          <cell r="B205" t="str">
            <v>Ups/Downs</v>
          </cell>
          <cell r="C205" t="e">
            <v>#VALUE!</v>
          </cell>
          <cell r="D205" t="e">
            <v>#VALUE!</v>
          </cell>
          <cell r="E205" t="e">
            <v>#VALUE!</v>
          </cell>
        </row>
        <row r="206">
          <cell r="C206">
            <v>4.4288683662267392</v>
          </cell>
          <cell r="D206">
            <v>8.762762052204728</v>
          </cell>
          <cell r="E206">
            <v>10.436987320490857</v>
          </cell>
        </row>
        <row r="207">
          <cell r="A207" t="str">
            <v>UA.N</v>
          </cell>
          <cell r="B207" t="str">
            <v>UA</v>
          </cell>
        </row>
        <row r="208">
          <cell r="B208" t="str">
            <v>Current Price</v>
          </cell>
          <cell r="D208" t="str">
            <v>#Calc</v>
          </cell>
        </row>
        <row r="209">
          <cell r="B209" t="str">
            <v>Net Debt</v>
          </cell>
          <cell r="D209">
            <v>-2.5880000000000081</v>
          </cell>
        </row>
        <row r="210">
          <cell r="B210" t="str">
            <v>Shares</v>
          </cell>
          <cell r="D210">
            <v>49.933999999999997</v>
          </cell>
        </row>
        <row r="212">
          <cell r="B212" t="str">
            <v>Revenue</v>
          </cell>
          <cell r="C212">
            <v>0.14236773121139379</v>
          </cell>
          <cell r="D212">
            <v>0.18755186841098626</v>
          </cell>
          <cell r="E212">
            <v>0.22117037202345236</v>
          </cell>
        </row>
        <row r="213">
          <cell r="B213" t="str">
            <v>Gross Margin</v>
          </cell>
          <cell r="C213">
            <v>-166.35202649946334</v>
          </cell>
          <cell r="D213">
            <v>-81.868290295997738</v>
          </cell>
          <cell r="E213">
            <v>-11.871325705416492</v>
          </cell>
        </row>
        <row r="214">
          <cell r="B214" t="str">
            <v>Expense Ratio</v>
          </cell>
          <cell r="C214">
            <v>31.875640145483942</v>
          </cell>
          <cell r="D214">
            <v>-18.306369319854298</v>
          </cell>
          <cell r="E214">
            <v>-146.78806714331915</v>
          </cell>
        </row>
        <row r="215">
          <cell r="B215" t="str">
            <v>Operating Margin</v>
          </cell>
          <cell r="C215">
            <v>-198.22766664494756</v>
          </cell>
          <cell r="D215">
            <v>-63.561920976143718</v>
          </cell>
          <cell r="E215">
            <v>134.91674143790212</v>
          </cell>
        </row>
        <row r="217">
          <cell r="B217" t="str">
            <v>P/E Valuation</v>
          </cell>
          <cell r="J217" t="str">
            <v>Under Armour: Base Case Assumptions</v>
          </cell>
        </row>
        <row r="218">
          <cell r="B218" t="str">
            <v>EPS</v>
          </cell>
          <cell r="C218">
            <v>0.99906466248783032</v>
          </cell>
          <cell r="D218">
            <v>1.2018850185316137</v>
          </cell>
          <cell r="E218">
            <v>1.5504235836780593</v>
          </cell>
          <cell r="J218">
            <v>1.2018850185316137</v>
          </cell>
        </row>
        <row r="219">
          <cell r="B219" t="str">
            <v>P/E</v>
          </cell>
          <cell r="C219">
            <v>14</v>
          </cell>
          <cell r="D219">
            <v>18</v>
          </cell>
          <cell r="E219">
            <v>20</v>
          </cell>
        </row>
        <row r="220">
          <cell r="B220" t="str">
            <v>Scenario Price</v>
          </cell>
          <cell r="C220">
            <v>13.986905274829624</v>
          </cell>
          <cell r="D220">
            <v>21.633930333569047</v>
          </cell>
          <cell r="E220">
            <v>31.008471673561186</v>
          </cell>
        </row>
        <row r="221">
          <cell r="B221" t="str">
            <v>Ups/Downs</v>
          </cell>
          <cell r="C221" t="e">
            <v>#VALUE!</v>
          </cell>
          <cell r="D221" t="e">
            <v>#VALUE!</v>
          </cell>
          <cell r="E221" t="e">
            <v>#VALUE!</v>
          </cell>
        </row>
        <row r="223">
          <cell r="B223" t="str">
            <v>EBITDA Valuation</v>
          </cell>
        </row>
        <row r="224">
          <cell r="B224" t="str">
            <v>EBITDA</v>
          </cell>
          <cell r="C224">
            <v>119.58353719373952</v>
          </cell>
          <cell r="D224">
            <v>137.30870701109214</v>
          </cell>
          <cell r="E224">
            <v>167.54865976843155</v>
          </cell>
          <cell r="J224">
            <v>137.30870701109214</v>
          </cell>
        </row>
        <row r="225">
          <cell r="B225" t="str">
            <v>EV/EBITDA</v>
          </cell>
          <cell r="C225">
            <v>20</v>
          </cell>
          <cell r="D225">
            <v>0</v>
          </cell>
          <cell r="E225">
            <v>18</v>
          </cell>
          <cell r="I225" t="str">
            <v>LULU</v>
          </cell>
          <cell r="J225">
            <v>5.9734860572920985</v>
          </cell>
        </row>
        <row r="226">
          <cell r="B226" t="str">
            <v>EV</v>
          </cell>
          <cell r="C226">
            <v>2391.6707438747903</v>
          </cell>
          <cell r="D226">
            <v>0</v>
          </cell>
          <cell r="E226">
            <v>3015.8758758317681</v>
          </cell>
          <cell r="I226" t="str">
            <v>JCG</v>
          </cell>
          <cell r="J226">
            <v>0</v>
          </cell>
        </row>
        <row r="227">
          <cell r="B227" t="str">
            <v>Implied Equity</v>
          </cell>
          <cell r="C227">
            <v>47.948466853742751</v>
          </cell>
          <cell r="D227">
            <v>5.1828413505827856E-2</v>
          </cell>
          <cell r="E227">
            <v>60.449070289417399</v>
          </cell>
          <cell r="I227" t="str">
            <v>HIBB</v>
          </cell>
          <cell r="J227">
            <v>3.6649423212155883</v>
          </cell>
        </row>
        <row r="228">
          <cell r="B228" t="str">
            <v>Ups/Downs</v>
          </cell>
          <cell r="C228" t="e">
            <v>#VALUE!</v>
          </cell>
          <cell r="D228" t="e">
            <v>#VALUE!</v>
          </cell>
          <cell r="E228" t="e">
            <v>#VALUE!</v>
          </cell>
        </row>
        <row r="230">
          <cell r="B230" t="str">
            <v>Residual Income</v>
          </cell>
        </row>
        <row r="231">
          <cell r="B231" t="str">
            <v>Val-Cur</v>
          </cell>
          <cell r="J231">
            <v>28.532794139999851</v>
          </cell>
        </row>
        <row r="233">
          <cell r="B233" t="str">
            <v>FCF Valuation</v>
          </cell>
        </row>
        <row r="234">
          <cell r="B234" t="str">
            <v>FCF Per Share</v>
          </cell>
          <cell r="C234">
            <v>0.4343387735004669</v>
          </cell>
          <cell r="D234">
            <v>0.42456773940421655</v>
          </cell>
          <cell r="E234">
            <v>0.60593286020249848</v>
          </cell>
          <cell r="J234">
            <v>0.42456773940421655</v>
          </cell>
        </row>
        <row r="235">
          <cell r="B235" t="str">
            <v>Yield</v>
          </cell>
          <cell r="C235">
            <v>1.4025548198816596E-2</v>
          </cell>
          <cell r="D235">
            <v>3.9156364723598631E-2</v>
          </cell>
          <cell r="E235">
            <v>1.325058266813635E-2</v>
          </cell>
        </row>
        <row r="237">
          <cell r="C237" t="str">
            <v>Trough</v>
          </cell>
          <cell r="D237" t="str">
            <v>5-Yr.</v>
          </cell>
          <cell r="E237" t="str">
            <v>Peak</v>
          </cell>
          <cell r="O237">
            <v>14</v>
          </cell>
          <cell r="P237">
            <v>22</v>
          </cell>
          <cell r="Q237">
            <v>31</v>
          </cell>
        </row>
        <row r="238">
          <cell r="B238" t="str">
            <v>P/E</v>
          </cell>
          <cell r="C238">
            <v>12.428356703450484</v>
          </cell>
          <cell r="D238">
            <v>44.41327296284517</v>
          </cell>
          <cell r="E238">
            <v>87.068181818181827</v>
          </cell>
          <cell r="J238">
            <v>28.420814833147826</v>
          </cell>
        </row>
        <row r="239">
          <cell r="B239" t="str">
            <v>EV/EBITDA</v>
          </cell>
          <cell r="C239">
            <v>140.03810000000001</v>
          </cell>
          <cell r="D239">
            <v>117.12529688969684</v>
          </cell>
          <cell r="E239">
            <v>118.35556000000001</v>
          </cell>
        </row>
        <row r="241">
          <cell r="B241" t="str">
            <v>Price Targets</v>
          </cell>
          <cell r="C241">
            <v>14</v>
          </cell>
          <cell r="D241">
            <v>22</v>
          </cell>
          <cell r="E241">
            <v>31</v>
          </cell>
        </row>
        <row r="242">
          <cell r="B242" t="str">
            <v>Ups/Downs</v>
          </cell>
          <cell r="C242" t="e">
            <v>#VALUE!</v>
          </cell>
          <cell r="D242" t="e">
            <v>#VALUE!</v>
          </cell>
          <cell r="E242" t="e">
            <v>#VALUE!</v>
          </cell>
        </row>
        <row r="243">
          <cell r="C243">
            <v>14.013106984624766</v>
          </cell>
          <cell r="D243">
            <v>18.304579606856397</v>
          </cell>
          <cell r="E243">
            <v>19.994535897382903</v>
          </cell>
        </row>
        <row r="244">
          <cell r="A244" t="str">
            <v>RL.N</v>
          </cell>
          <cell r="B244" t="str">
            <v>RL</v>
          </cell>
        </row>
        <row r="245">
          <cell r="B245" t="str">
            <v>Current Price</v>
          </cell>
          <cell r="D245" t="str">
            <v>#Calc</v>
          </cell>
        </row>
        <row r="246">
          <cell r="B246" t="str">
            <v>Net Debt</v>
          </cell>
          <cell r="D246">
            <v>-240.9999999999996</v>
          </cell>
        </row>
        <row r="247">
          <cell r="B247" t="str">
            <v>Shares</v>
          </cell>
          <cell r="D247">
            <v>102.1</v>
          </cell>
        </row>
        <row r="249">
          <cell r="B249" t="str">
            <v>Revenue</v>
          </cell>
          <cell r="C249">
            <v>-1.2219431833004668E-2</v>
          </cell>
          <cell r="D249">
            <v>9.7264391571743047E-3</v>
          </cell>
          <cell r="E249">
            <v>4.8279300510463141E-2</v>
          </cell>
        </row>
        <row r="250">
          <cell r="B250" t="str">
            <v>Gross Margin</v>
          </cell>
          <cell r="C250">
            <v>-52.400778001017166</v>
          </cell>
          <cell r="D250">
            <v>39.903577506641419</v>
          </cell>
          <cell r="E250">
            <v>72.31350123189317</v>
          </cell>
        </row>
        <row r="251">
          <cell r="B251" t="str">
            <v>Expense Ratio</v>
          </cell>
          <cell r="C251">
            <v>162.99489485176565</v>
          </cell>
          <cell r="D251">
            <v>139.69425994722619</v>
          </cell>
          <cell r="E251">
            <v>121.14643072228759</v>
          </cell>
        </row>
        <row r="252">
          <cell r="B252" t="str">
            <v>Operating Margin</v>
          </cell>
          <cell r="C252">
            <v>-191.34202325536199</v>
          </cell>
          <cell r="D252">
            <v>-74.157682659594656</v>
          </cell>
          <cell r="E252">
            <v>-20.585567856334919</v>
          </cell>
        </row>
        <row r="254">
          <cell r="B254" t="str">
            <v>P/E Valuation</v>
          </cell>
          <cell r="J254" t="str">
            <v>Ralph Lauren: Base Case Assumptions</v>
          </cell>
        </row>
        <row r="255">
          <cell r="B255" t="str">
            <v>EPS</v>
          </cell>
          <cell r="C255">
            <v>3.3923540743442406</v>
          </cell>
          <cell r="D255">
            <v>3.8195556979500398</v>
          </cell>
          <cell r="E255">
            <v>4.1322311197207835</v>
          </cell>
          <cell r="J255">
            <v>3.8195556979500398</v>
          </cell>
        </row>
        <row r="256">
          <cell r="B256" t="str">
            <v>P/E</v>
          </cell>
          <cell r="C256">
            <v>8</v>
          </cell>
          <cell r="D256">
            <v>11</v>
          </cell>
          <cell r="E256">
            <v>15</v>
          </cell>
          <cell r="G256" t="e">
            <v>#VALUE!</v>
          </cell>
        </row>
        <row r="257">
          <cell r="B257" t="str">
            <v>Scenario Price</v>
          </cell>
          <cell r="C257">
            <v>27.138832594753925</v>
          </cell>
          <cell r="D257">
            <v>42.015112677450439</v>
          </cell>
          <cell r="E257">
            <v>61.983466795811751</v>
          </cell>
        </row>
        <row r="258">
          <cell r="B258" t="str">
            <v>Ups/Downs</v>
          </cell>
          <cell r="C258" t="e">
            <v>#VALUE!</v>
          </cell>
          <cell r="D258" t="e">
            <v>#VALUE!</v>
          </cell>
          <cell r="E258" t="e">
            <v>#VALUE!</v>
          </cell>
        </row>
        <row r="260">
          <cell r="B260" t="str">
            <v>EBITDA Valuation</v>
          </cell>
        </row>
        <row r="261">
          <cell r="B261" t="str">
            <v>EBITDA</v>
          </cell>
          <cell r="C261">
            <v>772.82752298635683</v>
          </cell>
          <cell r="D261">
            <v>843.29338043227006</v>
          </cell>
          <cell r="E261">
            <v>895.18188415629652</v>
          </cell>
          <cell r="J261">
            <v>843.29338043227006</v>
          </cell>
        </row>
        <row r="262">
          <cell r="B262" t="str">
            <v>EV/EBITDA</v>
          </cell>
          <cell r="C262">
            <v>15</v>
          </cell>
          <cell r="D262">
            <v>0</v>
          </cell>
          <cell r="E262">
            <v>11</v>
          </cell>
          <cell r="G262">
            <v>6.2532186038063315</v>
          </cell>
        </row>
        <row r="263">
          <cell r="B263" t="str">
            <v>EV</v>
          </cell>
          <cell r="C263">
            <v>11592.412844795352</v>
          </cell>
          <cell r="D263">
            <v>0</v>
          </cell>
          <cell r="E263">
            <v>9847.000725719261</v>
          </cell>
        </row>
        <row r="264">
          <cell r="B264" t="str">
            <v>Implied Equity</v>
          </cell>
          <cell r="C264">
            <v>115.9002237492199</v>
          </cell>
          <cell r="D264">
            <v>2.360430950048968</v>
          </cell>
          <cell r="E264">
            <v>98.805100153959472</v>
          </cell>
        </row>
        <row r="265">
          <cell r="B265" t="str">
            <v>Ups/Downs</v>
          </cell>
          <cell r="C265" t="e">
            <v>#VALUE!</v>
          </cell>
          <cell r="D265" t="e">
            <v>#VALUE!</v>
          </cell>
          <cell r="E265" t="e">
            <v>#VALUE!</v>
          </cell>
        </row>
        <row r="267">
          <cell r="B267" t="str">
            <v>Residual Income</v>
          </cell>
        </row>
        <row r="268">
          <cell r="B268" t="str">
            <v>Val-Cur</v>
          </cell>
          <cell r="J268">
            <v>58.077356023997737</v>
          </cell>
        </row>
        <row r="270">
          <cell r="B270" t="str">
            <v>FCF Valuation</v>
          </cell>
        </row>
        <row r="271">
          <cell r="B271" t="str">
            <v>FCF Per Share</v>
          </cell>
          <cell r="C271">
            <v>5.3375916719245931</v>
          </cell>
          <cell r="D271">
            <v>5.6935077768655109</v>
          </cell>
          <cell r="E271">
            <v>5.7274157838770998</v>
          </cell>
          <cell r="J271">
            <v>5.6935077768655109</v>
          </cell>
        </row>
        <row r="272">
          <cell r="B272" t="str">
            <v>Yield</v>
          </cell>
          <cell r="C272">
            <v>7.4631248392592789E-2</v>
          </cell>
          <cell r="D272">
            <v>0.25660565759637294</v>
          </cell>
          <cell r="E272">
            <v>7.1241580076601946E-2</v>
          </cell>
        </row>
        <row r="273">
          <cell r="O273">
            <v>25.684165401014301</v>
          </cell>
          <cell r="P273">
            <v>43</v>
          </cell>
          <cell r="Q273">
            <v>71.837292762706198</v>
          </cell>
        </row>
        <row r="274">
          <cell r="C274" t="str">
            <v>Trough</v>
          </cell>
          <cell r="D274" t="str">
            <v>5-Yr.</v>
          </cell>
          <cell r="E274" t="str">
            <v>Peak</v>
          </cell>
        </row>
        <row r="275">
          <cell r="B275" t="str">
            <v>P/E</v>
          </cell>
          <cell r="C275">
            <v>7.8445747800586503</v>
          </cell>
          <cell r="D275">
            <v>16.682633413664135</v>
          </cell>
          <cell r="E275">
            <v>26.298497977869165</v>
          </cell>
          <cell r="J275">
            <v>12.263604096861393</v>
          </cell>
        </row>
        <row r="276">
          <cell r="B276" t="str">
            <v>EV/EBITDA</v>
          </cell>
          <cell r="C276">
            <v>860.82420000000002</v>
          </cell>
          <cell r="D276">
            <v>862.34718055699659</v>
          </cell>
          <cell r="E276">
            <v>821.79550000000006</v>
          </cell>
        </row>
        <row r="278">
          <cell r="B278" t="str">
            <v>Recession</v>
          </cell>
          <cell r="C278" t="str">
            <v>Trough</v>
          </cell>
          <cell r="D278" t="str">
            <v>Mean</v>
          </cell>
          <cell r="E278" t="str">
            <v>Peak</v>
          </cell>
          <cell r="G278" t="str">
            <v>Average</v>
          </cell>
        </row>
        <row r="279">
          <cell r="B279" t="str">
            <v>P/E</v>
          </cell>
          <cell r="C279">
            <v>33.450534727436931</v>
          </cell>
          <cell r="D279">
            <v>0</v>
          </cell>
          <cell r="E279">
            <v>170.30555199737367</v>
          </cell>
          <cell r="G279">
            <v>16.725267363718466</v>
          </cell>
        </row>
        <row r="280">
          <cell r="B280" t="str">
            <v>EV/EBITDA</v>
          </cell>
          <cell r="C280">
            <v>13.227056805898966</v>
          </cell>
          <cell r="D280">
            <v>0</v>
          </cell>
          <cell r="E280">
            <v>10.280584766378455</v>
          </cell>
          <cell r="G280">
            <v>6.6135284029494832</v>
          </cell>
        </row>
        <row r="283">
          <cell r="B283" t="str">
            <v>Price Targets</v>
          </cell>
          <cell r="C283">
            <v>25.684165401014301</v>
          </cell>
          <cell r="D283">
            <v>43</v>
          </cell>
          <cell r="E283">
            <v>71.837292762706198</v>
          </cell>
        </row>
        <row r="284">
          <cell r="B284" t="str">
            <v>Ups/Downs</v>
          </cell>
          <cell r="C284" t="e">
            <v>#VALUE!</v>
          </cell>
          <cell r="D284" t="e">
            <v>#VALUE!</v>
          </cell>
          <cell r="E284" t="e">
            <v>#VALUE!</v>
          </cell>
        </row>
        <row r="285">
          <cell r="C285">
            <v>7.571192404489552</v>
          </cell>
          <cell r="D285">
            <v>11.257853897268248</v>
          </cell>
          <cell r="E285">
            <v>17.384626048593397</v>
          </cell>
        </row>
      </sheetData>
      <sheetData sheetId="9">
        <row r="1">
          <cell r="R1" t="str">
            <v>SmartCharts</v>
          </cell>
          <cell r="BN1" t="str">
            <v>.</v>
          </cell>
        </row>
        <row r="2">
          <cell r="BN2" t="str">
            <v>.</v>
          </cell>
        </row>
        <row r="3">
          <cell r="BN3" t="str">
            <v>.</v>
          </cell>
        </row>
        <row r="9">
          <cell r="D9" t="str">
            <v>Input values in white cells:</v>
          </cell>
        </row>
        <row r="10">
          <cell r="AF10">
            <v>6130.6740333953476</v>
          </cell>
        </row>
        <row r="11">
          <cell r="C11" t="str">
            <v>Base case:</v>
          </cell>
          <cell r="D11">
            <v>22</v>
          </cell>
          <cell r="AF11">
            <v>0.1</v>
          </cell>
        </row>
        <row r="13">
          <cell r="C13" t="str">
            <v>Current price:</v>
          </cell>
          <cell r="D13">
            <v>14.15</v>
          </cell>
          <cell r="AE13">
            <v>-4.9399999999999977</v>
          </cell>
        </row>
        <row r="14">
          <cell r="AE14">
            <v>6170.7696480537052</v>
          </cell>
        </row>
        <row r="15">
          <cell r="C15" t="str">
            <v>Price target:</v>
          </cell>
          <cell r="D15">
            <v>22</v>
          </cell>
        </row>
        <row r="17">
          <cell r="AE17" t="str">
            <v>Bear</v>
          </cell>
          <cell r="AG17" t="str">
            <v>Base</v>
          </cell>
          <cell r="AJ17" t="str">
            <v>Bull</v>
          </cell>
        </row>
        <row r="18">
          <cell r="E18" t="str">
            <v>Input your Bull/Bear data below:</v>
          </cell>
          <cell r="AD18">
            <v>6165.9792177678301</v>
          </cell>
          <cell r="AE18">
            <v>6165.9792177678301</v>
          </cell>
          <cell r="AG18">
            <v>40</v>
          </cell>
          <cell r="AJ18">
            <v>6130.6740333953476</v>
          </cell>
          <cell r="AL18">
            <v>6130.6740333953476</v>
          </cell>
        </row>
        <row r="19">
          <cell r="E19" t="str">
            <v>(Input "to Bear" values as negatives)</v>
          </cell>
          <cell r="AE19" t="str">
            <v>bear_labels</v>
          </cell>
          <cell r="AF19" t="str">
            <v>-bear</v>
          </cell>
          <cell r="AG19" t="str">
            <v>-space1</v>
          </cell>
          <cell r="AH19" t="str">
            <v>+space1</v>
          </cell>
          <cell r="AI19" t="str">
            <v>+bull</v>
          </cell>
          <cell r="AJ19" t="str">
            <v>bull_labels</v>
          </cell>
        </row>
        <row r="20">
          <cell r="D20" t="str">
            <v>to Bear</v>
          </cell>
          <cell r="E20" t="str">
            <v>to Bull</v>
          </cell>
        </row>
        <row r="21">
          <cell r="C21" t="str">
            <v>Global Expansion</v>
          </cell>
          <cell r="D21">
            <v>6170.7696480537052</v>
          </cell>
          <cell r="E21">
            <v>6125.839446330172</v>
          </cell>
          <cell r="AE21">
            <v>-613.06740333953474</v>
          </cell>
          <cell r="AF21">
            <v>6170.7696480537052</v>
          </cell>
          <cell r="AG21">
            <v>0</v>
          </cell>
          <cell r="AH21">
            <v>0</v>
          </cell>
          <cell r="AI21">
            <v>6125.839446330172</v>
          </cell>
          <cell r="AJ21">
            <v>613.06740333953474</v>
          </cell>
          <cell r="AK21">
            <v>6738.9068496697064</v>
          </cell>
        </row>
        <row r="22">
          <cell r="C22" t="str">
            <v>Margin Strength</v>
          </cell>
          <cell r="D22">
            <v>0.14956971412449871</v>
          </cell>
          <cell r="E22">
            <v>-0.10541293482405914</v>
          </cell>
          <cell r="AE22">
            <v>-613.06740333953474</v>
          </cell>
          <cell r="AF22">
            <v>0.14956971412449871</v>
          </cell>
          <cell r="AG22">
            <v>6170.7696480537052</v>
          </cell>
          <cell r="AH22">
            <v>6125.839446330172</v>
          </cell>
          <cell r="AI22">
            <v>-0.10541293482405914</v>
          </cell>
          <cell r="AJ22">
            <v>613.06740333953474</v>
          </cell>
          <cell r="AK22">
            <v>6738.8014367348824</v>
          </cell>
        </row>
        <row r="23">
          <cell r="C23" t="str">
            <v>Multiple</v>
          </cell>
          <cell r="D23">
            <v>-4.9399999999999977</v>
          </cell>
          <cell r="E23">
            <v>4.9400000000000013</v>
          </cell>
          <cell r="AE23">
            <v>-613.06740333953474</v>
          </cell>
          <cell r="AF23">
            <v>-4.9399999999999977</v>
          </cell>
          <cell r="AG23">
            <v>6170.9192177678297</v>
          </cell>
          <cell r="AH23">
            <v>6125.734033395348</v>
          </cell>
          <cell r="AI23">
            <v>4.9400000000000013</v>
          </cell>
          <cell r="AJ23">
            <v>613.06740333953474</v>
          </cell>
          <cell r="AK23">
            <v>6743.741436734882</v>
          </cell>
          <cell r="AN23" t="str">
            <v/>
          </cell>
        </row>
        <row r="24">
          <cell r="AE24">
            <v>-613.06740333953474</v>
          </cell>
          <cell r="AF24">
            <v>0</v>
          </cell>
          <cell r="AG24">
            <v>6165.9792177678301</v>
          </cell>
          <cell r="AH24">
            <v>6130.6740333953476</v>
          </cell>
          <cell r="AI24">
            <v>0</v>
          </cell>
          <cell r="AJ24" t="str">
            <v/>
          </cell>
          <cell r="AK24">
            <v>6130.6740333953476</v>
          </cell>
          <cell r="AN24" t="str">
            <v/>
          </cell>
        </row>
        <row r="25">
          <cell r="AE25">
            <v>-613.06740333953474</v>
          </cell>
          <cell r="AF25">
            <v>0</v>
          </cell>
          <cell r="AG25">
            <v>6165.9792177678301</v>
          </cell>
          <cell r="AH25">
            <v>6130.6740333953476</v>
          </cell>
          <cell r="AI25">
            <v>0</v>
          </cell>
          <cell r="AJ25" t="str">
            <v/>
          </cell>
          <cell r="AK25">
            <v>6130.6740333953476</v>
          </cell>
          <cell r="AN25" t="str">
            <v>Current
14.15</v>
          </cell>
        </row>
        <row r="26">
          <cell r="AE26">
            <v>-613.06740333953474</v>
          </cell>
          <cell r="AF26">
            <v>0</v>
          </cell>
          <cell r="AG26">
            <v>6165.9792177678301</v>
          </cell>
          <cell r="AH26">
            <v>6130.6740333953476</v>
          </cell>
          <cell r="AI26">
            <v>0</v>
          </cell>
          <cell r="AJ26" t="str">
            <v/>
          </cell>
          <cell r="AK26">
            <v>6130.6740333953476</v>
          </cell>
          <cell r="AN26" t="str">
            <v/>
          </cell>
        </row>
        <row r="27">
          <cell r="D27">
            <v>6187.9792177678301</v>
          </cell>
          <cell r="E27">
            <v>6152.6740333953476</v>
          </cell>
          <cell r="AG27">
            <v>0</v>
          </cell>
          <cell r="AH27">
            <v>6130.6740333953476</v>
          </cell>
          <cell r="AN27" t="str">
            <v/>
          </cell>
        </row>
        <row r="28">
          <cell r="D28" t="str">
            <v>BEAR</v>
          </cell>
          <cell r="E28" t="str">
            <v>BULL</v>
          </cell>
          <cell r="AN28" t="str">
            <v/>
          </cell>
        </row>
        <row r="30">
          <cell r="C30" t="str">
            <v>Select currency here:</v>
          </cell>
          <cell r="AE30" t="str">
            <v>-space1</v>
          </cell>
          <cell r="AF30" t="str">
            <v>-bear</v>
          </cell>
          <cell r="AG30" t="str">
            <v>bear_labels</v>
          </cell>
          <cell r="AH30" t="str">
            <v>+space1</v>
          </cell>
          <cell r="AI30" t="str">
            <v>+bull</v>
          </cell>
          <cell r="AJ30" t="str">
            <v>bull_labels</v>
          </cell>
          <cell r="AK30" t="str">
            <v>Bear 6187.98</v>
          </cell>
          <cell r="AL30" t="str">
            <v>Target  22.00</v>
          </cell>
          <cell r="AM30" t="str">
            <v>Bull 6152.67</v>
          </cell>
          <cell r="AN30" t="str">
            <v>Current
14.15</v>
          </cell>
          <cell r="AP30" t="str">
            <v/>
          </cell>
        </row>
        <row r="32">
          <cell r="E32" t="str">
            <v/>
          </cell>
          <cell r="AD32" t="str">
            <v>Global Expansion</v>
          </cell>
          <cell r="AE32">
            <v>0</v>
          </cell>
          <cell r="AF32">
            <v>6170.7696480537052</v>
          </cell>
          <cell r="AH32">
            <v>0</v>
          </cell>
          <cell r="AI32">
            <v>6125.839446330172</v>
          </cell>
          <cell r="AJ32">
            <v>613.06740333953474</v>
          </cell>
          <cell r="AK32">
            <v>6165.9792177678301</v>
          </cell>
          <cell r="AL32">
            <v>0</v>
          </cell>
          <cell r="AM32">
            <v>6130.6740333953476</v>
          </cell>
          <cell r="AN32">
            <v>-7.85</v>
          </cell>
          <cell r="AP32">
            <v>0</v>
          </cell>
        </row>
        <row r="33">
          <cell r="D33" t="str">
            <v>other currency</v>
          </cell>
          <cell r="AD33" t="str">
            <v>Margin Strength</v>
          </cell>
          <cell r="AE33">
            <v>6170.7696480537052</v>
          </cell>
          <cell r="AF33">
            <v>0.14956971412449871</v>
          </cell>
          <cell r="AH33">
            <v>6125.839446330172</v>
          </cell>
          <cell r="AI33">
            <v>-0.10541293482405914</v>
          </cell>
          <cell r="AJ33">
            <v>613.06740333953474</v>
          </cell>
          <cell r="AK33">
            <v>6165.9792177678301</v>
          </cell>
          <cell r="AL33">
            <v>0</v>
          </cell>
          <cell r="AM33">
            <v>6130.6740333953476</v>
          </cell>
          <cell r="AN33">
            <v>-7.85</v>
          </cell>
        </row>
        <row r="34">
          <cell r="AD34" t="str">
            <v>Multiple</v>
          </cell>
          <cell r="AE34">
            <v>6170.9192177678297</v>
          </cell>
          <cell r="AF34">
            <v>-4.9399999999999977</v>
          </cell>
          <cell r="AH34">
            <v>6125.734033395348</v>
          </cell>
          <cell r="AI34">
            <v>4.9400000000000013</v>
          </cell>
          <cell r="AJ34">
            <v>613.06740333953474</v>
          </cell>
          <cell r="AK34">
            <v>6165.9792177678301</v>
          </cell>
          <cell r="AL34">
            <v>0</v>
          </cell>
          <cell r="AM34">
            <v>6130.6740333953476</v>
          </cell>
          <cell r="AN34">
            <v>-7.85</v>
          </cell>
        </row>
        <row r="35">
          <cell r="AD35" t="str">
            <v/>
          </cell>
          <cell r="AE35">
            <v>6165.9792177678301</v>
          </cell>
          <cell r="AF35" t="str">
            <v/>
          </cell>
          <cell r="AH35">
            <v>6130.6740333953476</v>
          </cell>
          <cell r="AI35">
            <v>0</v>
          </cell>
          <cell r="AJ35" t="str">
            <v/>
          </cell>
          <cell r="AK35">
            <v>6165.9792177678301</v>
          </cell>
          <cell r="AL35">
            <v>0</v>
          </cell>
          <cell r="AM35">
            <v>6130.6740333953476</v>
          </cell>
          <cell r="AN35">
            <v>-7.85</v>
          </cell>
        </row>
        <row r="36">
          <cell r="AD36" t="str">
            <v/>
          </cell>
          <cell r="AE36">
            <v>6165.9792177678301</v>
          </cell>
          <cell r="AF36" t="str">
            <v/>
          </cell>
          <cell r="AH36">
            <v>6130.6740333953476</v>
          </cell>
          <cell r="AI36">
            <v>0</v>
          </cell>
          <cell r="AJ36" t="str">
            <v/>
          </cell>
          <cell r="AK36">
            <v>6165.9792177678301</v>
          </cell>
          <cell r="AL36">
            <v>0</v>
          </cell>
          <cell r="AM36">
            <v>6130.6740333953476</v>
          </cell>
          <cell r="AN36">
            <v>-7.85</v>
          </cell>
        </row>
        <row r="37">
          <cell r="AD37" t="str">
            <v/>
          </cell>
          <cell r="AE37">
            <v>6165.9792177678301</v>
          </cell>
          <cell r="AF37" t="str">
            <v/>
          </cell>
          <cell r="AH37">
            <v>6130.6740333953476</v>
          </cell>
          <cell r="AI37">
            <v>0</v>
          </cell>
          <cell r="AJ37" t="str">
            <v/>
          </cell>
          <cell r="AK37">
            <v>6165.9792177678301</v>
          </cell>
          <cell r="AL37">
            <v>0</v>
          </cell>
          <cell r="AM37">
            <v>6130.6740333953476</v>
          </cell>
          <cell r="AN37">
            <v>-7.85</v>
          </cell>
        </row>
        <row r="38">
          <cell r="H38" t="str">
            <v>click here for link to SmartChart FAQ</v>
          </cell>
          <cell r="AK38">
            <v>6165.9792177678301</v>
          </cell>
          <cell r="AL38">
            <v>0</v>
          </cell>
          <cell r="AM38">
            <v>6130.6740333953476</v>
          </cell>
          <cell r="AN38">
            <v>-7.85</v>
          </cell>
        </row>
        <row r="39">
          <cell r="AK39">
            <v>6165.9792177678301</v>
          </cell>
          <cell r="AL39">
            <v>0</v>
          </cell>
          <cell r="AM39">
            <v>6130.6740333953476</v>
          </cell>
          <cell r="AN39">
            <v>-7.85</v>
          </cell>
        </row>
        <row r="40">
          <cell r="G40" t="str">
            <v>Do not change the width of the exhibit or font sizes (they are optimized for export to Word).</v>
          </cell>
        </row>
        <row r="41">
          <cell r="AC41">
            <v>1</v>
          </cell>
          <cell r="AD41" t="str">
            <v>U.S. Dollars</v>
          </cell>
          <cell r="AE41">
            <v>1</v>
          </cell>
          <cell r="AG41" t="str">
            <v>All values are in U.S. Dollars</v>
          </cell>
        </row>
        <row r="42">
          <cell r="G42" t="str">
            <v>Do not delete any rows or columns (some gray cells are used for calculations).</v>
          </cell>
          <cell r="AC42">
            <v>2</v>
          </cell>
          <cell r="AD42" t="str">
            <v>Euros</v>
          </cell>
        </row>
        <row r="43">
          <cell r="AC43">
            <v>3</v>
          </cell>
          <cell r="AD43" t="str">
            <v>Japanese Yen</v>
          </cell>
        </row>
        <row r="44">
          <cell r="G44" t="str">
            <v>You can move the worksheet into another workbook (please use MOVE; do not COPY)</v>
          </cell>
          <cell r="AC44">
            <v>4</v>
          </cell>
          <cell r="AD44" t="str">
            <v>Other (input below)</v>
          </cell>
        </row>
        <row r="46">
          <cell r="G46" t="str">
            <v>Color palette may be affected after moving the worksheet to another workbook. See instructions in FAQ on the intranet</v>
          </cell>
        </row>
        <row r="49">
          <cell r="L49" t="str">
            <v>Bear</v>
          </cell>
          <cell r="M49" t="str">
            <v>Base</v>
          </cell>
          <cell r="N49" t="str">
            <v>Bull</v>
          </cell>
          <cell r="AK49" t="str">
            <v>s</v>
          </cell>
        </row>
        <row r="50">
          <cell r="J50" t="str">
            <v>Revenues</v>
          </cell>
          <cell r="L50">
            <v>212.3175238670191</v>
          </cell>
          <cell r="M50">
            <v>2022.5584557033394</v>
          </cell>
          <cell r="N50">
            <v>225.49813096701911</v>
          </cell>
        </row>
        <row r="51">
          <cell r="J51" t="str">
            <v>Gross Margin</v>
          </cell>
          <cell r="L51">
            <v>-23.812190517260888</v>
          </cell>
          <cell r="M51">
            <v>-23.812726947840115</v>
          </cell>
          <cell r="N51">
            <v>-23.813105010484797</v>
          </cell>
        </row>
        <row r="52">
          <cell r="J52" t="str">
            <v>Gross Profit</v>
          </cell>
          <cell r="L52">
            <v>-5055.7453284745443</v>
          </cell>
          <cell r="M52">
            <v>-48162.632241708801</v>
          </cell>
          <cell r="N52">
            <v>-5369.8106723856799</v>
          </cell>
        </row>
        <row r="53">
          <cell r="J53" t="str">
            <v>Expense Ratio</v>
          </cell>
          <cell r="L53">
            <v>6.6772102905653528</v>
          </cell>
          <cell r="M53">
            <v>0.90403084684786683</v>
          </cell>
          <cell r="N53">
            <v>7.2977144793772037</v>
          </cell>
        </row>
        <row r="54">
          <cell r="J54" t="str">
            <v>Expenses</v>
          </cell>
          <cell r="L54">
            <v>1417.6887552322148</v>
          </cell>
          <cell r="M54">
            <v>1828.4552335088038</v>
          </cell>
          <cell r="N54">
            <v>1645.6209754305123</v>
          </cell>
        </row>
        <row r="55">
          <cell r="J55" t="str">
            <v>Operating Margin</v>
          </cell>
          <cell r="L55">
            <v>2</v>
          </cell>
          <cell r="M55">
            <v>2</v>
          </cell>
          <cell r="N55">
            <v>2</v>
          </cell>
        </row>
        <row r="56">
          <cell r="J56" t="str">
            <v>Operating Profit</v>
          </cell>
          <cell r="L56">
            <v>-6473.4340837067593</v>
          </cell>
          <cell r="M56">
            <v>-49991.087475217602</v>
          </cell>
          <cell r="N56">
            <v>-7015.4316478161927</v>
          </cell>
        </row>
        <row r="57">
          <cell r="J57" t="str">
            <v>Other Expenses</v>
          </cell>
          <cell r="L57">
            <v>21</v>
          </cell>
          <cell r="M57">
            <v>21</v>
          </cell>
          <cell r="N57">
            <v>21</v>
          </cell>
        </row>
        <row r="58">
          <cell r="J58" t="str">
            <v>PBT</v>
          </cell>
          <cell r="L58">
            <v>-6494.4340837067593</v>
          </cell>
          <cell r="M58">
            <v>-50012.087475217602</v>
          </cell>
          <cell r="N58">
            <v>-7036.4316478161927</v>
          </cell>
        </row>
        <row r="59">
          <cell r="J59" t="str">
            <v>Taxes</v>
          </cell>
          <cell r="L59">
            <v>-1883.3858842749623</v>
          </cell>
          <cell r="M59">
            <v>-14503.505367813121</v>
          </cell>
          <cell r="N59">
            <v>-2040.5651778666981</v>
          </cell>
        </row>
        <row r="60">
          <cell r="J60" t="str">
            <v>Net Income</v>
          </cell>
          <cell r="L60">
            <v>-4611.048199431797</v>
          </cell>
          <cell r="M60">
            <v>-35508.58210740448</v>
          </cell>
          <cell r="N60">
            <v>-4995.8664699494948</v>
          </cell>
        </row>
        <row r="61">
          <cell r="J61" t="str">
            <v>EPS</v>
          </cell>
          <cell r="L61">
            <v>1.87</v>
          </cell>
          <cell r="M61">
            <v>2.4700000000000002</v>
          </cell>
          <cell r="N61">
            <v>2.74</v>
          </cell>
        </row>
        <row r="62">
          <cell r="L62">
            <v>-101.34818620303524</v>
          </cell>
          <cell r="M62">
            <v>-768.52777903632079</v>
          </cell>
          <cell r="N62">
            <v>-110.52020819742835</v>
          </cell>
        </row>
        <row r="63">
          <cell r="J63" t="str">
            <v>Tax Rate</v>
          </cell>
          <cell r="L63">
            <v>0.29000000000000031</v>
          </cell>
          <cell r="M63">
            <v>0.29000000000000031</v>
          </cell>
          <cell r="N63">
            <v>0.29000000000000031</v>
          </cell>
        </row>
        <row r="64">
          <cell r="J64" t="str">
            <v>Shares</v>
          </cell>
          <cell r="L64">
            <v>46.352354977810265</v>
          </cell>
          <cell r="M64">
            <v>46.352354977810265</v>
          </cell>
          <cell r="N64">
            <v>46.352354977810265</v>
          </cell>
        </row>
        <row r="66">
          <cell r="J66" t="str">
            <v>Revenues</v>
          </cell>
          <cell r="L66">
            <v>685.6410720059672</v>
          </cell>
          <cell r="M66">
            <v>0</v>
          </cell>
          <cell r="N66">
            <v>680.64882737001915</v>
          </cell>
        </row>
        <row r="67">
          <cell r="J67" t="str">
            <v>Gross Margin</v>
          </cell>
          <cell r="L67">
            <v>1.6618857124944302E-2</v>
          </cell>
          <cell r="M67">
            <v>0</v>
          </cell>
          <cell r="N67">
            <v>-1.1712548313784349E-2</v>
          </cell>
        </row>
        <row r="68">
          <cell r="J68" t="str">
            <v>Expenses</v>
          </cell>
          <cell r="L68">
            <v>-178.85565820979414</v>
          </cell>
          <cell r="M68">
            <v>0</v>
          </cell>
          <cell r="N68">
            <v>-198.0791530264415</v>
          </cell>
        </row>
        <row r="69">
          <cell r="J69" t="str">
            <v>Operating Profit</v>
          </cell>
          <cell r="L69">
            <v>506.80203265329806</v>
          </cell>
          <cell r="M69">
            <v>0</v>
          </cell>
          <cell r="N69">
            <v>482.55796179526385</v>
          </cell>
        </row>
        <row r="70">
          <cell r="J70" t="str">
            <v>Other</v>
          </cell>
          <cell r="L70">
            <v>-507.40203265329808</v>
          </cell>
          <cell r="M70">
            <v>0</v>
          </cell>
          <cell r="N70">
            <v>-482.28796179526387</v>
          </cell>
        </row>
        <row r="71">
          <cell r="J71" t="str">
            <v>TOTAL</v>
          </cell>
          <cell r="L71">
            <v>-0.60000000000002274</v>
          </cell>
          <cell r="M71">
            <v>0</v>
          </cell>
          <cell r="N71">
            <v>0.26999999999998181</v>
          </cell>
        </row>
        <row r="72">
          <cell r="L72">
            <v>-0.60000000000000009</v>
          </cell>
          <cell r="N72">
            <v>0.27</v>
          </cell>
        </row>
        <row r="74">
          <cell r="J74" t="str">
            <v>Multiple</v>
          </cell>
          <cell r="L74">
            <v>7</v>
          </cell>
          <cell r="M74">
            <v>9</v>
          </cell>
          <cell r="N74">
            <v>11</v>
          </cell>
        </row>
        <row r="75">
          <cell r="J75" t="str">
            <v>Target</v>
          </cell>
          <cell r="L75">
            <v>13.3143286066726</v>
          </cell>
          <cell r="M75">
            <v>22</v>
          </cell>
          <cell r="N75">
            <v>30.153107432493702</v>
          </cell>
        </row>
        <row r="77">
          <cell r="J77" t="str">
            <v>Drivers</v>
          </cell>
        </row>
        <row r="78">
          <cell r="J78" t="str">
            <v>Revenues</v>
          </cell>
          <cell r="L78">
            <v>6170.7696480537052</v>
          </cell>
          <cell r="N78">
            <v>6125.839446330172</v>
          </cell>
        </row>
        <row r="79">
          <cell r="J79" t="str">
            <v>Gross Margin</v>
          </cell>
          <cell r="L79">
            <v>0.14956971412449871</v>
          </cell>
          <cell r="N79">
            <v>-0.10541293482405914</v>
          </cell>
        </row>
        <row r="80">
          <cell r="J80" t="str">
            <v>Expenses</v>
          </cell>
          <cell r="L80">
            <v>-1609.7009238881474</v>
          </cell>
          <cell r="N80">
            <v>-1782.7123772379734</v>
          </cell>
        </row>
        <row r="81">
          <cell r="J81" t="str">
            <v>Operating Profit</v>
          </cell>
          <cell r="L81">
            <v>4561.2182938796823</v>
          </cell>
          <cell r="N81">
            <v>4343.0216561573743</v>
          </cell>
        </row>
        <row r="82">
          <cell r="J82" t="str">
            <v>Other</v>
          </cell>
          <cell r="L82">
            <v>-4566.6182938796828</v>
          </cell>
          <cell r="N82">
            <v>-4340.5916561573749</v>
          </cell>
        </row>
        <row r="83">
          <cell r="J83" t="str">
            <v>TOTAL</v>
          </cell>
          <cell r="L83">
            <v>-5.4000000000005457</v>
          </cell>
          <cell r="N83">
            <v>2.4299999999993815</v>
          </cell>
        </row>
        <row r="84">
          <cell r="J84" t="str">
            <v>Multiple</v>
          </cell>
          <cell r="L84">
            <v>-4.9399999999999977</v>
          </cell>
          <cell r="N84">
            <v>4.9400000000000013</v>
          </cell>
        </row>
        <row r="85">
          <cell r="J85" t="str">
            <v>TOTAL</v>
          </cell>
          <cell r="L85">
            <v>-10.340000000000543</v>
          </cell>
          <cell r="N85">
            <v>7.3699999999993828</v>
          </cell>
        </row>
        <row r="86">
          <cell r="J86" t="str">
            <v>Check</v>
          </cell>
          <cell r="L86">
            <v>-8.6856713933274001</v>
          </cell>
          <cell r="N86">
            <v>8.1531074324937016</v>
          </cell>
        </row>
      </sheetData>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000"/>
      <sheetName val="traffic"/>
      <sheetName val="SGA core info"/>
      <sheetName val="Sensitivity 2"/>
      <sheetName val="Sensitivity 2 summary table"/>
      <sheetName val="2 year comp"/>
      <sheetName val="Sensitivity 1 scrap "/>
      <sheetName val="Overlaps Summary"/>
      <sheetName val="Merchandise margins at Gap"/>
      <sheetName val="operating margins at Gap"/>
    </sheetNames>
    <sheetDataSet>
      <sheetData sheetId="0">
        <row r="1">
          <cell r="N1" t="str">
            <v>SmartCharts</v>
          </cell>
          <cell r="AW1" t="str">
            <v>.</v>
          </cell>
        </row>
        <row r="2">
          <cell r="AW2" t="str">
            <v>.</v>
          </cell>
        </row>
        <row r="3">
          <cell r="AW3" t="str">
            <v>.</v>
          </cell>
        </row>
        <row r="4">
          <cell r="AW4" t="str">
            <v>.</v>
          </cell>
        </row>
        <row r="5">
          <cell r="C5" t="str">
            <v>Define value axis here:</v>
          </cell>
        </row>
        <row r="6">
          <cell r="C6" t="str">
            <v>Gap, Inc. SG&amp;A per Sqaure Foot</v>
          </cell>
        </row>
        <row r="10">
          <cell r="C10" t="str">
            <v>Input your data here:</v>
          </cell>
          <cell r="AW10" t="str">
            <v>.</v>
          </cell>
        </row>
        <row r="11">
          <cell r="C11" t="str">
            <v>Q104</v>
          </cell>
          <cell r="D11">
            <v>113.55540448674371</v>
          </cell>
        </row>
        <row r="12">
          <cell r="C12" t="str">
            <v>Q204</v>
          </cell>
          <cell r="D12">
            <v>116.44808743169398</v>
          </cell>
          <cell r="AW12" t="str">
            <v>.</v>
          </cell>
        </row>
        <row r="13">
          <cell r="C13" t="str">
            <v>Q304</v>
          </cell>
          <cell r="D13">
            <v>117.67918088737201</v>
          </cell>
          <cell r="AW13" t="str">
            <v>.</v>
          </cell>
        </row>
        <row r="14">
          <cell r="C14" t="str">
            <v>Q404</v>
          </cell>
          <cell r="D14">
            <v>117.21691678035471</v>
          </cell>
          <cell r="AW14" t="str">
            <v>.</v>
          </cell>
        </row>
        <row r="15">
          <cell r="C15" t="str">
            <v>Q105</v>
          </cell>
          <cell r="D15">
            <v>117.46766507828454</v>
          </cell>
          <cell r="AW15" t="str">
            <v>.</v>
          </cell>
        </row>
        <row r="16">
          <cell r="C16" t="str">
            <v>Q205</v>
          </cell>
          <cell r="D16">
            <v>116.88346883468836</v>
          </cell>
          <cell r="AW16" t="str">
            <v>.</v>
          </cell>
        </row>
        <row r="17">
          <cell r="C17" t="str">
            <v>Q305</v>
          </cell>
          <cell r="D17">
            <v>113.89784946236558</v>
          </cell>
          <cell r="AW17" t="str">
            <v>.</v>
          </cell>
        </row>
        <row r="18">
          <cell r="C18" t="str">
            <v>Q405</v>
          </cell>
          <cell r="D18">
            <v>111.6</v>
          </cell>
          <cell r="AW18" t="str">
            <v>.</v>
          </cell>
        </row>
        <row r="19">
          <cell r="C19" t="str">
            <v>Q106</v>
          </cell>
          <cell r="D19">
            <v>110.34391534391536</v>
          </cell>
          <cell r="AW19" t="str">
            <v>.</v>
          </cell>
        </row>
        <row r="20">
          <cell r="C20" t="str">
            <v>Q206</v>
          </cell>
          <cell r="D20">
            <v>111.0761154855643</v>
          </cell>
          <cell r="AW20" t="str">
            <v>.</v>
          </cell>
        </row>
        <row r="21">
          <cell r="C21" t="str">
            <v>Q306</v>
          </cell>
          <cell r="D21">
            <v>114.17374265186153</v>
          </cell>
          <cell r="AW21" t="str">
            <v>.</v>
          </cell>
        </row>
        <row r="22">
          <cell r="C22" t="str">
            <v>Q406</v>
          </cell>
          <cell r="D22">
            <v>116.05962410887879</v>
          </cell>
          <cell r="AW22" t="str">
            <v>.</v>
          </cell>
        </row>
        <row r="23">
          <cell r="C23" t="str">
            <v>Q107</v>
          </cell>
          <cell r="D23">
            <v>116.37709137709138</v>
          </cell>
          <cell r="AW23" t="str">
            <v>.</v>
          </cell>
        </row>
        <row r="24">
          <cell r="C24" t="str">
            <v>Q207</v>
          </cell>
          <cell r="D24">
            <v>114.25463851567497</v>
          </cell>
          <cell r="AW24" t="str">
            <v>.</v>
          </cell>
        </row>
        <row r="25">
          <cell r="C25" t="str">
            <v>Q307</v>
          </cell>
          <cell r="D25">
            <v>111.47040101845958</v>
          </cell>
          <cell r="AW25" t="str">
            <v>.</v>
          </cell>
        </row>
        <row r="26">
          <cell r="C26" t="str">
            <v>Q407</v>
          </cell>
          <cell r="D26">
            <v>110.20925808497147</v>
          </cell>
          <cell r="AW26" t="str">
            <v>.</v>
          </cell>
        </row>
        <row r="27">
          <cell r="C27" t="str">
            <v>Q108</v>
          </cell>
          <cell r="D27">
            <v>107.58686039166139</v>
          </cell>
          <cell r="AW27" t="str">
            <v>.</v>
          </cell>
        </row>
        <row r="28">
          <cell r="C28" t="str">
            <v>Q208</v>
          </cell>
          <cell r="D28">
            <v>105.94833018273472</v>
          </cell>
          <cell r="AW28" t="str">
            <v>.</v>
          </cell>
        </row>
        <row r="29">
          <cell r="C29" t="str">
            <v>Q308</v>
          </cell>
          <cell r="D29">
            <v>103.60201511335012</v>
          </cell>
          <cell r="AW29" t="str">
            <v>.</v>
          </cell>
        </row>
        <row r="30">
          <cell r="C30" t="str">
            <v>Q408</v>
          </cell>
          <cell r="D30">
            <v>98.273471959672349</v>
          </cell>
          <cell r="AW30" t="str">
            <v>.</v>
          </cell>
        </row>
        <row r="31">
          <cell r="C31" t="str">
            <v>Q109</v>
          </cell>
          <cell r="D31">
            <v>96.616161616161619</v>
          </cell>
          <cell r="AW31" t="str">
            <v>.</v>
          </cell>
        </row>
        <row r="32">
          <cell r="C32" t="str">
            <v>Q209</v>
          </cell>
          <cell r="D32">
            <v>95.423514538558791</v>
          </cell>
          <cell r="AW32" t="str">
            <v>.</v>
          </cell>
        </row>
        <row r="33">
          <cell r="C33" t="str">
            <v>Q309E</v>
          </cell>
          <cell r="D33">
            <v>96.496514758303874</v>
          </cell>
          <cell r="AW33" t="str">
            <v>.</v>
          </cell>
        </row>
        <row r="34">
          <cell r="C34" t="str">
            <v>Q409E</v>
          </cell>
          <cell r="D34">
            <v>98.614359976164863</v>
          </cell>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
      <sheetData sheetId="2"/>
      <sheetData sheetId="3"/>
      <sheetData sheetId="4"/>
      <sheetData sheetId="5"/>
      <sheetData sheetId="6"/>
      <sheetData sheetId="7"/>
      <sheetData sheetId="8"/>
      <sheetData sheetId="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S vs Street"/>
      <sheetName val="Quarterly Data -ModelLinked"/>
      <sheetName val="Summary Cheat Sheet"/>
      <sheetName val="Coverage Universe Comp"/>
      <sheetName val="EBITDA"/>
      <sheetName val="__FDSCACHE__"/>
      <sheetName val="MS vs Consensus Estimates"/>
      <sheetName val="Revenue Growth"/>
      <sheetName val="Operating Margin"/>
      <sheetName val="EPS"/>
      <sheetName val="EPS Growth"/>
      <sheetName val="Relative Risk Reward Chart"/>
      <sheetName val="Earnings Snapshot"/>
      <sheetName val="For 2010 report - Q data"/>
      <sheetName val="For 2010 Report - misc calc"/>
      <sheetName val="GPS Report"/>
      <sheetName val="CHSG&amp;A Growth less Sales Growth"/>
    </sheetNames>
    <sheetDataSet>
      <sheetData sheetId="0"/>
      <sheetData sheetId="1"/>
      <sheetData sheetId="2"/>
      <sheetData sheetId="3"/>
      <sheetData sheetId="4">
        <row r="1">
          <cell r="C1" t="str">
            <v>KSS.N</v>
          </cell>
          <cell r="D1" t="str">
            <v>JCP.N</v>
          </cell>
          <cell r="E1" t="str">
            <v>M.N</v>
          </cell>
          <cell r="F1" t="str">
            <v>JWN.N</v>
          </cell>
          <cell r="G1" t="str">
            <v>SKS.N</v>
          </cell>
          <cell r="H1" t="str">
            <v>ROST.O</v>
          </cell>
          <cell r="I1" t="str">
            <v>TJX.N</v>
          </cell>
          <cell r="M1" t="str">
            <v>ANF.N</v>
          </cell>
          <cell r="N1" t="str">
            <v>ARO.N</v>
          </cell>
          <cell r="O1" t="str">
            <v>AEO.N</v>
          </cell>
          <cell r="P1" t="str">
            <v>COH.N</v>
          </cell>
          <cell r="Q1" t="str">
            <v>GPS.N</v>
          </cell>
          <cell r="R1" t="str">
            <v>LTD.N</v>
          </cell>
          <cell r="S1" t="str">
            <v>URBN.O</v>
          </cell>
        </row>
        <row r="2">
          <cell r="C2" t="str">
            <v>Base Case - Dept Stores</v>
          </cell>
          <cell r="M2" t="str">
            <v>Base Case - Specialty</v>
          </cell>
        </row>
        <row r="3">
          <cell r="B3">
            <v>40284</v>
          </cell>
          <cell r="C3" t="str">
            <v>KSS</v>
          </cell>
          <cell r="D3" t="str">
            <v>JCP</v>
          </cell>
          <cell r="E3" t="str">
            <v>M</v>
          </cell>
          <cell r="F3" t="str">
            <v>JWN</v>
          </cell>
          <cell r="G3" t="str">
            <v>SKS</v>
          </cell>
          <cell r="H3" t="str">
            <v>ROST</v>
          </cell>
          <cell r="I3" t="str">
            <v>TJX</v>
          </cell>
          <cell r="J3" t="str">
            <v>Average</v>
          </cell>
          <cell r="K3" t="str">
            <v>Total</v>
          </cell>
          <cell r="M3" t="str">
            <v>ANF</v>
          </cell>
          <cell r="N3" t="str">
            <v>ARO</v>
          </cell>
          <cell r="O3" t="str">
            <v>AEO</v>
          </cell>
          <cell r="P3" t="str">
            <v>COH</v>
          </cell>
          <cell r="Q3" t="str">
            <v>GPS</v>
          </cell>
          <cell r="R3" t="str">
            <v>LTD</v>
          </cell>
          <cell r="S3" t="str">
            <v>URBN</v>
          </cell>
          <cell r="T3" t="str">
            <v>Average</v>
          </cell>
          <cell r="U3" t="str">
            <v>Total</v>
          </cell>
        </row>
        <row r="4">
          <cell r="B4" t="str">
            <v>Current Price</v>
          </cell>
          <cell r="C4" t="str">
            <v>#Calc</v>
          </cell>
          <cell r="D4" t="str">
            <v>#Calc</v>
          </cell>
          <cell r="E4" t="str">
            <v>#Calc</v>
          </cell>
          <cell r="F4" t="str">
            <v>#Calc</v>
          </cell>
          <cell r="G4" t="str">
            <v>#Calc</v>
          </cell>
          <cell r="H4" t="str">
            <v>#Calc</v>
          </cell>
          <cell r="I4" t="str">
            <v>#Calc</v>
          </cell>
          <cell r="M4" t="str">
            <v>#Calc</v>
          </cell>
          <cell r="N4" t="str">
            <v>#Calc</v>
          </cell>
          <cell r="O4" t="str">
            <v>#Calc</v>
          </cell>
          <cell r="P4" t="str">
            <v>#Calc</v>
          </cell>
          <cell r="Q4" t="str">
            <v>#Calc</v>
          </cell>
          <cell r="R4" t="str">
            <v>#Calc</v>
          </cell>
          <cell r="S4" t="str">
            <v>#Calc</v>
          </cell>
        </row>
        <row r="5">
          <cell r="B5" t="str">
            <v>Market Cap ($M)</v>
          </cell>
          <cell r="C5" t="e">
            <v>#VALUE!</v>
          </cell>
          <cell r="D5" t="e">
            <v>#VALUE!</v>
          </cell>
          <cell r="E5" t="e">
            <v>#VALUE!</v>
          </cell>
          <cell r="F5" t="e">
            <v>#VALUE!</v>
          </cell>
          <cell r="G5" t="e">
            <v>#VALUE!</v>
          </cell>
          <cell r="H5" t="e">
            <v>#VALUE!</v>
          </cell>
          <cell r="I5" t="e">
            <v>#VALUE!</v>
          </cell>
          <cell r="J5" t="e">
            <v>#VALUE!</v>
          </cell>
          <cell r="K5" t="e">
            <v>#VALUE!</v>
          </cell>
          <cell r="M5" t="e">
            <v>#VALUE!</v>
          </cell>
          <cell r="N5" t="e">
            <v>#VALUE!</v>
          </cell>
          <cell r="O5" t="e">
            <v>#VALUE!</v>
          </cell>
          <cell r="P5" t="e">
            <v>#VALUE!</v>
          </cell>
          <cell r="Q5" t="e">
            <v>#VALUE!</v>
          </cell>
          <cell r="R5" t="e">
            <v>#VALUE!</v>
          </cell>
          <cell r="S5" t="e">
            <v>#VALUE!</v>
          </cell>
          <cell r="T5" t="e">
            <v>#VALUE!</v>
          </cell>
          <cell r="U5" t="e">
            <v>#VALUE!</v>
          </cell>
        </row>
        <row r="6">
          <cell r="B6" t="str">
            <v>Shares Outstanding (Last Reported)</v>
          </cell>
          <cell r="C6">
            <v>307</v>
          </cell>
          <cell r="D6">
            <v>232.85</v>
          </cell>
          <cell r="E6">
            <v>422.35</v>
          </cell>
          <cell r="F6">
            <v>219.65</v>
          </cell>
          <cell r="G6">
            <v>146.84450000000001</v>
          </cell>
          <cell r="H6">
            <v>125.05625000000001</v>
          </cell>
          <cell r="I6">
            <v>427.38150000000002</v>
          </cell>
          <cell r="M6">
            <v>88.354749999999996</v>
          </cell>
          <cell r="N6">
            <v>101.02475</v>
          </cell>
          <cell r="O6">
            <v>209.096</v>
          </cell>
          <cell r="P6">
            <v>321.38099999999997</v>
          </cell>
          <cell r="Q6">
            <v>698.5</v>
          </cell>
          <cell r="R6">
            <v>326.76499999999999</v>
          </cell>
          <cell r="S6">
            <v>171.22537274999999</v>
          </cell>
        </row>
        <row r="7">
          <cell r="B7" t="str">
            <v>EV ($M)</v>
          </cell>
          <cell r="C7" t="e">
            <v>#VALUE!</v>
          </cell>
          <cell r="D7" t="e">
            <v>#VALUE!</v>
          </cell>
          <cell r="E7" t="e">
            <v>#VALUE!</v>
          </cell>
          <cell r="F7" t="e">
            <v>#VALUE!</v>
          </cell>
          <cell r="G7" t="e">
            <v>#VALUE!</v>
          </cell>
          <cell r="H7" t="e">
            <v>#VALUE!</v>
          </cell>
          <cell r="I7" t="e">
            <v>#VALUE!</v>
          </cell>
          <cell r="J7" t="e">
            <v>#VALUE!</v>
          </cell>
          <cell r="K7" t="e">
            <v>#VALUE!</v>
          </cell>
          <cell r="M7" t="e">
            <v>#VALUE!</v>
          </cell>
          <cell r="N7" t="e">
            <v>#VALUE!</v>
          </cell>
          <cell r="O7" t="e">
            <v>#VALUE!</v>
          </cell>
          <cell r="P7" t="e">
            <v>#VALUE!</v>
          </cell>
          <cell r="Q7" t="e">
            <v>#VALUE!</v>
          </cell>
          <cell r="R7" t="e">
            <v>#VALUE!</v>
          </cell>
          <cell r="S7" t="e">
            <v>#VALUE!</v>
          </cell>
          <cell r="T7" t="e">
            <v>#VALUE!</v>
          </cell>
          <cell r="U7" t="e">
            <v>#VALUE!</v>
          </cell>
        </row>
        <row r="9">
          <cell r="B9" t="str">
            <v>P/E (CY2010)</v>
          </cell>
          <cell r="C9" t="e">
            <v>#VALUE!</v>
          </cell>
          <cell r="D9" t="e">
            <v>#VALUE!</v>
          </cell>
          <cell r="E9" t="e">
            <v>#VALUE!</v>
          </cell>
          <cell r="F9" t="e">
            <v>#VALUE!</v>
          </cell>
          <cell r="G9" t="e">
            <v>#VALUE!</v>
          </cell>
          <cell r="H9" t="e">
            <v>#VALUE!</v>
          </cell>
          <cell r="I9" t="e">
            <v>#VALUE!</v>
          </cell>
          <cell r="J9" t="e">
            <v>#VALUE!</v>
          </cell>
          <cell r="M9" t="e">
            <v>#VALUE!</v>
          </cell>
          <cell r="N9" t="e">
            <v>#VALUE!</v>
          </cell>
          <cell r="O9" t="e">
            <v>#VALUE!</v>
          </cell>
          <cell r="P9" t="e">
            <v>#VALUE!</v>
          </cell>
          <cell r="Q9" t="e">
            <v>#VALUE!</v>
          </cell>
          <cell r="R9" t="e">
            <v>#VALUE!</v>
          </cell>
          <cell r="S9" t="e">
            <v>#VALUE!</v>
          </cell>
          <cell r="T9" t="e">
            <v>#VALUE!</v>
          </cell>
        </row>
        <row r="10">
          <cell r="B10" t="str">
            <v>EV/EBITDA (CY2009)</v>
          </cell>
          <cell r="C10" t="e">
            <v>#VALUE!</v>
          </cell>
          <cell r="D10" t="e">
            <v>#VALUE!</v>
          </cell>
          <cell r="E10" t="e">
            <v>#VALUE!</v>
          </cell>
          <cell r="F10" t="e">
            <v>#VALUE!</v>
          </cell>
          <cell r="G10" t="e">
            <v>#VALUE!</v>
          </cell>
          <cell r="H10" t="e">
            <v>#VALUE!</v>
          </cell>
          <cell r="I10" t="e">
            <v>#VALUE!</v>
          </cell>
          <cell r="J10" t="e">
            <v>#VALUE!</v>
          </cell>
          <cell r="M10" t="e">
            <v>#VALUE!</v>
          </cell>
          <cell r="N10" t="e">
            <v>#VALUE!</v>
          </cell>
          <cell r="O10" t="e">
            <v>#VALUE!</v>
          </cell>
          <cell r="P10" t="e">
            <v>#VALUE!</v>
          </cell>
          <cell r="Q10" t="e">
            <v>#VALUE!</v>
          </cell>
          <cell r="R10" t="e">
            <v>#VALUE!</v>
          </cell>
          <cell r="S10" t="e">
            <v>#VALUE!</v>
          </cell>
          <cell r="T10" t="e">
            <v>#VALUE!</v>
          </cell>
        </row>
        <row r="11">
          <cell r="D11" t="str">
            <v xml:space="preserve"> </v>
          </cell>
        </row>
        <row r="12">
          <cell r="B12" t="str">
            <v>Targets</v>
          </cell>
        </row>
        <row r="13">
          <cell r="A13" t="str">
            <v>mscalc:targetPrice</v>
          </cell>
          <cell r="B13" t="str">
            <v>Price</v>
          </cell>
          <cell r="C13">
            <v>68</v>
          </cell>
          <cell r="D13">
            <v>24</v>
          </cell>
          <cell r="E13">
            <v>19</v>
          </cell>
          <cell r="F13" t="str">
            <v>NA</v>
          </cell>
          <cell r="G13" t="str">
            <v>NA</v>
          </cell>
          <cell r="H13" t="str">
            <v>NA</v>
          </cell>
          <cell r="I13" t="str">
            <v>NA</v>
          </cell>
          <cell r="M13" t="str">
            <v>NA</v>
          </cell>
          <cell r="N13" t="str">
            <v>NA</v>
          </cell>
          <cell r="O13" t="str">
            <v>NA</v>
          </cell>
          <cell r="P13">
            <v>42</v>
          </cell>
          <cell r="Q13">
            <v>16</v>
          </cell>
          <cell r="R13" t="str">
            <v>NA</v>
          </cell>
          <cell r="S13" t="str">
            <v>NA</v>
          </cell>
        </row>
        <row r="14">
          <cell r="A14" t="str">
            <v>mstag:met_12monthIntrinsicValueEstimate</v>
          </cell>
          <cell r="B14" t="str">
            <v>Upside/Downside</v>
          </cell>
          <cell r="C14" t="str">
            <v>NA</v>
          </cell>
          <cell r="D14" t="str">
            <v>NA</v>
          </cell>
          <cell r="E14" t="str">
            <v>NA</v>
          </cell>
          <cell r="F14" t="str">
            <v>NA</v>
          </cell>
          <cell r="G14" t="str">
            <v>NA</v>
          </cell>
          <cell r="H14" t="str">
            <v>NA</v>
          </cell>
          <cell r="I14" t="str">
            <v>NA</v>
          </cell>
          <cell r="J14" t="e">
            <v>#DIV/0!</v>
          </cell>
          <cell r="M14" t="str">
            <v>NA</v>
          </cell>
          <cell r="N14" t="str">
            <v>NA</v>
          </cell>
          <cell r="O14" t="str">
            <v>NA</v>
          </cell>
          <cell r="P14" t="str">
            <v>NA</v>
          </cell>
          <cell r="Q14" t="str">
            <v>NA</v>
          </cell>
          <cell r="R14" t="str">
            <v>NA</v>
          </cell>
          <cell r="S14" t="str">
            <v>NA</v>
          </cell>
          <cell r="T14" t="e">
            <v>#DIV/0!</v>
          </cell>
        </row>
        <row r="15">
          <cell r="B15" t="str">
            <v>P/E (FY2)</v>
          </cell>
          <cell r="C15">
            <v>14.870279459655178</v>
          </cell>
          <cell r="D15">
            <v>12.352957473773571</v>
          </cell>
          <cell r="E15">
            <v>9.1099989074795964</v>
          </cell>
          <cell r="F15" t="str">
            <v>NA</v>
          </cell>
          <cell r="G15" t="str">
            <v>NA</v>
          </cell>
          <cell r="H15" t="str">
            <v>NA</v>
          </cell>
          <cell r="I15" t="str">
            <v>NA</v>
          </cell>
          <cell r="J15">
            <v>12.111078613636115</v>
          </cell>
          <cell r="M15" t="str">
            <v>NA</v>
          </cell>
          <cell r="N15" t="str">
            <v>NA</v>
          </cell>
          <cell r="O15" t="str">
            <v>NA</v>
          </cell>
          <cell r="P15">
            <v>17.331798540137708</v>
          </cell>
          <cell r="Q15">
            <v>9.0673458792338248</v>
          </cell>
          <cell r="R15" t="str">
            <v>NA</v>
          </cell>
          <cell r="S15" t="str">
            <v>NA</v>
          </cell>
          <cell r="T15">
            <v>13.199572209685766</v>
          </cell>
        </row>
        <row r="16">
          <cell r="B16" t="str">
            <v>EV/EBITDA</v>
          </cell>
          <cell r="C16">
            <v>6.8730446650247607</v>
          </cell>
          <cell r="D16">
            <v>4.1445790823667163</v>
          </cell>
          <cell r="E16">
            <v>4.9543727752284275</v>
          </cell>
          <cell r="F16" t="str">
            <v>NA</v>
          </cell>
          <cell r="G16" t="str">
            <v>NA</v>
          </cell>
          <cell r="H16" t="str">
            <v>NA</v>
          </cell>
          <cell r="I16" t="str">
            <v>NA</v>
          </cell>
          <cell r="J16">
            <v>5.3239988408733012</v>
          </cell>
          <cell r="M16" t="str">
            <v>NA</v>
          </cell>
          <cell r="N16" t="str">
            <v>NA</v>
          </cell>
          <cell r="O16" t="str">
            <v>NA</v>
          </cell>
          <cell r="P16">
            <v>9.3913558314434322</v>
          </cell>
          <cell r="Q16">
            <v>3.6693619326464884</v>
          </cell>
          <cell r="R16" t="str">
            <v>NA</v>
          </cell>
          <cell r="S16" t="str">
            <v>NA</v>
          </cell>
          <cell r="T16">
            <v>6.5303588820449603</v>
          </cell>
        </row>
        <row r="18">
          <cell r="B18" t="str">
            <v>FY Reference</v>
          </cell>
        </row>
        <row r="19">
          <cell r="B19" t="str">
            <v>FY(10)</v>
          </cell>
          <cell r="C19">
            <v>1999</v>
          </cell>
          <cell r="D19">
            <v>1999</v>
          </cell>
          <cell r="E19">
            <v>1999</v>
          </cell>
          <cell r="F19">
            <v>1999</v>
          </cell>
          <cell r="G19">
            <v>1999</v>
          </cell>
          <cell r="H19">
            <v>1999</v>
          </cell>
          <cell r="I19">
            <v>2000</v>
          </cell>
          <cell r="M19">
            <v>1999</v>
          </cell>
          <cell r="N19">
            <v>1999</v>
          </cell>
          <cell r="O19">
            <v>1999</v>
          </cell>
          <cell r="P19">
            <v>1999</v>
          </cell>
          <cell r="Q19">
            <v>1999</v>
          </cell>
          <cell r="R19">
            <v>1999</v>
          </cell>
          <cell r="S19">
            <v>1999</v>
          </cell>
        </row>
        <row r="20">
          <cell r="B20" t="str">
            <v>FY(9)</v>
          </cell>
          <cell r="C20">
            <v>2000</v>
          </cell>
          <cell r="D20">
            <v>2000</v>
          </cell>
          <cell r="E20">
            <v>2000</v>
          </cell>
          <cell r="F20">
            <v>2000</v>
          </cell>
          <cell r="G20">
            <v>2000</v>
          </cell>
          <cell r="H20">
            <v>2000</v>
          </cell>
          <cell r="I20">
            <v>2001</v>
          </cell>
          <cell r="M20">
            <v>2000</v>
          </cell>
          <cell r="N20">
            <v>2000</v>
          </cell>
          <cell r="O20">
            <v>2000</v>
          </cell>
          <cell r="P20">
            <v>2000</v>
          </cell>
          <cell r="Q20">
            <v>2000</v>
          </cell>
          <cell r="R20">
            <v>2000</v>
          </cell>
          <cell r="S20">
            <v>2000</v>
          </cell>
        </row>
        <row r="21">
          <cell r="B21" t="str">
            <v>FY(8)</v>
          </cell>
          <cell r="C21">
            <v>2001</v>
          </cell>
          <cell r="D21">
            <v>2001</v>
          </cell>
          <cell r="E21">
            <v>2001</v>
          </cell>
          <cell r="F21">
            <v>2001</v>
          </cell>
          <cell r="G21">
            <v>2001</v>
          </cell>
          <cell r="H21">
            <v>2001</v>
          </cell>
          <cell r="I21">
            <v>2002</v>
          </cell>
          <cell r="M21">
            <v>2001</v>
          </cell>
          <cell r="N21">
            <v>2001</v>
          </cell>
          <cell r="O21">
            <v>2001</v>
          </cell>
          <cell r="P21">
            <v>2001</v>
          </cell>
          <cell r="Q21">
            <v>2001</v>
          </cell>
          <cell r="R21">
            <v>2001</v>
          </cell>
          <cell r="S21">
            <v>2001</v>
          </cell>
        </row>
        <row r="22">
          <cell r="B22" t="str">
            <v>FY(7)</v>
          </cell>
          <cell r="C22">
            <v>2002</v>
          </cell>
          <cell r="D22">
            <v>2002</v>
          </cell>
          <cell r="E22">
            <v>2002</v>
          </cell>
          <cell r="F22">
            <v>2002</v>
          </cell>
          <cell r="G22">
            <v>2002</v>
          </cell>
          <cell r="H22">
            <v>2002</v>
          </cell>
          <cell r="I22">
            <v>2003</v>
          </cell>
          <cell r="M22">
            <v>2002</v>
          </cell>
          <cell r="N22">
            <v>2002</v>
          </cell>
          <cell r="O22">
            <v>2002</v>
          </cell>
          <cell r="P22">
            <v>2002</v>
          </cell>
          <cell r="Q22">
            <v>2002</v>
          </cell>
          <cell r="R22">
            <v>2002</v>
          </cell>
          <cell r="S22">
            <v>2002</v>
          </cell>
        </row>
        <row r="23">
          <cell r="B23" t="str">
            <v>FY(6)</v>
          </cell>
          <cell r="C23">
            <v>2003</v>
          </cell>
          <cell r="D23">
            <v>2003</v>
          </cell>
          <cell r="E23">
            <v>2003</v>
          </cell>
          <cell r="F23">
            <v>2003</v>
          </cell>
          <cell r="G23">
            <v>2003</v>
          </cell>
          <cell r="H23">
            <v>2003</v>
          </cell>
          <cell r="I23">
            <v>2004</v>
          </cell>
          <cell r="M23">
            <v>2003</v>
          </cell>
          <cell r="N23">
            <v>2003</v>
          </cell>
          <cell r="O23">
            <v>2003</v>
          </cell>
          <cell r="P23">
            <v>2003</v>
          </cell>
          <cell r="Q23">
            <v>2003</v>
          </cell>
          <cell r="R23">
            <v>2003</v>
          </cell>
          <cell r="S23">
            <v>2003</v>
          </cell>
        </row>
        <row r="24">
          <cell r="B24" t="str">
            <v>FY(5)</v>
          </cell>
          <cell r="C24">
            <v>2004</v>
          </cell>
          <cell r="D24">
            <v>2004</v>
          </cell>
          <cell r="E24">
            <v>2004</v>
          </cell>
          <cell r="F24">
            <v>2004</v>
          </cell>
          <cell r="G24">
            <v>2004</v>
          </cell>
          <cell r="H24">
            <v>2004</v>
          </cell>
          <cell r="I24">
            <v>2005</v>
          </cell>
          <cell r="M24">
            <v>2004</v>
          </cell>
          <cell r="N24">
            <v>2004</v>
          </cell>
          <cell r="O24">
            <v>2004</v>
          </cell>
          <cell r="P24">
            <v>2004</v>
          </cell>
          <cell r="Q24">
            <v>2004</v>
          </cell>
          <cell r="R24">
            <v>2004</v>
          </cell>
          <cell r="S24">
            <v>2004</v>
          </cell>
        </row>
        <row r="25">
          <cell r="B25" t="str">
            <v>FY(4)</v>
          </cell>
          <cell r="C25">
            <v>2005</v>
          </cell>
          <cell r="D25">
            <v>2005</v>
          </cell>
          <cell r="E25">
            <v>2005</v>
          </cell>
          <cell r="F25">
            <v>2005</v>
          </cell>
          <cell r="G25">
            <v>2005</v>
          </cell>
          <cell r="H25">
            <v>2005</v>
          </cell>
          <cell r="I25">
            <v>2006</v>
          </cell>
          <cell r="M25">
            <v>2005</v>
          </cell>
          <cell r="N25">
            <v>2005</v>
          </cell>
          <cell r="O25">
            <v>2005</v>
          </cell>
          <cell r="P25">
            <v>2005</v>
          </cell>
          <cell r="Q25">
            <v>2005</v>
          </cell>
          <cell r="R25">
            <v>2005</v>
          </cell>
          <cell r="S25">
            <v>2005</v>
          </cell>
        </row>
        <row r="26">
          <cell r="B26" t="str">
            <v>FY(3)</v>
          </cell>
          <cell r="C26">
            <v>2006</v>
          </cell>
          <cell r="D26">
            <v>2006</v>
          </cell>
          <cell r="E26">
            <v>2006</v>
          </cell>
          <cell r="F26">
            <v>2006</v>
          </cell>
          <cell r="G26">
            <v>2006</v>
          </cell>
          <cell r="H26">
            <v>2006</v>
          </cell>
          <cell r="I26">
            <v>2007</v>
          </cell>
          <cell r="M26">
            <v>2006</v>
          </cell>
          <cell r="N26">
            <v>2006</v>
          </cell>
          <cell r="O26">
            <v>2006</v>
          </cell>
          <cell r="P26">
            <v>2006</v>
          </cell>
          <cell r="Q26">
            <v>2006</v>
          </cell>
          <cell r="R26">
            <v>2006</v>
          </cell>
          <cell r="S26">
            <v>2006</v>
          </cell>
        </row>
        <row r="27">
          <cell r="B27" t="str">
            <v>FY(2)</v>
          </cell>
          <cell r="C27">
            <v>2007</v>
          </cell>
          <cell r="D27">
            <v>2007</v>
          </cell>
          <cell r="E27">
            <v>2007</v>
          </cell>
          <cell r="F27">
            <v>2007</v>
          </cell>
          <cell r="G27">
            <v>2007</v>
          </cell>
          <cell r="H27">
            <v>2007</v>
          </cell>
          <cell r="I27">
            <v>2008</v>
          </cell>
          <cell r="M27">
            <v>2007</v>
          </cell>
          <cell r="N27">
            <v>2007</v>
          </cell>
          <cell r="O27">
            <v>2007</v>
          </cell>
          <cell r="P27">
            <v>2007</v>
          </cell>
          <cell r="Q27">
            <v>2007</v>
          </cell>
          <cell r="R27">
            <v>2007</v>
          </cell>
          <cell r="S27">
            <v>2007</v>
          </cell>
        </row>
        <row r="28">
          <cell r="B28" t="str">
            <v>FY(1)</v>
          </cell>
          <cell r="C28">
            <v>2008</v>
          </cell>
          <cell r="D28">
            <v>2008</v>
          </cell>
          <cell r="E28">
            <v>2008</v>
          </cell>
          <cell r="F28">
            <v>2008</v>
          </cell>
          <cell r="G28">
            <v>2008</v>
          </cell>
          <cell r="H28">
            <v>2008</v>
          </cell>
          <cell r="I28">
            <v>2009</v>
          </cell>
          <cell r="M28">
            <v>2008</v>
          </cell>
          <cell r="N28">
            <v>2008</v>
          </cell>
          <cell r="O28">
            <v>2008</v>
          </cell>
          <cell r="P28">
            <v>2008</v>
          </cell>
          <cell r="Q28">
            <v>2008</v>
          </cell>
          <cell r="R28">
            <v>2008</v>
          </cell>
          <cell r="S28">
            <v>2008</v>
          </cell>
        </row>
        <row r="29">
          <cell r="A29" t="str">
            <v>mscalc:lastActualYearCalc</v>
          </cell>
          <cell r="B29" t="str">
            <v>FY0</v>
          </cell>
          <cell r="C29">
            <v>2009</v>
          </cell>
          <cell r="D29">
            <v>2009</v>
          </cell>
          <cell r="E29">
            <v>2009</v>
          </cell>
          <cell r="F29">
            <v>2009</v>
          </cell>
          <cell r="G29">
            <v>2009</v>
          </cell>
          <cell r="H29">
            <v>2009</v>
          </cell>
          <cell r="I29">
            <v>2010</v>
          </cell>
          <cell r="M29">
            <v>2009</v>
          </cell>
          <cell r="N29">
            <v>2009</v>
          </cell>
          <cell r="O29">
            <v>2009</v>
          </cell>
          <cell r="P29">
            <v>2009</v>
          </cell>
          <cell r="Q29">
            <v>2009</v>
          </cell>
          <cell r="R29">
            <v>2009</v>
          </cell>
          <cell r="S29">
            <v>2009</v>
          </cell>
        </row>
        <row r="30">
          <cell r="B30" t="str">
            <v>FY1</v>
          </cell>
          <cell r="C30">
            <v>2010</v>
          </cell>
          <cell r="D30">
            <v>2010</v>
          </cell>
          <cell r="E30">
            <v>2010</v>
          </cell>
          <cell r="F30">
            <v>2010</v>
          </cell>
          <cell r="G30">
            <v>2010</v>
          </cell>
          <cell r="H30">
            <v>2010</v>
          </cell>
          <cell r="I30">
            <v>2011</v>
          </cell>
          <cell r="M30">
            <v>2010</v>
          </cell>
          <cell r="N30">
            <v>2010</v>
          </cell>
          <cell r="O30">
            <v>2010</v>
          </cell>
          <cell r="P30">
            <v>2010</v>
          </cell>
          <cell r="Q30">
            <v>2010</v>
          </cell>
          <cell r="R30">
            <v>2010</v>
          </cell>
          <cell r="S30">
            <v>2010</v>
          </cell>
        </row>
        <row r="31">
          <cell r="B31" t="str">
            <v>FY2</v>
          </cell>
          <cell r="C31">
            <v>2011</v>
          </cell>
          <cell r="D31">
            <v>2011</v>
          </cell>
          <cell r="E31">
            <v>2011</v>
          </cell>
          <cell r="F31">
            <v>2011</v>
          </cell>
          <cell r="G31">
            <v>2011</v>
          </cell>
          <cell r="H31">
            <v>2011</v>
          </cell>
          <cell r="I31">
            <v>2012</v>
          </cell>
          <cell r="M31">
            <v>2011</v>
          </cell>
          <cell r="N31">
            <v>2011</v>
          </cell>
          <cell r="O31">
            <v>2011</v>
          </cell>
          <cell r="P31">
            <v>2011</v>
          </cell>
          <cell r="Q31">
            <v>2011</v>
          </cell>
          <cell r="R31">
            <v>2011</v>
          </cell>
          <cell r="S31">
            <v>2011</v>
          </cell>
        </row>
        <row r="32">
          <cell r="B32" t="str">
            <v>FQ(3)</v>
          </cell>
          <cell r="C32" t="str">
            <v>2009Q1</v>
          </cell>
          <cell r="D32" t="str">
            <v>2009Q1</v>
          </cell>
          <cell r="E32" t="str">
            <v>2009Q1</v>
          </cell>
          <cell r="F32" t="str">
            <v>2009Q1</v>
          </cell>
          <cell r="G32" t="str">
            <v>2009Q1</v>
          </cell>
          <cell r="H32" t="str">
            <v>2009Q1</v>
          </cell>
          <cell r="I32" t="str">
            <v>2010Q1</v>
          </cell>
          <cell r="M32" t="str">
            <v>2009Q1</v>
          </cell>
          <cell r="N32" t="str">
            <v>2009Q1</v>
          </cell>
          <cell r="O32" t="str">
            <v>2009Q1</v>
          </cell>
          <cell r="P32" t="str">
            <v>2009Q3</v>
          </cell>
          <cell r="Q32" t="str">
            <v>2009Q1</v>
          </cell>
          <cell r="R32" t="str">
            <v>2009Q1</v>
          </cell>
          <cell r="S32" t="str">
            <v>2009Q1</v>
          </cell>
        </row>
        <row r="33">
          <cell r="B33" t="str">
            <v>FQ(2)</v>
          </cell>
          <cell r="C33" t="str">
            <v>2009Q2</v>
          </cell>
          <cell r="D33" t="str">
            <v>2009Q2</v>
          </cell>
          <cell r="E33" t="str">
            <v>2009Q2</v>
          </cell>
          <cell r="F33" t="str">
            <v>2009Q2</v>
          </cell>
          <cell r="G33" t="str">
            <v>2009Q2</v>
          </cell>
          <cell r="H33" t="str">
            <v>2009Q2</v>
          </cell>
          <cell r="I33" t="str">
            <v>2010Q2</v>
          </cell>
          <cell r="M33" t="str">
            <v>2009Q2</v>
          </cell>
          <cell r="N33" t="str">
            <v>2009Q2</v>
          </cell>
          <cell r="O33" t="str">
            <v>2009Q2</v>
          </cell>
          <cell r="P33" t="str">
            <v>2009Q4</v>
          </cell>
          <cell r="Q33" t="str">
            <v>2009Q2</v>
          </cell>
          <cell r="R33" t="str">
            <v>2009Q2</v>
          </cell>
          <cell r="S33" t="str">
            <v>2009Q2</v>
          </cell>
        </row>
        <row r="34">
          <cell r="B34" t="str">
            <v>FQ(1)</v>
          </cell>
          <cell r="C34" t="str">
            <v>2009Q3</v>
          </cell>
          <cell r="D34" t="str">
            <v>2009Q3</v>
          </cell>
          <cell r="E34" t="str">
            <v>2009Q3</v>
          </cell>
          <cell r="F34" t="str">
            <v>2009Q3</v>
          </cell>
          <cell r="G34" t="str">
            <v>2009Q3</v>
          </cell>
          <cell r="H34" t="str">
            <v>2009Q3</v>
          </cell>
          <cell r="I34" t="str">
            <v>2010Q3</v>
          </cell>
          <cell r="M34" t="str">
            <v>2009Q3</v>
          </cell>
          <cell r="N34" t="str">
            <v>2009Q3</v>
          </cell>
          <cell r="O34" t="str">
            <v>2009Q3</v>
          </cell>
          <cell r="P34" t="str">
            <v>2010Q1</v>
          </cell>
          <cell r="Q34" t="str">
            <v>2009Q3</v>
          </cell>
          <cell r="R34" t="str">
            <v>2009Q3</v>
          </cell>
          <cell r="S34" t="str">
            <v>2009Q3</v>
          </cell>
        </row>
        <row r="35">
          <cell r="A35" t="str">
            <v>mscalc:lastActualPeriodCalc</v>
          </cell>
          <cell r="B35" t="str">
            <v>Last Reported Q</v>
          </cell>
          <cell r="C35" t="str">
            <v>2009FY</v>
          </cell>
          <cell r="D35" t="str">
            <v>2009FY</v>
          </cell>
          <cell r="E35" t="str">
            <v>2009FY</v>
          </cell>
          <cell r="F35" t="str">
            <v>2009FY</v>
          </cell>
          <cell r="G35" t="str">
            <v>2009FY</v>
          </cell>
          <cell r="H35" t="str">
            <v>2009FY</v>
          </cell>
          <cell r="I35" t="str">
            <v>2010FY</v>
          </cell>
          <cell r="M35" t="str">
            <v>2009FY</v>
          </cell>
          <cell r="N35" t="str">
            <v>2009FY</v>
          </cell>
          <cell r="O35" t="str">
            <v>2009FY</v>
          </cell>
          <cell r="P35" t="str">
            <v>2010Q2</v>
          </cell>
          <cell r="Q35" t="str">
            <v>2009FY</v>
          </cell>
          <cell r="R35" t="str">
            <v>2009FY</v>
          </cell>
          <cell r="S35" t="str">
            <v>2009FY</v>
          </cell>
        </row>
        <row r="36">
          <cell r="C36" t="str">
            <v>2009Q4</v>
          </cell>
          <cell r="D36" t="str">
            <v>2009Q4</v>
          </cell>
          <cell r="E36" t="str">
            <v>2009Q4</v>
          </cell>
          <cell r="F36" t="str">
            <v>2009Q4</v>
          </cell>
          <cell r="G36" t="str">
            <v>2009Q4</v>
          </cell>
          <cell r="H36" t="str">
            <v>2009Q4</v>
          </cell>
          <cell r="I36" t="str">
            <v>2010Q4</v>
          </cell>
          <cell r="M36" t="str">
            <v>2009Q4</v>
          </cell>
          <cell r="N36" t="str">
            <v>2009Q4</v>
          </cell>
          <cell r="O36" t="str">
            <v>2009Q4</v>
          </cell>
          <cell r="P36" t="str">
            <v>2010Q2</v>
          </cell>
          <cell r="Q36" t="str">
            <v>2009Q4</v>
          </cell>
          <cell r="R36" t="str">
            <v>2009Q4</v>
          </cell>
          <cell r="S36" t="str">
            <v>2009Q4</v>
          </cell>
        </row>
        <row r="38">
          <cell r="A38" t="str">
            <v>mstag:numberOfStores</v>
          </cell>
          <cell r="B38" t="str">
            <v>Number of Stores</v>
          </cell>
        </row>
        <row r="39">
          <cell r="B39" t="str">
            <v>FY(5)</v>
          </cell>
          <cell r="C39">
            <v>542</v>
          </cell>
          <cell r="D39">
            <v>1017</v>
          </cell>
          <cell r="E39">
            <v>459</v>
          </cell>
          <cell r="F39">
            <v>181</v>
          </cell>
          <cell r="G39">
            <v>386</v>
          </cell>
          <cell r="H39">
            <v>649</v>
          </cell>
          <cell r="I39">
            <v>2224</v>
          </cell>
          <cell r="J39">
            <v>779.71428571428567</v>
          </cell>
          <cell r="K39">
            <v>5458</v>
          </cell>
          <cell r="M39">
            <v>788</v>
          </cell>
          <cell r="N39">
            <v>561</v>
          </cell>
          <cell r="O39">
            <v>846</v>
          </cell>
          <cell r="P39">
            <v>350</v>
          </cell>
          <cell r="Q39">
            <v>2994</v>
          </cell>
          <cell r="R39">
            <v>3779</v>
          </cell>
          <cell r="S39">
            <v>142</v>
          </cell>
          <cell r="T39">
            <v>1351.4285714285713</v>
          </cell>
          <cell r="U39">
            <v>9460</v>
          </cell>
        </row>
        <row r="40">
          <cell r="B40" t="str">
            <v>FY(4)</v>
          </cell>
          <cell r="C40">
            <v>637</v>
          </cell>
          <cell r="D40">
            <v>1019</v>
          </cell>
          <cell r="E40">
            <v>868</v>
          </cell>
          <cell r="F40">
            <v>187</v>
          </cell>
          <cell r="G40">
            <v>163</v>
          </cell>
          <cell r="H40">
            <v>734</v>
          </cell>
          <cell r="I40">
            <v>2381</v>
          </cell>
          <cell r="J40">
            <v>855.57142857142856</v>
          </cell>
          <cell r="K40">
            <v>5989</v>
          </cell>
          <cell r="M40">
            <v>851</v>
          </cell>
          <cell r="N40">
            <v>671</v>
          </cell>
          <cell r="O40">
            <v>869</v>
          </cell>
          <cell r="P40">
            <v>378</v>
          </cell>
          <cell r="Q40">
            <v>3053</v>
          </cell>
          <cell r="R40">
            <v>3590</v>
          </cell>
          <cell r="S40">
            <v>175</v>
          </cell>
          <cell r="T40">
            <v>1369.5714285714287</v>
          </cell>
          <cell r="U40">
            <v>9587</v>
          </cell>
        </row>
        <row r="41">
          <cell r="B41" t="str">
            <v>FY(3)</v>
          </cell>
          <cell r="C41">
            <v>732</v>
          </cell>
          <cell r="D41">
            <v>1033</v>
          </cell>
          <cell r="E41">
            <v>858</v>
          </cell>
          <cell r="F41">
            <v>191</v>
          </cell>
          <cell r="G41">
            <v>166</v>
          </cell>
          <cell r="H41">
            <v>797</v>
          </cell>
          <cell r="I41">
            <v>2466</v>
          </cell>
          <cell r="J41">
            <v>891.85714285714289</v>
          </cell>
          <cell r="K41">
            <v>6243</v>
          </cell>
          <cell r="M41">
            <v>930</v>
          </cell>
          <cell r="N41">
            <v>742</v>
          </cell>
          <cell r="O41">
            <v>911</v>
          </cell>
          <cell r="P41">
            <v>422</v>
          </cell>
          <cell r="Q41">
            <v>3131</v>
          </cell>
          <cell r="R41">
            <v>3766</v>
          </cell>
          <cell r="S41">
            <v>207</v>
          </cell>
          <cell r="T41">
            <v>1444.1428571428571</v>
          </cell>
          <cell r="U41">
            <v>10109</v>
          </cell>
        </row>
        <row r="42">
          <cell r="B42" t="str">
            <v>FY(2)</v>
          </cell>
          <cell r="C42">
            <v>817</v>
          </cell>
          <cell r="D42">
            <v>1067</v>
          </cell>
          <cell r="E42">
            <v>853</v>
          </cell>
          <cell r="F42">
            <v>156</v>
          </cell>
          <cell r="G42">
            <v>177</v>
          </cell>
          <cell r="H42">
            <v>890</v>
          </cell>
          <cell r="I42">
            <v>2563</v>
          </cell>
          <cell r="J42">
            <v>931.85714285714289</v>
          </cell>
          <cell r="K42">
            <v>6523</v>
          </cell>
          <cell r="M42">
            <v>1035</v>
          </cell>
          <cell r="N42">
            <v>828</v>
          </cell>
          <cell r="O42">
            <v>987</v>
          </cell>
          <cell r="P42">
            <v>489</v>
          </cell>
          <cell r="Q42">
            <v>3167</v>
          </cell>
          <cell r="R42">
            <v>2926</v>
          </cell>
          <cell r="S42">
            <v>245</v>
          </cell>
          <cell r="T42">
            <v>1382.4285714285713</v>
          </cell>
          <cell r="U42">
            <v>9677</v>
          </cell>
        </row>
        <row r="43">
          <cell r="B43" t="str">
            <v>FY(1)</v>
          </cell>
          <cell r="C43">
            <v>929</v>
          </cell>
          <cell r="D43">
            <v>1093</v>
          </cell>
          <cell r="E43">
            <v>847</v>
          </cell>
          <cell r="F43">
            <v>169</v>
          </cell>
          <cell r="G43">
            <v>181</v>
          </cell>
          <cell r="H43">
            <v>956</v>
          </cell>
          <cell r="I43">
            <v>2652</v>
          </cell>
          <cell r="J43">
            <v>975.28571428571433</v>
          </cell>
          <cell r="K43">
            <v>6827</v>
          </cell>
          <cell r="M43">
            <v>1097</v>
          </cell>
          <cell r="N43">
            <v>914</v>
          </cell>
          <cell r="O43">
            <v>1098</v>
          </cell>
          <cell r="P43">
            <v>548</v>
          </cell>
          <cell r="Q43">
            <v>3149</v>
          </cell>
          <cell r="R43">
            <v>3014</v>
          </cell>
          <cell r="S43">
            <v>294</v>
          </cell>
          <cell r="T43">
            <v>1444.8571428571429</v>
          </cell>
          <cell r="U43">
            <v>10114</v>
          </cell>
        </row>
        <row r="44">
          <cell r="B44" t="str">
            <v>FY0</v>
          </cell>
          <cell r="C44">
            <v>1004</v>
          </cell>
          <cell r="D44">
            <v>1108</v>
          </cell>
          <cell r="E44">
            <v>850</v>
          </cell>
          <cell r="F44">
            <v>184</v>
          </cell>
          <cell r="G44">
            <v>108</v>
          </cell>
          <cell r="H44">
            <v>1005</v>
          </cell>
          <cell r="I44">
            <v>2743</v>
          </cell>
          <cell r="J44">
            <v>1000.2857142857143</v>
          </cell>
          <cell r="K44">
            <v>7002</v>
          </cell>
          <cell r="M44">
            <v>1096</v>
          </cell>
          <cell r="N44">
            <v>953</v>
          </cell>
          <cell r="O44">
            <v>1103</v>
          </cell>
          <cell r="P44">
            <v>624</v>
          </cell>
          <cell r="Q44">
            <v>3095</v>
          </cell>
          <cell r="R44">
            <v>2971</v>
          </cell>
          <cell r="S44">
            <v>327</v>
          </cell>
          <cell r="T44">
            <v>1452.7142857142858</v>
          </cell>
          <cell r="U44">
            <v>10169</v>
          </cell>
        </row>
        <row r="45">
          <cell r="B45" t="str">
            <v>FY1</v>
          </cell>
          <cell r="C45">
            <v>1058</v>
          </cell>
          <cell r="D45">
            <v>1110</v>
          </cell>
          <cell r="E45">
            <v>852</v>
          </cell>
          <cell r="F45">
            <v>203</v>
          </cell>
          <cell r="G45">
            <v>110</v>
          </cell>
          <cell r="H45">
            <v>1051</v>
          </cell>
          <cell r="I45">
            <v>2871</v>
          </cell>
          <cell r="J45">
            <v>1036.4285714285713</v>
          </cell>
          <cell r="K45">
            <v>7255</v>
          </cell>
          <cell r="M45">
            <v>1135</v>
          </cell>
          <cell r="N45">
            <v>1005</v>
          </cell>
          <cell r="O45">
            <v>1093.00001</v>
          </cell>
          <cell r="P45">
            <v>680</v>
          </cell>
          <cell r="Q45">
            <v>3050</v>
          </cell>
          <cell r="R45">
            <v>2945</v>
          </cell>
          <cell r="S45">
            <v>377</v>
          </cell>
          <cell r="T45">
            <v>1469.2857157142857</v>
          </cell>
          <cell r="U45">
            <v>10285.00001</v>
          </cell>
        </row>
        <row r="46">
          <cell r="B46" t="str">
            <v>FY2</v>
          </cell>
          <cell r="C46">
            <v>1088</v>
          </cell>
          <cell r="D46">
            <v>1115</v>
          </cell>
          <cell r="E46">
            <v>852</v>
          </cell>
          <cell r="F46">
            <v>219</v>
          </cell>
          <cell r="G46">
            <v>115</v>
          </cell>
          <cell r="H46">
            <v>1106</v>
          </cell>
          <cell r="I46">
            <v>3000.1950000000002</v>
          </cell>
          <cell r="J46">
            <v>1070.7421428571429</v>
          </cell>
          <cell r="K46">
            <v>7495.1949999999997</v>
          </cell>
          <cell r="M46">
            <v>1209</v>
          </cell>
          <cell r="N46">
            <v>1093</v>
          </cell>
          <cell r="O46">
            <v>1183.00001</v>
          </cell>
          <cell r="P46">
            <v>721</v>
          </cell>
          <cell r="Q46">
            <v>3073</v>
          </cell>
          <cell r="R46">
            <v>2977</v>
          </cell>
          <cell r="S46">
            <v>428</v>
          </cell>
          <cell r="T46">
            <v>1526.2857157142857</v>
          </cell>
          <cell r="U46">
            <v>10684.00001</v>
          </cell>
        </row>
        <row r="48">
          <cell r="A48" t="str">
            <v>mstag:floorspace</v>
          </cell>
          <cell r="B48" t="str">
            <v>Avg Selling Sq Ft (in thousands)</v>
          </cell>
        </row>
        <row r="49">
          <cell r="B49" t="str">
            <v>FY(5)</v>
          </cell>
          <cell r="C49">
            <v>49200.978000000003</v>
          </cell>
          <cell r="D49">
            <v>101300</v>
          </cell>
          <cell r="E49">
            <v>156400</v>
          </cell>
          <cell r="F49">
            <v>19304.5</v>
          </cell>
          <cell r="G49">
            <v>7500</v>
          </cell>
          <cell r="H49">
            <v>15253</v>
          </cell>
          <cell r="I49">
            <v>65507.999999999993</v>
          </cell>
          <cell r="J49">
            <v>59209.496857142854</v>
          </cell>
          <cell r="K49">
            <v>414466.478</v>
          </cell>
          <cell r="M49">
            <v>5590</v>
          </cell>
          <cell r="N49">
            <v>1978.4060000000002</v>
          </cell>
          <cell r="O49">
            <v>4540.0950000000003</v>
          </cell>
          <cell r="P49">
            <v>782.26300000000003</v>
          </cell>
          <cell r="Q49">
            <v>36600</v>
          </cell>
          <cell r="R49">
            <v>10311</v>
          </cell>
          <cell r="S49">
            <v>1749.8590000000002</v>
          </cell>
          <cell r="T49">
            <v>8793.0889999999999</v>
          </cell>
          <cell r="U49">
            <v>61551.623</v>
          </cell>
        </row>
        <row r="50">
          <cell r="B50" t="str">
            <v>FY(4)</v>
          </cell>
          <cell r="C50">
            <v>56625</v>
          </cell>
          <cell r="D50">
            <v>101400</v>
          </cell>
          <cell r="E50">
            <v>156400</v>
          </cell>
          <cell r="F50">
            <v>19770.5</v>
          </cell>
          <cell r="G50">
            <v>7500</v>
          </cell>
          <cell r="H50">
            <v>17319</v>
          </cell>
          <cell r="I50">
            <v>70575</v>
          </cell>
          <cell r="J50">
            <v>61369.928571428572</v>
          </cell>
          <cell r="K50">
            <v>429589.5</v>
          </cell>
          <cell r="M50">
            <v>6025</v>
          </cell>
          <cell r="N50">
            <v>2373.4749999999999</v>
          </cell>
          <cell r="O50">
            <v>4772.4870000000001</v>
          </cell>
          <cell r="P50">
            <v>904.83600000000001</v>
          </cell>
          <cell r="Q50">
            <v>37800</v>
          </cell>
          <cell r="R50">
            <v>10311</v>
          </cell>
          <cell r="S50">
            <v>2113.5439999999999</v>
          </cell>
          <cell r="T50">
            <v>9185.7631428571422</v>
          </cell>
          <cell r="U50">
            <v>64300.341999999997</v>
          </cell>
        </row>
        <row r="51">
          <cell r="B51" t="str">
            <v>FY(3)</v>
          </cell>
          <cell r="C51">
            <v>62357</v>
          </cell>
          <cell r="D51">
            <v>103100</v>
          </cell>
          <cell r="E51">
            <v>156400</v>
          </cell>
          <cell r="F51">
            <v>20120</v>
          </cell>
          <cell r="G51">
            <v>7500</v>
          </cell>
          <cell r="H51">
            <v>18642</v>
          </cell>
          <cell r="I51">
            <v>73987</v>
          </cell>
          <cell r="J51">
            <v>63158</v>
          </cell>
          <cell r="K51">
            <v>442106</v>
          </cell>
          <cell r="M51">
            <v>6693</v>
          </cell>
          <cell r="N51">
            <v>2626</v>
          </cell>
          <cell r="O51">
            <v>5173.0650000000005</v>
          </cell>
          <cell r="P51">
            <v>1038.7150000000001</v>
          </cell>
          <cell r="Q51">
            <v>39000</v>
          </cell>
          <cell r="R51">
            <v>10311</v>
          </cell>
          <cell r="S51">
            <v>2497.6379999999999</v>
          </cell>
          <cell r="T51">
            <v>9619.9168571428581</v>
          </cell>
          <cell r="U51">
            <v>67339.418000000005</v>
          </cell>
        </row>
        <row r="52">
          <cell r="B52" t="str">
            <v>FY(2)</v>
          </cell>
          <cell r="C52">
            <v>69889</v>
          </cell>
          <cell r="D52">
            <v>106600</v>
          </cell>
          <cell r="E52">
            <v>154961</v>
          </cell>
          <cell r="F52">
            <v>20336</v>
          </cell>
          <cell r="G52">
            <v>7539</v>
          </cell>
          <cell r="H52">
            <v>21100</v>
          </cell>
          <cell r="I52">
            <v>76420</v>
          </cell>
          <cell r="J52">
            <v>65263.571428571428</v>
          </cell>
          <cell r="K52">
            <v>456845</v>
          </cell>
          <cell r="M52">
            <v>7337</v>
          </cell>
          <cell r="N52">
            <v>2935.2140000000004</v>
          </cell>
          <cell r="O52">
            <v>5709.9319999999998</v>
          </cell>
          <cell r="P52">
            <v>1223.971</v>
          </cell>
          <cell r="Q52">
            <v>39600</v>
          </cell>
          <cell r="R52">
            <v>10311</v>
          </cell>
          <cell r="S52">
            <v>2886.54</v>
          </cell>
          <cell r="T52">
            <v>10000.522428571427</v>
          </cell>
          <cell r="U52">
            <v>70003.656999999992</v>
          </cell>
        </row>
        <row r="53">
          <cell r="B53" t="str">
            <v>FY(1)</v>
          </cell>
          <cell r="C53">
            <v>74992</v>
          </cell>
          <cell r="D53">
            <v>109197.56326148099</v>
          </cell>
          <cell r="E53">
            <v>154091</v>
          </cell>
          <cell r="F53">
            <v>21189</v>
          </cell>
          <cell r="G53">
            <v>7519.0955555555602</v>
          </cell>
          <cell r="H53">
            <v>22500</v>
          </cell>
          <cell r="I53">
            <v>79073.679282091311</v>
          </cell>
          <cell r="J53">
            <v>66937.476871303981</v>
          </cell>
          <cell r="K53">
            <v>468562.33809912787</v>
          </cell>
          <cell r="M53">
            <v>7760</v>
          </cell>
          <cell r="N53">
            <v>3284.614</v>
          </cell>
          <cell r="O53">
            <v>6328.1669999999995</v>
          </cell>
          <cell r="P53">
            <v>1466.11089781022</v>
          </cell>
          <cell r="Q53">
            <v>39500</v>
          </cell>
          <cell r="R53">
            <v>10898.300000000001</v>
          </cell>
          <cell r="S53">
            <v>3360.65564146934</v>
          </cell>
          <cell r="T53">
            <v>10371.121077039936</v>
          </cell>
          <cell r="U53">
            <v>72597.847539279552</v>
          </cell>
        </row>
        <row r="54">
          <cell r="B54" t="str">
            <v>FY0</v>
          </cell>
          <cell r="C54">
            <v>78396</v>
          </cell>
          <cell r="D54">
            <v>110696.15745079701</v>
          </cell>
          <cell r="E54">
            <v>154400</v>
          </cell>
          <cell r="F54">
            <v>22324.5</v>
          </cell>
          <cell r="G54">
            <v>7493.0555555555602</v>
          </cell>
          <cell r="H54">
            <v>23700</v>
          </cell>
          <cell r="I54">
            <v>81786.991806476799</v>
          </cell>
          <cell r="J54">
            <v>68399.529258975628</v>
          </cell>
          <cell r="K54">
            <v>478796.70481282938</v>
          </cell>
          <cell r="M54">
            <v>7847</v>
          </cell>
          <cell r="N54">
            <v>3428.3760000000002</v>
          </cell>
          <cell r="O54">
            <v>6403.8589999999995</v>
          </cell>
          <cell r="P54">
            <v>1690.6890000000001</v>
          </cell>
          <cell r="Q54">
            <v>38800</v>
          </cell>
          <cell r="R54">
            <v>10933</v>
          </cell>
          <cell r="S54">
            <v>3725.8392204614397</v>
          </cell>
          <cell r="T54">
            <v>10404.10903149449</v>
          </cell>
          <cell r="U54">
            <v>72828.763220461435</v>
          </cell>
        </row>
        <row r="55">
          <cell r="B55" t="str">
            <v>FY1</v>
          </cell>
          <cell r="C55">
            <v>80394.312948484498</v>
          </cell>
          <cell r="D55">
            <v>110895.97000937199</v>
          </cell>
          <cell r="E55">
            <v>154944.94117647098</v>
          </cell>
          <cell r="F55">
            <v>23264.098000000002</v>
          </cell>
          <cell r="G55">
            <v>7551.3888888888896</v>
          </cell>
          <cell r="H55">
            <v>24784.776119402999</v>
          </cell>
          <cell r="I55">
            <v>85603.5193133047</v>
          </cell>
          <cell r="J55">
            <v>69634.143779417718</v>
          </cell>
          <cell r="K55">
            <v>487439.00645592407</v>
          </cell>
          <cell r="M55">
            <v>8152.8011747302498</v>
          </cell>
          <cell r="N55">
            <v>3618.09221262458</v>
          </cell>
          <cell r="O55">
            <v>6280.8787298091502</v>
          </cell>
          <cell r="P55">
            <v>1842.77425430213</v>
          </cell>
          <cell r="Q55">
            <v>37816.534659180201</v>
          </cell>
          <cell r="R55">
            <v>10859.0659181791</v>
          </cell>
          <cell r="S55">
            <v>4200.5989247116004</v>
          </cell>
          <cell r="T55">
            <v>10395.820839076714</v>
          </cell>
          <cell r="U55">
            <v>72770.745873537002</v>
          </cell>
        </row>
        <row r="56">
          <cell r="B56" t="str">
            <v>FY2</v>
          </cell>
          <cell r="C56">
            <v>83743.799999999988</v>
          </cell>
          <cell r="D56">
            <v>111395.50140581101</v>
          </cell>
          <cell r="E56">
            <v>154854.22437271001</v>
          </cell>
          <cell r="F56">
            <v>24215.196</v>
          </cell>
          <cell r="G56">
            <v>7861.1111111111095</v>
          </cell>
          <cell r="H56">
            <v>26081.791044776099</v>
          </cell>
          <cell r="I56">
            <v>89455.677682403402</v>
          </cell>
          <cell r="J56">
            <v>71086.757373830231</v>
          </cell>
          <cell r="K56">
            <v>497607.3016168116</v>
          </cell>
          <cell r="M56">
            <v>8723.3097210784999</v>
          </cell>
          <cell r="N56">
            <v>3975.45267116279</v>
          </cell>
          <cell r="O56">
            <v>6672.4837929733894</v>
          </cell>
          <cell r="P56">
            <v>1947.45216540507</v>
          </cell>
          <cell r="Q56">
            <v>36516.200309858395</v>
          </cell>
          <cell r="R56">
            <v>11000.1225990071</v>
          </cell>
          <cell r="S56">
            <v>4686.6820919247102</v>
          </cell>
          <cell r="T56">
            <v>10503.100478772851</v>
          </cell>
          <cell r="U56">
            <v>73521.70335140996</v>
          </cell>
        </row>
        <row r="58">
          <cell r="B58" t="str">
            <v>Square Footage Growth</v>
          </cell>
        </row>
        <row r="59">
          <cell r="B59" t="str">
            <v>FY(4)</v>
          </cell>
          <cell r="C59">
            <v>0.15089175666386145</v>
          </cell>
          <cell r="D59">
            <v>9.8716683119448589E-4</v>
          </cell>
          <cell r="E59">
            <v>0</v>
          </cell>
          <cell r="F59">
            <v>2.4139449351187503E-2</v>
          </cell>
          <cell r="G59">
            <v>0</v>
          </cell>
          <cell r="H59">
            <v>0.13544876417753882</v>
          </cell>
          <cell r="I59">
            <v>7.7349331379373609E-2</v>
          </cell>
          <cell r="J59">
            <v>3.6487925568735591E-2</v>
          </cell>
          <cell r="K59">
            <v>3.6487925568735591E-2</v>
          </cell>
          <cell r="M59">
            <v>7.7817531305903298E-2</v>
          </cell>
          <cell r="N59">
            <v>0.19969055896514654</v>
          </cell>
          <cell r="O59">
            <v>5.1186594113118655E-2</v>
          </cell>
          <cell r="P59">
            <v>0.15669026912943607</v>
          </cell>
          <cell r="Q59">
            <v>3.2786885245901676E-2</v>
          </cell>
          <cell r="R59">
            <v>0</v>
          </cell>
          <cell r="S59">
            <v>0.20783674570351085</v>
          </cell>
          <cell r="T59">
            <v>4.4657132761551921E-2</v>
          </cell>
          <cell r="U59">
            <v>4.4657132761551921E-2</v>
          </cell>
        </row>
        <row r="60">
          <cell r="B60" t="str">
            <v>FY(3)</v>
          </cell>
          <cell r="C60">
            <v>0.10122737306843277</v>
          </cell>
          <cell r="D60">
            <v>1.6765285996055201E-2</v>
          </cell>
          <cell r="E60">
            <v>0</v>
          </cell>
          <cell r="F60">
            <v>1.7677853367390917E-2</v>
          </cell>
          <cell r="G60">
            <v>0</v>
          </cell>
          <cell r="H60">
            <v>7.6390091806686211E-2</v>
          </cell>
          <cell r="I60">
            <v>4.8345731491321375E-2</v>
          </cell>
          <cell r="J60">
            <v>2.9135954207446968E-2</v>
          </cell>
          <cell r="K60">
            <v>2.9135954207446968E-2</v>
          </cell>
          <cell r="M60">
            <v>0.11087136929460573</v>
          </cell>
          <cell r="N60">
            <v>0.10639463234287283</v>
          </cell>
          <cell r="O60">
            <v>8.3934854091797462E-2</v>
          </cell>
          <cell r="P60">
            <v>0.14795940921890827</v>
          </cell>
          <cell r="Q60">
            <v>3.1746031746031855E-2</v>
          </cell>
          <cell r="R60">
            <v>0</v>
          </cell>
          <cell r="S60">
            <v>0.18172983387145014</v>
          </cell>
          <cell r="T60">
            <v>4.7263761054334941E-2</v>
          </cell>
          <cell r="U60">
            <v>4.7263761054334719E-2</v>
          </cell>
        </row>
        <row r="61">
          <cell r="B61" t="str">
            <v>FY(2)</v>
          </cell>
          <cell r="C61">
            <v>0.1207883637763203</v>
          </cell>
          <cell r="D61">
            <v>3.3947623666343407E-2</v>
          </cell>
          <cell r="E61">
            <v>-9.200767263427112E-3</v>
          </cell>
          <cell r="F61">
            <v>1.0735586481113391E-2</v>
          </cell>
          <cell r="G61">
            <v>5.2000000000000934E-3</v>
          </cell>
          <cell r="H61">
            <v>0.13185280549297285</v>
          </cell>
          <cell r="I61">
            <v>3.2884155324583997E-2</v>
          </cell>
          <cell r="J61">
            <v>3.3338158722116429E-2</v>
          </cell>
          <cell r="K61">
            <v>3.3338158722116429E-2</v>
          </cell>
          <cell r="M61">
            <v>9.6219931271477765E-2</v>
          </cell>
          <cell r="N61">
            <v>0.1177509520182789</v>
          </cell>
          <cell r="O61">
            <v>0.1037812206109916</v>
          </cell>
          <cell r="P61">
            <v>0.17835113577834139</v>
          </cell>
          <cell r="Q61">
            <v>1.538461538461533E-2</v>
          </cell>
          <cell r="R61">
            <v>0</v>
          </cell>
          <cell r="S61">
            <v>0.15570791283604746</v>
          </cell>
          <cell r="T61">
            <v>3.9564330656970847E-2</v>
          </cell>
          <cell r="U61">
            <v>3.956433065697107E-2</v>
          </cell>
        </row>
        <row r="62">
          <cell r="B62" t="str">
            <v>FY(1)</v>
          </cell>
          <cell r="C62">
            <v>7.3015782168867727E-2</v>
          </cell>
          <cell r="D62">
            <v>2.4367385192129332E-2</v>
          </cell>
          <cell r="E62">
            <v>-5.614315860119623E-3</v>
          </cell>
          <cell r="F62">
            <v>4.1945318646734897E-2</v>
          </cell>
          <cell r="G62">
            <v>-2.6401969020347638E-3</v>
          </cell>
          <cell r="H62">
            <v>6.6350710900473953E-2</v>
          </cell>
          <cell r="I62">
            <v>3.4724931720639951E-2</v>
          </cell>
          <cell r="J62">
            <v>2.5648388620052476E-2</v>
          </cell>
          <cell r="K62">
            <v>2.5648388620052476E-2</v>
          </cell>
          <cell r="M62">
            <v>5.7652991685975152E-2</v>
          </cell>
          <cell r="N62">
            <v>0.11903731721094246</v>
          </cell>
          <cell r="O62">
            <v>0.10827361867006458</v>
          </cell>
          <cell r="P62">
            <v>0.19783140107912689</v>
          </cell>
          <cell r="Q62">
            <v>-2.525252525252486E-3</v>
          </cell>
          <cell r="R62">
            <v>5.6958587915818093E-2</v>
          </cell>
          <cell r="S62">
            <v>0.16425050110836503</v>
          </cell>
          <cell r="T62">
            <v>3.7057928834768772E-2</v>
          </cell>
          <cell r="U62">
            <v>3.7057928834768772E-2</v>
          </cell>
        </row>
        <row r="63">
          <cell r="B63" t="str">
            <v>FY0</v>
          </cell>
          <cell r="C63">
            <v>4.5391508427565563E-2</v>
          </cell>
          <cell r="D63">
            <v>1.3723696248858053E-2</v>
          </cell>
          <cell r="E63">
            <v>2.0053085514404323E-3</v>
          </cell>
          <cell r="F63">
            <v>5.3589126433526868E-2</v>
          </cell>
          <cell r="G63">
            <v>-3.4631824808716294E-3</v>
          </cell>
          <cell r="H63">
            <v>5.3333333333333233E-2</v>
          </cell>
          <cell r="I63">
            <v>3.4313725490196179E-2</v>
          </cell>
          <cell r="J63">
            <v>2.1842060023903098E-2</v>
          </cell>
          <cell r="K63">
            <v>2.1842060023903098E-2</v>
          </cell>
          <cell r="M63">
            <v>1.1211340206185527E-2</v>
          </cell>
          <cell r="N63">
            <v>4.3768308848467496E-2</v>
          </cell>
          <cell r="O63">
            <v>1.196112555183837E-2</v>
          </cell>
          <cell r="P63">
            <v>0.15317947811806687</v>
          </cell>
          <cell r="Q63">
            <v>-1.7721518987341756E-2</v>
          </cell>
          <cell r="R63">
            <v>3.1839828230089129E-3</v>
          </cell>
          <cell r="S63">
            <v>0.10866438515325982</v>
          </cell>
          <cell r="T63">
            <v>3.1807510691959084E-3</v>
          </cell>
          <cell r="U63">
            <v>3.1807510691959084E-3</v>
          </cell>
        </row>
        <row r="64">
          <cell r="B64" t="str">
            <v>FY1</v>
          </cell>
          <cell r="C64">
            <v>2.5489986076898008E-2</v>
          </cell>
          <cell r="D64">
            <v>1.8050541516203555E-3</v>
          </cell>
          <cell r="E64">
            <v>3.5294117647084455E-3</v>
          </cell>
          <cell r="F64">
            <v>4.2088199063808895E-2</v>
          </cell>
          <cell r="G64">
            <v>7.7849860982386332E-3</v>
          </cell>
          <cell r="H64">
            <v>4.5771144278607512E-2</v>
          </cell>
          <cell r="I64">
            <v>4.6664236237695444E-2</v>
          </cell>
          <cell r="J64">
            <v>1.8050044113133712E-2</v>
          </cell>
          <cell r="K64">
            <v>1.8050044113133934E-2</v>
          </cell>
          <cell r="M64">
            <v>3.897045682811906E-2</v>
          </cell>
          <cell r="N64">
            <v>5.5337049560660656E-2</v>
          </cell>
          <cell r="O64">
            <v>-1.9204087752533128E-2</v>
          </cell>
          <cell r="P64">
            <v>8.9954600936144935E-2</v>
          </cell>
          <cell r="Q64">
            <v>-2.5347044866489643E-2</v>
          </cell>
          <cell r="R64">
            <v>-6.7624697540382694E-3</v>
          </cell>
          <cell r="S64">
            <v>0.12742356182276771</v>
          </cell>
          <cell r="T64">
            <v>-7.9662683202252893E-4</v>
          </cell>
          <cell r="U64">
            <v>-7.9662683202252893E-4</v>
          </cell>
        </row>
        <row r="65">
          <cell r="A65" t="str">
            <v>mstag:comparableStoreSalesGrowth</v>
          </cell>
          <cell r="B65" t="str">
            <v>FY2</v>
          </cell>
          <cell r="C65">
            <v>4.16632337372147E-2</v>
          </cell>
          <cell r="D65">
            <v>4.5045045045082333E-3</v>
          </cell>
          <cell r="E65">
            <v>-5.8547767401873063E-4</v>
          </cell>
          <cell r="F65">
            <v>4.0882651027346784E-2</v>
          </cell>
          <cell r="G65">
            <v>4.1015265771564779E-2</v>
          </cell>
          <cell r="H65">
            <v>5.2331113225497994E-2</v>
          </cell>
          <cell r="I65">
            <v>4.4999999999999929E-2</v>
          </cell>
          <cell r="J65">
            <v>2.0860651335270264E-2</v>
          </cell>
          <cell r="K65">
            <v>2.0860651335270264E-2</v>
          </cell>
          <cell r="M65">
            <v>6.997699736828511E-2</v>
          </cell>
          <cell r="N65">
            <v>9.877041201196457E-2</v>
          </cell>
          <cell r="O65">
            <v>6.2348769974760909E-2</v>
          </cell>
          <cell r="P65">
            <v>5.6804522235189392E-2</v>
          </cell>
          <cell r="Q65">
            <v>-3.4385338610240401E-2</v>
          </cell>
          <cell r="R65">
            <v>1.2989761908697606E-2</v>
          </cell>
          <cell r="S65">
            <v>0.11571758597411974</v>
          </cell>
          <cell r="T65">
            <v>1.0319496782099646E-2</v>
          </cell>
          <cell r="U65">
            <v>1.0319496782099646E-2</v>
          </cell>
        </row>
        <row r="66">
          <cell r="B66" t="str">
            <v>4-Yr. Compounded</v>
          </cell>
          <cell r="C66">
            <v>6.5577468319250709E-2</v>
          </cell>
          <cell r="D66">
            <v>1.8390348330118655E-2</v>
          </cell>
          <cell r="E66">
            <v>-2.3340200577479653E-3</v>
          </cell>
          <cell r="F66">
            <v>3.696610404122036E-2</v>
          </cell>
          <cell r="G66">
            <v>1.7085791092168456E-3</v>
          </cell>
          <cell r="H66">
            <v>7.3799318905135358E-2</v>
          </cell>
          <cell r="I66">
            <v>3.7132038387335253E-2</v>
          </cell>
          <cell r="J66">
            <v>2.4704085493136851E-2</v>
          </cell>
          <cell r="K66">
            <v>2.4704085493136851E-2</v>
          </cell>
          <cell r="M66">
            <v>5.0561561442880043E-2</v>
          </cell>
          <cell r="N66">
            <v>8.3418450725379456E-2</v>
          </cell>
          <cell r="O66">
            <v>4.9707060147659243E-2</v>
          </cell>
          <cell r="P66">
            <v>0.15410130787375076</v>
          </cell>
          <cell r="Q66">
            <v>-7.6742053354557083E-3</v>
          </cell>
          <cell r="R66">
            <v>1.3031431848396169E-2</v>
          </cell>
          <cell r="S66">
            <v>0.13879468332198019</v>
          </cell>
          <cell r="T66">
            <v>1.9581312682365848E-2</v>
          </cell>
          <cell r="U66">
            <v>1.9581312682365848E-2</v>
          </cell>
        </row>
        <row r="67">
          <cell r="B67" t="str">
            <v>FY(4)</v>
          </cell>
          <cell r="C67">
            <v>5.4574854495884903E-3</v>
          </cell>
          <cell r="D67">
            <v>4.9000000000000002E-2</v>
          </cell>
          <cell r="E67">
            <v>2.5999999999999999E-2</v>
          </cell>
          <cell r="F67">
            <v>9.6205540192385405E-2</v>
          </cell>
          <cell r="G67">
            <v>5.2999999999999999E-2</v>
          </cell>
          <cell r="H67">
            <v>-0.01</v>
          </cell>
          <cell r="I67">
            <v>0.05</v>
          </cell>
          <cell r="J67">
            <v>3.8523289377424837E-2</v>
          </cell>
          <cell r="M67">
            <v>0.02</v>
          </cell>
          <cell r="N67">
            <v>8.6999999999999994E-2</v>
          </cell>
          <cell r="O67">
            <v>0.214</v>
          </cell>
          <cell r="P67">
            <v>0.182</v>
          </cell>
          <cell r="Q67">
            <v>0</v>
          </cell>
          <cell r="R67">
            <v>0.04</v>
          </cell>
          <cell r="S67">
            <v>0.216</v>
          </cell>
          <cell r="T67">
            <v>0.10842857142857143</v>
          </cell>
        </row>
        <row r="68">
          <cell r="A68" t="str">
            <v>mstag:comparableStoreSalesGrowth</v>
          </cell>
          <cell r="B68" t="str">
            <v>Comp Store Sales</v>
          </cell>
          <cell r="C68">
            <v>3.68908761248153E-2</v>
          </cell>
          <cell r="D68">
            <v>2.9000000000000001E-2</v>
          </cell>
          <cell r="E68">
            <v>1.2999999999999999E-2</v>
          </cell>
          <cell r="F68">
            <v>6.01637300954651E-2</v>
          </cell>
          <cell r="G68">
            <v>0.04</v>
          </cell>
          <cell r="H68">
            <v>0.06</v>
          </cell>
          <cell r="I68">
            <v>0.02</v>
          </cell>
          <cell r="J68">
            <v>3.700780088861149E-2</v>
          </cell>
          <cell r="M68">
            <v>0.26</v>
          </cell>
          <cell r="N68">
            <v>3.5000000000000003E-2</v>
          </cell>
          <cell r="O68">
            <v>0.155</v>
          </cell>
          <cell r="P68">
            <v>0.20699999999999999</v>
          </cell>
          <cell r="Q68">
            <v>-0.05</v>
          </cell>
          <cell r="R68">
            <v>-0.01</v>
          </cell>
          <cell r="S68">
            <v>0.109</v>
          </cell>
          <cell r="T68">
            <v>0.10085714285714285</v>
          </cell>
          <cell r="W68">
            <v>5.2356020942408377E-2</v>
          </cell>
        </row>
        <row r="69">
          <cell r="B69" t="str">
            <v>FY(5)</v>
          </cell>
          <cell r="C69">
            <v>5.4574854495884903E-3</v>
          </cell>
          <cell r="D69">
            <v>4.9000000000000002E-2</v>
          </cell>
          <cell r="E69">
            <v>2.5999999999999999E-2</v>
          </cell>
          <cell r="F69">
            <v>9.6205540192385405E-2</v>
          </cell>
          <cell r="G69">
            <v>5.2999999999999999E-2</v>
          </cell>
          <cell r="H69">
            <v>-0.01</v>
          </cell>
          <cell r="I69">
            <v>0.05</v>
          </cell>
          <cell r="J69">
            <v>3.8523289377424837E-2</v>
          </cell>
          <cell r="M69">
            <v>0.02</v>
          </cell>
          <cell r="N69">
            <v>8.6999999999999994E-2</v>
          </cell>
          <cell r="O69">
            <v>0.214</v>
          </cell>
          <cell r="P69">
            <v>0.16900000000000001</v>
          </cell>
          <cell r="Q69">
            <v>0</v>
          </cell>
          <cell r="R69">
            <v>0.04</v>
          </cell>
          <cell r="S69">
            <v>0.216</v>
          </cell>
          <cell r="T69">
            <v>0.10657142857142857</v>
          </cell>
        </row>
        <row r="70">
          <cell r="B70" t="str">
            <v>FY(4)</v>
          </cell>
          <cell r="C70">
            <v>3.68908761248153E-2</v>
          </cell>
          <cell r="D70">
            <v>2.9000000000000001E-2</v>
          </cell>
          <cell r="E70">
            <v>1.2999999999999999E-2</v>
          </cell>
          <cell r="F70">
            <v>6.01637300954651E-2</v>
          </cell>
          <cell r="G70">
            <v>0.04</v>
          </cell>
          <cell r="H70">
            <v>0.06</v>
          </cell>
          <cell r="I70">
            <v>0.02</v>
          </cell>
          <cell r="J70">
            <v>3.700780088861149E-2</v>
          </cell>
          <cell r="M70">
            <v>0.26</v>
          </cell>
          <cell r="N70">
            <v>3.5000000000000003E-2</v>
          </cell>
          <cell r="O70">
            <v>0.155</v>
          </cell>
          <cell r="P70">
            <v>0.182</v>
          </cell>
          <cell r="Q70">
            <v>-0.05</v>
          </cell>
          <cell r="R70">
            <v>-0.01</v>
          </cell>
          <cell r="S70">
            <v>0.109</v>
          </cell>
          <cell r="T70">
            <v>9.7285714285714295E-2</v>
          </cell>
        </row>
        <row r="71">
          <cell r="B71" t="str">
            <v>FY(3)</v>
          </cell>
          <cell r="C71">
            <v>5.8999999999999997E-2</v>
          </cell>
          <cell r="D71">
            <v>3.6999999999999998E-2</v>
          </cell>
          <cell r="E71">
            <v>4.3999999999999997E-2</v>
          </cell>
          <cell r="F71">
            <v>7.4999999999999997E-2</v>
          </cell>
          <cell r="G71">
            <v>4.9000000000000002E-2</v>
          </cell>
          <cell r="H71">
            <v>0.04</v>
          </cell>
          <cell r="I71">
            <v>0.04</v>
          </cell>
          <cell r="J71">
            <v>4.9142857142857141E-2</v>
          </cell>
          <cell r="M71">
            <v>0.01</v>
          </cell>
          <cell r="N71">
            <v>2.0075199121431499E-2</v>
          </cell>
          <cell r="O71">
            <v>0.12</v>
          </cell>
          <cell r="P71">
            <v>0.20699999999999999</v>
          </cell>
          <cell r="Q71">
            <v>-7.0000000000000007E-2</v>
          </cell>
          <cell r="R71">
            <v>7.0000000000000007E-2</v>
          </cell>
          <cell r="S71">
            <v>-6.2E-2</v>
          </cell>
          <cell r="T71">
            <v>4.2153599874490209E-2</v>
          </cell>
        </row>
        <row r="72">
          <cell r="B72" t="str">
            <v>FY(2)</v>
          </cell>
          <cell r="C72">
            <v>-7.9988102247825297E-3</v>
          </cell>
          <cell r="D72">
            <v>-1.0999999999999999E-2</v>
          </cell>
          <cell r="E72">
            <v>-1.2999999999999999E-2</v>
          </cell>
          <cell r="F72">
            <v>3.9E-2</v>
          </cell>
          <cell r="G72">
            <v>0.117894805327276</v>
          </cell>
          <cell r="H72">
            <v>0.01</v>
          </cell>
          <cell r="I72">
            <v>0.04</v>
          </cell>
          <cell r="J72">
            <v>2.4985142157499068E-2</v>
          </cell>
          <cell r="M72">
            <v>-0.01</v>
          </cell>
          <cell r="N72">
            <v>3.3000000000000002E-2</v>
          </cell>
          <cell r="O72">
            <v>0.01</v>
          </cell>
          <cell r="P72">
            <v>0.223</v>
          </cell>
          <cell r="Q72">
            <v>-0.04</v>
          </cell>
          <cell r="R72">
            <v>-0.02</v>
          </cell>
          <cell r="S72">
            <v>5.5E-2</v>
          </cell>
          <cell r="T72">
            <v>3.5857142857142858E-2</v>
          </cell>
        </row>
        <row r="73">
          <cell r="B73" t="str">
            <v>FY(1)</v>
          </cell>
          <cell r="C73">
            <v>-6.9000000000000006E-2</v>
          </cell>
          <cell r="D73">
            <v>-8.5000000000000006E-2</v>
          </cell>
          <cell r="E73">
            <v>-4.4999999999999998E-2</v>
          </cell>
          <cell r="F73">
            <v>-9.0392473766734996E-2</v>
          </cell>
          <cell r="G73">
            <v>-6.0999999999999999E-2</v>
          </cell>
          <cell r="H73">
            <v>0.02</v>
          </cell>
          <cell r="I73">
            <v>-7.2019165762476399E-3</v>
          </cell>
          <cell r="J73">
            <v>-4.8227770048997518E-2</v>
          </cell>
          <cell r="M73">
            <v>-0.13</v>
          </cell>
          <cell r="N73">
            <v>0.08</v>
          </cell>
          <cell r="O73">
            <v>-9.97396193878715E-2</v>
          </cell>
          <cell r="P73">
            <v>9.8000000000000004E-2</v>
          </cell>
          <cell r="Q73">
            <v>-0.12</v>
          </cell>
          <cell r="R73">
            <v>-8.4306869759510406E-2</v>
          </cell>
          <cell r="S73">
            <v>7.8E-2</v>
          </cell>
          <cell r="T73">
            <v>-2.5435212735340273E-2</v>
          </cell>
        </row>
        <row r="74">
          <cell r="B74" t="str">
            <v>FY0</v>
          </cell>
          <cell r="C74">
            <v>6.5541130581591696E-3</v>
          </cell>
          <cell r="D74">
            <v>-6.3078925007644296E-2</v>
          </cell>
          <cell r="E74">
            <v>-5.2999999999999999E-2</v>
          </cell>
          <cell r="F74">
            <v>-3.4224630661177001E-2</v>
          </cell>
          <cell r="G74">
            <v>-0.14699999999999999</v>
          </cell>
          <cell r="H74">
            <v>6.1429424489502199E-2</v>
          </cell>
          <cell r="I74">
            <v>5.67421533164396E-2</v>
          </cell>
          <cell r="J74">
            <v>-2.4653980686388625E-2</v>
          </cell>
          <cell r="M74">
            <v>-0.23</v>
          </cell>
          <cell r="N74">
            <v>0.102299627147601</v>
          </cell>
          <cell r="O74">
            <v>-3.6220023152869797E-2</v>
          </cell>
          <cell r="P74">
            <v>-6.8000000000000005E-2</v>
          </cell>
          <cell r="Q74">
            <v>-2.9938719447770702E-2</v>
          </cell>
          <cell r="R74">
            <v>-3.8209678879894897E-2</v>
          </cell>
          <cell r="S74">
            <v>-2.3256719605994101E-2</v>
          </cell>
          <cell r="T74">
            <v>-4.6189359134132642E-2</v>
          </cell>
        </row>
        <row r="75">
          <cell r="B75" t="str">
            <v>FY1</v>
          </cell>
          <cell r="C75">
            <v>5.2404169492854501E-2</v>
          </cell>
          <cell r="D75">
            <v>1.86033499008923E-2</v>
          </cell>
          <cell r="E75">
            <v>4.3679773152782701E-2</v>
          </cell>
          <cell r="F75">
            <v>3.97315603069179E-2</v>
          </cell>
          <cell r="G75">
            <v>4.2591937598611899E-2</v>
          </cell>
          <cell r="H75">
            <v>5.2923780943401597E-2</v>
          </cell>
          <cell r="I75">
            <v>3.8739178634559598E-2</v>
          </cell>
          <cell r="J75">
            <v>4.1239107147145793E-2</v>
          </cell>
          <cell r="M75">
            <v>-4.3817488406315802E-2</v>
          </cell>
          <cell r="N75">
            <v>3.6299681250220303E-2</v>
          </cell>
          <cell r="O75">
            <v>3.3506756084832397E-2</v>
          </cell>
          <cell r="P75">
            <v>2.1792814193442801E-2</v>
          </cell>
          <cell r="Q75">
            <v>6.4617414056954703E-3</v>
          </cell>
          <cell r="R75">
            <v>6.9899914522689399E-2</v>
          </cell>
          <cell r="S75">
            <v>6.5643552140244005E-2</v>
          </cell>
          <cell r="T75">
            <v>2.7112424455829794E-2</v>
          </cell>
        </row>
        <row r="76">
          <cell r="B76" t="str">
            <v>FY2</v>
          </cell>
          <cell r="C76">
            <v>0.04</v>
          </cell>
          <cell r="D76">
            <v>0.02</v>
          </cell>
          <cell r="E76">
            <v>0.01</v>
          </cell>
          <cell r="F76">
            <v>0.02</v>
          </cell>
          <cell r="G76">
            <v>0.02</v>
          </cell>
          <cell r="H76">
            <v>0.02</v>
          </cell>
          <cell r="I76">
            <v>0.02</v>
          </cell>
          <cell r="J76">
            <v>2.1428571428571429E-2</v>
          </cell>
          <cell r="M76">
            <v>1.04505589012915E-2</v>
          </cell>
          <cell r="N76">
            <v>0.03</v>
          </cell>
          <cell r="O76">
            <v>0.04</v>
          </cell>
          <cell r="P76">
            <v>0.04</v>
          </cell>
          <cell r="Q76">
            <v>-3.10077885527596E-2</v>
          </cell>
          <cell r="R76">
            <v>1.82099005897415E-2</v>
          </cell>
          <cell r="S76">
            <v>5.1020186507036699E-2</v>
          </cell>
          <cell r="T76">
            <v>2.2667551063615732E-2</v>
          </cell>
        </row>
        <row r="77">
          <cell r="B77" t="str">
            <v>FQ(3)</v>
          </cell>
          <cell r="C77">
            <v>-4.2000000000000003E-2</v>
          </cell>
          <cell r="D77">
            <v>-7.4999999999999997E-2</v>
          </cell>
          <cell r="E77">
            <v>-0.09</v>
          </cell>
          <cell r="F77">
            <v>-0.13200000000000001</v>
          </cell>
          <cell r="G77">
            <v>-0.27600000000000002</v>
          </cell>
          <cell r="H77">
            <v>0.03</v>
          </cell>
          <cell r="I77">
            <v>-3.9548952924792102E-2</v>
          </cell>
          <cell r="J77">
            <v>-8.9221278989256012E-2</v>
          </cell>
          <cell r="M77">
            <v>-0.3</v>
          </cell>
          <cell r="N77">
            <v>0.11</v>
          </cell>
          <cell r="O77">
            <v>-0.1</v>
          </cell>
          <cell r="P77">
            <v>-4.2000000000000003E-2</v>
          </cell>
          <cell r="Q77">
            <v>-0.08</v>
          </cell>
          <cell r="R77">
            <v>-7.0000000000000007E-2</v>
          </cell>
          <cell r="S77">
            <v>-9.6000000000000002E-2</v>
          </cell>
          <cell r="T77">
            <v>-8.2571428571428587E-2</v>
          </cell>
        </row>
        <row r="78">
          <cell r="B78" t="str">
            <v>FQ(2)</v>
          </cell>
          <cell r="C78">
            <v>-2.3E-2</v>
          </cell>
          <cell r="D78">
            <v>-9.5000000000000001E-2</v>
          </cell>
          <cell r="E78">
            <v>-9.5000000000000001E-2</v>
          </cell>
          <cell r="F78">
            <v>-9.8000000000000004E-2</v>
          </cell>
          <cell r="G78">
            <v>-0.155</v>
          </cell>
          <cell r="H78">
            <v>0.03</v>
          </cell>
          <cell r="I78">
            <v>-5.3891204011856202E-3</v>
          </cell>
          <cell r="J78">
            <v>-6.3055588628740791E-2</v>
          </cell>
          <cell r="M78">
            <v>-0.3</v>
          </cell>
          <cell r="N78">
            <v>0.12</v>
          </cell>
          <cell r="O78">
            <v>-0.1</v>
          </cell>
          <cell r="P78">
            <v>-6.0999999999999999E-2</v>
          </cell>
          <cell r="Q78">
            <v>-0.08</v>
          </cell>
          <cell r="R78">
            <v>-0.09</v>
          </cell>
          <cell r="S78">
            <v>-0.06</v>
          </cell>
          <cell r="T78">
            <v>-8.1571428571428559E-2</v>
          </cell>
        </row>
        <row r="79">
          <cell r="A79" t="str">
            <v>mstag:revenueNet</v>
          </cell>
          <cell r="B79" t="str">
            <v>FQ(1)</v>
          </cell>
          <cell r="C79">
            <v>2.4E-2</v>
          </cell>
          <cell r="D79">
            <v>-4.5999999999999999E-2</v>
          </cell>
          <cell r="E79">
            <v>-3.5999999999999997E-2</v>
          </cell>
          <cell r="F79">
            <v>-1.2E-2</v>
          </cell>
          <cell r="G79">
            <v>-0.10100000000000001</v>
          </cell>
          <cell r="H79">
            <v>0.08</v>
          </cell>
          <cell r="I79">
            <v>7.6835872094774701E-2</v>
          </cell>
          <cell r="J79">
            <v>-2.0234468436036118E-3</v>
          </cell>
          <cell r="M79">
            <v>-0.22</v>
          </cell>
          <cell r="N79">
            <v>0.1</v>
          </cell>
          <cell r="O79">
            <v>-0.04</v>
          </cell>
          <cell r="P79">
            <v>-1.0999999999999999E-2</v>
          </cell>
          <cell r="Q79">
            <v>0</v>
          </cell>
          <cell r="R79">
            <v>-0.02</v>
          </cell>
          <cell r="S79">
            <v>-0.02</v>
          </cell>
          <cell r="T79">
            <v>-3.0142857142857141E-2</v>
          </cell>
        </row>
        <row r="80">
          <cell r="B80" t="str">
            <v>Last Reported Q</v>
          </cell>
          <cell r="C80">
            <v>6.5541130581591696E-3</v>
          </cell>
          <cell r="D80">
            <v>-6.3078925007644296E-2</v>
          </cell>
          <cell r="E80">
            <v>-5.2999999999999999E-2</v>
          </cell>
          <cell r="F80">
            <v>-3.4224630661177001E-2</v>
          </cell>
          <cell r="G80">
            <v>-0.14699999999999999</v>
          </cell>
          <cell r="H80">
            <v>6.1429424489502199E-2</v>
          </cell>
          <cell r="I80">
            <v>5.67421533164396E-2</v>
          </cell>
          <cell r="J80">
            <v>-2.4653980686388625E-2</v>
          </cell>
          <cell r="K80">
            <v>29178.162</v>
          </cell>
          <cell r="M80">
            <v>-0.23</v>
          </cell>
          <cell r="N80">
            <v>0.102299627147601</v>
          </cell>
          <cell r="O80">
            <v>-3.6220023152869797E-2</v>
          </cell>
          <cell r="P80">
            <v>3.2000000000000001E-2</v>
          </cell>
          <cell r="Q80">
            <v>-2.9938719447770702E-2</v>
          </cell>
          <cell r="R80">
            <v>-3.8209678879894897E-2</v>
          </cell>
          <cell r="S80">
            <v>-2.3256719605994101E-2</v>
          </cell>
          <cell r="T80">
            <v>-3.1903644848418358E-2</v>
          </cell>
          <cell r="U80">
            <v>11475.175999999999</v>
          </cell>
        </row>
        <row r="81">
          <cell r="B81" t="str">
            <v>FY(9)</v>
          </cell>
          <cell r="C81">
            <v>4556.9799999999996</v>
          </cell>
          <cell r="D81">
            <v>31743</v>
          </cell>
          <cell r="E81">
            <v>16029</v>
          </cell>
          <cell r="F81">
            <v>5149</v>
          </cell>
          <cell r="G81" t="str">
            <v>NA</v>
          </cell>
          <cell r="H81">
            <v>2468.6379999999999</v>
          </cell>
          <cell r="I81">
            <v>8795.3469999999998</v>
          </cell>
          <cell r="K81">
            <v>68741.964999999997</v>
          </cell>
          <cell r="M81">
            <v>1030.8579999999999</v>
          </cell>
          <cell r="N81" t="str">
            <v>NA</v>
          </cell>
          <cell r="O81">
            <v>832.10400000000004</v>
          </cell>
          <cell r="P81">
            <v>549</v>
          </cell>
          <cell r="Q81" t="str">
            <v>NA</v>
          </cell>
          <cell r="R81">
            <v>9766</v>
          </cell>
          <cell r="S81">
            <v>278.113</v>
          </cell>
          <cell r="U81">
            <v>12456.074999999999</v>
          </cell>
        </row>
        <row r="82">
          <cell r="A82" t="str">
            <v>mstag:revenueNet</v>
          </cell>
          <cell r="B82" t="str">
            <v>Revenue</v>
          </cell>
          <cell r="C82">
            <v>6152.2</v>
          </cell>
          <cell r="D82">
            <v>31846</v>
          </cell>
          <cell r="E82">
            <v>16638</v>
          </cell>
          <cell r="F82">
            <v>5528.5370000000003</v>
          </cell>
          <cell r="G82" t="str">
            <v>NA</v>
          </cell>
          <cell r="H82">
            <v>2709.0390000000002</v>
          </cell>
          <cell r="I82">
            <v>9579.0059999999994</v>
          </cell>
          <cell r="K82">
            <v>72452.781999999992</v>
          </cell>
          <cell r="M82">
            <v>1237.604</v>
          </cell>
          <cell r="N82" t="str">
            <v>NA</v>
          </cell>
          <cell r="O82">
            <v>1058.454</v>
          </cell>
          <cell r="P82">
            <v>600.49099999999999</v>
          </cell>
          <cell r="Q82">
            <v>13673.38</v>
          </cell>
          <cell r="R82">
            <v>9080</v>
          </cell>
          <cell r="S82">
            <v>295.33300000000003</v>
          </cell>
          <cell r="U82">
            <v>25945.261999999999</v>
          </cell>
        </row>
        <row r="83">
          <cell r="B83" t="str">
            <v>FY(10)</v>
          </cell>
          <cell r="C83">
            <v>4556.9799999999996</v>
          </cell>
          <cell r="D83">
            <v>31743</v>
          </cell>
          <cell r="E83">
            <v>16029</v>
          </cell>
          <cell r="F83">
            <v>5149</v>
          </cell>
          <cell r="G83" t="str">
            <v>NA</v>
          </cell>
          <cell r="H83">
            <v>2468.6379999999999</v>
          </cell>
          <cell r="I83">
            <v>8795.3469999999998</v>
          </cell>
          <cell r="K83">
            <v>68741.964999999997</v>
          </cell>
          <cell r="M83">
            <v>1030.8579999999999</v>
          </cell>
          <cell r="N83">
            <v>232.10029573498414</v>
          </cell>
          <cell r="O83">
            <v>832.10400000000004</v>
          </cell>
          <cell r="P83">
            <v>507.78100000000001</v>
          </cell>
          <cell r="Q83">
            <v>11635</v>
          </cell>
          <cell r="R83">
            <v>9766</v>
          </cell>
          <cell r="S83">
            <v>278.113</v>
          </cell>
          <cell r="U83">
            <v>24281.956295734984</v>
          </cell>
        </row>
        <row r="84">
          <cell r="B84" t="str">
            <v>FY(9)</v>
          </cell>
          <cell r="C84">
            <v>6152.2</v>
          </cell>
          <cell r="D84">
            <v>31846</v>
          </cell>
          <cell r="E84">
            <v>16638</v>
          </cell>
          <cell r="F84">
            <v>5528.5370000000003</v>
          </cell>
          <cell r="G84" t="str">
            <v>NA</v>
          </cell>
          <cell r="H84">
            <v>2709.0390000000002</v>
          </cell>
          <cell r="I84">
            <v>9579.0059999999994</v>
          </cell>
          <cell r="K84">
            <v>72452.781999999992</v>
          </cell>
          <cell r="M84">
            <v>1237.604</v>
          </cell>
          <cell r="N84">
            <v>309.60581176788753</v>
          </cell>
          <cell r="O84">
            <v>1058.454</v>
          </cell>
          <cell r="P84">
            <v>549</v>
          </cell>
          <cell r="Q84">
            <v>13673.38</v>
          </cell>
          <cell r="R84">
            <v>9080</v>
          </cell>
          <cell r="S84">
            <v>295.33300000000003</v>
          </cell>
          <cell r="U84">
            <v>26203.376811767885</v>
          </cell>
        </row>
        <row r="85">
          <cell r="B85" t="str">
            <v>FY(8)</v>
          </cell>
          <cell r="C85">
            <v>7488.6459999999997</v>
          </cell>
          <cell r="D85">
            <v>17840</v>
          </cell>
          <cell r="E85">
            <v>15785</v>
          </cell>
          <cell r="F85">
            <v>5634.13</v>
          </cell>
          <cell r="G85" t="str">
            <v>NA</v>
          </cell>
          <cell r="H85">
            <v>2986.596</v>
          </cell>
          <cell r="I85">
            <v>10708.998</v>
          </cell>
          <cell r="K85">
            <v>60443.369999999995</v>
          </cell>
          <cell r="M85">
            <v>1364.8530000000001</v>
          </cell>
          <cell r="N85">
            <v>412.99283302035195</v>
          </cell>
          <cell r="O85">
            <v>1271.248</v>
          </cell>
          <cell r="P85">
            <v>600.49099999999999</v>
          </cell>
          <cell r="Q85">
            <v>13847.873</v>
          </cell>
          <cell r="R85">
            <v>8423</v>
          </cell>
          <cell r="S85">
            <v>348.95800000000003</v>
          </cell>
          <cell r="U85">
            <v>26269.41583302035</v>
          </cell>
        </row>
        <row r="86">
          <cell r="B86" t="str">
            <v>FY(7)</v>
          </cell>
          <cell r="C86">
            <v>9120.2870000000003</v>
          </cell>
          <cell r="D86">
            <v>17384</v>
          </cell>
          <cell r="E86">
            <v>15571</v>
          </cell>
          <cell r="F86">
            <v>5944.6559999999999</v>
          </cell>
          <cell r="G86" t="str">
            <v>NA</v>
          </cell>
          <cell r="H86">
            <v>3531.3490000000002</v>
          </cell>
          <cell r="I86">
            <v>11981.207</v>
          </cell>
          <cell r="K86">
            <v>63532.499000000003</v>
          </cell>
          <cell r="M86">
            <v>1595.7570000000001</v>
          </cell>
          <cell r="N86">
            <v>550.904</v>
          </cell>
          <cell r="O86">
            <v>1382.923</v>
          </cell>
          <cell r="P86">
            <v>719.4</v>
          </cell>
          <cell r="Q86">
            <v>14455.105</v>
          </cell>
          <cell r="R86">
            <v>8444.6380000000008</v>
          </cell>
          <cell r="S86">
            <v>422.75400000000002</v>
          </cell>
          <cell r="U86">
            <v>27571.481</v>
          </cell>
        </row>
        <row r="87">
          <cell r="B87" t="str">
            <v>FY(6)</v>
          </cell>
          <cell r="C87">
            <v>10282.093999999999</v>
          </cell>
          <cell r="D87">
            <v>17513</v>
          </cell>
          <cell r="E87">
            <v>15412</v>
          </cell>
          <cell r="F87">
            <v>6448.5720000000001</v>
          </cell>
          <cell r="G87">
            <v>2441.989</v>
          </cell>
          <cell r="H87">
            <v>3920.5830000000001</v>
          </cell>
          <cell r="I87">
            <v>13327.938</v>
          </cell>
          <cell r="K87">
            <v>69346.175999999992</v>
          </cell>
          <cell r="M87">
            <v>1707.809</v>
          </cell>
          <cell r="N87">
            <v>734.86800000000005</v>
          </cell>
          <cell r="O87">
            <v>1435.4359999999999</v>
          </cell>
          <cell r="P87">
            <v>926.40599999999995</v>
          </cell>
          <cell r="Q87">
            <v>15853.771000000001</v>
          </cell>
          <cell r="R87">
            <v>8933.973</v>
          </cell>
          <cell r="S87">
            <v>548.36099999999999</v>
          </cell>
          <cell r="U87">
            <v>30140.624</v>
          </cell>
        </row>
        <row r="88">
          <cell r="B88" t="str">
            <v>FY(5)</v>
          </cell>
          <cell r="C88">
            <v>11700.7</v>
          </cell>
          <cell r="D88">
            <v>18096</v>
          </cell>
          <cell r="E88">
            <v>15776</v>
          </cell>
          <cell r="F88">
            <v>7131.4129999999996</v>
          </cell>
          <cell r="G88">
            <v>2766.9769999999999</v>
          </cell>
          <cell r="H88">
            <v>4239.99</v>
          </cell>
          <cell r="I88">
            <v>14913.483</v>
          </cell>
          <cell r="K88">
            <v>74624.562999999995</v>
          </cell>
          <cell r="M88">
            <v>2021.2539999999999</v>
          </cell>
          <cell r="N88">
            <v>964.21199999999999</v>
          </cell>
          <cell r="O88">
            <v>1881.241</v>
          </cell>
          <cell r="P88">
            <v>1272.3</v>
          </cell>
          <cell r="Q88">
            <v>16267</v>
          </cell>
          <cell r="R88">
            <v>9408.3119999999999</v>
          </cell>
          <cell r="S88">
            <v>827.75</v>
          </cell>
          <cell r="U88">
            <v>32642.069000000003</v>
          </cell>
        </row>
        <row r="89">
          <cell r="B89" t="str">
            <v>FY(4)</v>
          </cell>
          <cell r="C89">
            <v>13402.2</v>
          </cell>
          <cell r="D89">
            <v>18781</v>
          </cell>
          <cell r="E89">
            <v>22390</v>
          </cell>
          <cell r="F89">
            <v>7722.6120000000001</v>
          </cell>
          <cell r="G89">
            <v>2778.3330000000001</v>
          </cell>
          <cell r="H89">
            <v>4944.1790000000001</v>
          </cell>
          <cell r="I89">
            <v>15955.942999999999</v>
          </cell>
          <cell r="K89">
            <v>85974.266999999993</v>
          </cell>
          <cell r="M89">
            <v>2768.1640000000002</v>
          </cell>
          <cell r="N89">
            <v>1204.347</v>
          </cell>
          <cell r="O89">
            <v>2321.962</v>
          </cell>
          <cell r="P89">
            <v>1651.704</v>
          </cell>
          <cell r="Q89">
            <v>16023</v>
          </cell>
          <cell r="R89">
            <v>9669.5</v>
          </cell>
          <cell r="S89">
            <v>1092.107</v>
          </cell>
          <cell r="U89">
            <v>34730.784</v>
          </cell>
        </row>
        <row r="90">
          <cell r="B90" t="str">
            <v>FY(3)</v>
          </cell>
          <cell r="C90">
            <v>15585.300999999999</v>
          </cell>
          <cell r="D90">
            <v>19903.088</v>
          </cell>
          <cell r="E90">
            <v>26970</v>
          </cell>
          <cell r="F90">
            <v>8560.6980000000003</v>
          </cell>
          <cell r="G90">
            <v>2940.0030000000002</v>
          </cell>
          <cell r="H90">
            <v>5570.21</v>
          </cell>
          <cell r="I90">
            <v>17404.636999999999</v>
          </cell>
          <cell r="K90">
            <v>96933.937000000005</v>
          </cell>
          <cell r="M90">
            <v>3284.1759999999999</v>
          </cell>
          <cell r="N90">
            <v>1413.2080000000001</v>
          </cell>
          <cell r="O90">
            <v>2794.4090000000001</v>
          </cell>
          <cell r="P90">
            <v>2035.085</v>
          </cell>
          <cell r="Q90">
            <v>15923</v>
          </cell>
          <cell r="R90">
            <v>10670.652</v>
          </cell>
          <cell r="S90">
            <v>1224.7170000000001</v>
          </cell>
          <cell r="U90">
            <v>37345.246999999996</v>
          </cell>
        </row>
        <row r="91">
          <cell r="B91" t="str">
            <v>FY(2)</v>
          </cell>
          <cell r="C91">
            <v>16473.7</v>
          </cell>
          <cell r="D91">
            <v>19860.93</v>
          </cell>
          <cell r="E91">
            <v>26313</v>
          </cell>
          <cell r="F91">
            <v>8827.8140000000003</v>
          </cell>
          <cell r="G91">
            <v>3264.6329999999998</v>
          </cell>
          <cell r="H91">
            <v>5975.2120000000004</v>
          </cell>
          <cell r="I91">
            <v>18336.725999999999</v>
          </cell>
          <cell r="K91">
            <v>99052.014999999999</v>
          </cell>
          <cell r="M91">
            <v>3699.6559999999999</v>
          </cell>
          <cell r="N91">
            <v>1583.183</v>
          </cell>
          <cell r="O91">
            <v>3055.4189999999999</v>
          </cell>
          <cell r="P91">
            <v>2612.4560000000001</v>
          </cell>
          <cell r="Q91">
            <v>15763</v>
          </cell>
          <cell r="R91">
            <v>10086.293</v>
          </cell>
          <cell r="S91">
            <v>1507.7239999999999</v>
          </cell>
          <cell r="U91">
            <v>38307.731</v>
          </cell>
        </row>
        <row r="92">
          <cell r="B92" t="str">
            <v>FY(1)</v>
          </cell>
          <cell r="C92">
            <v>16388.900000000001</v>
          </cell>
          <cell r="D92">
            <v>18486.4729787059</v>
          </cell>
          <cell r="E92">
            <v>24892</v>
          </cell>
          <cell r="F92">
            <v>8291</v>
          </cell>
          <cell r="G92">
            <v>3036.8879999999999</v>
          </cell>
          <cell r="H92">
            <v>6486.1390000000001</v>
          </cell>
          <cell r="I92">
            <v>18999.505000000001</v>
          </cell>
          <cell r="K92">
            <v>96580.904978705905</v>
          </cell>
          <cell r="M92">
            <v>3484.0569999999998</v>
          </cell>
          <cell r="N92">
            <v>1885.5309999999999</v>
          </cell>
          <cell r="O92">
            <v>2988.817</v>
          </cell>
          <cell r="P92">
            <v>3180.7570000000001</v>
          </cell>
          <cell r="Q92">
            <v>14526</v>
          </cell>
          <cell r="R92">
            <v>9042.7009999999991</v>
          </cell>
          <cell r="S92">
            <v>1834.6179999999999</v>
          </cell>
          <cell r="U92">
            <v>36942.481</v>
          </cell>
        </row>
        <row r="93">
          <cell r="B93" t="str">
            <v>FY0</v>
          </cell>
          <cell r="C93">
            <v>17177</v>
          </cell>
          <cell r="D93">
            <v>17557.479531695401</v>
          </cell>
          <cell r="E93">
            <v>23489</v>
          </cell>
          <cell r="F93">
            <v>8258</v>
          </cell>
          <cell r="G93">
            <v>2625.71</v>
          </cell>
          <cell r="H93">
            <v>7184.2129999999997</v>
          </cell>
          <cell r="I93">
            <v>20288.444</v>
          </cell>
          <cell r="K93">
            <v>96579.84653169541</v>
          </cell>
          <cell r="M93">
            <v>2928.625</v>
          </cell>
          <cell r="N93">
            <v>2230.105</v>
          </cell>
          <cell r="O93">
            <v>2990.558</v>
          </cell>
          <cell r="P93">
            <v>3230.4679999999998</v>
          </cell>
          <cell r="Q93">
            <v>14197</v>
          </cell>
          <cell r="R93">
            <v>8632.5365000000002</v>
          </cell>
          <cell r="S93">
            <v>1937.8150000000001</v>
          </cell>
          <cell r="U93">
            <v>36147.107500000006</v>
          </cell>
        </row>
        <row r="94">
          <cell r="B94" t="str">
            <v>FY1</v>
          </cell>
          <cell r="C94">
            <v>18498.109536433902</v>
          </cell>
          <cell r="D94">
            <v>17806.182108049401</v>
          </cell>
          <cell r="E94">
            <v>24544.575112720999</v>
          </cell>
          <cell r="F94">
            <v>8931.4666703660005</v>
          </cell>
          <cell r="G94">
            <v>2737.49293223829</v>
          </cell>
          <cell r="H94">
            <v>7803.8611769138997</v>
          </cell>
          <cell r="I94">
            <v>22056.154446994798</v>
          </cell>
          <cell r="K94">
            <v>102377.8419837173</v>
          </cell>
          <cell r="M94">
            <v>3162.7476001191799</v>
          </cell>
          <cell r="N94">
            <v>2430.26432838644</v>
          </cell>
          <cell r="O94">
            <v>2988.9123471029702</v>
          </cell>
          <cell r="P94">
            <v>3476.1003261498299</v>
          </cell>
          <cell r="Q94">
            <v>14057.709404797301</v>
          </cell>
          <cell r="R94">
            <v>9110.7464272638808</v>
          </cell>
          <cell r="S94">
            <v>2261.5106702375401</v>
          </cell>
          <cell r="U94">
            <v>37487.991104057146</v>
          </cell>
        </row>
        <row r="95">
          <cell r="B95" t="str">
            <v>FY2</v>
          </cell>
          <cell r="C95">
            <v>20039.552621656901</v>
          </cell>
          <cell r="D95">
            <v>18198.430040241499</v>
          </cell>
          <cell r="E95">
            <v>24750.731353234001</v>
          </cell>
          <cell r="F95">
            <v>9352.2268005773403</v>
          </cell>
          <cell r="G95">
            <v>2932.27969354073</v>
          </cell>
          <cell r="H95">
            <v>8161.2515621648599</v>
          </cell>
          <cell r="I95">
            <v>23509.655025051801</v>
          </cell>
          <cell r="K95">
            <v>106944.12709646713</v>
          </cell>
          <cell r="M95">
            <v>3416.94856393808</v>
          </cell>
          <cell r="N95">
            <v>2750.6661824206799</v>
          </cell>
          <cell r="O95">
            <v>3305.3180742735199</v>
          </cell>
          <cell r="P95">
            <v>3717.3890173600098</v>
          </cell>
          <cell r="Q95">
            <v>13508.772793591699</v>
          </cell>
          <cell r="R95">
            <v>9454.1724434505995</v>
          </cell>
          <cell r="S95">
            <v>2580.1207421026002</v>
          </cell>
          <cell r="U95">
            <v>38733.387817137183</v>
          </cell>
        </row>
        <row r="96">
          <cell r="B96" t="str">
            <v>FQ(3)</v>
          </cell>
          <cell r="C96">
            <v>3638</v>
          </cell>
          <cell r="D96">
            <v>3884.4351206486299</v>
          </cell>
          <cell r="E96">
            <v>5199</v>
          </cell>
          <cell r="F96">
            <v>1706</v>
          </cell>
          <cell r="G96">
            <v>621.26599999999996</v>
          </cell>
          <cell r="H96">
            <v>1691.5989999999999</v>
          </cell>
          <cell r="I96">
            <v>4354.2240000000002</v>
          </cell>
          <cell r="K96">
            <v>21094.524120648632</v>
          </cell>
          <cell r="M96">
            <v>601.72900000000004</v>
          </cell>
          <cell r="N96">
            <v>408.024</v>
          </cell>
          <cell r="O96">
            <v>612</v>
          </cell>
          <cell r="P96">
            <v>739.93899999999996</v>
          </cell>
          <cell r="Q96">
            <v>3127</v>
          </cell>
          <cell r="R96">
            <v>1725.2370000000001</v>
          </cell>
          <cell r="S96">
            <v>384.79599999999999</v>
          </cell>
          <cell r="U96">
            <v>7598.7250000000004</v>
          </cell>
        </row>
        <row r="97">
          <cell r="B97" t="str">
            <v>FQ(2)</v>
          </cell>
          <cell r="C97">
            <v>3806</v>
          </cell>
          <cell r="D97">
            <v>3942.65022008711</v>
          </cell>
          <cell r="E97">
            <v>5164</v>
          </cell>
          <cell r="F97">
            <v>2145</v>
          </cell>
          <cell r="G97">
            <v>561.69600000000003</v>
          </cell>
          <cell r="H97">
            <v>1768.636</v>
          </cell>
          <cell r="I97">
            <v>4747.5280000000002</v>
          </cell>
          <cell r="K97">
            <v>22135.510220087112</v>
          </cell>
          <cell r="M97">
            <v>637.221</v>
          </cell>
          <cell r="N97">
            <v>453.02</v>
          </cell>
          <cell r="O97">
            <v>657.596</v>
          </cell>
          <cell r="P97">
            <v>777.74400000000003</v>
          </cell>
          <cell r="Q97">
            <v>3245</v>
          </cell>
          <cell r="R97">
            <v>2066.61</v>
          </cell>
          <cell r="S97">
            <v>458.62599999999998</v>
          </cell>
          <cell r="U97">
            <v>8295.8170000000009</v>
          </cell>
        </row>
        <row r="98">
          <cell r="B98" t="str">
            <v>FQ(1)</v>
          </cell>
          <cell r="C98">
            <v>4051</v>
          </cell>
          <cell r="D98">
            <v>4180.3941909596297</v>
          </cell>
          <cell r="E98">
            <v>5277</v>
          </cell>
          <cell r="F98">
            <v>1868</v>
          </cell>
          <cell r="G98">
            <v>631.43399999999997</v>
          </cell>
          <cell r="H98">
            <v>1744.1389999999999</v>
          </cell>
          <cell r="I98">
            <v>5244.9459999999999</v>
          </cell>
          <cell r="K98">
            <v>22996.913190959629</v>
          </cell>
          <cell r="M98">
            <v>753.68399999999997</v>
          </cell>
          <cell r="N98">
            <v>567.83799999999997</v>
          </cell>
          <cell r="O98">
            <v>748.96199999999999</v>
          </cell>
          <cell r="P98">
            <v>761.43700000000001</v>
          </cell>
          <cell r="Q98">
            <v>3589</v>
          </cell>
          <cell r="R98">
            <v>1777.2895000000001</v>
          </cell>
          <cell r="S98">
            <v>505.9</v>
          </cell>
          <cell r="U98">
            <v>8704.1105000000007</v>
          </cell>
        </row>
        <row r="99">
          <cell r="B99" t="str">
            <v>Last Reported Q</v>
          </cell>
          <cell r="C99">
            <v>17177</v>
          </cell>
          <cell r="D99">
            <v>17557.479531695401</v>
          </cell>
          <cell r="E99">
            <v>23489</v>
          </cell>
          <cell r="F99">
            <v>8258</v>
          </cell>
          <cell r="G99">
            <v>2625.71</v>
          </cell>
          <cell r="H99">
            <v>7184.2129999999997</v>
          </cell>
          <cell r="I99">
            <v>20288.444</v>
          </cell>
          <cell r="K99">
            <v>96579.84653169541</v>
          </cell>
          <cell r="M99">
            <v>2928.625</v>
          </cell>
          <cell r="N99">
            <v>2230.105</v>
          </cell>
          <cell r="O99">
            <v>2990.558</v>
          </cell>
          <cell r="P99">
            <v>1065.0050000000001</v>
          </cell>
          <cell r="Q99">
            <v>14197</v>
          </cell>
          <cell r="R99">
            <v>8632.5365000000002</v>
          </cell>
          <cell r="S99">
            <v>1937.8150000000001</v>
          </cell>
          <cell r="U99">
            <v>33981.644500000002</v>
          </cell>
          <cell r="AA99" t="str">
            <v>Avg</v>
          </cell>
        </row>
        <row r="100">
          <cell r="B100" t="str">
            <v>LTM</v>
          </cell>
          <cell r="C100">
            <v>28672</v>
          </cell>
          <cell r="D100">
            <v>29564.959063390772</v>
          </cell>
          <cell r="E100">
            <v>39129</v>
          </cell>
          <cell r="F100">
            <v>13977</v>
          </cell>
          <cell r="G100">
            <v>4440.1059999999998</v>
          </cell>
          <cell r="H100">
            <v>12388.587</v>
          </cell>
          <cell r="I100">
            <v>34635.142</v>
          </cell>
          <cell r="K100">
            <v>162806.79406339076</v>
          </cell>
          <cell r="M100">
            <v>4921.259</v>
          </cell>
          <cell r="N100">
            <v>3658.9870000000001</v>
          </cell>
          <cell r="O100">
            <v>5009.116</v>
          </cell>
          <cell r="P100">
            <v>3344.125</v>
          </cell>
          <cell r="Q100">
            <v>24158</v>
          </cell>
          <cell r="R100">
            <v>14201.673000000001</v>
          </cell>
          <cell r="S100">
            <v>3287.1370000000002</v>
          </cell>
          <cell r="U100">
            <v>58580.297000000006</v>
          </cell>
          <cell r="X100" t="str">
            <v>% Chg Sales</v>
          </cell>
          <cell r="Y100" t="str">
            <v>GM</v>
          </cell>
          <cell r="Z100" t="str">
            <v>SG&amp;A</v>
          </cell>
          <cell r="AA100" t="str">
            <v>% Chg EPS</v>
          </cell>
          <cell r="AB100" t="str">
            <v>Y/Y Stock Return</v>
          </cell>
        </row>
        <row r="101">
          <cell r="B101" t="str">
            <v>FY1</v>
          </cell>
          <cell r="C101">
            <v>4.3222849199793689E-2</v>
          </cell>
          <cell r="D101">
            <v>-5.2735424999238778E-2</v>
          </cell>
          <cell r="E101">
            <v>-6.3459608302113168E-2</v>
          </cell>
          <cell r="F101">
            <v>-2.5871558510100034E-2</v>
          </cell>
          <cell r="G101">
            <v>-0.15055978898799161</v>
          </cell>
          <cell r="H101">
            <v>9.870750403746964E-2</v>
          </cell>
          <cell r="I101">
            <v>5.1592050593949557E-2</v>
          </cell>
          <cell r="K101">
            <v>-9.2860793391353891E-3</v>
          </cell>
          <cell r="M101">
            <v>-0.16119630832569265</v>
          </cell>
          <cell r="N101">
            <v>0.15716657972563697</v>
          </cell>
          <cell r="O101">
            <v>-1.2369922577250447E-2</v>
          </cell>
          <cell r="P101">
            <v>8.0404128485095816E-2</v>
          </cell>
          <cell r="Q101">
            <v>-1.7904211109190493E-2</v>
          </cell>
          <cell r="R101">
            <v>-6.1916819776748011E-2</v>
          </cell>
          <cell r="S101">
            <v>5.6907951718232486E-2</v>
          </cell>
          <cell r="U101">
            <v>-2.070623056639842E-2</v>
          </cell>
          <cell r="W101" t="str">
            <v>Dept Stores</v>
          </cell>
          <cell r="X101">
            <v>-3.5409089577638664E-2</v>
          </cell>
          <cell r="Y101">
            <v>157.63350500292728</v>
          </cell>
          <cell r="Z101">
            <v>140.95424200297856</v>
          </cell>
          <cell r="AA101">
            <v>-0.27193440625115911</v>
          </cell>
          <cell r="AB101">
            <v>0.55000000000000004</v>
          </cell>
        </row>
        <row r="102">
          <cell r="B102" t="str">
            <v>Revenue Growth</v>
          </cell>
          <cell r="C102">
            <v>6.2837928325937487E-2</v>
          </cell>
          <cell r="D102">
            <v>-2.2980410921283889E-3</v>
          </cell>
          <cell r="E102">
            <v>-1.7603372549021334E-2</v>
          </cell>
          <cell r="F102">
            <v>1.0432109608290219E-2</v>
          </cell>
          <cell r="G102">
            <v>1.6315182620068924E-2</v>
          </cell>
          <cell r="H102">
            <v>4.2812256217959366E-2</v>
          </cell>
          <cell r="I102">
            <v>6.590000000000007E-2</v>
          </cell>
          <cell r="K102">
            <v>2.4788718789983566E-2</v>
          </cell>
          <cell r="M102">
            <v>0.11024888457662718</v>
          </cell>
          <cell r="N102">
            <v>0.10712689289907362</v>
          </cell>
          <cell r="O102">
            <v>7.1732264728360029E-2</v>
          </cell>
          <cell r="P102">
            <v>7.0465151392704151E-2</v>
          </cell>
          <cell r="Q102">
            <v>-1.1298021641825362E-2</v>
          </cell>
          <cell r="R102">
            <v>7.6674865314052543E-3</v>
          </cell>
          <cell r="S102">
            <v>0.16454681980554886</v>
          </cell>
          <cell r="U102">
            <v>3.4225307407317107E-2</v>
          </cell>
          <cell r="W102" t="str">
            <v>Off-Price</v>
          </cell>
          <cell r="X102">
            <v>6.358301225388252E-2</v>
          </cell>
          <cell r="Y102">
            <v>182.45939169460684</v>
          </cell>
          <cell r="Z102">
            <v>-27.013836931441965</v>
          </cell>
          <cell r="AA102">
            <v>0.40811766300825936</v>
          </cell>
          <cell r="AB102">
            <v>0.61</v>
          </cell>
        </row>
        <row r="103">
          <cell r="B103" t="str">
            <v>FY(5)</v>
          </cell>
          <cell r="C103">
            <v>0.13796858888860597</v>
          </cell>
          <cell r="D103">
            <v>3.3289556329583636E-2</v>
          </cell>
          <cell r="E103">
            <v>2.361796003114458E-2</v>
          </cell>
          <cell r="F103">
            <v>0.10589026531765477</v>
          </cell>
          <cell r="G103">
            <v>0.13308331855712696</v>
          </cell>
          <cell r="H103">
            <v>8.1469261076732691E-2</v>
          </cell>
          <cell r="I103">
            <v>0.11896401378817933</v>
          </cell>
          <cell r="K103">
            <v>7.6116482616143122E-2</v>
          </cell>
          <cell r="M103">
            <v>0.18353633222450516</v>
          </cell>
          <cell r="N103">
            <v>0.31208870164437674</v>
          </cell>
          <cell r="O103">
            <v>0.31057114354105653</v>
          </cell>
          <cell r="P103">
            <v>0.37337193411959779</v>
          </cell>
          <cell r="Q103">
            <v>2.6065028944848523E-2</v>
          </cell>
          <cell r="R103">
            <v>5.3093847496517022E-2</v>
          </cell>
          <cell r="S103">
            <v>0.50949830494874737</v>
          </cell>
          <cell r="U103">
            <v>8.2992475537334798E-2</v>
          </cell>
          <cell r="W103" t="str">
            <v>Specialty</v>
          </cell>
          <cell r="X103">
            <v>-2.070623056639842E-2</v>
          </cell>
          <cell r="Y103">
            <v>78.241077287845656</v>
          </cell>
          <cell r="Z103">
            <v>115.90085133750428</v>
          </cell>
          <cell r="AA103">
            <v>-1.7056810027645159E-2</v>
          </cell>
          <cell r="AB103">
            <v>0.76</v>
          </cell>
        </row>
        <row r="104">
          <cell r="B104" t="str">
            <v>FY(4)</v>
          </cell>
          <cell r="C104">
            <v>0.14541865016622935</v>
          </cell>
          <cell r="D104">
            <v>3.7853669319186656E-2</v>
          </cell>
          <cell r="E104">
            <v>0.41924442190669375</v>
          </cell>
          <cell r="F104">
            <v>8.2900681814389365E-2</v>
          </cell>
          <cell r="G104">
            <v>4.1041179597807176E-3</v>
          </cell>
          <cell r="H104">
            <v>0.16608270302524297</v>
          </cell>
          <cell r="I104">
            <v>6.990050546877602E-2</v>
          </cell>
          <cell r="K104">
            <v>0.15209072648103805</v>
          </cell>
          <cell r="M104">
            <v>0.36952802567119236</v>
          </cell>
          <cell r="N104">
            <v>0.24904792721932512</v>
          </cell>
          <cell r="O104">
            <v>0.23427141977024735</v>
          </cell>
          <cell r="P104">
            <v>0.29820325394954028</v>
          </cell>
          <cell r="Q104">
            <v>-1.4999692629249384E-2</v>
          </cell>
          <cell r="R104">
            <v>2.7761409272991866E-2</v>
          </cell>
          <cell r="S104">
            <v>0.31936816671700385</v>
          </cell>
          <cell r="U104">
            <v>6.3988437742717785E-2</v>
          </cell>
        </row>
        <row r="105">
          <cell r="A105" t="str">
            <v>mstag:costOfSalesWithoutDepreciation</v>
          </cell>
          <cell r="B105" t="str">
            <v>FY(3)</v>
          </cell>
          <cell r="C105">
            <v>0.16289124173643121</v>
          </cell>
          <cell r="D105">
            <v>5.9745913423140395E-2</v>
          </cell>
          <cell r="E105">
            <v>0.20455560518088434</v>
          </cell>
          <cell r="F105">
            <v>0.10852364459071628</v>
          </cell>
          <cell r="G105">
            <v>5.8189569068934466E-2</v>
          </cell>
          <cell r="H105">
            <v>0.12661980887018864</v>
          </cell>
          <cell r="I105">
            <v>9.07933802470966E-2</v>
          </cell>
          <cell r="K105">
            <v>0.12747616679302443</v>
          </cell>
          <cell r="M105">
            <v>0.18640947573915412</v>
          </cell>
          <cell r="N105">
            <v>0.17342260992886604</v>
          </cell>
          <cell r="O105">
            <v>0.20346887675164371</v>
          </cell>
          <cell r="P105">
            <v>0.23211241239350389</v>
          </cell>
          <cell r="Q105">
            <v>-6.2410285215003247E-3</v>
          </cell>
          <cell r="R105">
            <v>0.10353710119447745</v>
          </cell>
          <cell r="S105">
            <v>0.12142583098542548</v>
          </cell>
          <cell r="U105">
            <v>7.5277972417783445E-2</v>
          </cell>
        </row>
        <row r="106">
          <cell r="B106" t="str">
            <v>FY(2)</v>
          </cell>
          <cell r="C106">
            <v>5.7002363958193802E-2</v>
          </cell>
          <cell r="D106">
            <v>-2.1181637743851178E-3</v>
          </cell>
          <cell r="E106">
            <v>-2.4360400444938812E-2</v>
          </cell>
          <cell r="F106">
            <v>3.1202595863094373E-2</v>
          </cell>
          <cell r="G106">
            <v>0.11041825467525013</v>
          </cell>
          <cell r="H106">
            <v>7.270856933580605E-2</v>
          </cell>
          <cell r="I106">
            <v>5.3554061483729987E-2</v>
          </cell>
          <cell r="K106">
            <v>2.1850737373846574E-2</v>
          </cell>
          <cell r="M106">
            <v>0.12650966330671687</v>
          </cell>
          <cell r="N106">
            <v>0.12027599617324558</v>
          </cell>
          <cell r="O106">
            <v>9.3404365645830545E-2</v>
          </cell>
          <cell r="P106">
            <v>0.283708542886415</v>
          </cell>
          <cell r="Q106">
            <v>-1.0048357721534895E-2</v>
          </cell>
          <cell r="R106">
            <v>-5.476319535113694E-2</v>
          </cell>
          <cell r="S106">
            <v>0.23107950653089637</v>
          </cell>
          <cell r="U106">
            <v>2.577259697867329E-2</v>
          </cell>
        </row>
        <row r="107">
          <cell r="B107" t="str">
            <v>FY(1)</v>
          </cell>
          <cell r="C107">
            <v>-5.147598900064887E-3</v>
          </cell>
          <cell r="D107">
            <v>-6.9204061506389691E-2</v>
          </cell>
          <cell r="E107">
            <v>-5.4003724394785846E-2</v>
          </cell>
          <cell r="F107">
            <v>-6.0809391770148324E-2</v>
          </cell>
          <cell r="G107">
            <v>-6.9761287103328296E-2</v>
          </cell>
          <cell r="H107">
            <v>8.5507761063540411E-2</v>
          </cell>
          <cell r="I107">
            <v>3.6144893041429649E-2</v>
          </cell>
          <cell r="K107">
            <v>-2.4947599716109714E-2</v>
          </cell>
          <cell r="M107">
            <v>-5.8275418038866378E-2</v>
          </cell>
          <cell r="N107">
            <v>0.1909747641302364</v>
          </cell>
          <cell r="O107">
            <v>-2.1797992353912776E-2</v>
          </cell>
          <cell r="P107">
            <v>0.21753514700343279</v>
          </cell>
          <cell r="Q107">
            <v>-7.8474909598426734E-2</v>
          </cell>
          <cell r="R107">
            <v>-0.10346635775899038</v>
          </cell>
          <cell r="S107">
            <v>0.21681289148411786</v>
          </cell>
          <cell r="U107">
            <v>-3.5639020228057872E-2</v>
          </cell>
          <cell r="X107" t="str">
            <v>2010 vs. 2009</v>
          </cell>
          <cell r="Y107" t="str">
            <v>2008 vs. 2007</v>
          </cell>
          <cell r="AE107" t="str">
            <v>2009 vs. 2008</v>
          </cell>
          <cell r="AL107" t="str">
            <v>2008 vs. 2007</v>
          </cell>
        </row>
        <row r="108">
          <cell r="B108" t="str">
            <v>FY0</v>
          </cell>
          <cell r="C108">
            <v>4.8087425025474362E-2</v>
          </cell>
          <cell r="D108">
            <v>-5.0252606220807183E-2</v>
          </cell>
          <cell r="E108">
            <v>-5.6363490278000916E-2</v>
          </cell>
          <cell r="F108">
            <v>-3.9802195151369402E-3</v>
          </cell>
          <cell r="G108">
            <v>-0.13539452228728877</v>
          </cell>
          <cell r="H108">
            <v>0.10762550725477826</v>
          </cell>
          <cell r="I108">
            <v>6.7840662164619481E-2</v>
          </cell>
          <cell r="K108">
            <v>-1.095917470150809E-5</v>
          </cell>
          <cell r="L108" t="str">
            <v>GM</v>
          </cell>
          <cell r="M108">
            <v>-0.1594210427670959</v>
          </cell>
          <cell r="N108">
            <v>0.1827463987598188</v>
          </cell>
          <cell r="O108">
            <v>5.8250471674914372E-4</v>
          </cell>
          <cell r="P108">
            <v>1.5628669527411265E-2</v>
          </cell>
          <cell r="Q108">
            <v>-2.2649043095139709E-2</v>
          </cell>
          <cell r="R108">
            <v>-4.5358626808516544E-2</v>
          </cell>
          <cell r="S108">
            <v>5.6249856918443086E-2</v>
          </cell>
          <cell r="T108" t="str">
            <v>SG&amp;A</v>
          </cell>
          <cell r="U108">
            <v>-2.1530051000093753E-2</v>
          </cell>
          <cell r="V108" t="str">
            <v>Y/Y Stock Return</v>
          </cell>
          <cell r="X108" t="str">
            <v>% Chg Sales</v>
          </cell>
          <cell r="Y108" t="str">
            <v>GM</v>
          </cell>
          <cell r="Z108" t="str">
            <v>SG&amp;A</v>
          </cell>
          <cell r="AA108" t="str">
            <v>% Chg NI</v>
          </cell>
          <cell r="AB108" t="str">
            <v>Y/Y Stock Return</v>
          </cell>
          <cell r="AC108" t="str">
            <v>Y/Y Stock Return</v>
          </cell>
          <cell r="AE108" t="str">
            <v>% Chg Sales</v>
          </cell>
          <cell r="AF108" t="str">
            <v>GM</v>
          </cell>
          <cell r="AG108" t="str">
            <v>SG&amp;A</v>
          </cell>
          <cell r="AH108" t="str">
            <v>% Chg NI</v>
          </cell>
          <cell r="AI108" t="str">
            <v>Y/Y Stock Return</v>
          </cell>
          <cell r="AL108" t="str">
            <v>% Chg Sales</v>
          </cell>
          <cell r="AM108" t="str">
            <v>GM</v>
          </cell>
          <cell r="AN108" t="str">
            <v>SG&amp;A</v>
          </cell>
          <cell r="AO108" t="str">
            <v>% Chg NI</v>
          </cell>
          <cell r="AP108" t="str">
            <v>Y/Y Stock Return</v>
          </cell>
        </row>
        <row r="109">
          <cell r="A109" t="str">
            <v>mstag:costOfSalesWithDepreciation</v>
          </cell>
          <cell r="B109" t="str">
            <v>FY1</v>
          </cell>
          <cell r="C109">
            <v>7.6911540806537948E-2</v>
          </cell>
          <cell r="D109">
            <v>1.4165050052032502E-2</v>
          </cell>
          <cell r="E109">
            <v>4.4939125238239175E-2</v>
          </cell>
          <cell r="F109">
            <v>8.1553241749334093E-2</v>
          </cell>
          <cell r="G109">
            <v>4.2572459349391245E-2</v>
          </cell>
          <cell r="H109">
            <v>8.6251364890475912E-2</v>
          </cell>
          <cell r="I109">
            <v>8.7128931474232285E-2</v>
          </cell>
          <cell r="K109">
            <v>6.003318145798775E-2</v>
          </cell>
          <cell r="L109">
            <v>57.00435109266364</v>
          </cell>
          <cell r="M109">
            <v>7.9942840110693636E-2</v>
          </cell>
          <cell r="N109">
            <v>8.975332030843397E-2</v>
          </cell>
          <cell r="O109">
            <v>-5.5028288935698999E-4</v>
          </cell>
          <cell r="P109">
            <v>7.6036142797213824E-2</v>
          </cell>
          <cell r="Q109">
            <v>-9.811269648707488E-3</v>
          </cell>
          <cell r="R109">
            <v>5.5396224187859611E-2</v>
          </cell>
          <cell r="S109">
            <v>0.16704157529874619</v>
          </cell>
          <cell r="T109">
            <v>137.26157467508881</v>
          </cell>
          <cell r="U109">
            <v>3.709518400765921E-2</v>
          </cell>
          <cell r="V109">
            <v>0.55000000000000004</v>
          </cell>
          <cell r="W109" t="str">
            <v>Dept Stores</v>
          </cell>
          <cell r="X109">
            <v>4.9620645014408327E-2</v>
          </cell>
          <cell r="Y109">
            <v>48.304398643647801</v>
          </cell>
          <cell r="Z109">
            <v>-60.114503171233572</v>
          </cell>
          <cell r="AA109">
            <v>0.30030313020429822</v>
          </cell>
          <cell r="AB109">
            <v>0.55000000000000004</v>
          </cell>
          <cell r="AC109">
            <v>0.55000000000000004</v>
          </cell>
          <cell r="AD109" t="str">
            <v>Dept Stores</v>
          </cell>
          <cell r="AE109">
            <v>-2.31697200211336E-2</v>
          </cell>
          <cell r="AF109">
            <v>114.94818829006145</v>
          </cell>
          <cell r="AG109">
            <v>141.27383060223303</v>
          </cell>
          <cell r="AH109">
            <v>-6.0407618341568714E-2</v>
          </cell>
          <cell r="AI109">
            <v>0.55000000000000004</v>
          </cell>
          <cell r="AK109" t="str">
            <v>Dept Stores</v>
          </cell>
          <cell r="AL109">
            <v>-4.7807622171526565E-2</v>
          </cell>
          <cell r="AM109">
            <v>-108.66064553076941</v>
          </cell>
          <cell r="AN109">
            <v>179.20699165687495</v>
          </cell>
          <cell r="AO109">
            <v>-0.37489659665696418</v>
          </cell>
          <cell r="AP109">
            <v>0.55000000000000004</v>
          </cell>
        </row>
        <row r="110">
          <cell r="B110" t="str">
            <v>FY2</v>
          </cell>
          <cell r="C110">
            <v>8.3329763086707365E-2</v>
          </cell>
          <cell r="D110">
            <v>2.2028749892138766E-2</v>
          </cell>
          <cell r="E110">
            <v>8.3992588816970137E-3</v>
          </cell>
          <cell r="F110">
            <v>4.7109858407398342E-2</v>
          </cell>
          <cell r="G110">
            <v>7.115516500828889E-2</v>
          </cell>
          <cell r="H110">
            <v>4.5796609799803267E-2</v>
          </cell>
          <cell r="I110">
            <v>6.5900000000002068E-2</v>
          </cell>
          <cell r="K110">
            <v>4.4602279402178313E-2</v>
          </cell>
          <cell r="L110" t="e">
            <v>#REF!</v>
          </cell>
          <cell r="M110">
            <v>8.0373458763930872E-2</v>
          </cell>
          <cell r="N110">
            <v>0.13183827384199343</v>
          </cell>
          <cell r="O110">
            <v>0.10585982137523331</v>
          </cell>
          <cell r="P110">
            <v>6.9413615422726949E-2</v>
          </cell>
          <cell r="Q110">
            <v>-3.9048794892450389E-2</v>
          </cell>
          <cell r="R110">
            <v>3.769460811235148E-2</v>
          </cell>
          <cell r="S110">
            <v>0.14088373583998814</v>
          </cell>
          <cell r="T110" t="e">
            <v>#REF!</v>
          </cell>
          <cell r="U110">
            <v>3.3221217686035365E-2</v>
          </cell>
          <cell r="V110">
            <v>0.76</v>
          </cell>
          <cell r="W110" t="str">
            <v>Specialty</v>
          </cell>
          <cell r="X110">
            <v>3.709518400765921E-2</v>
          </cell>
          <cell r="Y110">
            <v>94.718936271333448</v>
          </cell>
          <cell r="Z110">
            <v>-64.14043276116</v>
          </cell>
          <cell r="AA110">
            <v>0.15150826686137386</v>
          </cell>
          <cell r="AB110">
            <v>0.76</v>
          </cell>
          <cell r="AC110">
            <v>0.76</v>
          </cell>
          <cell r="AD110" t="str">
            <v>Specialty</v>
          </cell>
          <cell r="AE110">
            <v>-2.1530051000093753E-2</v>
          </cell>
          <cell r="AF110">
            <v>40.030898769839546</v>
          </cell>
          <cell r="AG110">
            <v>144.76387005440017</v>
          </cell>
          <cell r="AH110">
            <v>-3.4655015148206236E-2</v>
          </cell>
          <cell r="AI110">
            <v>0.76</v>
          </cell>
          <cell r="AK110" t="str">
            <v>Specialty</v>
          </cell>
          <cell r="AL110">
            <v>-3.5639020228057872E-2</v>
          </cell>
          <cell r="AM110">
            <v>0</v>
          </cell>
          <cell r="AN110">
            <v>62.129127811416666</v>
          </cell>
          <cell r="AO110">
            <v>-7.2139784257026163E-2</v>
          </cell>
          <cell r="AP110">
            <v>0.76</v>
          </cell>
        </row>
        <row r="111">
          <cell r="B111" t="str">
            <v>10-Yr. Compounded</v>
          </cell>
          <cell r="C111">
            <v>0.14189722963753648</v>
          </cell>
          <cell r="D111">
            <v>-5.749986698751286E-2</v>
          </cell>
          <cell r="E111">
            <v>3.8952780979517598E-2</v>
          </cell>
          <cell r="F111">
            <v>4.8371481992315113E-2</v>
          </cell>
          <cell r="G111" t="str">
            <v>NA</v>
          </cell>
          <cell r="H111">
            <v>0.11273610285110758</v>
          </cell>
          <cell r="I111">
            <v>8.7175298300664394E-2</v>
          </cell>
          <cell r="K111">
            <v>3.458566556673115E-2</v>
          </cell>
          <cell r="L111" t="e">
            <v>#REF!</v>
          </cell>
          <cell r="M111">
            <v>0.11006009826696972</v>
          </cell>
          <cell r="N111">
            <v>0.25390594587671522</v>
          </cell>
          <cell r="O111">
            <v>0.1364686551863461</v>
          </cell>
          <cell r="P111">
            <v>0.20325839306934901</v>
          </cell>
          <cell r="Q111">
            <v>2.0100638670918158E-2</v>
          </cell>
          <cell r="R111">
            <v>-1.226107165265633E-2</v>
          </cell>
          <cell r="S111">
            <v>0.21425276852939179</v>
          </cell>
          <cell r="T111" t="e">
            <v>#REF!</v>
          </cell>
          <cell r="U111">
            <v>4.0588417934013465E-2</v>
          </cell>
          <cell r="V111">
            <v>0.61</v>
          </cell>
          <cell r="W111" t="str">
            <v>Off-Price</v>
          </cell>
          <cell r="X111">
            <v>8.6899444196777198E-2</v>
          </cell>
          <cell r="Y111">
            <v>53.999551334442401</v>
          </cell>
          <cell r="Z111">
            <v>-26.34788368614624</v>
          </cell>
          <cell r="AA111">
            <v>0.16785798184105638</v>
          </cell>
          <cell r="AB111">
            <v>0.61</v>
          </cell>
          <cell r="AC111">
            <v>0.61</v>
          </cell>
          <cell r="AD111" t="str">
            <v>Off-Price</v>
          </cell>
          <cell r="AE111">
            <v>7.7965971744720308E-2</v>
          </cell>
          <cell r="AF111">
            <v>219.75066107665336</v>
          </cell>
          <cell r="AG111">
            <v>-20.315851925331586</v>
          </cell>
          <cell r="AH111">
            <v>0.39582196945041037</v>
          </cell>
          <cell r="AI111">
            <v>0.61</v>
          </cell>
          <cell r="AK111" t="str">
            <v>Off-Price</v>
          </cell>
          <cell r="AL111">
            <v>4.8276941147184615E-2</v>
          </cell>
          <cell r="AM111">
            <v>-216.83583107443198</v>
          </cell>
          <cell r="AN111">
            <v>17.44038581543747</v>
          </cell>
          <cell r="AO111">
            <v>1.9813150853928985E-2</v>
          </cell>
          <cell r="AP111">
            <v>0.61</v>
          </cell>
        </row>
        <row r="112">
          <cell r="B112" t="str">
            <v>5-Yr. Compounded</v>
          </cell>
          <cell r="C112">
            <v>6.6572177277572031E-2</v>
          </cell>
          <cell r="D112">
            <v>-1.0603386337421306E-2</v>
          </cell>
          <cell r="E112">
            <v>1.8545149635570857E-2</v>
          </cell>
          <cell r="F112">
            <v>2.9512711519935175E-2</v>
          </cell>
          <cell r="G112">
            <v>-2.9573372874684978E-3</v>
          </cell>
          <cell r="H112">
            <v>9.5577412654757277E-2</v>
          </cell>
          <cell r="I112">
            <v>6.6894468863567313E-2</v>
          </cell>
          <cell r="K112">
            <v>3.554147519379014E-2</v>
          </cell>
          <cell r="M112">
            <v>2.7009695794492306E-2</v>
          </cell>
          <cell r="N112">
            <v>0.150748388636057</v>
          </cell>
          <cell r="O112">
            <v>5.1796240644010894E-2</v>
          </cell>
          <cell r="P112">
            <v>0.1604649194425094</v>
          </cell>
          <cell r="Q112">
            <v>-2.5831357941118904E-2</v>
          </cell>
          <cell r="R112">
            <v>-1.1833814857948877E-2</v>
          </cell>
          <cell r="S112">
            <v>0.15671585931487209</v>
          </cell>
          <cell r="U112">
            <v>1.5396158985442998E-2</v>
          </cell>
        </row>
        <row r="113">
          <cell r="B113" t="str">
            <v>FY2</v>
          </cell>
          <cell r="C113">
            <v>6867.7744825180016</v>
          </cell>
          <cell r="D113">
            <v>7056.233101154201</v>
          </cell>
          <cell r="E113">
            <v>9364.9520392895975</v>
          </cell>
          <cell r="F113">
            <v>2869.9035458410099</v>
          </cell>
          <cell r="G113">
            <v>972.76116919244009</v>
          </cell>
          <cell r="H113">
            <v>1872.43915372229</v>
          </cell>
          <cell r="I113">
            <v>5542.9003991096997</v>
          </cell>
          <cell r="K113">
            <v>34546.963890827239</v>
          </cell>
          <cell r="M113">
            <v>2161.51789129181</v>
          </cell>
          <cell r="N113">
            <v>889.90785494402007</v>
          </cell>
          <cell r="O113">
            <v>1256.3330848648402</v>
          </cell>
          <cell r="P113">
            <v>2702.2788492776199</v>
          </cell>
          <cell r="Q113">
            <v>5740.2146486659603</v>
          </cell>
          <cell r="R113">
            <v>3045.5004101906898</v>
          </cell>
          <cell r="S113">
            <v>913.91993482507019</v>
          </cell>
          <cell r="U113">
            <v>16709.67267406001</v>
          </cell>
        </row>
        <row r="114">
          <cell r="A114" t="str">
            <v>mstag:costOfSalesWithoutDepreciation</v>
          </cell>
          <cell r="B114" t="str">
            <v>Gross Profit</v>
          </cell>
          <cell r="C114">
            <v>1822</v>
          </cell>
          <cell r="D114">
            <v>1996</v>
          </cell>
          <cell r="E114">
            <v>3122</v>
          </cell>
          <cell r="F114">
            <v>736</v>
          </cell>
          <cell r="G114">
            <v>173.73799999999994</v>
          </cell>
          <cell r="H114">
            <v>412.76600000000008</v>
          </cell>
          <cell r="I114">
            <v>1219.3129999999992</v>
          </cell>
          <cell r="K114">
            <v>9481.8169999999991</v>
          </cell>
          <cell r="M114">
            <v>642.61400000000003</v>
          </cell>
          <cell r="N114">
            <v>243.51700000000005</v>
          </cell>
          <cell r="O114">
            <v>311.62400000000002</v>
          </cell>
          <cell r="P114">
            <v>558.19299999999998</v>
          </cell>
          <cell r="Q114">
            <v>1389</v>
          </cell>
          <cell r="R114">
            <v>1024.6599999999999</v>
          </cell>
          <cell r="S114">
            <v>172.892</v>
          </cell>
          <cell r="U114">
            <v>4342.5</v>
          </cell>
        </row>
        <row r="115">
          <cell r="B115" t="str">
            <v>FY(5)</v>
          </cell>
          <cell r="C115">
            <v>4113.6750000000011</v>
          </cell>
          <cell r="D115">
            <v>6774</v>
          </cell>
          <cell r="E115">
            <v>6430</v>
          </cell>
          <cell r="F115">
            <v>2572.0249999999996</v>
          </cell>
          <cell r="G115">
            <v>1085.6799999999998</v>
          </cell>
          <cell r="H115">
            <v>953.38599999999997</v>
          </cell>
          <cell r="I115">
            <v>3566.2219999999998</v>
          </cell>
          <cell r="K115">
            <v>25494.988000000005</v>
          </cell>
          <cell r="M115">
            <v>1341.2249999999999</v>
          </cell>
          <cell r="N115">
            <v>324.60699999999997</v>
          </cell>
          <cell r="O115">
            <v>877.80799999999999</v>
          </cell>
          <cell r="P115">
            <v>955.01900000000001</v>
          </cell>
          <cell r="Q115">
            <v>6381</v>
          </cell>
          <cell r="R115">
            <v>3455.0739999999996</v>
          </cell>
          <cell r="S115">
            <v>338.75</v>
          </cell>
          <cell r="U115">
            <v>13673.483</v>
          </cell>
        </row>
        <row r="116">
          <cell r="B116" t="str">
            <v>FY(4)</v>
          </cell>
          <cell r="C116">
            <v>4760.6000000000004</v>
          </cell>
          <cell r="D116">
            <v>7190</v>
          </cell>
          <cell r="E116">
            <v>9118</v>
          </cell>
          <cell r="F116">
            <v>2834.5889999999999</v>
          </cell>
          <cell r="G116">
            <v>1023.5</v>
          </cell>
          <cell r="H116">
            <v>1091.5880000000002</v>
          </cell>
          <cell r="I116">
            <v>3748.271999999999</v>
          </cell>
          <cell r="K116">
            <v>29766.548999999999</v>
          </cell>
          <cell r="M116">
            <v>1854.1850000000002</v>
          </cell>
          <cell r="N116">
            <v>362.47500000000002</v>
          </cell>
          <cell r="O116">
            <v>1075.961</v>
          </cell>
          <cell r="P116">
            <v>1267.5509999999999</v>
          </cell>
          <cell r="Q116">
            <v>5870</v>
          </cell>
          <cell r="R116">
            <v>3450.1480000000001</v>
          </cell>
          <cell r="S116">
            <v>448.60599999999999</v>
          </cell>
          <cell r="U116">
            <v>14328.925999999999</v>
          </cell>
        </row>
        <row r="117">
          <cell r="B117" t="str">
            <v>FY(3)</v>
          </cell>
          <cell r="C117">
            <v>5667.5829999999987</v>
          </cell>
          <cell r="D117">
            <v>7809</v>
          </cell>
          <cell r="E117">
            <v>10951</v>
          </cell>
          <cell r="F117">
            <v>3206.7490000000007</v>
          </cell>
          <cell r="G117">
            <v>1135.7090000000001</v>
          </cell>
          <cell r="H117">
            <v>1252.683</v>
          </cell>
          <cell r="I117">
            <v>4190.9339999999993</v>
          </cell>
          <cell r="K117">
            <v>34213.657999999996</v>
          </cell>
          <cell r="M117">
            <v>2200.6669999999999</v>
          </cell>
          <cell r="N117">
            <v>448.01700000000005</v>
          </cell>
          <cell r="O117">
            <v>1340.4290000000001</v>
          </cell>
          <cell r="P117">
            <v>1581.571412546203</v>
          </cell>
          <cell r="Q117">
            <v>5657</v>
          </cell>
          <cell r="R117">
            <v>4013.5119999999997</v>
          </cell>
          <cell r="S117">
            <v>451.92100000000005</v>
          </cell>
          <cell r="U117">
            <v>15693.117412546204</v>
          </cell>
        </row>
        <row r="118">
          <cell r="A118" t="str">
            <v>mstag:costOfSalesWithDepreciation</v>
          </cell>
          <cell r="B118" t="str">
            <v>FY(2)</v>
          </cell>
          <cell r="C118">
            <v>6014.1</v>
          </cell>
          <cell r="D118">
            <v>7665</v>
          </cell>
          <cell r="E118">
            <v>10636</v>
          </cell>
          <cell r="F118">
            <v>3301.6360000000004</v>
          </cell>
          <cell r="G118">
            <v>1273.6319999999998</v>
          </cell>
          <cell r="H118">
            <v>1356.9920000000002</v>
          </cell>
          <cell r="I118">
            <v>4491.1141962548991</v>
          </cell>
          <cell r="K118">
            <v>34738.474196254901</v>
          </cell>
          <cell r="M118">
            <v>2488.1660000000002</v>
          </cell>
          <cell r="N118">
            <v>545.50299999999993</v>
          </cell>
          <cell r="O118">
            <v>1423.1379999999999</v>
          </cell>
          <cell r="P118">
            <v>2022.9860000000001</v>
          </cell>
          <cell r="Q118">
            <v>5694</v>
          </cell>
          <cell r="R118">
            <v>3463.5389999999998</v>
          </cell>
          <cell r="S118">
            <v>576.77199999999993</v>
          </cell>
          <cell r="U118">
            <v>16214.103999999999</v>
          </cell>
        </row>
        <row r="119">
          <cell r="B119" t="str">
            <v>FY(1)</v>
          </cell>
          <cell r="C119">
            <v>6055.2870000000021</v>
          </cell>
          <cell r="D119">
            <v>6916</v>
          </cell>
          <cell r="E119">
            <v>9883</v>
          </cell>
          <cell r="F119">
            <v>2861.5169999999998</v>
          </cell>
          <cell r="G119">
            <v>974.39399999999978</v>
          </cell>
          <cell r="H119">
            <v>1529.5630000000001</v>
          </cell>
          <cell r="I119">
            <v>4577.4170000000013</v>
          </cell>
          <cell r="K119">
            <v>32797.178000000007</v>
          </cell>
          <cell r="M119">
            <v>2331.0949999999998</v>
          </cell>
          <cell r="N119">
            <v>654.18200000000002</v>
          </cell>
          <cell r="O119">
            <v>1174.0509999999999</v>
          </cell>
          <cell r="P119">
            <v>2407.1030000000001</v>
          </cell>
          <cell r="Q119">
            <v>5447</v>
          </cell>
          <cell r="R119">
            <v>3006.3959999999988</v>
          </cell>
          <cell r="S119">
            <v>713.47799999999984</v>
          </cell>
          <cell r="U119">
            <v>15733.304999999998</v>
          </cell>
        </row>
        <row r="120">
          <cell r="B120" t="str">
            <v>FY0</v>
          </cell>
          <cell r="C120">
            <v>6497</v>
          </cell>
          <cell r="D120">
            <v>6910</v>
          </cell>
          <cell r="E120">
            <v>9516</v>
          </cell>
          <cell r="F120">
            <v>2930</v>
          </cell>
          <cell r="G120">
            <v>957.61300000000006</v>
          </cell>
          <cell r="H120">
            <v>1856.9349999999995</v>
          </cell>
          <cell r="I120">
            <v>5320.0149999999994</v>
          </cell>
          <cell r="K120">
            <v>33987.563000000002</v>
          </cell>
          <cell r="M120">
            <v>1883.596</v>
          </cell>
          <cell r="N120">
            <v>849.54700000000003</v>
          </cell>
          <cell r="O120">
            <v>1158.087</v>
          </cell>
          <cell r="P120">
            <v>2322.6099999999997</v>
          </cell>
          <cell r="Q120">
            <v>5724</v>
          </cell>
          <cell r="R120">
            <v>3028.0910000000003</v>
          </cell>
          <cell r="S120">
            <v>786.14499999999998</v>
          </cell>
          <cell r="U120">
            <v>15752.076000000001</v>
          </cell>
        </row>
        <row r="121">
          <cell r="B121" t="str">
            <v>FY1</v>
          </cell>
          <cell r="C121">
            <v>7101.2509991962015</v>
          </cell>
          <cell r="D121">
            <v>7052.195963943901</v>
          </cell>
          <cell r="E121">
            <v>9999.5034685626979</v>
          </cell>
          <cell r="F121">
            <v>3248.4832725953502</v>
          </cell>
          <cell r="G121">
            <v>1042.28930686739</v>
          </cell>
          <cell r="H121">
            <v>2065.3716729641901</v>
          </cell>
          <cell r="I121">
            <v>5885.310704664098</v>
          </cell>
          <cell r="J121">
            <v>0.33274507332440401</v>
          </cell>
          <cell r="K121">
            <v>36394.405388793828</v>
          </cell>
          <cell r="M121">
            <v>2032.8679729421399</v>
          </cell>
          <cell r="N121">
            <v>929.96868914735001</v>
          </cell>
          <cell r="O121">
            <v>1266.9787359654401</v>
          </cell>
          <cell r="P121">
            <v>2515.6925399197899</v>
          </cell>
          <cell r="Q121">
            <v>5761.9927510824509</v>
          </cell>
          <cell r="R121">
            <v>3280.7318835615306</v>
          </cell>
          <cell r="S121">
            <v>934.6473444801602</v>
          </cell>
          <cell r="T121">
            <v>0.45872835288662239</v>
          </cell>
          <cell r="U121">
            <v>16722.87991709886</v>
          </cell>
        </row>
        <row r="122">
          <cell r="B122" t="str">
            <v>FY2</v>
          </cell>
          <cell r="C122">
            <v>7753.115220443502</v>
          </cell>
          <cell r="D122">
            <v>7243.9438851044997</v>
          </cell>
          <cell r="E122">
            <v>10108.242618236802</v>
          </cell>
          <cell r="F122">
            <v>3410.8710864067007</v>
          </cell>
          <cell r="G122">
            <v>1152.43096073528</v>
          </cell>
          <cell r="H122">
            <v>2159.9586935625002</v>
          </cell>
          <cell r="I122">
            <v>6237.8881975639015</v>
          </cell>
          <cell r="J122">
            <v>0.33578685815822862</v>
          </cell>
          <cell r="K122">
            <v>38066.45066205319</v>
          </cell>
          <cell r="M122">
            <v>2223.0728258744202</v>
          </cell>
          <cell r="N122">
            <v>1021.1927511121598</v>
          </cell>
          <cell r="O122">
            <v>1425.8441936296099</v>
          </cell>
          <cell r="P122">
            <v>2690.3158544076095</v>
          </cell>
          <cell r="Q122">
            <v>5577.5201963543695</v>
          </cell>
          <cell r="R122">
            <v>3451.6686484513293</v>
          </cell>
          <cell r="S122">
            <v>1074.0643162897602</v>
          </cell>
          <cell r="T122">
            <v>0.48614174132266724</v>
          </cell>
          <cell r="U122">
            <v>17463.678786119261</v>
          </cell>
        </row>
        <row r="123">
          <cell r="B123" t="str">
            <v>FQ(3)</v>
          </cell>
          <cell r="C123">
            <v>1368</v>
          </cell>
          <cell r="D123">
            <v>1574</v>
          </cell>
          <cell r="E123">
            <v>1980</v>
          </cell>
          <cell r="F123">
            <v>599</v>
          </cell>
          <cell r="G123">
            <v>238.40799999999996</v>
          </cell>
          <cell r="H123">
            <v>422.88999999999987</v>
          </cell>
          <cell r="I123">
            <v>1080.8780000000002</v>
          </cell>
          <cell r="J123">
            <v>0.3337732364602749</v>
          </cell>
          <cell r="K123">
            <v>7263.1760000000013</v>
          </cell>
          <cell r="M123">
            <v>381.45200000000006</v>
          </cell>
          <cell r="N123">
            <v>150.29000000000002</v>
          </cell>
          <cell r="O123">
            <v>220.93900000000002</v>
          </cell>
          <cell r="P123">
            <v>525.06299999999999</v>
          </cell>
          <cell r="Q123">
            <v>1239</v>
          </cell>
          <cell r="R123">
            <v>548.35599999999999</v>
          </cell>
          <cell r="S123">
            <v>143.30499999999998</v>
          </cell>
          <cell r="T123">
            <v>0.47718374728426216</v>
          </cell>
          <cell r="U123">
            <v>3208.4050000000002</v>
          </cell>
        </row>
        <row r="124">
          <cell r="B124" t="str">
            <v>FQ(2)</v>
          </cell>
          <cell r="C124">
            <v>1520</v>
          </cell>
          <cell r="D124">
            <v>1520</v>
          </cell>
          <cell r="E124">
            <v>2143</v>
          </cell>
          <cell r="F124">
            <v>727</v>
          </cell>
          <cell r="G124">
            <v>168.17600000000004</v>
          </cell>
          <cell r="H124">
            <v>457.5</v>
          </cell>
          <cell r="I124">
            <v>1213.2260000000001</v>
          </cell>
          <cell r="J124">
            <v>0.34123040841955765</v>
          </cell>
          <cell r="K124">
            <v>7748.902</v>
          </cell>
          <cell r="M124">
            <v>424.51499999999999</v>
          </cell>
          <cell r="N124">
            <v>165.69200000000001</v>
          </cell>
          <cell r="O124">
            <v>248.83300000000003</v>
          </cell>
          <cell r="P124">
            <v>547.31799999999998</v>
          </cell>
          <cell r="Q124">
            <v>1288</v>
          </cell>
          <cell r="R124">
            <v>668.00900000000001</v>
          </cell>
          <cell r="S124">
            <v>187.09099999999995</v>
          </cell>
          <cell r="T124">
            <v>0.47674238848644357</v>
          </cell>
          <cell r="U124">
            <v>3529.4580000000001</v>
          </cell>
        </row>
        <row r="125">
          <cell r="B125" t="str">
            <v>FQ(1)</v>
          </cell>
          <cell r="C125">
            <v>1539</v>
          </cell>
          <cell r="D125">
            <v>1695.9999999999995</v>
          </cell>
          <cell r="E125">
            <v>2121</v>
          </cell>
          <cell r="F125">
            <v>658</v>
          </cell>
          <cell r="G125">
            <v>254.63499999999999</v>
          </cell>
          <cell r="H125">
            <v>459.28699999999981</v>
          </cell>
          <cell r="I125">
            <v>1442.7669999999998</v>
          </cell>
          <cell r="J125">
            <v>0.34162562690306364</v>
          </cell>
          <cell r="K125">
            <v>8170.6890000000003</v>
          </cell>
          <cell r="M125">
            <v>483.08699999999999</v>
          </cell>
          <cell r="N125">
            <v>222.91699999999997</v>
          </cell>
          <cell r="O125">
            <v>300.12799999999999</v>
          </cell>
          <cell r="P125">
            <v>550.178</v>
          </cell>
          <cell r="Q125">
            <v>1524</v>
          </cell>
          <cell r="R125">
            <v>562.74800000000005</v>
          </cell>
          <cell r="S125">
            <v>210.08799999999997</v>
          </cell>
          <cell r="T125">
            <v>0.47485611668511796</v>
          </cell>
          <cell r="U125">
            <v>3853.1459999999997</v>
          </cell>
        </row>
        <row r="126">
          <cell r="B126" t="str">
            <v>Last Reported Q</v>
          </cell>
          <cell r="C126">
            <v>6497</v>
          </cell>
          <cell r="D126">
            <v>6910</v>
          </cell>
          <cell r="E126">
            <v>9516</v>
          </cell>
          <cell r="F126">
            <v>2930</v>
          </cell>
          <cell r="G126">
            <v>957.61300000000006</v>
          </cell>
          <cell r="H126">
            <v>1856.9349999999995</v>
          </cell>
          <cell r="I126">
            <v>5320.0149999999994</v>
          </cell>
          <cell r="J126">
            <v>0.32606283340050934</v>
          </cell>
          <cell r="K126">
            <v>33987.563000000002</v>
          </cell>
          <cell r="M126">
            <v>1883.596</v>
          </cell>
          <cell r="N126">
            <v>849.54700000000003</v>
          </cell>
          <cell r="O126">
            <v>1158.087</v>
          </cell>
          <cell r="P126">
            <v>770.93900000000008</v>
          </cell>
          <cell r="Q126">
            <v>5724</v>
          </cell>
          <cell r="R126">
            <v>3028.0910000000003</v>
          </cell>
          <cell r="S126">
            <v>786.14499999999998</v>
          </cell>
          <cell r="T126">
            <v>0.46031035398215553</v>
          </cell>
          <cell r="U126">
            <v>14200.405000000001</v>
          </cell>
        </row>
        <row r="127">
          <cell r="B127" t="str">
            <v>LTM</v>
          </cell>
          <cell r="C127">
            <v>10924</v>
          </cell>
          <cell r="D127">
            <v>11700</v>
          </cell>
          <cell r="E127">
            <v>15760</v>
          </cell>
          <cell r="F127">
            <v>4914</v>
          </cell>
          <cell r="G127">
            <v>1618.8320000000001</v>
          </cell>
          <cell r="H127">
            <v>3196.6119999999992</v>
          </cell>
          <cell r="I127">
            <v>9056.8859999999986</v>
          </cell>
          <cell r="J127">
            <v>0.34253549494913577</v>
          </cell>
          <cell r="K127">
            <v>57170.33</v>
          </cell>
          <cell r="M127">
            <v>3172.65</v>
          </cell>
          <cell r="N127">
            <v>1388.4459999999999</v>
          </cell>
          <cell r="O127">
            <v>1927.9870000000001</v>
          </cell>
          <cell r="P127">
            <v>2393.4979999999996</v>
          </cell>
          <cell r="Q127">
            <v>9775</v>
          </cell>
          <cell r="R127">
            <v>4807.2040000000006</v>
          </cell>
          <cell r="S127">
            <v>1326.6289999999999</v>
          </cell>
          <cell r="T127">
            <v>0.4681344617109402</v>
          </cell>
          <cell r="U127">
            <v>24791.414000000001</v>
          </cell>
        </row>
        <row r="128">
          <cell r="B128" t="str">
            <v>FY2</v>
          </cell>
          <cell r="C128">
            <v>0.37793932721135309</v>
          </cell>
          <cell r="D128">
            <v>0.40387478302889063</v>
          </cell>
          <cell r="E128">
            <v>0.40891438601937197</v>
          </cell>
          <cell r="F128">
            <v>0.3516713781024392</v>
          </cell>
          <cell r="G128">
            <v>0.37153492972519664</v>
          </cell>
          <cell r="H128">
            <v>0.2519609544743126</v>
          </cell>
          <cell r="I128">
            <v>0.26027414700690904</v>
          </cell>
          <cell r="J128">
            <v>0.34659570079549618</v>
          </cell>
          <cell r="K128">
            <v>0.35233383234608834</v>
          </cell>
          <cell r="M128">
            <v>0.65560315511496348</v>
          </cell>
          <cell r="N128">
            <v>0.36839869294545086</v>
          </cell>
          <cell r="O128">
            <v>0.39712283400869647</v>
          </cell>
          <cell r="P128">
            <v>0.72327915689366484</v>
          </cell>
          <cell r="Q128">
            <v>0.40697041666330491</v>
          </cell>
          <cell r="R128">
            <v>0.35628857516161133</v>
          </cell>
          <cell r="S128">
            <v>0.40473278102974558</v>
          </cell>
          <cell r="T128">
            <v>0.47319937311677679</v>
          </cell>
          <cell r="U128">
            <v>0.44531795350216397</v>
          </cell>
        </row>
        <row r="129">
          <cell r="B129" t="str">
            <v>Gross Margin</v>
          </cell>
          <cell r="C129">
            <v>0.34804202483285579</v>
          </cell>
          <cell r="D129">
            <v>0.34657460701020493</v>
          </cell>
          <cell r="E129">
            <v>0.39349634484497104</v>
          </cell>
          <cell r="F129">
            <v>0.31986093003042154</v>
          </cell>
          <cell r="G129">
            <v>0.20794369872113266</v>
          </cell>
          <cell r="H129">
            <v>0.23802730158144345</v>
          </cell>
          <cell r="I129">
            <v>0.22663705094307168</v>
          </cell>
          <cell r="J129">
            <v>0.29722599399487154</v>
          </cell>
          <cell r="K129">
            <v>0.32495497751431268</v>
          </cell>
          <cell r="M129">
            <v>0.6439308385648651</v>
          </cell>
          <cell r="N129">
            <v>0.35291449341103193</v>
          </cell>
          <cell r="O129">
            <v>0.34406978028044605</v>
          </cell>
          <cell r="P129">
            <v>0.74175613165738463</v>
          </cell>
          <cell r="Q129">
            <v>0.34027437530622245</v>
          </cell>
          <cell r="R129">
            <v>0.3425693941564012</v>
          </cell>
          <cell r="S129">
            <v>0.34028633398808844</v>
          </cell>
          <cell r="T129">
            <v>0.44368590676634856</v>
          </cell>
          <cell r="U129">
            <v>1.0309375029018297E-2</v>
          </cell>
        </row>
        <row r="130">
          <cell r="B130" t="str">
            <v>FY(5)</v>
          </cell>
          <cell r="C130">
            <v>0.35157511943729869</v>
          </cell>
          <cell r="D130">
            <v>0.37433687002652521</v>
          </cell>
          <cell r="E130">
            <v>0.40758113590263689</v>
          </cell>
          <cell r="F130">
            <v>0.36066134439275915</v>
          </cell>
          <cell r="G130">
            <v>0.39237044615838867</v>
          </cell>
          <cell r="H130">
            <v>0.22485571899933726</v>
          </cell>
          <cell r="I130">
            <v>0.23912737219065458</v>
          </cell>
          <cell r="J130">
            <v>0.33578685815822862</v>
          </cell>
          <cell r="K130">
            <v>0.34164338087983182</v>
          </cell>
          <cell r="M130">
            <v>0.66356083896432605</v>
          </cell>
          <cell r="N130">
            <v>0.33665521690250688</v>
          </cell>
          <cell r="O130">
            <v>0.46661113594696269</v>
          </cell>
          <cell r="P130">
            <v>0.75062406665094716</v>
          </cell>
          <cell r="Q130">
            <v>0.39226655191491977</v>
          </cell>
          <cell r="R130">
            <v>0.3672363331488156</v>
          </cell>
          <cell r="S130">
            <v>0.40924192086982786</v>
          </cell>
          <cell r="T130">
            <v>0.48374229491404369</v>
          </cell>
          <cell r="U130">
            <v>0.41889143117735578</v>
          </cell>
        </row>
        <row r="131">
          <cell r="B131" t="str">
            <v>FY(4)</v>
          </cell>
          <cell r="C131">
            <v>0.35521033860112522</v>
          </cell>
          <cell r="D131">
            <v>0.3828337149246579</v>
          </cell>
          <cell r="E131">
            <v>0.4072353729343457</v>
          </cell>
          <cell r="F131">
            <v>0.36705055232607825</v>
          </cell>
          <cell r="G131">
            <v>0.36838636693297744</v>
          </cell>
          <cell r="H131">
            <v>0.22078245953473774</v>
          </cell>
          <cell r="I131">
            <v>0.23491384996800246</v>
          </cell>
          <cell r="J131">
            <v>0.3337732364602749</v>
          </cell>
          <cell r="K131">
            <v>0.34622626093456549</v>
          </cell>
          <cell r="M131">
            <v>0.66982483696775197</v>
          </cell>
          <cell r="N131">
            <v>0.30097222810369439</v>
          </cell>
          <cell r="O131">
            <v>0.46338441369841538</v>
          </cell>
          <cell r="P131">
            <v>0.76742019151131191</v>
          </cell>
          <cell r="Q131">
            <v>0.36634837421207017</v>
          </cell>
          <cell r="R131">
            <v>0.35680728062464451</v>
          </cell>
          <cell r="S131">
            <v>0.41077110576161496</v>
          </cell>
          <cell r="T131">
            <v>0.47650406155421482</v>
          </cell>
          <cell r="U131">
            <v>0.41257133728970818</v>
          </cell>
        </row>
        <row r="132">
          <cell r="B132" t="str">
            <v>FY(3)</v>
          </cell>
          <cell r="C132">
            <v>0.3636492487376406</v>
          </cell>
          <cell r="D132">
            <v>0.39235117686260546</v>
          </cell>
          <cell r="E132">
            <v>0.40604375231738971</v>
          </cell>
          <cell r="F132">
            <v>0.37458966546886718</v>
          </cell>
          <cell r="G132">
            <v>0.38629518405253327</v>
          </cell>
          <cell r="H132">
            <v>0.2248897258810709</v>
          </cell>
          <cell r="I132">
            <v>0.24079410561679623</v>
          </cell>
          <cell r="J132">
            <v>0.34123040841955765</v>
          </cell>
          <cell r="K132">
            <v>0.35295851028933234</v>
          </cell>
          <cell r="M132">
            <v>0.67008193227159563</v>
          </cell>
          <cell r="N132">
            <v>0.31702127358463866</v>
          </cell>
          <cell r="O132">
            <v>0.47968246595255026</v>
          </cell>
          <cell r="P132">
            <v>0.77715250839458938</v>
          </cell>
          <cell r="Q132">
            <v>0.35527224769201782</v>
          </cell>
          <cell r="R132">
            <v>0.37612621984111183</v>
          </cell>
          <cell r="S132">
            <v>0.36900034865197429</v>
          </cell>
          <cell r="T132">
            <v>0.47776242805549679</v>
          </cell>
          <cell r="U132">
            <v>0.42021726118309527</v>
          </cell>
        </row>
        <row r="133">
          <cell r="B133" t="str">
            <v>FY(2)</v>
          </cell>
          <cell r="C133">
            <v>0.36507281302925271</v>
          </cell>
          <cell r="D133">
            <v>0.38593358921258974</v>
          </cell>
          <cell r="E133">
            <v>0.40421084634971305</v>
          </cell>
          <cell r="F133">
            <v>0.37400380207376371</v>
          </cell>
          <cell r="G133">
            <v>0.39013022290713839</v>
          </cell>
          <cell r="H133">
            <v>0.22710357389829852</v>
          </cell>
          <cell r="I133">
            <v>0.24492454085068946</v>
          </cell>
          <cell r="J133">
            <v>0.34162562690306364</v>
          </cell>
          <cell r="K133">
            <v>0.35070941460660748</v>
          </cell>
          <cell r="M133">
            <v>0.67253982532430046</v>
          </cell>
          <cell r="N133">
            <v>0.34456092567946972</v>
          </cell>
          <cell r="O133">
            <v>0.46577507045678512</v>
          </cell>
          <cell r="P133">
            <v>0.77436175001607688</v>
          </cell>
          <cell r="Q133">
            <v>0.36122565501490833</v>
          </cell>
          <cell r="R133">
            <v>0.34339067881529911</v>
          </cell>
          <cell r="S133">
            <v>0.38254481589468625</v>
          </cell>
          <cell r="T133">
            <v>0.47777124588593223</v>
          </cell>
          <cell r="U133">
            <v>0.42325931546298057</v>
          </cell>
        </row>
        <row r="134">
          <cell r="B134" t="str">
            <v>FY(1)</v>
          </cell>
          <cell r="C134">
            <v>0.36947488849160109</v>
          </cell>
          <cell r="D134">
            <v>0.37411138446832803</v>
          </cell>
          <cell r="E134">
            <v>0.39703519202956772</v>
          </cell>
          <cell r="F134">
            <v>0.34513532746351461</v>
          </cell>
          <cell r="G134">
            <v>0.32085279404442962</v>
          </cell>
          <cell r="H134">
            <v>0.23582026225463254</v>
          </cell>
          <cell r="I134">
            <v>0.24092296088766529</v>
          </cell>
          <cell r="J134">
            <v>0.32619325851996273</v>
          </cell>
          <cell r="K134">
            <v>0.33958242581420323</v>
          </cell>
          <cell r="M134">
            <v>0.66907487449258152</v>
          </cell>
          <cell r="N134">
            <v>0.34694841930469456</v>
          </cell>
          <cell r="O134">
            <v>0.3928146152808954</v>
          </cell>
          <cell r="P134">
            <v>0.75677047948019927</v>
          </cell>
          <cell r="Q134">
            <v>0.37498278948093072</v>
          </cell>
          <cell r="R134">
            <v>0.33246659377546589</v>
          </cell>
          <cell r="S134">
            <v>0.38889730723235022</v>
          </cell>
          <cell r="T134">
            <v>0.46599358272101676</v>
          </cell>
          <cell r="U134">
            <v>0.42588652884466527</v>
          </cell>
        </row>
        <row r="135">
          <cell r="B135" t="str">
            <v>FY0</v>
          </cell>
          <cell r="C135">
            <v>0.37823834196891193</v>
          </cell>
          <cell r="D135">
            <v>0.39356446279921992</v>
          </cell>
          <cell r="E135">
            <v>0.4051258035676274</v>
          </cell>
          <cell r="F135">
            <v>0.3548074594332768</v>
          </cell>
          <cell r="G135">
            <v>0.36470630800811971</v>
          </cell>
          <cell r="H135">
            <v>0.25847437986596439</v>
          </cell>
          <cell r="I135">
            <v>0.26221897549166412</v>
          </cell>
          <cell r="J135">
            <v>0.34530510444782631</v>
          </cell>
          <cell r="K135">
            <v>0.3519115449085542</v>
          </cell>
          <cell r="M135">
            <v>0.6431673566946946</v>
          </cell>
          <cell r="N135">
            <v>0.38094484340423435</v>
          </cell>
          <cell r="O135">
            <v>0.38724779790259878</v>
          </cell>
          <cell r="P135">
            <v>0.71897013064360948</v>
          </cell>
          <cell r="Q135">
            <v>0.40318377121927168</v>
          </cell>
          <cell r="R135">
            <v>0.35077650699768259</v>
          </cell>
          <cell r="S135">
            <v>0.40568630132391376</v>
          </cell>
          <cell r="T135">
            <v>0.46999667259800076</v>
          </cell>
          <cell r="U135">
            <v>0.43577694287156998</v>
          </cell>
        </row>
        <row r="136">
          <cell r="A136" t="str">
            <v>Gross Margin Y/Y bps</v>
          </cell>
          <cell r="B136" t="str">
            <v>FY1</v>
          </cell>
          <cell r="C136">
            <v>0.38389063407855639</v>
          </cell>
          <cell r="D136">
            <v>0.39605323146481297</v>
          </cell>
          <cell r="E136">
            <v>0.40740177504153008</v>
          </cell>
          <cell r="F136">
            <v>0.36371218664159571</v>
          </cell>
          <cell r="G136">
            <v>0.38074593530189327</v>
          </cell>
          <cell r="H136">
            <v>0.26466022730826666</v>
          </cell>
          <cell r="I136">
            <v>0.26683303831625033</v>
          </cell>
          <cell r="J136">
            <v>0.351899575450415</v>
          </cell>
          <cell r="K136">
            <v>0.35549103872088045</v>
          </cell>
          <cell r="M136">
            <v>0.64275377929795485</v>
          </cell>
          <cell r="N136">
            <v>0.38266153944036096</v>
          </cell>
          <cell r="O136">
            <v>0.42389290445183864</v>
          </cell>
          <cell r="P136">
            <v>0.72371114291347305</v>
          </cell>
          <cell r="Q136">
            <v>0.40988133878454813</v>
          </cell>
          <cell r="R136">
            <v>0.36009474193507907</v>
          </cell>
          <cell r="S136">
            <v>0.41328451675268396</v>
          </cell>
          <cell r="T136">
            <v>0.47946856622513412</v>
          </cell>
          <cell r="U136">
            <v>0.44608631790058828</v>
          </cell>
        </row>
        <row r="137">
          <cell r="B137" t="str">
            <v>FY2</v>
          </cell>
          <cell r="C137">
            <v>0.38689063407855973</v>
          </cell>
          <cell r="D137">
            <v>0.39805323146481542</v>
          </cell>
          <cell r="E137">
            <v>0.40840177504152941</v>
          </cell>
          <cell r="F137">
            <v>0.36471218664159616</v>
          </cell>
          <cell r="G137">
            <v>0.39301536046301189</v>
          </cell>
          <cell r="H137">
            <v>0.26466022730826688</v>
          </cell>
          <cell r="I137">
            <v>0.26533303831625055</v>
          </cell>
          <cell r="J137">
            <v>0.35443806475914713</v>
          </cell>
          <cell r="K137">
            <v>0.35594708840548112</v>
          </cell>
          <cell r="M137">
            <v>0.65060178234357102</v>
          </cell>
          <cell r="N137">
            <v>0.37125288326098349</v>
          </cell>
          <cell r="O137">
            <v>0.43137881486428442</v>
          </cell>
          <cell r="P137">
            <v>0.72371114291347427</v>
          </cell>
          <cell r="Q137">
            <v>0.41288133878454431</v>
          </cell>
          <cell r="R137">
            <v>0.36509474193507874</v>
          </cell>
          <cell r="S137">
            <v>0.41628451675268513</v>
          </cell>
          <cell r="T137">
            <v>0.48160074583637452</v>
          </cell>
          <cell r="U137">
            <v>0.45086886973497936</v>
          </cell>
        </row>
        <row r="138">
          <cell r="B138" t="str">
            <v>FQ(3)</v>
          </cell>
          <cell r="C138">
            <v>0.3760307861462342</v>
          </cell>
          <cell r="D138">
            <v>0.4052069222711514</v>
          </cell>
          <cell r="E138">
            <v>0.38084246970571262</v>
          </cell>
          <cell r="F138">
            <v>0.35111371629542792</v>
          </cell>
          <cell r="G138">
            <v>0.38374544880936662</v>
          </cell>
          <cell r="H138">
            <v>0.24999423622265082</v>
          </cell>
          <cell r="I138">
            <v>0.24823665479773208</v>
          </cell>
          <cell r="J138">
            <v>0.34216717632118215</v>
          </cell>
          <cell r="K138">
            <v>0.34431570764330982</v>
          </cell>
          <cell r="M138">
            <v>0.63392656827242833</v>
          </cell>
          <cell r="N138">
            <v>0.36833617630335475</v>
          </cell>
          <cell r="O138">
            <v>0.36101143790849677</v>
          </cell>
          <cell r="P138">
            <v>0.7096030889032745</v>
          </cell>
          <cell r="Q138">
            <v>0.39622641509433965</v>
          </cell>
          <cell r="R138">
            <v>0.31784386724838382</v>
          </cell>
          <cell r="S138">
            <v>0.37241811245439138</v>
          </cell>
          <cell r="T138">
            <v>0.45133795231209556</v>
          </cell>
          <cell r="U138">
            <v>0.42222938716692604</v>
          </cell>
        </row>
        <row r="139">
          <cell r="B139" t="str">
            <v>FQ(2)</v>
          </cell>
          <cell r="C139">
            <v>0.39936941671045717</v>
          </cell>
          <cell r="D139">
            <v>0.3855274790180136</v>
          </cell>
          <cell r="E139">
            <v>0.41498838109992253</v>
          </cell>
          <cell r="F139">
            <v>0.33892773892773892</v>
          </cell>
          <cell r="G139">
            <v>0.29940750868797361</v>
          </cell>
          <cell r="H139">
            <v>0.25867391594426442</v>
          </cell>
          <cell r="I139">
            <v>0.25554899307597556</v>
          </cell>
          <cell r="J139">
            <v>0.33606334763776363</v>
          </cell>
          <cell r="K139">
            <v>0.35006656376812012</v>
          </cell>
          <cell r="M139">
            <v>0.66619744170389861</v>
          </cell>
          <cell r="N139">
            <v>0.36574985651847602</v>
          </cell>
          <cell r="O139">
            <v>0.37839798295610072</v>
          </cell>
          <cell r="P139">
            <v>0.70372513320578489</v>
          </cell>
          <cell r="Q139">
            <v>0.39691833590138675</v>
          </cell>
          <cell r="R139">
            <v>0.32323902429582746</v>
          </cell>
          <cell r="S139">
            <v>0.40793805846157866</v>
          </cell>
          <cell r="T139">
            <v>0.46316654757757902</v>
          </cell>
          <cell r="U139">
            <v>0.4254503203240862</v>
          </cell>
        </row>
        <row r="140">
          <cell r="A140" t="str">
            <v>mstag:sellingGeneralAndAdministrativeExpenses</v>
          </cell>
          <cell r="B140" t="str">
            <v>FQ(1)</v>
          </cell>
          <cell r="C140">
            <v>0.37990619600098741</v>
          </cell>
          <cell r="D140">
            <v>0.40570336732064843</v>
          </cell>
          <cell r="E140">
            <v>0.40193291642978968</v>
          </cell>
          <cell r="F140">
            <v>0.35224839400428265</v>
          </cell>
          <cell r="G140">
            <v>0.40326463256650735</v>
          </cell>
          <cell r="H140">
            <v>0.26333164959902844</v>
          </cell>
          <cell r="I140">
            <v>0.27507756991206389</v>
          </cell>
          <cell r="J140">
            <v>0.35449496083332965</v>
          </cell>
          <cell r="K140">
            <v>0.35529503164850834</v>
          </cell>
          <cell r="M140">
            <v>0.64096756730937632</v>
          </cell>
          <cell r="N140">
            <v>0.39257147284965077</v>
          </cell>
          <cell r="O140">
            <v>0.40072527044095696</v>
          </cell>
          <cell r="P140">
            <v>0.72255222690780718</v>
          </cell>
          <cell r="Q140">
            <v>0.42463081638339373</v>
          </cell>
          <cell r="R140">
            <v>0.31663271515417157</v>
          </cell>
          <cell r="S140">
            <v>0.41527574619490015</v>
          </cell>
          <cell r="T140">
            <v>0.47333654503432243</v>
          </cell>
          <cell r="U140">
            <v>0.44268119068571099</v>
          </cell>
        </row>
        <row r="141">
          <cell r="B141" t="str">
            <v>Last Reported Q</v>
          </cell>
          <cell r="C141">
            <v>0.37823834196891193</v>
          </cell>
          <cell r="D141">
            <v>0.39356446279921992</v>
          </cell>
          <cell r="E141">
            <v>0.4051258035676274</v>
          </cell>
          <cell r="F141">
            <v>0.3548074594332768</v>
          </cell>
          <cell r="G141">
            <v>0.36470630800811971</v>
          </cell>
          <cell r="H141">
            <v>0.25847437986596439</v>
          </cell>
          <cell r="I141">
            <v>0.26221897549166412</v>
          </cell>
          <cell r="J141">
            <v>0.34530510444782631</v>
          </cell>
          <cell r="K141">
            <v>0.3519115449085542</v>
          </cell>
          <cell r="M141">
            <v>0.6431673566946946</v>
          </cell>
          <cell r="N141">
            <v>0.38094484340423435</v>
          </cell>
          <cell r="O141">
            <v>0.38724779790259878</v>
          </cell>
          <cell r="P141">
            <v>0.72388298646485227</v>
          </cell>
          <cell r="Q141">
            <v>0.40318377121927168</v>
          </cell>
          <cell r="R141">
            <v>0.35077650699768259</v>
          </cell>
          <cell r="S141">
            <v>0.40568630132391376</v>
          </cell>
          <cell r="T141">
            <v>0.47069850914389255</v>
          </cell>
          <cell r="U141">
            <v>0.41788457294937564</v>
          </cell>
        </row>
        <row r="142">
          <cell r="B142" t="str">
            <v>LTM</v>
          </cell>
          <cell r="C142">
            <v>0.38099888392857145</v>
          </cell>
          <cell r="D142">
            <v>0.39573875190944169</v>
          </cell>
          <cell r="E142">
            <v>0.40277032380076161</v>
          </cell>
          <cell r="F142">
            <v>0.35157759175788794</v>
          </cell>
          <cell r="G142">
            <v>0.36459309755217562</v>
          </cell>
          <cell r="H142">
            <v>0.25802878084482106</v>
          </cell>
          <cell r="I142">
            <v>0.26149412062465338</v>
          </cell>
          <cell r="J142">
            <v>0.34502879291690175</v>
          </cell>
          <cell r="K142">
            <v>0.35115444861434991</v>
          </cell>
          <cell r="M142">
            <v>0.64468259036965947</v>
          </cell>
          <cell r="N142">
            <v>0.37946185651930436</v>
          </cell>
          <cell r="O142">
            <v>0.38489565823590433</v>
          </cell>
          <cell r="P142">
            <v>0.71573221694763189</v>
          </cell>
          <cell r="Q142">
            <v>0.4046278665452438</v>
          </cell>
          <cell r="R142">
            <v>0.33849561245354687</v>
          </cell>
          <cell r="S142">
            <v>0.40358190121068876</v>
          </cell>
          <cell r="T142">
            <v>0.46735395746885416</v>
          </cell>
          <cell r="U142">
            <v>0.42320396566101393</v>
          </cell>
        </row>
        <row r="143">
          <cell r="B143" t="str">
            <v>FY0</v>
          </cell>
          <cell r="C143">
            <v>3936.0219999999999</v>
          </cell>
          <cell r="D143">
            <v>5805</v>
          </cell>
          <cell r="E143">
            <v>8458</v>
          </cell>
          <cell r="F143">
            <v>2387.9659999999999</v>
          </cell>
          <cell r="G143">
            <v>763.44408199055204</v>
          </cell>
          <cell r="H143">
            <v>1038.6748406189799</v>
          </cell>
          <cell r="I143">
            <v>3142.6860000000001</v>
          </cell>
          <cell r="J143">
            <v>3647.3989889442191</v>
          </cell>
          <cell r="K143">
            <v>25531.792922609533</v>
          </cell>
          <cell r="M143">
            <v>1899.1166546239299</v>
          </cell>
          <cell r="N143">
            <v>405.88299999999998</v>
          </cell>
          <cell r="O143">
            <v>734.04100000000005</v>
          </cell>
          <cell r="P143">
            <v>1322.3320000000001</v>
          </cell>
          <cell r="Q143">
            <v>3899</v>
          </cell>
          <cell r="R143">
            <v>2288.8490000000002</v>
          </cell>
          <cell r="S143">
            <v>414.04300000000001</v>
          </cell>
          <cell r="T143">
            <v>1566.1806649462758</v>
          </cell>
          <cell r="U143">
            <v>10963.26465462393</v>
          </cell>
        </row>
        <row r="144">
          <cell r="B144" t="str">
            <v>Gross Margin Y/Y bps</v>
          </cell>
          <cell r="C144">
            <v>4113.7056954443497</v>
          </cell>
          <cell r="D144">
            <v>6287.7702622184797</v>
          </cell>
          <cell r="E144">
            <v>8138.20603779462</v>
          </cell>
          <cell r="F144">
            <v>2407.8401552619498</v>
          </cell>
          <cell r="G144">
            <v>662.84608804704499</v>
          </cell>
          <cell r="H144">
            <v>1126.7119614783401</v>
          </cell>
          <cell r="I144">
            <v>3237.4964959774902</v>
          </cell>
          <cell r="J144">
            <v>3710.6538137460398</v>
          </cell>
          <cell r="K144">
            <v>25974.576696222277</v>
          </cell>
          <cell r="M144">
            <v>1786.39824222727</v>
          </cell>
          <cell r="N144">
            <v>463.14226890431502</v>
          </cell>
          <cell r="O144">
            <v>740.46848990890896</v>
          </cell>
          <cell r="P144">
            <v>1438.1228808739399</v>
          </cell>
          <cell r="Q144">
            <v>3932.69367470526</v>
          </cell>
          <cell r="R144">
            <v>2141.0715781598301</v>
          </cell>
          <cell r="S144">
            <v>446.30350135266099</v>
          </cell>
          <cell r="T144">
            <v>1564.0286623045977</v>
          </cell>
          <cell r="U144">
            <v>10948.200636132184</v>
          </cell>
        </row>
        <row r="145">
          <cell r="B145" t="str">
            <v>FY(1)</v>
          </cell>
          <cell r="C145">
            <v>44.020754623483867</v>
          </cell>
          <cell r="D145">
            <v>-118.22204744261711</v>
          </cell>
          <cell r="E145">
            <v>-71.756543201453297</v>
          </cell>
          <cell r="F145">
            <v>-288.68474610249109</v>
          </cell>
          <cell r="G145">
            <v>-692.77428862708769</v>
          </cell>
          <cell r="H145">
            <v>87.166883563340178</v>
          </cell>
          <cell r="I145">
            <v>-40.015799630241652</v>
          </cell>
          <cell r="J145">
            <v>-154.32368383100953</v>
          </cell>
          <cell r="K145">
            <v>-111.26988792404258</v>
          </cell>
          <cell r="M145">
            <v>-34.64950831718938</v>
          </cell>
          <cell r="N145">
            <v>23.874936252248347</v>
          </cell>
          <cell r="O145">
            <v>-729.60455175889729</v>
          </cell>
          <cell r="P145">
            <v>-175.91270535877612</v>
          </cell>
          <cell r="Q145">
            <v>137.57134466022393</v>
          </cell>
          <cell r="R145">
            <v>-109.2408503983322</v>
          </cell>
          <cell r="S145">
            <v>63.524913376639681</v>
          </cell>
          <cell r="T145">
            <v>-117.77663164915472</v>
          </cell>
          <cell r="U145">
            <v>26.27213381684701</v>
          </cell>
        </row>
        <row r="146">
          <cell r="A146" t="str">
            <v>Gross Margin Y/Y bps</v>
          </cell>
          <cell r="B146" t="str">
            <v>FY0</v>
          </cell>
          <cell r="C146">
            <v>87.634534773108342</v>
          </cell>
          <cell r="D146">
            <v>194.53078330891881</v>
          </cell>
          <cell r="E146">
            <v>80.906115380596773</v>
          </cell>
          <cell r="F146">
            <v>96.72131969762188</v>
          </cell>
          <cell r="G146">
            <v>438.53513963690085</v>
          </cell>
          <cell r="H146">
            <v>226.54117611331847</v>
          </cell>
          <cell r="I146">
            <v>212.96014603998825</v>
          </cell>
          <cell r="J146">
            <v>191.11845927863621</v>
          </cell>
          <cell r="K146">
            <v>123.2911909435097</v>
          </cell>
          <cell r="M146">
            <v>-259.07517797886914</v>
          </cell>
          <cell r="N146">
            <v>339.96424099539792</v>
          </cell>
          <cell r="O146">
            <v>-55.668173782966178</v>
          </cell>
          <cell r="P146">
            <v>-378.00348836589779</v>
          </cell>
          <cell r="Q146">
            <v>282.0098173834096</v>
          </cell>
          <cell r="R146">
            <v>183.09913222216701</v>
          </cell>
          <cell r="S146">
            <v>167.88994091563535</v>
          </cell>
          <cell r="T146">
            <v>40.030898769839546</v>
          </cell>
          <cell r="U146">
            <v>98.904140269047147</v>
          </cell>
        </row>
        <row r="147">
          <cell r="B147" t="str">
            <v>FY1</v>
          </cell>
          <cell r="C147">
            <v>56.522921096444634</v>
          </cell>
          <cell r="D147">
            <v>24.887686655930551</v>
          </cell>
          <cell r="E147">
            <v>22.759714739026826</v>
          </cell>
          <cell r="F147">
            <v>89.047272083189185</v>
          </cell>
          <cell r="G147">
            <v>160.39627293773563</v>
          </cell>
          <cell r="H147">
            <v>61.858474423022727</v>
          </cell>
          <cell r="I147">
            <v>46.140628245862068</v>
          </cell>
          <cell r="J147">
            <v>65.94471002588736</v>
          </cell>
          <cell r="K147">
            <v>35.794938123262511</v>
          </cell>
          <cell r="M147">
            <v>-4.1357739673975047</v>
          </cell>
          <cell r="N147">
            <v>17.166960361266192</v>
          </cell>
          <cell r="O147">
            <v>366.45106549239858</v>
          </cell>
          <cell r="P147">
            <v>47.410122698635647</v>
          </cell>
          <cell r="Q147">
            <v>66.975675652764522</v>
          </cell>
          <cell r="R147">
            <v>93.18234937396474</v>
          </cell>
          <cell r="S147">
            <v>75.982154287702059</v>
          </cell>
          <cell r="T147">
            <v>94.718936271333448</v>
          </cell>
          <cell r="U147">
            <v>103.09375029018297</v>
          </cell>
        </row>
        <row r="148">
          <cell r="B148" t="str">
            <v>FY2</v>
          </cell>
          <cell r="C148">
            <v>30.000000000033332</v>
          </cell>
          <cell r="D148">
            <v>20.000000000024443</v>
          </cell>
          <cell r="E148">
            <v>9.9999999999933475</v>
          </cell>
          <cell r="F148">
            <v>10.00000000000445</v>
          </cell>
          <cell r="G148">
            <v>122.69425161118619</v>
          </cell>
          <cell r="H148">
            <v>2.2204460492503131E-12</v>
          </cell>
          <cell r="I148">
            <v>-14.999999999997794</v>
          </cell>
          <cell r="J148">
            <v>25.384893087320886</v>
          </cell>
          <cell r="K148">
            <v>4.5604968460066786</v>
          </cell>
          <cell r="M148">
            <v>78.4800304561617</v>
          </cell>
          <cell r="N148">
            <v>-114.08656179377475</v>
          </cell>
          <cell r="O148">
            <v>74.859104124457843</v>
          </cell>
          <cell r="P148">
            <v>1.2212453270876722E-11</v>
          </cell>
          <cell r="Q148">
            <v>29.999999999961723</v>
          </cell>
          <cell r="R148">
            <v>49.999999999996717</v>
          </cell>
          <cell r="S148">
            <v>30.000000000011685</v>
          </cell>
          <cell r="T148">
            <v>21.321796112403877</v>
          </cell>
          <cell r="U148">
            <v>47.825518343910801</v>
          </cell>
        </row>
        <row r="149">
          <cell r="B149" t="str">
            <v>Last Reported Q</v>
          </cell>
          <cell r="C149">
            <v>1027</v>
          </cell>
          <cell r="D149">
            <v>1586</v>
          </cell>
          <cell r="E149">
            <v>2033</v>
          </cell>
          <cell r="F149">
            <v>581</v>
          </cell>
          <cell r="G149">
            <v>162.55199999999999</v>
          </cell>
          <cell r="H149">
            <v>286.51100000000002</v>
          </cell>
          <cell r="I149">
            <v>864.09699999999998</v>
          </cell>
          <cell r="J149">
            <v>934.30857142857144</v>
          </cell>
          <cell r="K149">
            <v>6540.16</v>
          </cell>
          <cell r="M149">
            <v>448.09300000000002</v>
          </cell>
          <cell r="N149">
            <v>117.236</v>
          </cell>
          <cell r="O149">
            <v>193.26900000000001</v>
          </cell>
          <cell r="P149">
            <v>1322.3320000000001</v>
          </cell>
          <cell r="Q149">
            <v>1024</v>
          </cell>
          <cell r="R149">
            <v>503.863</v>
          </cell>
          <cell r="S149">
            <v>114.327</v>
          </cell>
          <cell r="T149">
            <v>531.87428571428575</v>
          </cell>
          <cell r="U149">
            <v>3723.12</v>
          </cell>
        </row>
        <row r="150">
          <cell r="A150" t="str">
            <v>mstag:sellingGeneralAndAdministrativeExpenses</v>
          </cell>
          <cell r="B150" t="str">
            <v>SG&amp;A</v>
          </cell>
          <cell r="C150">
            <v>4056</v>
          </cell>
          <cell r="D150">
            <v>6115</v>
          </cell>
          <cell r="E150">
            <v>8106</v>
          </cell>
          <cell r="F150">
            <v>2398</v>
          </cell>
          <cell r="G150">
            <v>667.96800000000007</v>
          </cell>
          <cell r="H150">
            <v>1100.011</v>
          </cell>
          <cell r="I150">
            <v>3229.5609999999997</v>
          </cell>
          <cell r="J150">
            <v>3667.5057142857145</v>
          </cell>
          <cell r="K150">
            <v>25672.54</v>
          </cell>
          <cell r="M150">
            <v>1803.8050000000001</v>
          </cell>
          <cell r="N150">
            <v>442.11900000000003</v>
          </cell>
          <cell r="O150">
            <v>733.92599999999993</v>
          </cell>
          <cell r="P150">
            <v>2317.0330000000004</v>
          </cell>
          <cell r="Q150">
            <v>3814</v>
          </cell>
          <cell r="R150">
            <v>2140.2979999999998</v>
          </cell>
          <cell r="S150">
            <v>429.86</v>
          </cell>
          <cell r="T150">
            <v>1668.7201428571429</v>
          </cell>
          <cell r="U150">
            <v>11681.041000000001</v>
          </cell>
        </row>
        <row r="151">
          <cell r="B151" t="str">
            <v>FY(5)</v>
          </cell>
          <cell r="C151">
            <v>2582.971</v>
          </cell>
          <cell r="D151">
            <v>5505</v>
          </cell>
          <cell r="E151">
            <v>4931</v>
          </cell>
          <cell r="F151">
            <v>2020.2329999999999</v>
          </cell>
          <cell r="G151">
            <v>796.57399999999996</v>
          </cell>
          <cell r="H151">
            <v>657.66800000000001</v>
          </cell>
          <cell r="I151">
            <v>2520.8139999999999</v>
          </cell>
          <cell r="J151">
            <v>2716.3228571428567</v>
          </cell>
          <cell r="K151">
            <v>19014.259999999998</v>
          </cell>
          <cell r="M151">
            <v>957.18</v>
          </cell>
          <cell r="N151">
            <v>183.977</v>
          </cell>
          <cell r="O151">
            <v>446.82900000000001</v>
          </cell>
          <cell r="P151">
            <v>578.82000000000005</v>
          </cell>
          <cell r="Q151">
            <v>4296</v>
          </cell>
          <cell r="R151">
            <v>2367.2660000000001</v>
          </cell>
          <cell r="S151">
            <v>190.38399999999999</v>
          </cell>
          <cell r="T151">
            <v>1288.6365714285714</v>
          </cell>
          <cell r="U151">
            <v>9020.4560000000001</v>
          </cell>
        </row>
        <row r="152">
          <cell r="B152" t="str">
            <v>FY(4)</v>
          </cell>
          <cell r="C152">
            <v>2963.5</v>
          </cell>
          <cell r="D152">
            <v>5614</v>
          </cell>
          <cell r="E152">
            <v>6980</v>
          </cell>
          <cell r="F152">
            <v>2100.6660000000002</v>
          </cell>
          <cell r="G152">
            <v>801.57593271205303</v>
          </cell>
          <cell r="H152">
            <v>766.14400000000001</v>
          </cell>
          <cell r="I152">
            <v>2689.3210009596</v>
          </cell>
          <cell r="J152">
            <v>3130.7438476673792</v>
          </cell>
          <cell r="K152">
            <v>21915.206933671656</v>
          </cell>
          <cell r="M152">
            <v>1268.431</v>
          </cell>
          <cell r="N152">
            <v>227.04400000000001</v>
          </cell>
          <cell r="O152">
            <v>542.29499999999996</v>
          </cell>
          <cell r="P152">
            <v>731.89099999999996</v>
          </cell>
          <cell r="Q152">
            <v>4185</v>
          </cell>
          <cell r="R152">
            <v>2493.951</v>
          </cell>
          <cell r="S152">
            <v>242.50700000000001</v>
          </cell>
          <cell r="T152">
            <v>1384.4455714285716</v>
          </cell>
          <cell r="U152">
            <v>9691.1190000000006</v>
          </cell>
        </row>
        <row r="153">
          <cell r="B153" t="str">
            <v>FY(3)</v>
          </cell>
          <cell r="C153">
            <v>3415.4940000000001</v>
          </cell>
          <cell r="D153">
            <v>5937</v>
          </cell>
          <cell r="E153">
            <v>8678</v>
          </cell>
          <cell r="F153">
            <v>2296.8629999999998</v>
          </cell>
          <cell r="G153">
            <v>749.86758829015298</v>
          </cell>
          <cell r="H153">
            <v>863.03300000000002</v>
          </cell>
          <cell r="I153">
            <v>2916.56</v>
          </cell>
          <cell r="J153">
            <v>3550.9739411843075</v>
          </cell>
          <cell r="K153">
            <v>24856.817588290152</v>
          </cell>
          <cell r="M153">
            <v>1512.6610000000001</v>
          </cell>
          <cell r="N153">
            <v>289.73599999999999</v>
          </cell>
          <cell r="O153">
            <v>665.60699999999997</v>
          </cell>
          <cell r="P153">
            <v>866.86556379972797</v>
          </cell>
          <cell r="Q153">
            <v>4477</v>
          </cell>
          <cell r="R153">
            <v>2837.4270000000001</v>
          </cell>
          <cell r="S153">
            <v>287.93200000000002</v>
          </cell>
          <cell r="T153">
            <v>1562.4612233999612</v>
          </cell>
          <cell r="U153">
            <v>10937.228563799728</v>
          </cell>
        </row>
        <row r="154">
          <cell r="B154" t="str">
            <v>FY(2)</v>
          </cell>
          <cell r="C154">
            <v>3696.9</v>
          </cell>
          <cell r="D154">
            <v>5829</v>
          </cell>
          <cell r="E154">
            <v>8554</v>
          </cell>
          <cell r="F154">
            <v>2359.7800000000002</v>
          </cell>
          <cell r="G154">
            <v>807.92702269720496</v>
          </cell>
          <cell r="H154">
            <v>935.90099999999995</v>
          </cell>
          <cell r="I154">
            <v>3033.4039100715199</v>
          </cell>
          <cell r="J154">
            <v>3602.4159903955324</v>
          </cell>
          <cell r="K154">
            <v>25216.911932768726</v>
          </cell>
          <cell r="M154">
            <v>1720.9580000000001</v>
          </cell>
          <cell r="N154">
            <v>345.80500000000001</v>
          </cell>
          <cell r="O154">
            <v>715.18</v>
          </cell>
          <cell r="P154">
            <v>1029.5889999999999</v>
          </cell>
          <cell r="Q154">
            <v>4345</v>
          </cell>
          <cell r="R154">
            <v>2602.4180000000001</v>
          </cell>
          <cell r="S154">
            <v>351.827</v>
          </cell>
          <cell r="T154">
            <v>1587.253857142857</v>
          </cell>
          <cell r="U154">
            <v>11110.776999999998</v>
          </cell>
        </row>
        <row r="155">
          <cell r="B155" t="str">
            <v>FY(1)</v>
          </cell>
          <cell r="C155">
            <v>3936.0219999999999</v>
          </cell>
          <cell r="D155">
            <v>5805</v>
          </cell>
          <cell r="E155">
            <v>8458</v>
          </cell>
          <cell r="F155">
            <v>2387.9659999999999</v>
          </cell>
          <cell r="G155">
            <v>763.44408199055204</v>
          </cell>
          <cell r="H155">
            <v>1038.6748406189799</v>
          </cell>
          <cell r="I155">
            <v>3142.6860000000001</v>
          </cell>
          <cell r="J155">
            <v>3647.3989889442191</v>
          </cell>
          <cell r="K155">
            <v>25531.792922609533</v>
          </cell>
          <cell r="M155">
            <v>1840.15625086369</v>
          </cell>
          <cell r="N155">
            <v>405.88299999999998</v>
          </cell>
          <cell r="O155">
            <v>734.04100000000005</v>
          </cell>
          <cell r="P155">
            <v>1227.874</v>
          </cell>
          <cell r="Q155">
            <v>3899</v>
          </cell>
          <cell r="R155">
            <v>2288.8490000000002</v>
          </cell>
          <cell r="S155">
            <v>414.04300000000001</v>
          </cell>
          <cell r="T155">
            <v>1544.2637501233842</v>
          </cell>
          <cell r="U155">
            <v>10809.846250863689</v>
          </cell>
        </row>
        <row r="156">
          <cell r="B156" t="str">
            <v>FY0</v>
          </cell>
          <cell r="C156">
            <v>4144</v>
          </cell>
          <cell r="D156">
            <v>6242</v>
          </cell>
          <cell r="E156">
            <v>8062</v>
          </cell>
          <cell r="F156">
            <v>2465</v>
          </cell>
          <cell r="G156">
            <v>663.38400000000001</v>
          </cell>
          <cell r="H156">
            <v>1130.8130000000001</v>
          </cell>
          <cell r="I156">
            <v>3328.944</v>
          </cell>
          <cell r="J156">
            <v>3719.4487142857142</v>
          </cell>
          <cell r="K156">
            <v>26036.141</v>
          </cell>
          <cell r="M156">
            <v>1746.019</v>
          </cell>
          <cell r="N156">
            <v>463.56200000000001</v>
          </cell>
          <cell r="O156">
            <v>756.25599999999997</v>
          </cell>
          <cell r="P156">
            <v>1322.3320000000001</v>
          </cell>
          <cell r="Q156">
            <v>3913</v>
          </cell>
          <cell r="R156">
            <v>2166.4029999999998</v>
          </cell>
          <cell r="S156">
            <v>447.161</v>
          </cell>
          <cell r="T156">
            <v>1544.9618571428571</v>
          </cell>
          <cell r="U156">
            <v>10814.733</v>
          </cell>
        </row>
        <row r="157">
          <cell r="B157" t="str">
            <v>FY1</v>
          </cell>
          <cell r="C157">
            <v>4394.4091829754097</v>
          </cell>
          <cell r="D157">
            <v>6246.8233738916697</v>
          </cell>
          <cell r="E157">
            <v>8248.0658741166299</v>
          </cell>
          <cell r="F157">
            <v>2590.3075410872998</v>
          </cell>
          <cell r="G157">
            <v>695.74853440064305</v>
          </cell>
          <cell r="H157">
            <v>1211.18901626811</v>
          </cell>
          <cell r="I157">
            <v>3551.2590335353202</v>
          </cell>
          <cell r="J157">
            <v>3848.2575080392967</v>
          </cell>
          <cell r="K157">
            <v>26937.802556275077</v>
          </cell>
          <cell r="M157">
            <v>1792.8121806045201</v>
          </cell>
          <cell r="N157">
            <v>504.30645509643699</v>
          </cell>
          <cell r="O157">
            <v>728.64913129426805</v>
          </cell>
          <cell r="P157">
            <v>1421.66648658546</v>
          </cell>
          <cell r="Q157">
            <v>3985.1203682867199</v>
          </cell>
          <cell r="R157">
            <v>2225.6272843379302</v>
          </cell>
          <cell r="S157">
            <v>506.13870145797398</v>
          </cell>
          <cell r="T157">
            <v>1594.9029439519013</v>
          </cell>
          <cell r="U157">
            <v>11164.320607663309</v>
          </cell>
        </row>
        <row r="158">
          <cell r="B158" t="str">
            <v>FY2</v>
          </cell>
          <cell r="C158">
            <v>4720.5151538554701</v>
          </cell>
          <cell r="D158">
            <v>6372.0902312446397</v>
          </cell>
          <cell r="E158">
            <v>8292.5927833133792</v>
          </cell>
          <cell r="F158">
            <v>2676.5791025920498</v>
          </cell>
          <cell r="G158">
            <v>736.52206639947497</v>
          </cell>
          <cell r="H158">
            <v>1266.65736703995</v>
          </cell>
          <cell r="I158">
            <v>3773.5321763327702</v>
          </cell>
          <cell r="J158">
            <v>3976.9269829682466</v>
          </cell>
          <cell r="K158">
            <v>27838.488880777728</v>
          </cell>
          <cell r="M158">
            <v>1906.1941041853299</v>
          </cell>
          <cell r="N158">
            <v>594.038263854913</v>
          </cell>
          <cell r="O158">
            <v>789.28825485253299</v>
          </cell>
          <cell r="P158">
            <v>1512.91471930996</v>
          </cell>
          <cell r="Q158">
            <v>3815.9974476101902</v>
          </cell>
          <cell r="R158">
            <v>2291.5018855364201</v>
          </cell>
          <cell r="S158">
            <v>564.28679678784999</v>
          </cell>
          <cell r="T158">
            <v>1639.1744960195995</v>
          </cell>
          <cell r="U158">
            <v>11474.221472137197</v>
          </cell>
        </row>
        <row r="159">
          <cell r="B159" t="str">
            <v>FQ(3)</v>
          </cell>
          <cell r="C159">
            <v>961</v>
          </cell>
          <cell r="D159">
            <v>1474</v>
          </cell>
          <cell r="E159">
            <v>1956</v>
          </cell>
          <cell r="F159">
            <v>539</v>
          </cell>
          <cell r="G159">
            <v>155.434</v>
          </cell>
          <cell r="H159">
            <v>272.02999999999997</v>
          </cell>
          <cell r="I159">
            <v>735.05700000000002</v>
          </cell>
          <cell r="J159">
            <v>870.36014285714282</v>
          </cell>
          <cell r="K159">
            <v>6092.5209999999997</v>
          </cell>
          <cell r="M159">
            <v>416.65499999999997</v>
          </cell>
          <cell r="N159">
            <v>94.146000000000001</v>
          </cell>
          <cell r="O159">
            <v>158.69200000000001</v>
          </cell>
          <cell r="P159">
            <v>326.32100000000003</v>
          </cell>
          <cell r="Q159">
            <v>886</v>
          </cell>
          <cell r="R159">
            <v>483.14400000000001</v>
          </cell>
          <cell r="S159">
            <v>97.185000000000002</v>
          </cell>
          <cell r="T159">
            <v>351.73471428571423</v>
          </cell>
          <cell r="U159">
            <v>2462.1429999999996</v>
          </cell>
        </row>
        <row r="160">
          <cell r="B160" t="str">
            <v>FQ(2)</v>
          </cell>
          <cell r="C160">
            <v>966</v>
          </cell>
          <cell r="D160">
            <v>1460</v>
          </cell>
          <cell r="E160">
            <v>1861</v>
          </cell>
          <cell r="F160">
            <v>608</v>
          </cell>
          <cell r="G160">
            <v>154.941</v>
          </cell>
          <cell r="H160">
            <v>286.15800000000002</v>
          </cell>
          <cell r="I160">
            <v>790.87599999999998</v>
          </cell>
          <cell r="J160">
            <v>875.28214285714296</v>
          </cell>
          <cell r="K160">
            <v>6126.9750000000004</v>
          </cell>
          <cell r="M160">
            <v>418.96199999999999</v>
          </cell>
          <cell r="N160">
            <v>100.682</v>
          </cell>
          <cell r="O160">
            <v>167.17500000000001</v>
          </cell>
          <cell r="P160">
            <v>327.63099999999997</v>
          </cell>
          <cell r="Q160">
            <v>913</v>
          </cell>
          <cell r="R160">
            <v>519.36599999999999</v>
          </cell>
          <cell r="S160">
            <v>108.65</v>
          </cell>
          <cell r="T160">
            <v>365.06657142857142</v>
          </cell>
          <cell r="U160">
            <v>2555.4659999999999</v>
          </cell>
        </row>
        <row r="161">
          <cell r="B161" t="str">
            <v>FQ(1)</v>
          </cell>
          <cell r="C161">
            <v>1027</v>
          </cell>
          <cell r="D161">
            <v>1586</v>
          </cell>
          <cell r="E161">
            <v>2033</v>
          </cell>
          <cell r="F161">
            <v>581</v>
          </cell>
          <cell r="G161">
            <v>162.55199999999999</v>
          </cell>
          <cell r="H161">
            <v>286.51100000000002</v>
          </cell>
          <cell r="I161">
            <v>864.09699999999998</v>
          </cell>
          <cell r="J161">
            <v>934.30857142857144</v>
          </cell>
          <cell r="K161">
            <v>6540.16</v>
          </cell>
          <cell r="M161">
            <v>437.22899999999998</v>
          </cell>
          <cell r="N161">
            <v>117.236</v>
          </cell>
          <cell r="O161">
            <v>193.26900000000001</v>
          </cell>
          <cell r="P161">
            <v>326.93099999999998</v>
          </cell>
          <cell r="Q161">
            <v>1024</v>
          </cell>
          <cell r="R161">
            <v>503.863</v>
          </cell>
          <cell r="S161">
            <v>114.327</v>
          </cell>
          <cell r="T161">
            <v>388.12214285714282</v>
          </cell>
          <cell r="U161">
            <v>2716.8549999999996</v>
          </cell>
        </row>
        <row r="162">
          <cell r="B162" t="str">
            <v>Last Reported Q</v>
          </cell>
          <cell r="C162">
            <v>4144</v>
          </cell>
          <cell r="D162">
            <v>6242</v>
          </cell>
          <cell r="E162">
            <v>8062</v>
          </cell>
          <cell r="F162">
            <v>2465</v>
          </cell>
          <cell r="G162">
            <v>663.38400000000001</v>
          </cell>
          <cell r="H162">
            <v>1130.8130000000001</v>
          </cell>
          <cell r="I162">
            <v>3328.944</v>
          </cell>
          <cell r="J162">
            <v>3719.4487142857142</v>
          </cell>
          <cell r="K162">
            <v>26036.141</v>
          </cell>
          <cell r="M162">
            <v>1746.019</v>
          </cell>
          <cell r="N162">
            <v>463.56200000000001</v>
          </cell>
          <cell r="O162">
            <v>756.25599999999997</v>
          </cell>
          <cell r="P162">
            <v>390.10199999999998</v>
          </cell>
          <cell r="Q162">
            <v>3913</v>
          </cell>
          <cell r="R162">
            <v>2166.4029999999998</v>
          </cell>
          <cell r="S162">
            <v>447.161</v>
          </cell>
          <cell r="T162">
            <v>1411.786142857143</v>
          </cell>
          <cell r="U162">
            <v>9882.5030000000006</v>
          </cell>
        </row>
        <row r="163">
          <cell r="B163" t="str">
            <v>LTM</v>
          </cell>
          <cell r="C163">
            <v>7098</v>
          </cell>
          <cell r="D163">
            <v>10762</v>
          </cell>
          <cell r="E163">
            <v>13912</v>
          </cell>
          <cell r="F163">
            <v>4193</v>
          </cell>
          <cell r="G163">
            <v>1136.3110000000001</v>
          </cell>
          <cell r="H163">
            <v>1975.5120000000002</v>
          </cell>
          <cell r="I163">
            <v>5718.9740000000002</v>
          </cell>
          <cell r="J163">
            <v>6399.399571428572</v>
          </cell>
          <cell r="K163">
            <v>44795.797000000006</v>
          </cell>
          <cell r="M163">
            <v>3018.8649999999998</v>
          </cell>
          <cell r="N163">
            <v>775.62599999999998</v>
          </cell>
          <cell r="O163">
            <v>1275.3919999999998</v>
          </cell>
          <cell r="P163">
            <v>1370.9850000000001</v>
          </cell>
          <cell r="Q163">
            <v>6736</v>
          </cell>
          <cell r="R163">
            <v>3672.7759999999998</v>
          </cell>
          <cell r="S163">
            <v>767.32300000000009</v>
          </cell>
          <cell r="T163">
            <v>2516.7095714285715</v>
          </cell>
          <cell r="U163">
            <v>17616.967000000001</v>
          </cell>
        </row>
        <row r="164">
          <cell r="B164" t="str">
            <v>Expense Ratio Y/Y bps</v>
          </cell>
        </row>
        <row r="165">
          <cell r="B165" t="str">
            <v>Expense Ratio</v>
          </cell>
          <cell r="C165">
            <v>157.51646442021732</v>
          </cell>
          <cell r="D165">
            <v>205.22599143587615</v>
          </cell>
          <cell r="E165">
            <v>147.01424492728543</v>
          </cell>
          <cell r="F165">
            <v>207.07126584412094</v>
          </cell>
          <cell r="G165">
            <v>42.49542357614655</v>
          </cell>
          <cell r="H165">
            <v>35.070234436621604</v>
          </cell>
          <cell r="I165">
            <v>-0.18946280574666519</v>
          </cell>
          <cell r="J165">
            <v>113.45773740493142</v>
          </cell>
          <cell r="K165">
            <v>97.851665616149333</v>
          </cell>
          <cell r="M165">
            <v>610.51345563298059</v>
          </cell>
          <cell r="N165">
            <v>-31.619890153258833</v>
          </cell>
          <cell r="O165">
            <v>115.26462868643839</v>
          </cell>
          <cell r="P165">
            <v>232.99399044565573</v>
          </cell>
          <cell r="Q165">
            <v>-72.302435491419232</v>
          </cell>
          <cell r="R165">
            <v>-48.996741320501137</v>
          </cell>
          <cell r="S165">
            <v>-76.662439658733987</v>
          </cell>
          <cell r="T165">
            <v>104.17008116302362</v>
          </cell>
          <cell r="U165">
            <v>38.080667608011986</v>
          </cell>
        </row>
        <row r="166">
          <cell r="B166" t="str">
            <v>FY(5)</v>
          </cell>
          <cell r="C166">
            <v>0.22075354465972119</v>
          </cell>
          <cell r="D166">
            <v>0.30421087533156499</v>
          </cell>
          <cell r="E166">
            <v>0.31256338742393508</v>
          </cell>
          <cell r="F166">
            <v>0.28328649595809413</v>
          </cell>
          <cell r="G166">
            <v>0.28788602145952064</v>
          </cell>
          <cell r="H166">
            <v>0.15511074318571508</v>
          </cell>
          <cell r="I166">
            <v>0.16902919324747948</v>
          </cell>
          <cell r="J166">
            <v>0.24754860875229007</v>
          </cell>
          <cell r="K166">
            <v>0.25479894602531877</v>
          </cell>
          <cell r="M166">
            <v>0.47355750440073341</v>
          </cell>
          <cell r="N166">
            <v>0.19080554898715221</v>
          </cell>
          <cell r="O166">
            <v>0.2375182127117153</v>
          </cell>
          <cell r="P166">
            <v>0.45493987267153979</v>
          </cell>
          <cell r="Q166">
            <v>0.26409294891498125</v>
          </cell>
          <cell r="R166">
            <v>0.25161431721226934</v>
          </cell>
          <cell r="S166">
            <v>0.23000181214134702</v>
          </cell>
          <cell r="T166">
            <v>0.30036145957710547</v>
          </cell>
          <cell r="U166">
            <v>0.27634449274646161</v>
          </cell>
        </row>
        <row r="167">
          <cell r="B167" t="str">
            <v>FY(4)</v>
          </cell>
          <cell r="C167">
            <v>0.22112041306651145</v>
          </cell>
          <cell r="D167">
            <v>0.2989191203876258</v>
          </cell>
          <cell r="E167">
            <v>0.311746315319339</v>
          </cell>
          <cell r="F167">
            <v>0.27201496074126219</v>
          </cell>
          <cell r="G167">
            <v>0.28850966846380655</v>
          </cell>
          <cell r="H167">
            <v>0.15495879093374249</v>
          </cell>
          <cell r="I167">
            <v>0.16854666633990859</v>
          </cell>
          <cell r="J167">
            <v>0.24511656217888514</v>
          </cell>
          <cell r="K167">
            <v>0.25490426029071767</v>
          </cell>
          <cell r="M167">
            <v>0.45822104470688874</v>
          </cell>
          <cell r="N167">
            <v>0.18852041811869835</v>
          </cell>
          <cell r="O167">
            <v>0.23355033372639172</v>
          </cell>
          <cell r="P167">
            <v>0.44311268847202645</v>
          </cell>
          <cell r="Q167">
            <v>0.26118704362478934</v>
          </cell>
          <cell r="R167">
            <v>0.25791933398831379</v>
          </cell>
          <cell r="S167">
            <v>0.22205424926312167</v>
          </cell>
          <cell r="T167">
            <v>0.29493787312860426</v>
          </cell>
          <cell r="U167">
            <v>0.2790354228686574</v>
          </cell>
        </row>
        <row r="168">
          <cell r="B168" t="str">
            <v>FY(3)</v>
          </cell>
          <cell r="C168">
            <v>0.21914841426546719</v>
          </cell>
          <cell r="D168">
            <v>0.29829542028855022</v>
          </cell>
          <cell r="E168">
            <v>0.32176492398961809</v>
          </cell>
          <cell r="F168">
            <v>0.2683032388246846</v>
          </cell>
          <cell r="G168">
            <v>0.2550567425577977</v>
          </cell>
          <cell r="H168">
            <v>0.15493724653110028</v>
          </cell>
          <cell r="I168">
            <v>0.16757373336772263</v>
          </cell>
          <cell r="J168">
            <v>0.24072567426070579</v>
          </cell>
          <cell r="K168">
            <v>0.25643049645543803</v>
          </cell>
          <cell r="M168">
            <v>0.46059072351786268</v>
          </cell>
          <cell r="N168">
            <v>0.20502006781733473</v>
          </cell>
          <cell r="O168">
            <v>0.23819240490565266</v>
          </cell>
          <cell r="P168">
            <v>0.42596037207277726</v>
          </cell>
          <cell r="Q168">
            <v>0.28116560949569802</v>
          </cell>
          <cell r="R168">
            <v>0.26590943083890284</v>
          </cell>
          <cell r="S168">
            <v>0.23510084370511716</v>
          </cell>
          <cell r="T168">
            <v>0.30170563605047784</v>
          </cell>
          <cell r="U168">
            <v>0.29286802049534522</v>
          </cell>
        </row>
        <row r="169">
          <cell r="B169" t="str">
            <v>FY(2)</v>
          </cell>
          <cell r="C169">
            <v>0.22441224497228915</v>
          </cell>
          <cell r="D169">
            <v>0.29349078819571894</v>
          </cell>
          <cell r="E169">
            <v>0.32508645916467144</v>
          </cell>
          <cell r="F169">
            <v>0.26731193022417554</v>
          </cell>
          <cell r="G169">
            <v>0.24747866688145498</v>
          </cell>
          <cell r="H169">
            <v>0.15663059319066835</v>
          </cell>
          <cell r="I169">
            <v>0.16542778193181926</v>
          </cell>
          <cell r="J169">
            <v>0.23997692350868541</v>
          </cell>
          <cell r="K169">
            <v>0.25458252346273547</v>
          </cell>
          <cell r="M169">
            <v>0.46516703174565421</v>
          </cell>
          <cell r="N169">
            <v>0.21842389666892584</v>
          </cell>
          <cell r="O169">
            <v>0.23406936986383864</v>
          </cell>
          <cell r="P169">
            <v>0.39410769023478287</v>
          </cell>
          <cell r="Q169">
            <v>0.27564549895324492</v>
          </cell>
          <cell r="R169">
            <v>0.25801530849837501</v>
          </cell>
          <cell r="S169">
            <v>0.23334973775041057</v>
          </cell>
          <cell r="T169">
            <v>0.29696836195931881</v>
          </cell>
          <cell r="U169">
            <v>0.29004007050169583</v>
          </cell>
        </row>
        <row r="170">
          <cell r="B170" t="str">
            <v>FY(1)</v>
          </cell>
          <cell r="C170">
            <v>0.24016389141431088</v>
          </cell>
          <cell r="D170">
            <v>0.31401338733930656</v>
          </cell>
          <cell r="E170">
            <v>0.33978788365739998</v>
          </cell>
          <cell r="F170">
            <v>0.28801905680858764</v>
          </cell>
          <cell r="G170">
            <v>0.2513902659533549</v>
          </cell>
          <cell r="H170">
            <v>0.16013761663433052</v>
          </cell>
          <cell r="I170">
            <v>0.16540883565124459</v>
          </cell>
          <cell r="J170">
            <v>0.25127441963693359</v>
          </cell>
          <cell r="K170">
            <v>0.2643565301882268</v>
          </cell>
          <cell r="M170">
            <v>0.528164794911131</v>
          </cell>
          <cell r="N170">
            <v>0.21526190765359995</v>
          </cell>
          <cell r="O170">
            <v>0.24559583273248248</v>
          </cell>
          <cell r="P170">
            <v>0.38603200433104445</v>
          </cell>
          <cell r="Q170">
            <v>0.26841525540410299</v>
          </cell>
          <cell r="R170">
            <v>0.25311563436632489</v>
          </cell>
          <cell r="S170">
            <v>0.22568349378453717</v>
          </cell>
          <cell r="T170">
            <v>0.30318127474046047</v>
          </cell>
          <cell r="U170">
            <v>0.29261289329386647</v>
          </cell>
        </row>
        <row r="171">
          <cell r="B171" t="str">
            <v>FY0</v>
          </cell>
          <cell r="C171">
            <v>0.2412528380974559</v>
          </cell>
          <cell r="D171">
            <v>0.35551799953585106</v>
          </cell>
          <cell r="E171">
            <v>0.34322448805824002</v>
          </cell>
          <cell r="F171">
            <v>0.2984984257689513</v>
          </cell>
          <cell r="G171">
            <v>0.25264937864425241</v>
          </cell>
          <cell r="H171">
            <v>0.15740248792734851</v>
          </cell>
          <cell r="I171">
            <v>0.16408079397316028</v>
          </cell>
          <cell r="J171">
            <v>0.25894663028646564</v>
          </cell>
          <cell r="K171">
            <v>0.26958151141248193</v>
          </cell>
          <cell r="M171">
            <v>0.59619070382858852</v>
          </cell>
          <cell r="N171">
            <v>0.20786554893155254</v>
          </cell>
          <cell r="O171">
            <v>0.25288123487322434</v>
          </cell>
          <cell r="P171">
            <v>0.40933140337561003</v>
          </cell>
          <cell r="Q171">
            <v>0.2756216101993379</v>
          </cell>
          <cell r="R171">
            <v>0.25095787315813839</v>
          </cell>
          <cell r="S171">
            <v>0.23075525785485199</v>
          </cell>
          <cell r="T171">
            <v>0.31765766174590049</v>
          </cell>
          <cell r="U171">
            <v>0.29918667766155282</v>
          </cell>
        </row>
        <row r="172">
          <cell r="B172" t="str">
            <v>FY1</v>
          </cell>
          <cell r="C172">
            <v>0.23755990709862407</v>
          </cell>
          <cell r="D172">
            <v>0.35082328912427285</v>
          </cell>
          <cell r="E172">
            <v>0.33604435343603933</v>
          </cell>
          <cell r="F172">
            <v>0.2900204005330686</v>
          </cell>
          <cell r="G172">
            <v>0.25415537194894949</v>
          </cell>
          <cell r="H172">
            <v>0.15520381370329353</v>
          </cell>
          <cell r="I172">
            <v>0.16100989145998601</v>
          </cell>
          <cell r="J172">
            <v>0.25497386104346204</v>
          </cell>
          <cell r="K172">
            <v>0.26312141410989504</v>
          </cell>
          <cell r="M172">
            <v>0.56685275187212625</v>
          </cell>
          <cell r="N172">
            <v>0.20751094817380147</v>
          </cell>
          <cell r="O172">
            <v>0.24378404137562537</v>
          </cell>
          <cell r="P172">
            <v>0.40898315733024737</v>
          </cell>
          <cell r="Q172">
            <v>0.2834829098776766</v>
          </cell>
          <cell r="R172">
            <v>0.2442859432107283</v>
          </cell>
          <cell r="S172">
            <v>0.22380557744828644</v>
          </cell>
          <cell r="T172">
            <v>0.31124361846978449</v>
          </cell>
          <cell r="U172">
            <v>0.29781058624011059</v>
          </cell>
        </row>
        <row r="173">
          <cell r="B173" t="str">
            <v>FY2</v>
          </cell>
          <cell r="C173">
            <v>0.23555990709862318</v>
          </cell>
          <cell r="D173">
            <v>0.35014505191680151</v>
          </cell>
          <cell r="E173">
            <v>0.33504435343603878</v>
          </cell>
          <cell r="F173">
            <v>0.28619698384846876</v>
          </cell>
          <cell r="G173">
            <v>0.25117728981375714</v>
          </cell>
          <cell r="H173">
            <v>0.15520381370329375</v>
          </cell>
          <cell r="I173">
            <v>0.16050989145998562</v>
          </cell>
          <cell r="J173">
            <v>0.25340532732528126</v>
          </cell>
          <cell r="K173">
            <v>0.26030872041871445</v>
          </cell>
          <cell r="M173">
            <v>0.55786444206476882</v>
          </cell>
          <cell r="N173">
            <v>0.21596159783087132</v>
          </cell>
          <cell r="O173">
            <v>0.23879343443399517</v>
          </cell>
          <cell r="P173">
            <v>0.4069831573302467</v>
          </cell>
          <cell r="Q173">
            <v>0.28248290987767782</v>
          </cell>
          <cell r="R173">
            <v>0.24237995437917609</v>
          </cell>
          <cell r="S173">
            <v>0.21870557744828625</v>
          </cell>
          <cell r="T173">
            <v>0.30902443905214605</v>
          </cell>
          <cell r="U173">
            <v>0.29623593800541625</v>
          </cell>
        </row>
        <row r="174">
          <cell r="B174" t="str">
            <v>FQ(3)</v>
          </cell>
          <cell r="C174">
            <v>0.26415612974161629</v>
          </cell>
          <cell r="D174">
            <v>0.37946315338480124</v>
          </cell>
          <cell r="E174">
            <v>0.37622619734564339</v>
          </cell>
          <cell r="F174">
            <v>0.31594372801875731</v>
          </cell>
          <cell r="G174">
            <v>0.25018912993790099</v>
          </cell>
          <cell r="H174">
            <v>0.16081234382380219</v>
          </cell>
          <cell r="I174">
            <v>0.16881469579883809</v>
          </cell>
          <cell r="J174">
            <v>0.27365791115019422</v>
          </cell>
          <cell r="K174">
            <v>0.28882002576376026</v>
          </cell>
          <cell r="M174">
            <v>0.69242964856272504</v>
          </cell>
          <cell r="N174">
            <v>0.23073642726898419</v>
          </cell>
          <cell r="O174">
            <v>0.25930065359477128</v>
          </cell>
          <cell r="P174">
            <v>0.44101067790723297</v>
          </cell>
          <cell r="Q174">
            <v>0.28333866325551649</v>
          </cell>
          <cell r="R174">
            <v>0.28004500251269826</v>
          </cell>
          <cell r="S174">
            <v>0.25256239669851038</v>
          </cell>
          <cell r="T174">
            <v>0.34848906711434841</v>
          </cell>
          <cell r="U174">
            <v>0.3240205429200293</v>
          </cell>
        </row>
        <row r="175">
          <cell r="B175" t="str">
            <v>FQ(2)</v>
          </cell>
          <cell r="C175">
            <v>0.25380977404098792</v>
          </cell>
          <cell r="D175">
            <v>0.37030928905677624</v>
          </cell>
          <cell r="E175">
            <v>0.3603795507358637</v>
          </cell>
          <cell r="F175">
            <v>0.28344988344988348</v>
          </cell>
          <cell r="G175">
            <v>0.27584494103572038</v>
          </cell>
          <cell r="H175">
            <v>0.1617958698115384</v>
          </cell>
          <cell r="I175">
            <v>0.16658690585921768</v>
          </cell>
          <cell r="J175">
            <v>0.26745374485571255</v>
          </cell>
          <cell r="K175">
            <v>0.27679393603676727</v>
          </cell>
          <cell r="M175">
            <v>0.65748303963617016</v>
          </cell>
          <cell r="N175">
            <v>0.22224625844333584</v>
          </cell>
          <cell r="O175">
            <v>0.254221436870054</v>
          </cell>
          <cell r="P175">
            <v>0.42125815178259163</v>
          </cell>
          <cell r="Q175">
            <v>0.28135593220338984</v>
          </cell>
          <cell r="R175">
            <v>0.25131301987312554</v>
          </cell>
          <cell r="S175">
            <v>0.23690327194707672</v>
          </cell>
          <cell r="T175">
            <v>0.33211158725082057</v>
          </cell>
          <cell r="U175">
            <v>0.30804271598565874</v>
          </cell>
        </row>
        <row r="176">
          <cell r="B176" t="str">
            <v>FQ(1)</v>
          </cell>
          <cell r="C176">
            <v>0.2535176499629721</v>
          </cell>
          <cell r="D176">
            <v>0.37939005929867253</v>
          </cell>
          <cell r="E176">
            <v>0.38525677468258479</v>
          </cell>
          <cell r="F176">
            <v>0.31102783725910066</v>
          </cell>
          <cell r="G176">
            <v>0.25743308089206474</v>
          </cell>
          <cell r="H176">
            <v>0.16427073759602878</v>
          </cell>
          <cell r="I176">
            <v>0.16474850265379282</v>
          </cell>
          <cell r="J176">
            <v>0.27366352033503094</v>
          </cell>
          <cell r="K176">
            <v>0.28439295072744886</v>
          </cell>
          <cell r="M176">
            <v>0.58012243858168677</v>
          </cell>
          <cell r="N176">
            <v>0.20646029325265305</v>
          </cell>
          <cell r="O176">
            <v>0.25804914000977353</v>
          </cell>
          <cell r="P176">
            <v>0.42936053803532004</v>
          </cell>
          <cell r="Q176">
            <v>0.2853162440791307</v>
          </cell>
          <cell r="R176">
            <v>0.28350080276736006</v>
          </cell>
          <cell r="S176">
            <v>0.22598734927851355</v>
          </cell>
          <cell r="T176">
            <v>0.32411382942920541</v>
          </cell>
          <cell r="U176">
            <v>0.31213470922732417</v>
          </cell>
        </row>
        <row r="177">
          <cell r="B177" t="str">
            <v>Last Reported Q</v>
          </cell>
          <cell r="C177">
            <v>0.2412528380974559</v>
          </cell>
          <cell r="D177">
            <v>0.35551799953585106</v>
          </cell>
          <cell r="E177">
            <v>0.34322448805824002</v>
          </cell>
          <cell r="F177">
            <v>0.2984984257689513</v>
          </cell>
          <cell r="G177">
            <v>0.25264937864425241</v>
          </cell>
          <cell r="H177">
            <v>0.15740248792734851</v>
          </cell>
          <cell r="I177">
            <v>0.16408079397316028</v>
          </cell>
          <cell r="J177">
            <v>0.25894663028646564</v>
          </cell>
          <cell r="K177">
            <v>0.26958151141248193</v>
          </cell>
          <cell r="M177">
            <v>0.59619070382858852</v>
          </cell>
          <cell r="N177">
            <v>0.20786554893155254</v>
          </cell>
          <cell r="O177">
            <v>0.25288123487322434</v>
          </cell>
          <cell r="P177">
            <v>0.3662912380693048</v>
          </cell>
          <cell r="Q177">
            <v>0.2756216101993379</v>
          </cell>
          <cell r="R177">
            <v>0.25095787315813839</v>
          </cell>
          <cell r="S177">
            <v>0.23075525785485199</v>
          </cell>
          <cell r="T177">
            <v>0.31150906670214262</v>
          </cell>
          <cell r="U177">
            <v>0.29081885663302726</v>
          </cell>
        </row>
        <row r="178">
          <cell r="B178" t="str">
            <v>LTM</v>
          </cell>
          <cell r="C178">
            <v>0.24755859375</v>
          </cell>
          <cell r="D178">
            <v>0.3640120041067873</v>
          </cell>
          <cell r="E178">
            <v>0.35554192542615454</v>
          </cell>
          <cell r="F178">
            <v>0.29999284538885312</v>
          </cell>
          <cell r="G178">
            <v>0.2559197911040863</v>
          </cell>
          <cell r="H178">
            <v>0.15946225344343146</v>
          </cell>
          <cell r="I178">
            <v>0.16512055876658455</v>
          </cell>
          <cell r="J178">
            <v>0.26394399599798529</v>
          </cell>
          <cell r="K178">
            <v>0.27514697563885587</v>
          </cell>
          <cell r="M178">
            <v>0.61343347301981055</v>
          </cell>
          <cell r="N178">
            <v>0.21197834263964316</v>
          </cell>
          <cell r="O178">
            <v>0.25461418741350766</v>
          </cell>
          <cell r="P178">
            <v>0.40996822786229586</v>
          </cell>
          <cell r="Q178">
            <v>0.27883102905869689</v>
          </cell>
          <cell r="R178">
            <v>0.25861572787938431</v>
          </cell>
          <cell r="S178">
            <v>0.23343201089580387</v>
          </cell>
          <cell r="T178">
            <v>0.32298185696702031</v>
          </cell>
          <cell r="U178">
            <v>0.30073195088102744</v>
          </cell>
        </row>
        <row r="179">
          <cell r="B179" t="str">
            <v>FY(1)</v>
          </cell>
          <cell r="C179">
            <v>1980.6181424947576</v>
          </cell>
          <cell r="D179">
            <v>1984.4633176922603</v>
          </cell>
          <cell r="E179">
            <v>2202.7236417983245</v>
          </cell>
          <cell r="F179">
            <v>1246.211643382778</v>
          </cell>
          <cell r="G179">
            <v>173.8130453674847</v>
          </cell>
          <cell r="H179">
            <v>482.08061137554455</v>
          </cell>
          <cell r="I179">
            <v>1671.8902989417663</v>
          </cell>
          <cell r="J179">
            <v>1391.6858144361308</v>
          </cell>
          <cell r="K179">
            <v>9741.8007010529163</v>
          </cell>
          <cell r="M179">
            <v>789.86515194133233</v>
          </cell>
          <cell r="N179">
            <v>215.33854842049243</v>
          </cell>
          <cell r="O179">
            <v>627.84877745647373</v>
          </cell>
          <cell r="P179">
            <v>1211.6714117526039</v>
          </cell>
          <cell r="Q179">
            <v>1644.5986291646034</v>
          </cell>
          <cell r="R179">
            <v>1068.359336648728</v>
          </cell>
          <cell r="S179">
            <v>255.22575446775724</v>
          </cell>
          <cell r="T179">
            <v>830.4153728359986</v>
          </cell>
          <cell r="U179">
            <v>5812.9076098519899</v>
          </cell>
        </row>
        <row r="180">
          <cell r="B180" t="str">
            <v>Expense Ratio Y/Y bps</v>
          </cell>
          <cell r="C180">
            <v>1705.1856268015219</v>
          </cell>
          <cell r="D180">
            <v>1232.8094973777047</v>
          </cell>
          <cell r="E180">
            <v>1553.8230857746548</v>
          </cell>
          <cell r="F180">
            <v>802.61653937056747</v>
          </cell>
          <cell r="G180">
            <v>-82.354512381842142</v>
          </cell>
          <cell r="H180">
            <v>551.23890722468843</v>
          </cell>
          <cell r="I180">
            <v>1684.3207963303021</v>
          </cell>
          <cell r="J180">
            <v>1063.9485629282283</v>
          </cell>
          <cell r="K180">
            <v>7447.6399404975982</v>
          </cell>
          <cell r="M180">
            <v>536.74816545626607</v>
          </cell>
          <cell r="N180">
            <v>272.88205450139014</v>
          </cell>
          <cell r="O180">
            <v>354.55073316454383</v>
          </cell>
          <cell r="P180">
            <v>1042.1427565666907</v>
          </cell>
          <cell r="Q180">
            <v>1921.1686440084529</v>
          </cell>
          <cell r="R180">
            <v>834.83801786001254</v>
          </cell>
          <cell r="S180">
            <v>323.59547798093331</v>
          </cell>
          <cell r="T180">
            <v>755.13226421975571</v>
          </cell>
          <cell r="U180">
            <v>5285.9258495382901</v>
          </cell>
        </row>
        <row r="181">
          <cell r="B181" t="str">
            <v>FY(1)</v>
          </cell>
          <cell r="C181">
            <v>157.51646442021732</v>
          </cell>
          <cell r="D181">
            <v>205.22599143587615</v>
          </cell>
          <cell r="E181">
            <v>147.01424492728543</v>
          </cell>
          <cell r="F181">
            <v>207.07126584412094</v>
          </cell>
          <cell r="G181">
            <v>39.115990718999186</v>
          </cell>
          <cell r="H181">
            <v>35.070234436621604</v>
          </cell>
          <cell r="I181">
            <v>-0.18946280574666519</v>
          </cell>
          <cell r="J181">
            <v>112.9749612824818</v>
          </cell>
          <cell r="K181">
            <v>97.740067254913356</v>
          </cell>
          <cell r="M181">
            <v>629.97763165476783</v>
          </cell>
          <cell r="N181">
            <v>-31.619890153258833</v>
          </cell>
          <cell r="O181">
            <v>115.26462868643839</v>
          </cell>
          <cell r="P181">
            <v>-80.75685903738416</v>
          </cell>
          <cell r="Q181">
            <v>-72.302435491419232</v>
          </cell>
          <cell r="R181">
            <v>-48.996741320501137</v>
          </cell>
          <cell r="S181">
            <v>-76.662439658733987</v>
          </cell>
          <cell r="T181">
            <v>62.129127811416666</v>
          </cell>
          <cell r="U181">
            <v>25.72822792170637</v>
          </cell>
        </row>
        <row r="182">
          <cell r="B182" t="str">
            <v>FY0</v>
          </cell>
          <cell r="C182">
            <v>10.8894668314502</v>
          </cell>
          <cell r="D182">
            <v>415.04612196544497</v>
          </cell>
          <cell r="E182">
            <v>34.36604400840038</v>
          </cell>
          <cell r="F182">
            <v>104.79368960363666</v>
          </cell>
          <cell r="G182">
            <v>12.591126908975125</v>
          </cell>
          <cell r="H182">
            <v>-27.351287069820039</v>
          </cell>
          <cell r="I182">
            <v>-13.280416780843129</v>
          </cell>
          <cell r="J182">
            <v>76.722106495320517</v>
          </cell>
          <cell r="K182">
            <v>52.249812242551322</v>
          </cell>
          <cell r="M182">
            <v>680.25908917457525</v>
          </cell>
          <cell r="N182">
            <v>-73.963587220474139</v>
          </cell>
          <cell r="O182">
            <v>72.854021407418585</v>
          </cell>
          <cell r="P182">
            <v>232.99399044565573</v>
          </cell>
          <cell r="Q182">
            <v>72.06354795234904</v>
          </cell>
          <cell r="R182">
            <v>-21.577612081865038</v>
          </cell>
          <cell r="S182">
            <v>50.717640703148156</v>
          </cell>
          <cell r="T182">
            <v>144.76387005440017</v>
          </cell>
          <cell r="U182">
            <v>65.737843676863534</v>
          </cell>
        </row>
        <row r="183">
          <cell r="B183" t="str">
            <v>FY1</v>
          </cell>
          <cell r="C183">
            <v>-36.929309988318337</v>
          </cell>
          <cell r="D183">
            <v>-46.947104115782068</v>
          </cell>
          <cell r="E183">
            <v>-71.801346222006842</v>
          </cell>
          <cell r="F183">
            <v>-84.780252358827028</v>
          </cell>
          <cell r="G183">
            <v>15.059933046970841</v>
          </cell>
          <cell r="H183">
            <v>-21.986742240549805</v>
          </cell>
          <cell r="I183">
            <v>-30.709025131742674</v>
          </cell>
          <cell r="J183">
            <v>-39.727692430036043</v>
          </cell>
          <cell r="K183">
            <v>-64.600973025868981</v>
          </cell>
          <cell r="M183">
            <v>-293.37951956462274</v>
          </cell>
          <cell r="N183">
            <v>-3.5460075775106681</v>
          </cell>
          <cell r="O183">
            <v>-90.971934975989655</v>
          </cell>
          <cell r="P183">
            <v>-3.4824604536265458</v>
          </cell>
          <cell r="Q183">
            <v>78.612996783387075</v>
          </cell>
          <cell r="R183">
            <v>-66.719299474100879</v>
          </cell>
          <cell r="S183">
            <v>-69.496804065655454</v>
          </cell>
          <cell r="T183">
            <v>-64.14043276116</v>
          </cell>
          <cell r="U183">
            <v>-13.760914214422382</v>
          </cell>
        </row>
        <row r="184">
          <cell r="B184" t="str">
            <v>FY2</v>
          </cell>
          <cell r="C184">
            <v>-20.0000000000089</v>
          </cell>
          <cell r="D184">
            <v>-6.7823720747134386</v>
          </cell>
          <cell r="E184">
            <v>-10.00000000000556</v>
          </cell>
          <cell r="F184">
            <v>-38.234166845998452</v>
          </cell>
          <cell r="G184">
            <v>-29.780821351923503</v>
          </cell>
          <cell r="H184">
            <v>2.2204460492503131E-12</v>
          </cell>
          <cell r="I184">
            <v>-5.0000000000038902</v>
          </cell>
          <cell r="J184">
            <v>-15.685337181807757</v>
          </cell>
          <cell r="K184">
            <v>-28.126936911805899</v>
          </cell>
          <cell r="M184">
            <v>-89.883098073574303</v>
          </cell>
          <cell r="N184">
            <v>84.506496570698474</v>
          </cell>
          <cell r="O184">
            <v>-49.906069416301989</v>
          </cell>
          <cell r="P184">
            <v>-20.000000000006679</v>
          </cell>
          <cell r="Q184">
            <v>-9.9999999999877964</v>
          </cell>
          <cell r="R184">
            <v>-19.059888315522134</v>
          </cell>
          <cell r="S184">
            <v>-51.000000000001876</v>
          </cell>
          <cell r="T184">
            <v>-22.191794176384395</v>
          </cell>
          <cell r="U184">
            <v>-15.746482346943314</v>
          </cell>
        </row>
        <row r="185">
          <cell r="B185" t="str">
            <v>FQ(1)</v>
          </cell>
          <cell r="C185">
            <v>399</v>
          </cell>
          <cell r="D185">
            <v>67.000000000000114</v>
          </cell>
          <cell r="E185">
            <v>282.00000000000017</v>
          </cell>
          <cell r="F185">
            <v>205.99999999999991</v>
          </cell>
          <cell r="G185">
            <v>-67.604999999999734</v>
          </cell>
          <cell r="H185">
            <v>171.34199999999998</v>
          </cell>
          <cell r="I185">
            <v>422.35000000000019</v>
          </cell>
          <cell r="J185">
            <v>211.44100000000009</v>
          </cell>
          <cell r="K185">
            <v>1480.0870000000007</v>
          </cell>
          <cell r="M185">
            <v>2.8660000000000005</v>
          </cell>
          <cell r="N185">
            <v>65.00999999999992</v>
          </cell>
          <cell r="O185">
            <v>46.316999999999979</v>
          </cell>
          <cell r="P185">
            <v>198.7420000000003</v>
          </cell>
          <cell r="Q185">
            <v>375.00000000000028</v>
          </cell>
          <cell r="R185">
            <v>148.643</v>
          </cell>
          <cell r="S185">
            <v>78.440999999999988</v>
          </cell>
          <cell r="T185">
            <v>130.71700000000007</v>
          </cell>
          <cell r="U185">
            <v>915.01900000000046</v>
          </cell>
        </row>
        <row r="186">
          <cell r="B186" t="str">
            <v>Operating Income</v>
          </cell>
          <cell r="C186">
            <v>338.99999999999983</v>
          </cell>
          <cell r="D186">
            <v>107.0000000000002</v>
          </cell>
          <cell r="E186">
            <v>88.000000000000256</v>
          </cell>
          <cell r="F186">
            <v>171.99999999999989</v>
          </cell>
          <cell r="G186">
            <v>15.793999999999976</v>
          </cell>
          <cell r="H186">
            <v>172.77600000000004</v>
          </cell>
          <cell r="I186">
            <v>578.6699999999995</v>
          </cell>
          <cell r="J186">
            <v>210.4628571428571</v>
          </cell>
          <cell r="K186">
            <v>1473.2399999999998</v>
          </cell>
          <cell r="M186">
            <v>40.445999999999977</v>
          </cell>
          <cell r="N186">
            <v>105.68100000000014</v>
          </cell>
          <cell r="O186">
            <v>70.301999999999992</v>
          </cell>
          <cell r="P186">
            <v>1042.1427565666907</v>
          </cell>
          <cell r="Q186">
            <v>499.99999999999989</v>
          </cell>
          <cell r="R186">
            <v>58.885000000000019</v>
          </cell>
          <cell r="S186">
            <v>95.76100000000018</v>
          </cell>
          <cell r="T186">
            <v>273.31682236667012</v>
          </cell>
          <cell r="U186">
            <v>1913.2177565666907</v>
          </cell>
        </row>
        <row r="187">
          <cell r="B187" t="str">
            <v>FY(10)</v>
          </cell>
          <cell r="C187">
            <v>485.50638863045646</v>
          </cell>
          <cell r="D187">
            <v>454.83386963538283</v>
          </cell>
          <cell r="E187">
            <v>1723.0596260973161</v>
          </cell>
          <cell r="F187">
            <v>738.45824411134856</v>
          </cell>
          <cell r="G187">
            <v>66.281727613653899</v>
          </cell>
          <cell r="H187">
            <v>287.05417646869847</v>
          </cell>
          <cell r="I187">
            <v>975.25368491205768</v>
          </cell>
          <cell r="J187">
            <v>867.71846902713219</v>
          </cell>
          <cell r="K187">
            <v>3470.8738761085287</v>
          </cell>
          <cell r="M187">
            <v>253.55646844534496</v>
          </cell>
          <cell r="N187">
            <v>394.35079233689953</v>
          </cell>
          <cell r="O187">
            <v>175.22153552145889</v>
          </cell>
          <cell r="P187">
            <v>26.474000000000014</v>
          </cell>
          <cell r="Q187">
            <v>1956.3945388687653</v>
          </cell>
          <cell r="R187">
            <v>1144.2814089708986</v>
          </cell>
          <cell r="S187">
            <v>39.337540426959102</v>
          </cell>
          <cell r="T187">
            <v>327.77419067293232</v>
          </cell>
          <cell r="U187">
            <v>1638.8709533646615</v>
          </cell>
        </row>
        <row r="188">
          <cell r="B188" t="str">
            <v>FY(9)</v>
          </cell>
          <cell r="C188">
            <v>693.91973802158805</v>
          </cell>
          <cell r="D188">
            <v>756.13092473995562</v>
          </cell>
          <cell r="E188">
            <v>1827.1086449770082</v>
          </cell>
          <cell r="F188">
            <v>266.29261150659278</v>
          </cell>
          <cell r="H188">
            <v>291.78555250618194</v>
          </cell>
          <cell r="I188">
            <v>1008.5619151459657</v>
          </cell>
          <cell r="J188">
            <v>807.29989781621543</v>
          </cell>
          <cell r="K188">
            <v>4843.7993868972926</v>
          </cell>
          <cell r="M188">
            <v>268.56767956932532</v>
          </cell>
          <cell r="O188">
            <v>166.83186574975571</v>
          </cell>
          <cell r="P188">
            <v>59.872573637159007</v>
          </cell>
          <cell r="R188">
            <v>1122.5496622628291</v>
          </cell>
          <cell r="S188">
            <v>24.391951260244909</v>
          </cell>
          <cell r="T188">
            <v>328.44274649586282</v>
          </cell>
          <cell r="U188">
            <v>1642.2137324793141</v>
          </cell>
        </row>
        <row r="189">
          <cell r="B189" t="str">
            <v>FY(8)</v>
          </cell>
          <cell r="C189">
            <v>912.830461606629</v>
          </cell>
          <cell r="D189">
            <v>799.96102171577115</v>
          </cell>
          <cell r="E189">
            <v>1432.933359721186</v>
          </cell>
          <cell r="F189">
            <v>290.62577110649232</v>
          </cell>
          <cell r="H189">
            <v>301.69612923432788</v>
          </cell>
          <cell r="I189">
            <v>1043.2810810232318</v>
          </cell>
          <cell r="J189">
            <v>796.88797073460637</v>
          </cell>
          <cell r="K189">
            <v>4781.3278244076382</v>
          </cell>
          <cell r="M189">
            <v>289.74730211917876</v>
          </cell>
          <cell r="O189">
            <v>159.35718223413812</v>
          </cell>
          <cell r="P189">
            <v>113.7959941939974</v>
          </cell>
          <cell r="Q189">
            <v>600.1907159357828</v>
          </cell>
          <cell r="R189">
            <v>966.11037711634867</v>
          </cell>
          <cell r="S189">
            <v>36.60963094345874</v>
          </cell>
          <cell r="T189">
            <v>360.96853375715074</v>
          </cell>
          <cell r="U189">
            <v>2165.8112025429045</v>
          </cell>
        </row>
        <row r="190">
          <cell r="B190" t="str">
            <v>FY(7)</v>
          </cell>
          <cell r="C190">
            <v>1156.5458318605124</v>
          </cell>
          <cell r="D190">
            <v>952.02102914901707</v>
          </cell>
          <cell r="E190">
            <v>1479.0339278923957</v>
          </cell>
          <cell r="F190">
            <v>365.97286870857812</v>
          </cell>
          <cell r="G190" t="str">
            <v>NA</v>
          </cell>
          <cell r="H190">
            <v>374.54772447620013</v>
          </cell>
          <cell r="I190">
            <v>1146.9885114400181</v>
          </cell>
          <cell r="J190">
            <v>912.51831558778701</v>
          </cell>
          <cell r="K190">
            <v>5475.1098935267219</v>
          </cell>
          <cell r="M190">
            <v>347.89566377000904</v>
          </cell>
          <cell r="N190" t="str">
            <v>NA</v>
          </cell>
          <cell r="O190">
            <v>169.11954156440302</v>
          </cell>
          <cell r="P190">
            <v>132.64145750097384</v>
          </cell>
          <cell r="Q190">
            <v>1262.4916241331193</v>
          </cell>
          <cell r="R190">
            <v>1071.3813754740067</v>
          </cell>
          <cell r="S190">
            <v>58.974819103510981</v>
          </cell>
          <cell r="T190">
            <v>507.08408025767045</v>
          </cell>
          <cell r="U190">
            <v>3042.5044815460228</v>
          </cell>
        </row>
        <row r="191">
          <cell r="B191" t="str">
            <v>FY(6)</v>
          </cell>
          <cell r="C191">
            <v>1110.9592223864277</v>
          </cell>
          <cell r="D191">
            <v>887.96830557822909</v>
          </cell>
          <cell r="E191">
            <v>1475.978670652361</v>
          </cell>
          <cell r="F191">
            <v>532.23532413226133</v>
          </cell>
          <cell r="G191" t="str">
            <v>NA</v>
          </cell>
          <cell r="H191">
            <v>421.06482424252988</v>
          </cell>
          <cell r="I191">
            <v>1219.1001386003595</v>
          </cell>
          <cell r="J191">
            <v>941.21774759869459</v>
          </cell>
          <cell r="K191">
            <v>5647.3064855921675</v>
          </cell>
          <cell r="M191">
            <v>369.2668365757271</v>
          </cell>
          <cell r="N191">
            <v>97.254885945739034</v>
          </cell>
          <cell r="O191">
            <v>158.77767171943319</v>
          </cell>
          <cell r="P191">
            <v>223.20367713801565</v>
          </cell>
          <cell r="Q191">
            <v>2114.0535915546652</v>
          </cell>
          <cell r="R191">
            <v>1185.4625330413942</v>
          </cell>
          <cell r="S191">
            <v>94.58352886198692</v>
          </cell>
          <cell r="T191">
            <v>606.08610354813743</v>
          </cell>
          <cell r="U191">
            <v>4242.6027248369619</v>
          </cell>
        </row>
        <row r="192">
          <cell r="B192" t="str">
            <v>FY(5)</v>
          </cell>
          <cell r="C192">
            <v>1327.2810663472981</v>
          </cell>
          <cell r="D192">
            <v>1363.3222942359873</v>
          </cell>
          <cell r="E192">
            <v>1534.031924074967</v>
          </cell>
          <cell r="F192">
            <v>779.85642988208429</v>
          </cell>
          <cell r="G192">
            <v>56.136268401386211</v>
          </cell>
          <cell r="H192">
            <v>336.38059571826591</v>
          </cell>
          <cell r="I192">
            <v>1301.661646187174</v>
          </cell>
          <cell r="J192">
            <v>956.95288926388037</v>
          </cell>
          <cell r="K192">
            <v>6698.6702248471629</v>
          </cell>
          <cell r="M192">
            <v>429.36043175478039</v>
          </cell>
          <cell r="N192">
            <v>151.96385778846152</v>
          </cell>
          <cell r="O192">
            <v>404.77580086465468</v>
          </cell>
          <cell r="P192">
            <v>397.9131168529151</v>
          </cell>
          <cell r="Q192">
            <v>2280.1902642154814</v>
          </cell>
          <cell r="R192">
            <v>1230.245379450329</v>
          </cell>
          <cell r="S192">
            <v>165.51726670602028</v>
          </cell>
          <cell r="T192">
            <v>722.85230251894893</v>
          </cell>
          <cell r="U192">
            <v>5059.9661176326426</v>
          </cell>
        </row>
        <row r="193">
          <cell r="B193" t="str">
            <v>FY(4)</v>
          </cell>
          <cell r="C193">
            <v>1565.4378204279326</v>
          </cell>
          <cell r="D193">
            <v>1738.7575625986995</v>
          </cell>
          <cell r="E193">
            <v>2215.3327716330614</v>
          </cell>
          <cell r="F193">
            <v>960.91185864544013</v>
          </cell>
          <cell r="G193">
            <v>-26.280904432310574</v>
          </cell>
          <cell r="H193">
            <v>369.61270424936185</v>
          </cell>
          <cell r="I193">
            <v>1321.0695433166463</v>
          </cell>
          <cell r="J193">
            <v>1163.5487652055474</v>
          </cell>
          <cell r="K193">
            <v>8144.8413564388311</v>
          </cell>
          <cell r="M193">
            <v>645.09067297176182</v>
          </cell>
          <cell r="N193">
            <v>148.87318131466253</v>
          </cell>
          <cell r="O193">
            <v>500.32993354617793</v>
          </cell>
          <cell r="P193">
            <v>574.46943808753178</v>
          </cell>
          <cell r="Q193">
            <v>1878.3884391216775</v>
          </cell>
          <cell r="R193">
            <v>1072.0481055115672</v>
          </cell>
          <cell r="S193">
            <v>219.24526081544155</v>
          </cell>
          <cell r="T193">
            <v>719.77786162411724</v>
          </cell>
          <cell r="U193">
            <v>5038.4450313688203</v>
          </cell>
        </row>
        <row r="194">
          <cell r="B194" t="str">
            <v>FY(3)</v>
          </cell>
          <cell r="C194">
            <v>1986.8854496897454</v>
          </cell>
          <cell r="D194">
            <v>2015.8491990278244</v>
          </cell>
          <cell r="E194">
            <v>2395.6367130314761</v>
          </cell>
          <cell r="F194">
            <v>1180.6253732754576</v>
          </cell>
          <cell r="G194">
            <v>105.98450218643146</v>
          </cell>
          <cell r="H194">
            <v>428.50716111120238</v>
          </cell>
          <cell r="I194">
            <v>1532.0897485636781</v>
          </cell>
          <cell r="J194">
            <v>1377.9397352694025</v>
          </cell>
          <cell r="K194">
            <v>9645.5781468858168</v>
          </cell>
          <cell r="M194">
            <v>751.22542850829609</v>
          </cell>
          <cell r="N194">
            <v>174.35257387578639</v>
          </cell>
          <cell r="O194">
            <v>624.34594845746699</v>
          </cell>
          <cell r="P194">
            <v>746.30143442651263</v>
          </cell>
          <cell r="Q194">
            <v>1451.1546513463388</v>
          </cell>
          <cell r="R194">
            <v>1270.23310915313</v>
          </cell>
          <cell r="S194">
            <v>182.36046176901246</v>
          </cell>
          <cell r="T194">
            <v>742.85337250522048</v>
          </cell>
          <cell r="U194">
            <v>5199.9736075365436</v>
          </cell>
        </row>
        <row r="195">
          <cell r="B195" t="str">
            <v>FY(2)</v>
          </cell>
          <cell r="C195">
            <v>1980.6181424947576</v>
          </cell>
          <cell r="D195">
            <v>1984.4633176922603</v>
          </cell>
          <cell r="E195">
            <v>2202.7236417983245</v>
          </cell>
          <cell r="F195">
            <v>1246.211643382778</v>
          </cell>
          <cell r="G195">
            <v>173.8130453674847</v>
          </cell>
          <cell r="H195">
            <v>482.08061137554455</v>
          </cell>
          <cell r="I195">
            <v>1671.8902989417663</v>
          </cell>
          <cell r="J195">
            <v>1391.6858144361308</v>
          </cell>
          <cell r="K195">
            <v>9741.8007010529163</v>
          </cell>
          <cell r="M195">
            <v>828.27815194133564</v>
          </cell>
          <cell r="N195">
            <v>215.33854842049243</v>
          </cell>
          <cell r="O195">
            <v>627.84877745647373</v>
          </cell>
          <cell r="P195">
            <v>1024.8933082993212</v>
          </cell>
          <cell r="Q195">
            <v>1644.5986291646034</v>
          </cell>
          <cell r="R195">
            <v>1068.359336648728</v>
          </cell>
          <cell r="S195">
            <v>255.22575446775724</v>
          </cell>
          <cell r="T195">
            <v>809.22035805695862</v>
          </cell>
          <cell r="U195">
            <v>5664.5425063987104</v>
          </cell>
        </row>
        <row r="196">
          <cell r="B196" t="str">
            <v>FY(1)</v>
          </cell>
          <cell r="C196">
            <v>1705.1856268015219</v>
          </cell>
          <cell r="D196">
            <v>1232.8094973777047</v>
          </cell>
          <cell r="E196">
            <v>1553.8230857746548</v>
          </cell>
          <cell r="F196">
            <v>798.68184271838584</v>
          </cell>
          <cell r="G196">
            <v>-78.277512381842001</v>
          </cell>
          <cell r="H196">
            <v>551.23890722468843</v>
          </cell>
          <cell r="I196">
            <v>1685.8577701460415</v>
          </cell>
          <cell r="J196">
            <v>1064.1884596658795</v>
          </cell>
          <cell r="K196">
            <v>7449.3192176611565</v>
          </cell>
          <cell r="M196">
            <v>565.02656921650953</v>
          </cell>
          <cell r="N196">
            <v>269.98135982676371</v>
          </cell>
          <cell r="O196">
            <v>354.04039646842591</v>
          </cell>
          <cell r="P196">
            <v>1211.6714117526039</v>
          </cell>
          <cell r="Q196">
            <v>1921.1686440084529</v>
          </cell>
          <cell r="R196">
            <v>834.83801786001254</v>
          </cell>
          <cell r="S196">
            <v>313.79271877126615</v>
          </cell>
          <cell r="T196">
            <v>781.50273112914783</v>
          </cell>
          <cell r="U196">
            <v>5470.5191179040348</v>
          </cell>
        </row>
        <row r="197">
          <cell r="B197" t="str">
            <v>FY0</v>
          </cell>
          <cell r="C197">
            <v>1917.1194702536768</v>
          </cell>
          <cell r="D197">
            <v>781.47518758588342</v>
          </cell>
          <cell r="E197">
            <v>1586.9995350025417</v>
          </cell>
          <cell r="F197">
            <v>853.57339587430897</v>
          </cell>
          <cell r="G197">
            <v>17.50706678990792</v>
          </cell>
          <cell r="H197">
            <v>781.03306781757033</v>
          </cell>
          <cell r="I197">
            <v>2201.0009309468269</v>
          </cell>
          <cell r="J197">
            <v>1162.6726648958168</v>
          </cell>
          <cell r="K197">
            <v>8138.7086542707166</v>
          </cell>
          <cell r="M197">
            <v>237.83213091594212</v>
          </cell>
          <cell r="N197">
            <v>403.73291383466682</v>
          </cell>
          <cell r="O197">
            <v>325.08544655232197</v>
          </cell>
          <cell r="P197">
            <v>1042.1427565666907</v>
          </cell>
          <cell r="Q197">
            <v>2237.9224510405411</v>
          </cell>
          <cell r="R197">
            <v>1023.0921257582751</v>
          </cell>
          <cell r="S197">
            <v>351.1769179604114</v>
          </cell>
          <cell r="T197">
            <v>802.99782037554985</v>
          </cell>
          <cell r="U197">
            <v>5620.9847426288488</v>
          </cell>
        </row>
        <row r="198">
          <cell r="B198" t="str">
            <v>FY1</v>
          </cell>
          <cell r="C198">
            <v>2251.8113812011547</v>
          </cell>
          <cell r="D198">
            <v>950.1012154893956</v>
          </cell>
          <cell r="E198">
            <v>1883.6398911998326</v>
          </cell>
          <cell r="F198">
            <v>1089.9505033320954</v>
          </cell>
          <cell r="G198">
            <v>73.509240114675933</v>
          </cell>
          <cell r="H198">
            <v>906.45911066223948</v>
          </cell>
          <cell r="I198">
            <v>2509.6654245613058</v>
          </cell>
          <cell r="J198">
            <v>1380.7338237943857</v>
          </cell>
          <cell r="K198">
            <v>9665.1367665606995</v>
          </cell>
          <cell r="M198">
            <v>349.32531972063566</v>
          </cell>
          <cell r="N198">
            <v>436.51131068441123</v>
          </cell>
          <cell r="O198">
            <v>451.53609929285483</v>
          </cell>
          <cell r="P198">
            <v>1133.0035071318157</v>
          </cell>
          <cell r="Q198">
            <v>2229.3598641723124</v>
          </cell>
          <cell r="R198">
            <v>1190.1195104238896</v>
          </cell>
          <cell r="S198">
            <v>442.80259153562491</v>
          </cell>
          <cell r="T198">
            <v>890.37974328022062</v>
          </cell>
          <cell r="U198">
            <v>6232.6582029615447</v>
          </cell>
        </row>
        <row r="199">
          <cell r="B199" t="str">
            <v>FY2</v>
          </cell>
          <cell r="C199">
            <v>2531.3005039312252</v>
          </cell>
          <cell r="D199">
            <v>1018.6683833273149</v>
          </cell>
          <cell r="E199">
            <v>1947.6346240361752</v>
          </cell>
          <cell r="F199">
            <v>1181.9016384231893</v>
          </cell>
          <cell r="G199">
            <v>122.76616566210181</v>
          </cell>
          <cell r="H199">
            <v>980.82856053693729</v>
          </cell>
          <cell r="I199">
            <v>2623.3346912949105</v>
          </cell>
          <cell r="J199">
            <v>1486.6335096016935</v>
          </cell>
          <cell r="K199">
            <v>10406.434567211854</v>
          </cell>
          <cell r="M199">
            <v>443.37392089506665</v>
          </cell>
          <cell r="N199">
            <v>431.7260319132667</v>
          </cell>
          <cell r="O199">
            <v>538.59539119682017</v>
          </cell>
          <cell r="P199">
            <v>1211.6901871378634</v>
          </cell>
          <cell r="Q199">
            <v>2165.2817026002863</v>
          </cell>
          <cell r="R199">
            <v>1262.8606520739111</v>
          </cell>
          <cell r="S199">
            <v>521.64599501463044</v>
          </cell>
          <cell r="T199">
            <v>939.31055440454918</v>
          </cell>
          <cell r="U199">
            <v>6575.1738808318441</v>
          </cell>
        </row>
        <row r="200">
          <cell r="B200" t="str">
            <v>FQ(3)</v>
          </cell>
          <cell r="C200">
            <v>250.99999999999989</v>
          </cell>
          <cell r="D200">
            <v>106.00000000000014</v>
          </cell>
          <cell r="E200">
            <v>23.999999999999979</v>
          </cell>
          <cell r="F200">
            <v>146.00000000000006</v>
          </cell>
          <cell r="G200">
            <v>2.3769999999999976</v>
          </cell>
          <cell r="H200">
            <v>150.86000000000007</v>
          </cell>
          <cell r="I200">
            <v>345.8210000000002</v>
          </cell>
          <cell r="J200">
            <v>146.57971428571432</v>
          </cell>
          <cell r="K200">
            <v>1026.0580000000002</v>
          </cell>
          <cell r="M200">
            <v>-33.879000000000005</v>
          </cell>
          <cell r="N200">
            <v>56.14400000000019</v>
          </cell>
          <cell r="O200">
            <v>27.352999999999973</v>
          </cell>
          <cell r="P200">
            <v>198.7420000000003</v>
          </cell>
          <cell r="Q200">
            <v>352.99999999999955</v>
          </cell>
          <cell r="R200">
            <v>65.212000000000018</v>
          </cell>
          <cell r="S200">
            <v>46.119999999999983</v>
          </cell>
          <cell r="T200">
            <v>101.81314285714286</v>
          </cell>
          <cell r="U200">
            <v>712.69200000000001</v>
          </cell>
        </row>
        <row r="201">
          <cell r="B201" t="str">
            <v>FQ(2)</v>
          </cell>
          <cell r="C201">
            <v>399</v>
          </cell>
          <cell r="D201">
            <v>67.000000000000114</v>
          </cell>
          <cell r="E201">
            <v>282.00000000000017</v>
          </cell>
          <cell r="F201">
            <v>205.99999999999991</v>
          </cell>
          <cell r="G201">
            <v>-67.604999999999734</v>
          </cell>
          <cell r="H201">
            <v>171.34199999999998</v>
          </cell>
          <cell r="I201">
            <v>422.35000000000019</v>
          </cell>
          <cell r="J201">
            <v>211.44100000000009</v>
          </cell>
          <cell r="K201">
            <v>1480.0870000000007</v>
          </cell>
          <cell r="M201">
            <v>8.8859999999999726</v>
          </cell>
          <cell r="N201">
            <v>65.00999999999992</v>
          </cell>
          <cell r="O201">
            <v>46.316999999999979</v>
          </cell>
          <cell r="P201">
            <v>219.68699999999981</v>
          </cell>
          <cell r="Q201">
            <v>375.00000000000028</v>
          </cell>
          <cell r="R201">
            <v>148.643</v>
          </cell>
          <cell r="S201">
            <v>78.440999999999988</v>
          </cell>
          <cell r="T201">
            <v>134.56914285714285</v>
          </cell>
          <cell r="U201">
            <v>941.98400000000004</v>
          </cell>
        </row>
        <row r="202">
          <cell r="B202" t="str">
            <v>FQ(1)</v>
          </cell>
          <cell r="C202">
            <v>338.99999999999983</v>
          </cell>
          <cell r="D202">
            <v>106.99999999999997</v>
          </cell>
          <cell r="E202">
            <v>88.000000000000256</v>
          </cell>
          <cell r="F202">
            <v>171.99999999999989</v>
          </cell>
          <cell r="G202">
            <v>15.793999999999976</v>
          </cell>
          <cell r="H202">
            <v>172.77600000000004</v>
          </cell>
          <cell r="I202">
            <v>578.6699999999995</v>
          </cell>
          <cell r="J202">
            <v>210.46285714285705</v>
          </cell>
          <cell r="K202">
            <v>1473.2399999999993</v>
          </cell>
          <cell r="M202">
            <v>45.396999999999963</v>
          </cell>
          <cell r="N202">
            <v>105.68100000000014</v>
          </cell>
          <cell r="O202">
            <v>70.301999999999992</v>
          </cell>
          <cell r="P202">
            <v>223.24699999999987</v>
          </cell>
          <cell r="Q202">
            <v>499.99999999999989</v>
          </cell>
          <cell r="R202">
            <v>58.885000000000019</v>
          </cell>
          <cell r="S202">
            <v>95.76100000000018</v>
          </cell>
          <cell r="T202">
            <v>157.03899999999999</v>
          </cell>
          <cell r="U202">
            <v>1099.2729999999999</v>
          </cell>
        </row>
        <row r="203">
          <cell r="B203" t="str">
            <v>Last Reported Q</v>
          </cell>
          <cell r="C203">
            <v>1917.1194702536768</v>
          </cell>
          <cell r="D203">
            <v>781.47518758588342</v>
          </cell>
          <cell r="E203">
            <v>1586.9995350025417</v>
          </cell>
          <cell r="F203">
            <v>853.57339587430897</v>
          </cell>
          <cell r="G203">
            <v>17.50706678990792</v>
          </cell>
          <cell r="H203">
            <v>781.03306781757033</v>
          </cell>
          <cell r="I203">
            <v>2201.0009309468269</v>
          </cell>
          <cell r="J203">
            <v>1162.6726648958168</v>
          </cell>
          <cell r="K203">
            <v>8138.7086542707166</v>
          </cell>
          <cell r="M203">
            <v>237.83213091594212</v>
          </cell>
          <cell r="N203">
            <v>403.73291383466682</v>
          </cell>
          <cell r="O203">
            <v>325.08544655232197</v>
          </cell>
          <cell r="P203">
            <v>380.83699999999959</v>
          </cell>
          <cell r="Q203">
            <v>2237.9224510405411</v>
          </cell>
          <cell r="R203">
            <v>1023.0921257582751</v>
          </cell>
          <cell r="S203">
            <v>351.1769179604114</v>
          </cell>
          <cell r="T203">
            <v>708.52556943745117</v>
          </cell>
          <cell r="U203">
            <v>4959.6789860621584</v>
          </cell>
        </row>
        <row r="204">
          <cell r="B204" t="str">
            <v>LTM</v>
          </cell>
          <cell r="C204">
            <v>3643.2917986624552</v>
          </cell>
          <cell r="D204">
            <v>2040.2485263565161</v>
          </cell>
          <cell r="E204">
            <v>5284.3343101031896</v>
          </cell>
          <cell r="F204">
            <v>1706.526191413946</v>
          </cell>
          <cell r="G204">
            <v>160.88197181609078</v>
          </cell>
          <cell r="H204">
            <v>1446.3537456975037</v>
          </cell>
          <cell r="I204">
            <v>3755.293062116757</v>
          </cell>
          <cell r="J204">
            <v>2576.7042294523512</v>
          </cell>
          <cell r="K204">
            <v>18036.929606166457</v>
          </cell>
          <cell r="M204">
            <v>676.34837726324224</v>
          </cell>
          <cell r="N204">
            <v>726.79863290245214</v>
          </cell>
          <cell r="O204">
            <v>579.50627913168728</v>
          </cell>
          <cell r="P204">
            <v>1195.8315056032586</v>
          </cell>
          <cell r="Q204">
            <v>3324.8616619452255</v>
          </cell>
          <cell r="R204">
            <v>2730.3149800887913</v>
          </cell>
          <cell r="S204">
            <v>662.80864971036158</v>
          </cell>
          <cell r="T204">
            <v>1413.7814409492883</v>
          </cell>
          <cell r="U204">
            <v>9896.4700866450185</v>
          </cell>
        </row>
        <row r="205">
          <cell r="B205" t="str">
            <v>FQ(1)</v>
          </cell>
          <cell r="C205">
            <v>0.104834471886495</v>
          </cell>
          <cell r="D205">
            <v>1.6993645456715101E-2</v>
          </cell>
          <cell r="E205">
            <v>5.4608830364058898E-2</v>
          </cell>
          <cell r="F205">
            <v>9.6037296037295994E-2</v>
          </cell>
          <cell r="G205">
            <v>-0.120358699367629</v>
          </cell>
          <cell r="H205">
            <v>9.6878046132726006E-2</v>
          </cell>
          <cell r="I205">
            <v>8.8962087216757899E-2</v>
          </cell>
          <cell r="J205">
            <v>4.8279382532345698E-2</v>
          </cell>
          <cell r="K205">
            <v>6.6864824225143879E-2</v>
          </cell>
          <cell r="M205">
            <v>4.4197088790501804E-3</v>
          </cell>
          <cell r="N205">
            <v>0.14350359807513999</v>
          </cell>
          <cell r="O205">
            <v>7.0433822590161704E-2</v>
          </cell>
          <cell r="P205">
            <v>0.26859241099604197</v>
          </cell>
          <cell r="Q205">
            <v>0.115562403697997</v>
          </cell>
          <cell r="R205">
            <v>7.1926004422701903E-2</v>
          </cell>
          <cell r="S205">
            <v>0.17103478651450199</v>
          </cell>
          <cell r="T205">
            <v>0.12078181931079925</v>
          </cell>
          <cell r="U205">
            <v>0.11065320313208579</v>
          </cell>
        </row>
        <row r="206">
          <cell r="B206" t="str">
            <v>Operating Margin</v>
          </cell>
          <cell r="C206">
            <v>8.3683041224388993E-2</v>
          </cell>
          <cell r="D206">
            <v>2.5601796602830601E-2</v>
          </cell>
          <cell r="E206">
            <v>1.6676141747204901E-2</v>
          </cell>
          <cell r="F206">
            <v>9.2077087794432494E-2</v>
          </cell>
          <cell r="G206">
            <v>2.50129071288527E-2</v>
          </cell>
          <cell r="H206">
            <v>9.9060912002999796E-2</v>
          </cell>
          <cell r="I206">
            <v>0.110329067258271</v>
          </cell>
          <cell r="J206">
            <v>6.4634421965568636E-2</v>
          </cell>
          <cell r="K206">
            <v>6.4065296636237681E-2</v>
          </cell>
          <cell r="M206">
            <v>5.2842888890921202E-2</v>
          </cell>
          <cell r="N206">
            <v>0.18611117959699799</v>
          </cell>
          <cell r="O206">
            <v>9.3865910420021306E-2</v>
          </cell>
          <cell r="P206">
            <v>0.32259807451016098</v>
          </cell>
          <cell r="Q206">
            <v>0.139314572304263</v>
          </cell>
          <cell r="R206">
            <v>3.3131912386811499E-2</v>
          </cell>
          <cell r="S206">
            <v>0.18928839691638699</v>
          </cell>
          <cell r="T206">
            <v>0.145307562146509</v>
          </cell>
          <cell r="U206">
            <v>0.17105426560082906</v>
          </cell>
        </row>
        <row r="207">
          <cell r="B207" t="str">
            <v>FY(10)</v>
          </cell>
          <cell r="C207">
            <v>0.10654125948116</v>
          </cell>
          <cell r="D207">
            <v>4.1285515537297798E-2</v>
          </cell>
          <cell r="E207">
            <v>0.107496389425249</v>
          </cell>
          <cell r="F207">
            <v>7.5295932389064305E-2</v>
          </cell>
          <cell r="G207" t="str">
            <v>NA</v>
          </cell>
          <cell r="H207">
            <v>0.11628038475819399</v>
          </cell>
          <cell r="I207">
            <v>0.11088291171594</v>
          </cell>
          <cell r="J207">
            <v>9.2963732217817521E-2</v>
          </cell>
          <cell r="K207">
            <v>5.049133925846503E-2</v>
          </cell>
          <cell r="M207">
            <v>0.24596643615836999</v>
          </cell>
          <cell r="N207" t="str">
            <v>NA</v>
          </cell>
          <cell r="O207">
            <v>0.210576485056506</v>
          </cell>
          <cell r="P207">
            <v>5.21366494610866E-2</v>
          </cell>
          <cell r="Q207" t="str">
            <v>NA</v>
          </cell>
          <cell r="R207">
            <v>0.117169916953809</v>
          </cell>
          <cell r="S207">
            <v>0.141444450374341</v>
          </cell>
          <cell r="T207">
            <v>0.15345878760082252</v>
          </cell>
          <cell r="U207">
            <v>6.7493365584078646E-2</v>
          </cell>
        </row>
        <row r="208">
          <cell r="B208" t="str">
            <v>FY(9)</v>
          </cell>
          <cell r="C208">
            <v>0.11279212932310199</v>
          </cell>
          <cell r="D208">
            <v>2.3743356300318898E-2</v>
          </cell>
          <cell r="E208">
            <v>0.10981540118866499</v>
          </cell>
          <cell r="F208">
            <v>4.8166922190552901E-2</v>
          </cell>
          <cell r="G208" t="str">
            <v>NA</v>
          </cell>
          <cell r="H208">
            <v>0.107708140232083</v>
          </cell>
          <cell r="I208">
            <v>0.105288786242118</v>
          </cell>
          <cell r="J208">
            <v>8.4585789246139964E-2</v>
          </cell>
          <cell r="K208">
            <v>6.6854567253156583E-2</v>
          </cell>
          <cell r="M208">
            <v>0.217006150246222</v>
          </cell>
          <cell r="N208" t="str">
            <v>NA</v>
          </cell>
          <cell r="O208">
            <v>0.15761843759838001</v>
          </cell>
          <cell r="P208">
            <v>0.109057511178796</v>
          </cell>
          <cell r="Q208">
            <v>0.119617483966938</v>
          </cell>
          <cell r="R208">
            <v>0.123628817429827</v>
          </cell>
          <cell r="S208">
            <v>8.2591350307093706E-2</v>
          </cell>
          <cell r="T208">
            <v>0.1349199584545428</v>
          </cell>
          <cell r="U208">
            <v>6.2671835934588374E-2</v>
          </cell>
        </row>
        <row r="209">
          <cell r="B209" t="str">
            <v>FY(8)</v>
          </cell>
          <cell r="C209">
            <v>0.121895261387256</v>
          </cell>
          <cell r="D209">
            <v>4.4840864445951298E-2</v>
          </cell>
          <cell r="E209">
            <v>9.0778166596210699E-2</v>
          </cell>
          <cell r="F209">
            <v>5.1583078684107803E-2</v>
          </cell>
          <cell r="G209" t="str">
            <v>NA</v>
          </cell>
          <cell r="H209">
            <v>0.101016719112437</v>
          </cell>
          <cell r="I209">
            <v>9.7420980097599405E-2</v>
          </cell>
          <cell r="J209">
            <v>8.4589178387260364E-2</v>
          </cell>
          <cell r="K209">
            <v>7.9104256172474144E-2</v>
          </cell>
          <cell r="M209">
            <v>0.21229194801138199</v>
          </cell>
          <cell r="N209" t="str">
            <v>NA</v>
          </cell>
          <cell r="O209">
            <v>0.125354912836943</v>
          </cell>
          <cell r="P209">
            <v>0.18950491213689699</v>
          </cell>
          <cell r="Q209">
            <v>4.3341725905182898E-2</v>
          </cell>
          <cell r="R209">
            <v>0.11469908311959499</v>
          </cell>
          <cell r="S209">
            <v>0.104911281424867</v>
          </cell>
          <cell r="T209">
            <v>0.13168397723914449</v>
          </cell>
          <cell r="U209">
            <v>8.2446112098941496E-2</v>
          </cell>
        </row>
        <row r="210">
          <cell r="B210" t="str">
            <v>FY(7)</v>
          </cell>
          <cell r="C210">
            <v>0.126810245320187</v>
          </cell>
          <cell r="D210">
            <v>5.4764210144329098E-2</v>
          </cell>
          <cell r="E210">
            <v>9.4986444537434697E-2</v>
          </cell>
          <cell r="F210">
            <v>6.1563338351046402E-2</v>
          </cell>
          <cell r="G210" t="str">
            <v>NA</v>
          </cell>
          <cell r="H210">
            <v>0.106063638704699</v>
          </cell>
          <cell r="I210">
            <v>9.5732300713944604E-2</v>
          </cell>
          <cell r="J210">
            <v>8.9986696295273463E-2</v>
          </cell>
          <cell r="K210">
            <v>8.6178097504502726E-2</v>
          </cell>
          <cell r="M210">
            <v>0.21801293290269699</v>
          </cell>
          <cell r="N210">
            <v>0.11287410012405499</v>
          </cell>
          <cell r="O210">
            <v>0.122291365147881</v>
          </cell>
          <cell r="P210">
            <v>0.18437789477477601</v>
          </cell>
          <cell r="Q210">
            <v>8.7338806887471199E-2</v>
          </cell>
          <cell r="R210">
            <v>0.12687120223199699</v>
          </cell>
          <cell r="S210">
            <v>0.13950150466586</v>
          </cell>
          <cell r="T210">
            <v>0.14160968667639101</v>
          </cell>
          <cell r="U210">
            <v>0.11034969363981655</v>
          </cell>
        </row>
        <row r="211">
          <cell r="B211" t="str">
            <v>FY(6)</v>
          </cell>
          <cell r="C211">
            <v>0.108047954277254</v>
          </cell>
          <cell r="D211">
            <v>5.0703380664547999E-2</v>
          </cell>
          <cell r="E211">
            <v>9.5768146292003697E-2</v>
          </cell>
          <cell r="F211">
            <v>8.2535377465315002E-2</v>
          </cell>
          <cell r="G211">
            <v>1.9157145659343199E-2</v>
          </cell>
          <cell r="H211">
            <v>0.107398523189671</v>
          </cell>
          <cell r="I211">
            <v>9.1469523537726499E-2</v>
          </cell>
          <cell r="J211">
            <v>7.929715015512305E-2</v>
          </cell>
          <cell r="K211">
            <v>8.1436451313366839E-2</v>
          </cell>
          <cell r="M211">
            <v>0.216222561525163</v>
          </cell>
          <cell r="N211">
            <v>0.13234334049889099</v>
          </cell>
          <cell r="O211">
            <v>0.110612853320826</v>
          </cell>
          <cell r="P211">
            <v>0.240935051303657</v>
          </cell>
          <cell r="Q211">
            <v>0.13334704983153001</v>
          </cell>
          <cell r="R211">
            <v>0.13269152851048399</v>
          </cell>
          <cell r="S211">
            <v>0.17248405496012101</v>
          </cell>
          <cell r="T211">
            <v>0.16266234856438172</v>
          </cell>
          <cell r="U211">
            <v>0.14076028169944199</v>
          </cell>
        </row>
        <row r="212">
          <cell r="A212">
            <v>2000</v>
          </cell>
          <cell r="B212" t="str">
            <v>FY(5)</v>
          </cell>
          <cell r="C212">
            <v>0.113436039411941</v>
          </cell>
          <cell r="D212">
            <v>7.5338323067859606E-2</v>
          </cell>
          <cell r="E212">
            <v>9.7238331901303696E-2</v>
          </cell>
          <cell r="F212">
            <v>0.109355106748422</v>
          </cell>
          <cell r="G212">
            <v>2.0287941822930301E-2</v>
          </cell>
          <cell r="H212">
            <v>7.93352332713676E-2</v>
          </cell>
          <cell r="I212">
            <v>8.7280861632871007E-2</v>
          </cell>
          <cell r="J212">
            <v>8.3181691122385035E-2</v>
          </cell>
          <cell r="K212">
            <v>8.9764950782320344E-2</v>
          </cell>
          <cell r="M212">
            <v>0.21242279879459999</v>
          </cell>
          <cell r="N212">
            <v>0.157604196782929</v>
          </cell>
          <cell r="O212">
            <v>0.21516424576365001</v>
          </cell>
          <cell r="P212">
            <v>0.31275101536816402</v>
          </cell>
          <cell r="Q212">
            <v>0.14017275860425901</v>
          </cell>
          <cell r="R212">
            <v>0.130761541438074</v>
          </cell>
          <cell r="S212">
            <v>0.19996045509637</v>
          </cell>
          <cell r="T212">
            <v>0.19554814454972089</v>
          </cell>
          <cell r="U212">
            <v>0.1550136456617576</v>
          </cell>
        </row>
        <row r="213">
          <cell r="A213">
            <v>2001</v>
          </cell>
          <cell r="B213" t="str">
            <v>FY(4)</v>
          </cell>
          <cell r="C213">
            <v>0.11680454107743</v>
          </cell>
          <cell r="D213">
            <v>9.2580669964256401E-2</v>
          </cell>
          <cell r="E213">
            <v>9.8942955410141198E-2</v>
          </cell>
          <cell r="F213">
            <v>0.124428348678587</v>
          </cell>
          <cell r="G213">
            <v>-9.4592348837632401E-3</v>
          </cell>
          <cell r="H213">
            <v>7.4757144563204897E-2</v>
          </cell>
          <cell r="I213">
            <v>8.2794827188631001E-2</v>
          </cell>
          <cell r="J213">
            <v>8.2978464571212468E-2</v>
          </cell>
          <cell r="K213">
            <v>9.473580456857901E-2</v>
          </cell>
          <cell r="M213">
            <v>0.233039181555631</v>
          </cell>
          <cell r="N213">
            <v>0.12361319562772401</v>
          </cell>
          <cell r="O213">
            <v>0.21547722725271901</v>
          </cell>
          <cell r="P213">
            <v>0.34780410902167203</v>
          </cell>
          <cell r="Q213">
            <v>0.117230758230149</v>
          </cell>
          <cell r="R213">
            <v>0.110869032060765</v>
          </cell>
          <cell r="S213">
            <v>0.20075437737826199</v>
          </cell>
          <cell r="T213">
            <v>0.19268398301813172</v>
          </cell>
          <cell r="U213">
            <v>0.14507144530249649</v>
          </cell>
        </row>
        <row r="214">
          <cell r="A214">
            <v>2002</v>
          </cell>
          <cell r="B214" t="str">
            <v>FY(3)</v>
          </cell>
          <cell r="C214">
            <v>0.12748457342528999</v>
          </cell>
          <cell r="D214">
            <v>0.10128323800949</v>
          </cell>
          <cell r="E214">
            <v>8.8825981202501902E-2</v>
          </cell>
          <cell r="F214">
            <v>0.13791227926454799</v>
          </cell>
          <cell r="G214">
            <v>3.6049113618738297E-2</v>
          </cell>
          <cell r="H214">
            <v>7.69283673526137E-2</v>
          </cell>
          <cell r="I214">
            <v>8.8027676105148195E-2</v>
          </cell>
          <cell r="J214">
            <v>9.3787318425475719E-2</v>
          </cell>
          <cell r="K214">
            <v>9.9506720199405665E-2</v>
          </cell>
          <cell r="M214">
            <v>0.22874091659773901</v>
          </cell>
          <cell r="N214">
            <v>0.123373610873832</v>
          </cell>
          <cell r="O214">
            <v>0.22342683138276001</v>
          </cell>
          <cell r="P214">
            <v>0.366717574168407</v>
          </cell>
          <cell r="Q214">
            <v>9.1135756537482807E-2</v>
          </cell>
          <cell r="R214">
            <v>0.119039877708797</v>
          </cell>
          <cell r="S214">
            <v>0.148900082034472</v>
          </cell>
          <cell r="T214">
            <v>0.18590494990049855</v>
          </cell>
          <cell r="U214">
            <v>0.13924057343994925</v>
          </cell>
        </row>
        <row r="215">
          <cell r="B215" t="str">
            <v>FY(2)</v>
          </cell>
          <cell r="C215">
            <v>0.120229101082013</v>
          </cell>
          <cell r="D215">
            <v>9.9917945317377396E-2</v>
          </cell>
          <cell r="E215">
            <v>8.3712371899757707E-2</v>
          </cell>
          <cell r="F215">
            <v>0.141168769910963</v>
          </cell>
          <cell r="G215">
            <v>5.3241220488638302E-2</v>
          </cell>
          <cell r="H215">
            <v>8.0680084886619E-2</v>
          </cell>
          <cell r="I215">
            <v>9.1177143561056995E-2</v>
          </cell>
          <cell r="J215">
            <v>9.5732376735203628E-2</v>
          </cell>
          <cell r="K215">
            <v>9.8350353610200822E-2</v>
          </cell>
          <cell r="M215">
            <v>0.22387977475239201</v>
          </cell>
          <cell r="N215">
            <v>0.13601620812028201</v>
          </cell>
          <cell r="O215">
            <v>0.20548696511230499</v>
          </cell>
          <cell r="P215">
            <v>0.39231026600996199</v>
          </cell>
          <cell r="Q215">
            <v>0.104332844583176</v>
          </cell>
          <cell r="R215">
            <v>0.10592190179769</v>
          </cell>
          <cell r="S215">
            <v>0.16927882985729301</v>
          </cell>
          <cell r="T215">
            <v>0.19103239860472856</v>
          </cell>
          <cell r="U215">
            <v>0.14786943414630094</v>
          </cell>
        </row>
        <row r="216">
          <cell r="B216" t="str">
            <v>FY(1)</v>
          </cell>
          <cell r="C216">
            <v>0.10404515414710699</v>
          </cell>
          <cell r="D216">
            <v>6.6687112181850305E-2</v>
          </cell>
          <cell r="E216">
            <v>6.2422589015533297E-2</v>
          </cell>
          <cell r="F216">
            <v>9.6331183538582305E-2</v>
          </cell>
          <cell r="G216">
            <v>-2.5775567746272501E-2</v>
          </cell>
          <cell r="H216">
            <v>8.4987217699881004E-2</v>
          </cell>
          <cell r="I216">
            <v>8.8731668016932094E-2</v>
          </cell>
          <cell r="J216">
            <v>6.8204193836230512E-2</v>
          </cell>
          <cell r="K216">
            <v>7.7130352208892403E-2</v>
          </cell>
          <cell r="M216">
            <v>0.162174892436177</v>
          </cell>
          <cell r="N216">
            <v>0.143185850472235</v>
          </cell>
          <cell r="O216">
            <v>0.11845502634267201</v>
          </cell>
          <cell r="P216">
            <v>0.380938063408366</v>
          </cell>
          <cell r="Q216">
            <v>0.13225723833184999</v>
          </cell>
          <cell r="R216">
            <v>9.2321754071047202E-2</v>
          </cell>
          <cell r="S216">
            <v>0.17103981252296999</v>
          </cell>
          <cell r="T216">
            <v>0.17148180536933103</v>
          </cell>
          <cell r="U216">
            <v>0.14808207163736606</v>
          </cell>
        </row>
        <row r="217">
          <cell r="B217" t="str">
            <v>FY0</v>
          </cell>
          <cell r="C217">
            <v>0.11160967981915799</v>
          </cell>
          <cell r="D217">
            <v>4.4509531460659599E-2</v>
          </cell>
          <cell r="E217">
            <v>6.7563520584211403E-2</v>
          </cell>
          <cell r="F217">
            <v>0.10336321093174</v>
          </cell>
          <cell r="G217">
            <v>6.6675553621336403E-3</v>
          </cell>
          <cell r="H217">
            <v>0.108715188123956</v>
          </cell>
          <cell r="I217">
            <v>0.10848544772318799</v>
          </cell>
          <cell r="J217">
            <v>7.8702019143578092E-2</v>
          </cell>
          <cell r="K217">
            <v>8.426922330633202E-2</v>
          </cell>
          <cell r="M217">
            <v>8.1209485992895E-2</v>
          </cell>
          <cell r="N217">
            <v>0.18103762550851499</v>
          </cell>
          <cell r="O217">
            <v>0.108703943060901</v>
          </cell>
          <cell r="P217">
            <v>0.32259807451016098</v>
          </cell>
          <cell r="Q217">
            <v>0.15763347545541601</v>
          </cell>
          <cell r="R217">
            <v>0.11851581812115999</v>
          </cell>
          <cell r="S217">
            <v>0.181223139443348</v>
          </cell>
          <cell r="T217">
            <v>0.16441736601319942</v>
          </cell>
          <cell r="U217">
            <v>0.15550303001779184</v>
          </cell>
        </row>
        <row r="218">
          <cell r="B218" t="str">
            <v>FY1</v>
          </cell>
          <cell r="C218">
            <v>0.12173197357092</v>
          </cell>
          <cell r="D218">
            <v>5.3357941063620601E-2</v>
          </cell>
          <cell r="E218">
            <v>7.6743634084078194E-2</v>
          </cell>
          <cell r="F218">
            <v>0.122034884477426</v>
          </cell>
          <cell r="G218">
            <v>2.6852759782130899E-2</v>
          </cell>
          <cell r="H218">
            <v>0.11615520703313</v>
          </cell>
          <cell r="I218">
            <v>0.11378526708237</v>
          </cell>
          <cell r="J218">
            <v>9.0094523870525106E-2</v>
          </cell>
          <cell r="K218">
            <v>9.4406529570118233E-2</v>
          </cell>
          <cell r="M218">
            <v>0.110449951715234</v>
          </cell>
          <cell r="N218">
            <v>0.17961474625858101</v>
          </cell>
          <cell r="O218">
            <v>0.151070371712476</v>
          </cell>
          <cell r="P218">
            <v>0.32594096856426003</v>
          </cell>
          <cell r="Q218">
            <v>0.15858628173175399</v>
          </cell>
          <cell r="R218">
            <v>0.13062810165174399</v>
          </cell>
          <cell r="S218">
            <v>0.195799470399631</v>
          </cell>
          <cell r="T218">
            <v>0.17886998457624004</v>
          </cell>
          <cell r="U218">
            <v>0.16625746057347451</v>
          </cell>
        </row>
        <row r="219">
          <cell r="B219" t="str">
            <v>FY2</v>
          </cell>
          <cell r="C219">
            <v>0.12631522029067799</v>
          </cell>
          <cell r="D219">
            <v>5.5975618834963901E-2</v>
          </cell>
          <cell r="E219">
            <v>7.8689982782334703E-2</v>
          </cell>
          <cell r="F219">
            <v>0.12637649445693799</v>
          </cell>
          <cell r="G219">
            <v>4.1867140413833298E-2</v>
          </cell>
          <cell r="H219">
            <v>0.12018114538755401</v>
          </cell>
          <cell r="I219">
            <v>0.111585418352566</v>
          </cell>
          <cell r="J219">
            <v>9.442728864555254E-2</v>
          </cell>
          <cell r="K219">
            <v>9.7307209378827392E-2</v>
          </cell>
          <cell r="M219">
            <v>0.12975727102665899</v>
          </cell>
          <cell r="N219">
            <v>0.156953262694106</v>
          </cell>
          <cell r="O219">
            <v>0.162948127561127</v>
          </cell>
          <cell r="P219">
            <v>0.32595194677751899</v>
          </cell>
          <cell r="Q219">
            <v>0.16028707682665699</v>
          </cell>
          <cell r="R219">
            <v>0.13357706976761999</v>
          </cell>
          <cell r="S219">
            <v>0.202178908336487</v>
          </cell>
          <cell r="T219">
            <v>0.18166480899859641</v>
          </cell>
          <cell r="U219">
            <v>0.16975468068720617</v>
          </cell>
        </row>
        <row r="220">
          <cell r="B220" t="str">
            <v>FQ(3)</v>
          </cell>
          <cell r="C220">
            <v>6.8993952721275398E-2</v>
          </cell>
          <cell r="D220">
            <v>2.72883950195312E-2</v>
          </cell>
          <cell r="E220">
            <v>4.6162723600692403E-3</v>
          </cell>
          <cell r="F220">
            <v>8.5580304806565102E-2</v>
          </cell>
          <cell r="G220">
            <v>3.82605840332482E-3</v>
          </cell>
          <cell r="H220">
            <v>8.9181892398848703E-2</v>
          </cell>
          <cell r="I220">
            <v>7.9421958998893996E-2</v>
          </cell>
          <cell r="J220">
            <v>5.1272690672644061E-2</v>
          </cell>
          <cell r="K220">
            <v>4.864096455229492E-2</v>
          </cell>
          <cell r="M220">
            <v>-5.6302754229894197E-2</v>
          </cell>
          <cell r="N220">
            <v>0.137599749034371</v>
          </cell>
          <cell r="O220">
            <v>4.4694444444444398E-2</v>
          </cell>
          <cell r="P220">
            <v>0.26859241099604197</v>
          </cell>
          <cell r="Q220">
            <v>0.11288775183882301</v>
          </cell>
          <cell r="R220">
            <v>3.7798864735685597E-2</v>
          </cell>
          <cell r="S220">
            <v>0.119855715755881</v>
          </cell>
          <cell r="T220">
            <v>9.5018026082193244E-2</v>
          </cell>
          <cell r="U220">
            <v>9.3790997831873113E-2</v>
          </cell>
        </row>
        <row r="221">
          <cell r="B221" t="str">
            <v>FQ(2)</v>
          </cell>
          <cell r="C221">
            <v>0.104834471886495</v>
          </cell>
          <cell r="D221">
            <v>1.6993645456715101E-2</v>
          </cell>
          <cell r="E221">
            <v>5.4608830364058898E-2</v>
          </cell>
          <cell r="F221">
            <v>9.6037296037295994E-2</v>
          </cell>
          <cell r="G221">
            <v>-0.120358699367629</v>
          </cell>
          <cell r="H221">
            <v>9.6878046132726006E-2</v>
          </cell>
          <cell r="I221">
            <v>8.8962087216757899E-2</v>
          </cell>
          <cell r="J221">
            <v>4.8279382532345698E-2</v>
          </cell>
          <cell r="K221">
            <v>6.6864824225143879E-2</v>
          </cell>
          <cell r="M221">
            <v>1.39449264854736E-2</v>
          </cell>
          <cell r="N221">
            <v>0.14350359807513999</v>
          </cell>
          <cell r="O221">
            <v>7.0433822590161704E-2</v>
          </cell>
          <cell r="P221">
            <v>0.28246698142319299</v>
          </cell>
          <cell r="Q221">
            <v>0.115562403697997</v>
          </cell>
          <cell r="R221">
            <v>7.1926004422701903E-2</v>
          </cell>
          <cell r="S221">
            <v>0.17103478651450199</v>
          </cell>
          <cell r="T221">
            <v>0.12412464617273845</v>
          </cell>
          <cell r="U221">
            <v>0.1135492742908866</v>
          </cell>
        </row>
        <row r="222">
          <cell r="B222" t="str">
            <v>FQ(1)</v>
          </cell>
          <cell r="C222">
            <v>8.3683041224388993E-2</v>
          </cell>
          <cell r="D222">
            <v>2.5595672348649401E-2</v>
          </cell>
          <cell r="E222">
            <v>1.6676141747204901E-2</v>
          </cell>
          <cell r="F222">
            <v>9.2077087794432494E-2</v>
          </cell>
          <cell r="G222">
            <v>2.50129071288527E-2</v>
          </cell>
          <cell r="H222">
            <v>9.9060912002999796E-2</v>
          </cell>
          <cell r="I222">
            <v>0.110329067258271</v>
          </cell>
          <cell r="J222">
            <v>6.4633547072114189E-2</v>
          </cell>
          <cell r="K222">
            <v>6.4062510814675261E-2</v>
          </cell>
          <cell r="M222">
            <v>6.0233466545661002E-2</v>
          </cell>
          <cell r="N222">
            <v>0.18611117959699799</v>
          </cell>
          <cell r="O222">
            <v>9.3865910420021306E-2</v>
          </cell>
          <cell r="P222">
            <v>0.29319168887248698</v>
          </cell>
          <cell r="Q222">
            <v>0.139314572304263</v>
          </cell>
          <cell r="R222">
            <v>3.3131912386811499E-2</v>
          </cell>
          <cell r="S222">
            <v>0.18928839691638699</v>
          </cell>
          <cell r="T222">
            <v>0.14216244672037553</v>
          </cell>
          <cell r="U222">
            <v>0.1262935483183491</v>
          </cell>
        </row>
        <row r="223">
          <cell r="B223" t="str">
            <v>Last Reported Q</v>
          </cell>
          <cell r="C223">
            <v>0.11160967981915799</v>
          </cell>
          <cell r="D223">
            <v>4.4509531460659599E-2</v>
          </cell>
          <cell r="E223">
            <v>6.7563520584211403E-2</v>
          </cell>
          <cell r="F223">
            <v>0.10336321093174</v>
          </cell>
          <cell r="G223">
            <v>6.6675553621336403E-3</v>
          </cell>
          <cell r="H223">
            <v>0.108715188123956</v>
          </cell>
          <cell r="I223">
            <v>0.10848544772318799</v>
          </cell>
          <cell r="J223">
            <v>7.8702019143578092E-2</v>
          </cell>
          <cell r="K223">
            <v>8.426922330633202E-2</v>
          </cell>
          <cell r="M223">
            <v>8.1209485992895E-2</v>
          </cell>
          <cell r="N223">
            <v>0.18103762550851499</v>
          </cell>
          <cell r="O223">
            <v>0.108703943060901</v>
          </cell>
          <cell r="P223">
            <v>0.35759174839554703</v>
          </cell>
          <cell r="Q223">
            <v>0.15763347545541601</v>
          </cell>
          <cell r="R223">
            <v>0.11851581812115999</v>
          </cell>
          <cell r="S223">
            <v>0.181223139443348</v>
          </cell>
          <cell r="T223">
            <v>0.16941646228254031</v>
          </cell>
          <cell r="U223">
            <v>0.14595170595884957</v>
          </cell>
        </row>
        <row r="224">
          <cell r="A224" t="str">
            <v>mscalc:ebitdaAsif</v>
          </cell>
          <cell r="B224" t="str">
            <v>LTM</v>
          </cell>
          <cell r="C224">
            <v>0.127067933826118</v>
          </cell>
          <cell r="D224">
            <v>6.9009009009008998E-2</v>
          </cell>
          <cell r="E224">
            <v>0.135049050834501</v>
          </cell>
          <cell r="F224">
            <v>0.12209531311540001</v>
          </cell>
          <cell r="G224">
            <v>3.6233813295468799E-2</v>
          </cell>
          <cell r="H224">
            <v>0.116748887156986</v>
          </cell>
          <cell r="I224">
            <v>0.108424358765925</v>
          </cell>
          <cell r="J224">
            <v>0.1020897665719154</v>
          </cell>
          <cell r="K224">
            <v>0.1107873274572532</v>
          </cell>
          <cell r="M224">
            <v>0.13743401378859399</v>
          </cell>
          <cell r="N224">
            <v>0.198633838519364</v>
          </cell>
          <cell r="O224">
            <v>0.115690329218107</v>
          </cell>
          <cell r="P224">
            <v>0.35759174839554703</v>
          </cell>
          <cell r="Q224">
            <v>0.137629839471199</v>
          </cell>
          <cell r="R224">
            <v>0.192253052164262</v>
          </cell>
          <cell r="S224">
            <v>0.20163706280278601</v>
          </cell>
          <cell r="T224">
            <v>0.19155284062283701</v>
          </cell>
          <cell r="U224">
            <v>0.16893854407472564</v>
          </cell>
        </row>
        <row r="225">
          <cell r="B225" t="str">
            <v>FY(2)</v>
          </cell>
          <cell r="C225">
            <v>2202.471</v>
          </cell>
          <cell r="D225">
            <v>2295</v>
          </cell>
          <cell r="E225">
            <v>3489</v>
          </cell>
          <cell r="F225">
            <v>1432.931</v>
          </cell>
          <cell r="G225">
            <v>194.42413565663199</v>
          </cell>
          <cell r="H225">
            <v>497.78500000000003</v>
          </cell>
          <cell r="I225">
            <v>1627.4839999999999</v>
          </cell>
          <cell r="J225">
            <v>1677.0135908080904</v>
          </cell>
          <cell r="K225">
            <v>11739.095135656633</v>
          </cell>
          <cell r="M225">
            <v>804.245</v>
          </cell>
          <cell r="N225">
            <v>188.31</v>
          </cell>
          <cell r="O225">
            <v>674.822</v>
          </cell>
          <cell r="P225">
            <v>1074.2840000000001</v>
          </cell>
          <cell r="Q225">
            <v>1710</v>
          </cell>
          <cell r="R225">
            <v>1492.085</v>
          </cell>
          <cell r="S225">
            <v>219.702</v>
          </cell>
          <cell r="T225">
            <v>880.49257142857152</v>
          </cell>
          <cell r="U225">
            <v>6163.4480000000003</v>
          </cell>
        </row>
        <row r="226">
          <cell r="B226" t="str">
            <v>Operating Margin Y/Y bps</v>
          </cell>
          <cell r="C226">
            <v>2256.6999999999998</v>
          </cell>
          <cell r="D226">
            <v>2308</v>
          </cell>
          <cell r="E226">
            <v>3355</v>
          </cell>
          <cell r="F226">
            <v>1481.8019999999999</v>
          </cell>
          <cell r="G226">
            <v>270.53497730279503</v>
          </cell>
          <cell r="H226">
            <v>541.79</v>
          </cell>
          <cell r="I226">
            <v>1827.10628618338</v>
          </cell>
          <cell r="J226">
            <v>1720.1333233551682</v>
          </cell>
          <cell r="K226">
            <v>12040.933263486177</v>
          </cell>
          <cell r="M226">
            <v>924.21299999999997</v>
          </cell>
          <cell r="N226">
            <v>236.45400000000001</v>
          </cell>
          <cell r="O226">
            <v>707.95799999999997</v>
          </cell>
          <cell r="P226">
            <v>1279.933</v>
          </cell>
          <cell r="Q226">
            <v>1896</v>
          </cell>
          <cell r="R226">
            <v>1213.1210000000001</v>
          </cell>
          <cell r="S226">
            <v>294.96199999999999</v>
          </cell>
          <cell r="T226">
            <v>936.09157142857134</v>
          </cell>
          <cell r="U226">
            <v>6552.6409999999996</v>
          </cell>
        </row>
        <row r="227">
          <cell r="B227" t="str">
            <v>FY(10)</v>
          </cell>
          <cell r="C227">
            <v>2077.9659999999999</v>
          </cell>
          <cell r="D227">
            <v>1597.80967741935</v>
          </cell>
          <cell r="E227">
            <v>2676</v>
          </cell>
          <cell r="F227">
            <v>1081.5509999999999</v>
          </cell>
          <cell r="G227">
            <v>20.883918009447999</v>
          </cell>
          <cell r="H227">
            <v>632.69015938101995</v>
          </cell>
          <cell r="I227">
            <v>1836.4380000000001</v>
          </cell>
          <cell r="J227">
            <v>1417.6198221156883</v>
          </cell>
          <cell r="K227">
            <v>9923.3387548098181</v>
          </cell>
          <cell r="M227">
            <v>696.773345376066</v>
          </cell>
          <cell r="N227">
            <v>294.072</v>
          </cell>
          <cell r="O227">
            <v>440.01</v>
          </cell>
          <cell r="P227">
            <v>1123.2919999999999</v>
          </cell>
          <cell r="Q227">
            <v>2116</v>
          </cell>
          <cell r="R227">
            <v>1060.547</v>
          </cell>
          <cell r="S227">
            <v>381.38400000000001</v>
          </cell>
          <cell r="T227">
            <v>873.15404933943807</v>
          </cell>
          <cell r="U227">
            <v>6112.0783453760669</v>
          </cell>
        </row>
        <row r="228">
          <cell r="B228" t="str">
            <v>FY(9)</v>
          </cell>
          <cell r="C228">
            <v>62.508698419419943</v>
          </cell>
          <cell r="D228">
            <v>1147.6229306386499</v>
          </cell>
          <cell r="E228">
            <v>23.190117634159929</v>
          </cell>
          <cell r="F228">
            <v>1067.8591081142599</v>
          </cell>
          <cell r="G228">
            <v>80.279486002775201</v>
          </cell>
          <cell r="H228">
            <v>-85.722445261109954</v>
          </cell>
          <cell r="I228">
            <v>-55.94125473822001</v>
          </cell>
          <cell r="J228">
            <v>-13.991220986437522</v>
          </cell>
          <cell r="K228">
            <v>163.63227994691553</v>
          </cell>
          <cell r="M228">
            <v>-289.60285912147998</v>
          </cell>
          <cell r="N228">
            <v>413.98299847029898</v>
          </cell>
          <cell r="O228">
            <v>-529.58047458125986</v>
          </cell>
          <cell r="P228">
            <v>569.20861717709397</v>
          </cell>
          <cell r="Q228">
            <v>2316.3087515114398</v>
          </cell>
          <cell r="R228">
            <v>64.589004760179918</v>
          </cell>
          <cell r="S228">
            <v>-588.53100067247294</v>
          </cell>
          <cell r="T228">
            <v>-154.78334248758779</v>
          </cell>
          <cell r="U228">
            <v>-48.215296494902724</v>
          </cell>
        </row>
        <row r="229">
          <cell r="A229">
            <v>2000</v>
          </cell>
          <cell r="B229" t="str">
            <v>FY(8)</v>
          </cell>
          <cell r="C229">
            <v>91.03132064154002</v>
          </cell>
          <cell r="D229">
            <v>210.97508145632401</v>
          </cell>
          <cell r="E229">
            <v>-190.37234592454294</v>
          </cell>
          <cell r="F229">
            <v>34.161564935549016</v>
          </cell>
          <cell r="G229">
            <v>120.232444262407</v>
          </cell>
          <cell r="H229">
            <v>-66.914211196460045</v>
          </cell>
          <cell r="I229">
            <v>-78.678061445185961</v>
          </cell>
          <cell r="J229">
            <v>3.3891411204012435E-2</v>
          </cell>
          <cell r="K229">
            <v>122.49688919317562</v>
          </cell>
          <cell r="M229">
            <v>-47.14202234840009</v>
          </cell>
          <cell r="N229">
            <v>424.20883851481801</v>
          </cell>
          <cell r="O229">
            <v>-322.63524761437014</v>
          </cell>
          <cell r="P229">
            <v>804.47400958100991</v>
          </cell>
          <cell r="Q229">
            <v>2331.5571745024199</v>
          </cell>
          <cell r="R229">
            <v>-89.297343102320013</v>
          </cell>
          <cell r="S229">
            <v>223.19931117773291</v>
          </cell>
          <cell r="T229">
            <v>113.71974153873052</v>
          </cell>
          <cell r="U229">
            <v>197.74276164353122</v>
          </cell>
        </row>
        <row r="230">
          <cell r="A230">
            <v>2001</v>
          </cell>
          <cell r="B230" t="str">
            <v>FY(7)</v>
          </cell>
          <cell r="C230">
            <v>49.149839329310083</v>
          </cell>
          <cell r="D230">
            <v>99.233456983777998</v>
          </cell>
          <cell r="E230">
            <v>42.082779412239979</v>
          </cell>
          <cell r="F230">
            <v>99.802596669385991</v>
          </cell>
          <cell r="G230">
            <v>-65.959999999999994</v>
          </cell>
          <cell r="H230">
            <v>50.469195922620003</v>
          </cell>
          <cell r="I230">
            <v>-16.886793836548009</v>
          </cell>
          <cell r="J230">
            <v>53.975179080130999</v>
          </cell>
          <cell r="K230">
            <v>70.738413320285829</v>
          </cell>
          <cell r="M230">
            <v>57.209848913150061</v>
          </cell>
          <cell r="N230">
            <v>128.65899999999999</v>
          </cell>
          <cell r="O230">
            <v>-30.635476890620016</v>
          </cell>
          <cell r="P230">
            <v>-51.270173621209835</v>
          </cell>
          <cell r="Q230">
            <v>439.97080982288298</v>
          </cell>
          <cell r="R230">
            <v>121.72119112402</v>
          </cell>
          <cell r="S230">
            <v>345.90223240993009</v>
          </cell>
          <cell r="T230">
            <v>147.14973862635887</v>
          </cell>
          <cell r="U230">
            <v>279.03581540875052</v>
          </cell>
        </row>
        <row r="231">
          <cell r="A231">
            <v>2002</v>
          </cell>
          <cell r="B231" t="str">
            <v>FY(6)</v>
          </cell>
          <cell r="C231">
            <v>-187.62291042933003</v>
          </cell>
          <cell r="D231">
            <v>-40.608294797810984</v>
          </cell>
          <cell r="E231">
            <v>7.8170175456900024</v>
          </cell>
          <cell r="F231">
            <v>209.720391142686</v>
          </cell>
          <cell r="G231">
            <v>35.716999999999999</v>
          </cell>
          <cell r="H231">
            <v>13.348844849720015</v>
          </cell>
          <cell r="I231">
            <v>-42.627771762181048</v>
          </cell>
          <cell r="J231">
            <v>-6.6621205752043409</v>
          </cell>
          <cell r="K231">
            <v>-47.416461911358873</v>
          </cell>
          <cell r="M231">
            <v>-17.903713775339892</v>
          </cell>
          <cell r="N231">
            <v>67.896000000000001</v>
          </cell>
          <cell r="O231">
            <v>-116.78511827054996</v>
          </cell>
          <cell r="P231">
            <v>565.57156528880989</v>
          </cell>
          <cell r="Q231">
            <v>460.0824294405881</v>
          </cell>
          <cell r="R231">
            <v>58.203262784869978</v>
          </cell>
          <cell r="S231">
            <v>329.82550294261006</v>
          </cell>
          <cell r="T231">
            <v>213.16565473516471</v>
          </cell>
          <cell r="U231">
            <v>304.10588059625445</v>
          </cell>
        </row>
        <row r="232">
          <cell r="B232" t="str">
            <v>FY(5)</v>
          </cell>
          <cell r="C232">
            <v>53.880851346869981</v>
          </cell>
          <cell r="D232">
            <v>246.34942403311607</v>
          </cell>
          <cell r="E232">
            <v>14.701856092999982</v>
          </cell>
          <cell r="F232">
            <v>268.19729283106994</v>
          </cell>
          <cell r="G232">
            <v>-31.690999999999999</v>
          </cell>
          <cell r="H232">
            <v>-280.63289918303394</v>
          </cell>
          <cell r="I232">
            <v>-41.886619048554927</v>
          </cell>
          <cell r="J232">
            <v>43.434984345411188</v>
          </cell>
          <cell r="K232">
            <v>83.28499468953504</v>
          </cell>
          <cell r="M232">
            <v>-37.997627305630111</v>
          </cell>
          <cell r="N232">
            <v>252.60856284038013</v>
          </cell>
          <cell r="O232">
            <v>1045.51392442824</v>
          </cell>
          <cell r="P232">
            <v>718.15964064507023</v>
          </cell>
          <cell r="Q232">
            <v>68.257087727290056</v>
          </cell>
          <cell r="R232">
            <v>-19.29987072409989</v>
          </cell>
          <cell r="S232">
            <v>274.76400136248998</v>
          </cell>
          <cell r="T232">
            <v>328.85795985339149</v>
          </cell>
          <cell r="U232">
            <v>142.53363962315606</v>
          </cell>
        </row>
        <row r="233">
          <cell r="B233" t="str">
            <v>FY(4)</v>
          </cell>
          <cell r="C233">
            <v>33.68501665489007</v>
          </cell>
          <cell r="D233">
            <v>172.42346896396796</v>
          </cell>
          <cell r="E233">
            <v>17.046235088375024</v>
          </cell>
          <cell r="F233">
            <v>150.73241930165003</v>
          </cell>
          <cell r="G233">
            <v>-297.4717670669354</v>
          </cell>
          <cell r="H233">
            <v>-45.780887081627029</v>
          </cell>
          <cell r="I233">
            <v>-44.860344442400056</v>
          </cell>
          <cell r="J233">
            <v>-2.0322655117256292</v>
          </cell>
          <cell r="K233">
            <v>49.708537862586667</v>
          </cell>
          <cell r="M233">
            <v>206.16382761031005</v>
          </cell>
          <cell r="N233">
            <v>-339.91001155204992</v>
          </cell>
          <cell r="O233">
            <v>3.1298148906899748</v>
          </cell>
          <cell r="P233">
            <v>350.53093653508006</v>
          </cell>
          <cell r="Q233">
            <v>-229.42000374110012</v>
          </cell>
          <cell r="R233">
            <v>-198.92509377309005</v>
          </cell>
          <cell r="S233">
            <v>7.9392228189198448</v>
          </cell>
          <cell r="T233">
            <v>-28.64161531589145</v>
          </cell>
          <cell r="U233">
            <v>-99.422003592611048</v>
          </cell>
        </row>
        <row r="234">
          <cell r="B234" t="str">
            <v>FY(3)</v>
          </cell>
          <cell r="C234">
            <v>106.80032347859984</v>
          </cell>
          <cell r="D234">
            <v>87.025680452336019</v>
          </cell>
          <cell r="E234">
            <v>-101.16974207639295</v>
          </cell>
          <cell r="F234">
            <v>134.83930585960994</v>
          </cell>
          <cell r="G234">
            <v>455.08348502501536</v>
          </cell>
          <cell r="H234">
            <v>21.712227894088027</v>
          </cell>
          <cell r="I234">
            <v>52.328489165171938</v>
          </cell>
          <cell r="J234">
            <v>108.08853854263261</v>
          </cell>
          <cell r="K234">
            <v>47.709156308266557</v>
          </cell>
          <cell r="M234">
            <v>-42.98264957891984</v>
          </cell>
          <cell r="N234">
            <v>-2.3958475389200542</v>
          </cell>
          <cell r="O234">
            <v>79.496041300410042</v>
          </cell>
          <cell r="P234">
            <v>189.13465146734976</v>
          </cell>
          <cell r="Q234">
            <v>-260.95001692666193</v>
          </cell>
          <cell r="R234">
            <v>81.708456480319995</v>
          </cell>
          <cell r="S234">
            <v>-518.54295343789988</v>
          </cell>
          <cell r="T234">
            <v>-67.790331176331705</v>
          </cell>
          <cell r="U234">
            <v>-58.30871862547243</v>
          </cell>
        </row>
        <row r="235">
          <cell r="B235" t="str">
            <v>FY(2)</v>
          </cell>
          <cell r="C235">
            <v>-72.55472343276989</v>
          </cell>
          <cell r="D235">
            <v>-13.652926921126074</v>
          </cell>
          <cell r="E235">
            <v>-51.136093027441959</v>
          </cell>
          <cell r="F235">
            <v>32.564906464150056</v>
          </cell>
          <cell r="G235">
            <v>171.92106869900005</v>
          </cell>
          <cell r="H235">
            <v>37.517175340053001</v>
          </cell>
          <cell r="I235">
            <v>31.494674559087997</v>
          </cell>
          <cell r="J235">
            <v>19.450583097279029</v>
          </cell>
          <cell r="K235">
            <v>-11.563665892048435</v>
          </cell>
          <cell r="M235">
            <v>-48.611418453470002</v>
          </cell>
          <cell r="N235">
            <v>126.42597246450005</v>
          </cell>
          <cell r="O235">
            <v>-179.39866270455019</v>
          </cell>
          <cell r="P235">
            <v>255.92691841554992</v>
          </cell>
          <cell r="Q235">
            <v>131.97088045693195</v>
          </cell>
          <cell r="R235">
            <v>-131.17975911106998</v>
          </cell>
          <cell r="S235">
            <v>203.78747822821009</v>
          </cell>
          <cell r="T235">
            <v>51.274487042300265</v>
          </cell>
          <cell r="U235">
            <v>86.288607063516878</v>
          </cell>
        </row>
        <row r="236">
          <cell r="B236" t="str">
            <v>FY(1)</v>
          </cell>
          <cell r="C236">
            <v>-161.83946934906004</v>
          </cell>
          <cell r="D236">
            <v>-332.30833135527092</v>
          </cell>
          <cell r="E236">
            <v>-212.89782884224408</v>
          </cell>
          <cell r="F236">
            <v>-448.37586372380696</v>
          </cell>
          <cell r="G236">
            <v>-790.16788234910803</v>
          </cell>
          <cell r="H236">
            <v>43.071328132620046</v>
          </cell>
          <cell r="I236">
            <v>-24.454755441249006</v>
          </cell>
          <cell r="J236">
            <v>-275.28182898973131</v>
          </cell>
          <cell r="K236">
            <v>-212.2000140130842</v>
          </cell>
          <cell r="M236">
            <v>-617.04882316215014</v>
          </cell>
          <cell r="N236">
            <v>71.696423519529986</v>
          </cell>
          <cell r="O236">
            <v>-870.31938769632984</v>
          </cell>
          <cell r="P236">
            <v>-113.72202601595993</v>
          </cell>
          <cell r="Q236">
            <v>279.24393748673992</v>
          </cell>
          <cell r="R236">
            <v>-136.00147726642794</v>
          </cell>
          <cell r="S236">
            <v>17.609826656769801</v>
          </cell>
          <cell r="T236">
            <v>-195.50593235397542</v>
          </cell>
          <cell r="U236">
            <v>2.1263749106512075</v>
          </cell>
        </row>
        <row r="237">
          <cell r="B237" t="str">
            <v>FY0</v>
          </cell>
          <cell r="C237">
            <v>75.645256720510005</v>
          </cell>
          <cell r="D237">
            <v>-221.77580721190708</v>
          </cell>
          <cell r="E237">
            <v>51.409315686781056</v>
          </cell>
          <cell r="F237">
            <v>70.320273931576978</v>
          </cell>
          <cell r="G237">
            <v>324.43123108406144</v>
          </cell>
          <cell r="H237">
            <v>237.27970424074999</v>
          </cell>
          <cell r="I237">
            <v>197.53779706255901</v>
          </cell>
          <cell r="J237">
            <v>104.97825307347591</v>
          </cell>
          <cell r="K237">
            <v>71.388710974396176</v>
          </cell>
          <cell r="M237">
            <v>-809.65406443281995</v>
          </cell>
          <cell r="N237">
            <v>378.51775036279986</v>
          </cell>
          <cell r="O237">
            <v>-97.510832817710025</v>
          </cell>
          <cell r="P237">
            <v>-583.39988898205024</v>
          </cell>
          <cell r="Q237">
            <v>253.76237123566014</v>
          </cell>
          <cell r="R237">
            <v>261.94064050112792</v>
          </cell>
          <cell r="S237">
            <v>101.83326920378016</v>
          </cell>
          <cell r="T237">
            <v>-70.644393561316008</v>
          </cell>
          <cell r="U237">
            <v>74.20958380425779</v>
          </cell>
        </row>
        <row r="238">
          <cell r="B238" t="str">
            <v>FY1</v>
          </cell>
          <cell r="C238">
            <v>101.22293751762004</v>
          </cell>
          <cell r="D238">
            <v>88.484096029610015</v>
          </cell>
          <cell r="E238">
            <v>91.801134998667905</v>
          </cell>
          <cell r="F238">
            <v>186.71673545685996</v>
          </cell>
          <cell r="G238">
            <v>201.85204419997257</v>
          </cell>
          <cell r="H238">
            <v>74.400189091739932</v>
          </cell>
          <cell r="I238">
            <v>52.998193591820012</v>
          </cell>
          <cell r="J238">
            <v>113.92504726947006</v>
          </cell>
          <cell r="K238">
            <v>101.37306263786213</v>
          </cell>
          <cell r="M238">
            <v>292.40465722339002</v>
          </cell>
          <cell r="N238">
            <v>-14.228792499339782</v>
          </cell>
          <cell r="O238">
            <v>423.66428651575001</v>
          </cell>
          <cell r="P238">
            <v>33.428940540990439</v>
          </cell>
          <cell r="Q238">
            <v>9.5280627633798076</v>
          </cell>
          <cell r="R238">
            <v>121.12283530583994</v>
          </cell>
          <cell r="S238">
            <v>145.76330956282996</v>
          </cell>
          <cell r="T238">
            <v>144.52618563040576</v>
          </cell>
          <cell r="U238">
            <v>107.54430555682676</v>
          </cell>
        </row>
        <row r="239">
          <cell r="B239" t="str">
            <v>FY2</v>
          </cell>
          <cell r="C239">
            <v>45.832467197579888</v>
          </cell>
          <cell r="D239">
            <v>26.176777713433005</v>
          </cell>
          <cell r="E239">
            <v>19.463486982565087</v>
          </cell>
          <cell r="F239">
            <v>43.416099795119955</v>
          </cell>
          <cell r="G239">
            <v>150.143806317024</v>
          </cell>
          <cell r="H239">
            <v>40.259383544240109</v>
          </cell>
          <cell r="I239">
            <v>-21.998487298039993</v>
          </cell>
          <cell r="J239">
            <v>43.327647750274579</v>
          </cell>
          <cell r="K239">
            <v>29.006798087091585</v>
          </cell>
          <cell r="M239">
            <v>193.07319311424988</v>
          </cell>
          <cell r="N239">
            <v>-226.61483564475006</v>
          </cell>
          <cell r="O239">
            <v>118.77755848651</v>
          </cell>
          <cell r="P239">
            <v>0.10978213258960867</v>
          </cell>
          <cell r="Q239">
            <v>17.007950949030072</v>
          </cell>
          <cell r="R239">
            <v>29.489681158759996</v>
          </cell>
          <cell r="S239">
            <v>63.794379368559973</v>
          </cell>
          <cell r="T239">
            <v>27.948244223564213</v>
          </cell>
          <cell r="U239">
            <v>34.972201137316581</v>
          </cell>
        </row>
        <row r="240">
          <cell r="B240" t="str">
            <v>FY1</v>
          </cell>
          <cell r="C240">
            <v>0.13117500179456759</v>
          </cell>
          <cell r="D240">
            <v>6.5535084047614267E-2</v>
          </cell>
          <cell r="E240">
            <v>0.10804999268238555</v>
          </cell>
          <cell r="F240">
            <v>0.13221807124923712</v>
          </cell>
          <cell r="G240">
            <v>3.1162078748501736E-2</v>
          </cell>
          <cell r="H240">
            <v>0.12228683052740648</v>
          </cell>
          <cell r="I240">
            <v>0.1153049316705531</v>
          </cell>
          <cell r="J240">
            <v>0.10081885581718085</v>
          </cell>
          <cell r="K240">
            <v>0.10694626695883833</v>
          </cell>
          <cell r="M240">
            <v>0.12962426004451924</v>
          </cell>
          <cell r="N240">
            <v>0.18973740063040617</v>
          </cell>
          <cell r="O240">
            <v>0.13377350142150843</v>
          </cell>
          <cell r="P240">
            <v>0.35011759997554609</v>
          </cell>
          <cell r="Q240">
            <v>0.16236654871799841</v>
          </cell>
          <cell r="R240">
            <v>0.13396830763081341</v>
          </cell>
          <cell r="S240">
            <v>0.21679103616775808</v>
          </cell>
          <cell r="T240">
            <v>0.18805409351264998</v>
          </cell>
          <cell r="U240">
            <v>0.1733366804761057</v>
          </cell>
        </row>
        <row r="241">
          <cell r="A241" t="str">
            <v>mscalc:ebitdaAsif</v>
          </cell>
          <cell r="B241" t="str">
            <v>EBITDA</v>
          </cell>
          <cell r="C241">
            <v>0.13801265994185535</v>
          </cell>
          <cell r="D241">
            <v>7.4867910171283802E-2</v>
          </cell>
          <cell r="E241">
            <v>0.1136629993270056</v>
          </cell>
          <cell r="F241">
            <v>0.14093185001476541</v>
          </cell>
          <cell r="G241">
            <v>4.5921397918058639E-2</v>
          </cell>
          <cell r="H241">
            <v>0.1175957634752702</v>
          </cell>
          <cell r="I241">
            <v>0.11813013251826068</v>
          </cell>
          <cell r="J241">
            <v>0.10701753048092852</v>
          </cell>
          <cell r="K241">
            <v>0.11299195340745029</v>
          </cell>
          <cell r="M241">
            <v>0.14313028905740297</v>
          </cell>
          <cell r="N241">
            <v>0.17561141951556042</v>
          </cell>
          <cell r="O241">
            <v>0.15127350142150642</v>
          </cell>
          <cell r="P241">
            <v>0.35199628077742695</v>
          </cell>
          <cell r="Q241">
            <v>0.16530301615151075</v>
          </cell>
          <cell r="R241">
            <v>0.14404459148537194</v>
          </cell>
          <cell r="S241">
            <v>0.22707900481134527</v>
          </cell>
          <cell r="T241">
            <v>0.19406258617430353</v>
          </cell>
          <cell r="U241">
            <v>0.18029940089007807</v>
          </cell>
        </row>
        <row r="242">
          <cell r="B242" t="str">
            <v>FY(2)</v>
          </cell>
          <cell r="C242">
            <v>2256.6999999999998</v>
          </cell>
          <cell r="D242">
            <v>2308</v>
          </cell>
          <cell r="E242">
            <v>3355</v>
          </cell>
          <cell r="F242">
            <v>1481.8019999999999</v>
          </cell>
          <cell r="G242">
            <v>270.53497730279503</v>
          </cell>
          <cell r="H242">
            <v>541.79</v>
          </cell>
          <cell r="I242">
            <v>1827.10628618338</v>
          </cell>
          <cell r="J242">
            <v>1720.1333233551682</v>
          </cell>
          <cell r="K242">
            <v>12040.933263486177</v>
          </cell>
          <cell r="M242">
            <v>962.62599999999998</v>
          </cell>
          <cell r="N242">
            <v>236.45400000000001</v>
          </cell>
          <cell r="O242">
            <v>707.95799999999997</v>
          </cell>
          <cell r="P242">
            <v>1074.2840000000001</v>
          </cell>
          <cell r="Q242">
            <v>1896</v>
          </cell>
          <cell r="R242">
            <v>1213.1210000000001</v>
          </cell>
          <cell r="S242">
            <v>294.96199999999999</v>
          </cell>
          <cell r="T242">
            <v>912.20071428571441</v>
          </cell>
          <cell r="U242">
            <v>6385.4050000000007</v>
          </cell>
        </row>
        <row r="243">
          <cell r="B243" t="str">
            <v>FY(1)</v>
          </cell>
          <cell r="C243">
            <v>2077.9659999999999</v>
          </cell>
          <cell r="D243">
            <v>1597.80967741935</v>
          </cell>
          <cell r="E243">
            <v>2676</v>
          </cell>
          <cell r="F243">
            <v>1081.5509999999999</v>
          </cell>
          <cell r="G243">
            <v>24.9609180094481</v>
          </cell>
          <cell r="H243">
            <v>632.69015938101995</v>
          </cell>
          <cell r="I243">
            <v>1836.4380000000001</v>
          </cell>
          <cell r="J243">
            <v>1418.2022506871167</v>
          </cell>
          <cell r="K243">
            <v>9927.4157548098174</v>
          </cell>
          <cell r="M243">
            <v>725.05174913631095</v>
          </cell>
          <cell r="N243">
            <v>294.072</v>
          </cell>
          <cell r="O243">
            <v>440.01</v>
          </cell>
          <cell r="P243">
            <v>1279.933</v>
          </cell>
          <cell r="Q243">
            <v>2116</v>
          </cell>
          <cell r="R243">
            <v>1060.547</v>
          </cell>
          <cell r="S243">
            <v>381.38400000000001</v>
          </cell>
          <cell r="T243">
            <v>899.57110701947306</v>
          </cell>
          <cell r="U243">
            <v>6296.9977491363115</v>
          </cell>
        </row>
        <row r="244">
          <cell r="B244" t="str">
            <v>FY0</v>
          </cell>
          <cell r="C244">
            <v>2301</v>
          </cell>
          <cell r="D244">
            <v>1158</v>
          </cell>
          <cell r="E244">
            <v>2664</v>
          </cell>
          <cell r="F244">
            <v>1147</v>
          </cell>
          <cell r="G244">
            <v>115.125</v>
          </cell>
          <cell r="H244">
            <v>885.16499999999996</v>
          </cell>
          <cell r="I244">
            <v>2426.2710000000002</v>
          </cell>
          <cell r="J244">
            <v>1528.0801428571431</v>
          </cell>
          <cell r="K244">
            <v>10696.561000000002</v>
          </cell>
          <cell r="M244">
            <v>387.79300000000001</v>
          </cell>
          <cell r="N244">
            <v>438.83600000000001</v>
          </cell>
          <cell r="O244">
            <v>401.83100000000002</v>
          </cell>
          <cell r="P244">
            <v>1123.2919999999999</v>
          </cell>
          <cell r="Q244">
            <v>2384</v>
          </cell>
          <cell r="R244">
            <v>1218.6880000000001</v>
          </cell>
          <cell r="S244">
            <v>430.70760552622602</v>
          </cell>
          <cell r="T244">
            <v>912.1639436466038</v>
          </cell>
          <cell r="U244">
            <v>6385.1476055262265</v>
          </cell>
        </row>
        <row r="245">
          <cell r="B245" t="str">
            <v>FY1</v>
          </cell>
          <cell r="C245">
            <v>2686.84181622079</v>
          </cell>
          <cell r="D245">
            <v>1347.8740241831399</v>
          </cell>
          <cell r="E245">
            <v>2960.5821133261602</v>
          </cell>
          <cell r="F245">
            <v>1374.02006461376</v>
          </cell>
          <cell r="G245">
            <v>161.96668774929</v>
          </cell>
          <cell r="H245">
            <v>1041.9889630135999</v>
          </cell>
          <cell r="I245">
            <v>2767.47676537285</v>
          </cell>
          <cell r="J245">
            <v>1762.9643477827988</v>
          </cell>
          <cell r="K245">
            <v>12340.750434479591</v>
          </cell>
          <cell r="M245">
            <v>506.856434846556</v>
          </cell>
          <cell r="N245">
            <v>482.94581708179197</v>
          </cell>
          <cell r="O245">
            <v>538.32960467117198</v>
          </cell>
          <cell r="P245">
            <v>1229.7363768574801</v>
          </cell>
          <cell r="Q245">
            <v>2324.7604263346402</v>
          </cell>
          <cell r="R245">
            <v>1405.9915882274099</v>
          </cell>
          <cell r="S245">
            <v>533.82068847242601</v>
          </cell>
          <cell r="T245">
            <v>1003.2058480702109</v>
          </cell>
          <cell r="U245">
            <v>7022.4409364914764</v>
          </cell>
        </row>
        <row r="246">
          <cell r="B246" t="str">
            <v>FY2</v>
          </cell>
          <cell r="C246">
            <v>3008.6000665880301</v>
          </cell>
          <cell r="D246">
            <v>1441.20570650286</v>
          </cell>
          <cell r="E246">
            <v>3034.9502716429602</v>
          </cell>
          <cell r="F246">
            <v>1490.9045633425301</v>
          </cell>
          <cell r="G246">
            <v>234.34480855729399</v>
          </cell>
          <cell r="H246">
            <v>1101.5944246275301</v>
          </cell>
          <cell r="I246">
            <v>2899.7095667612998</v>
          </cell>
          <cell r="J246">
            <v>1887.3299154317865</v>
          </cell>
          <cell r="K246">
            <v>13211.309408022506</v>
          </cell>
          <cell r="M246">
            <v>606.38347910348796</v>
          </cell>
          <cell r="N246">
            <v>494.18589722787698</v>
          </cell>
          <cell r="O246">
            <v>636.55593877707702</v>
          </cell>
          <cell r="P246">
            <v>1322.4822084172999</v>
          </cell>
          <cell r="Q246">
            <v>2344.0587649516701</v>
          </cell>
          <cell r="R246">
            <v>1533.4490512956399</v>
          </cell>
          <cell r="S246">
            <v>628.90968806985495</v>
          </cell>
          <cell r="T246">
            <v>1080.8607182632725</v>
          </cell>
          <cell r="U246">
            <v>7566.0250278429075</v>
          </cell>
        </row>
        <row r="247">
          <cell r="B247" t="str">
            <v>FQ(3)</v>
          </cell>
          <cell r="C247">
            <v>392</v>
          </cell>
          <cell r="D247">
            <v>226</v>
          </cell>
          <cell r="E247">
            <v>327</v>
          </cell>
          <cell r="F247">
            <v>223</v>
          </cell>
          <cell r="G247">
            <v>35.716999999999999</v>
          </cell>
          <cell r="H247">
            <v>188.416</v>
          </cell>
          <cell r="I247">
            <v>449.96800000000002</v>
          </cell>
          <cell r="J247">
            <v>263.15728571428571</v>
          </cell>
          <cell r="K247">
            <v>1842.1010000000001</v>
          </cell>
          <cell r="M247">
            <v>25.797000000000001</v>
          </cell>
          <cell r="N247">
            <v>67.896000000000001</v>
          </cell>
          <cell r="O247">
            <v>62.247</v>
          </cell>
          <cell r="P247">
            <v>229.47300000000001</v>
          </cell>
          <cell r="Q247">
            <v>496</v>
          </cell>
          <cell r="R247">
            <v>150.21199999999999</v>
          </cell>
          <cell r="S247">
            <v>68.209999999999994</v>
          </cell>
          <cell r="T247">
            <v>157.11928571428572</v>
          </cell>
          <cell r="U247">
            <v>1099.835</v>
          </cell>
        </row>
        <row r="248">
          <cell r="B248" t="str">
            <v>FQ(2)</v>
          </cell>
          <cell r="C248">
            <v>543</v>
          </cell>
          <cell r="D248">
            <v>188</v>
          </cell>
          <cell r="E248">
            <v>583</v>
          </cell>
          <cell r="F248">
            <v>284</v>
          </cell>
          <cell r="G248">
            <v>-31.690999999999999</v>
          </cell>
          <cell r="H248">
            <v>209.28800000000001</v>
          </cell>
          <cell r="I248">
            <v>527.60299999999995</v>
          </cell>
          <cell r="J248">
            <v>329.02857142857141</v>
          </cell>
          <cell r="K248">
            <v>2303.1999999999998</v>
          </cell>
          <cell r="M248">
            <v>67.600999999999999</v>
          </cell>
          <cell r="N248">
            <v>77.688999999999993</v>
          </cell>
          <cell r="O248">
            <v>81.658000000000001</v>
          </cell>
          <cell r="P248">
            <v>250.87799999999999</v>
          </cell>
          <cell r="Q248">
            <v>516</v>
          </cell>
          <cell r="R248">
            <v>236.643</v>
          </cell>
          <cell r="S248">
            <v>101.444</v>
          </cell>
          <cell r="T248">
            <v>190.27328571428572</v>
          </cell>
          <cell r="U248">
            <v>1331.913</v>
          </cell>
        </row>
        <row r="249">
          <cell r="B249" t="str">
            <v>FQ(1)</v>
          </cell>
          <cell r="C249">
            <v>489</v>
          </cell>
          <cell r="D249">
            <v>230</v>
          </cell>
          <cell r="E249">
            <v>389</v>
          </cell>
          <cell r="F249">
            <v>251</v>
          </cell>
          <cell r="G249">
            <v>48.911000000000001</v>
          </cell>
          <cell r="H249">
            <v>212.46199999999999</v>
          </cell>
          <cell r="I249">
            <v>688.21</v>
          </cell>
          <cell r="J249">
            <v>329.79757142857142</v>
          </cell>
          <cell r="K249">
            <v>2308.5830000000001</v>
          </cell>
          <cell r="M249">
            <v>105.699</v>
          </cell>
          <cell r="N249">
            <v>118.661</v>
          </cell>
          <cell r="O249">
            <v>106.85899999999999</v>
          </cell>
          <cell r="P249">
            <v>256.62700000000001</v>
          </cell>
          <cell r="Q249">
            <v>647</v>
          </cell>
          <cell r="R249">
            <v>147.88499999999999</v>
          </cell>
          <cell r="S249">
            <v>119.389</v>
          </cell>
          <cell r="T249">
            <v>214.58857142857141</v>
          </cell>
          <cell r="U249">
            <v>1502.12</v>
          </cell>
        </row>
        <row r="250">
          <cell r="B250" t="str">
            <v>Last Reported Q</v>
          </cell>
          <cell r="C250">
            <v>2301</v>
          </cell>
          <cell r="D250">
            <v>1158</v>
          </cell>
          <cell r="E250">
            <v>2664</v>
          </cell>
          <cell r="F250">
            <v>1147</v>
          </cell>
          <cell r="G250">
            <v>115.125</v>
          </cell>
          <cell r="H250">
            <v>885.16499999999996</v>
          </cell>
          <cell r="I250">
            <v>2426.2710000000002</v>
          </cell>
          <cell r="J250">
            <v>1528.0801428571431</v>
          </cell>
          <cell r="K250">
            <v>10696.561000000002</v>
          </cell>
          <cell r="M250">
            <v>387.79300000000001</v>
          </cell>
          <cell r="N250">
            <v>438.83600000000001</v>
          </cell>
          <cell r="O250">
            <v>401.83100000000002</v>
          </cell>
          <cell r="P250">
            <v>408.89</v>
          </cell>
          <cell r="Q250">
            <v>2384</v>
          </cell>
          <cell r="R250">
            <v>1218.6880000000001</v>
          </cell>
          <cell r="S250">
            <v>430.70760552622602</v>
          </cell>
          <cell r="T250">
            <v>810.10651507517525</v>
          </cell>
          <cell r="U250">
            <v>5670.7456055262264</v>
          </cell>
        </row>
        <row r="251">
          <cell r="B251" t="str">
            <v>LTM</v>
          </cell>
          <cell r="C251">
            <v>3725</v>
          </cell>
          <cell r="D251">
            <v>1802</v>
          </cell>
          <cell r="E251">
            <v>3963</v>
          </cell>
          <cell r="F251">
            <v>1905</v>
          </cell>
          <cell r="G251">
            <v>168.06200000000001</v>
          </cell>
          <cell r="H251">
            <v>1495.3309999999999</v>
          </cell>
          <cell r="I251">
            <v>4092.0520000000001</v>
          </cell>
          <cell r="J251">
            <v>2450.0635714285713</v>
          </cell>
          <cell r="K251">
            <v>17150.445</v>
          </cell>
          <cell r="M251">
            <v>586.89</v>
          </cell>
          <cell r="N251">
            <v>703.08199999999999</v>
          </cell>
          <cell r="O251">
            <v>652.59500000000003</v>
          </cell>
          <cell r="P251">
            <v>1145.8679999999999</v>
          </cell>
          <cell r="Q251">
            <v>4043</v>
          </cell>
          <cell r="R251">
            <v>1753.4280000000001</v>
          </cell>
          <cell r="S251">
            <v>719.75060552622608</v>
          </cell>
          <cell r="T251">
            <v>1372.0876579323178</v>
          </cell>
          <cell r="U251">
            <v>9604.613605526225</v>
          </cell>
        </row>
        <row r="252">
          <cell r="B252" t="str">
            <v>FY1</v>
          </cell>
          <cell r="C252">
            <v>7.9293440159680317E-2</v>
          </cell>
          <cell r="D252">
            <v>-0.28175242217070839</v>
          </cell>
          <cell r="E252">
            <v>-5.8706764560482072E-2</v>
          </cell>
          <cell r="F252">
            <v>-1.2659497227352157E-2</v>
          </cell>
          <cell r="G252">
            <v>2.8440816501221811</v>
          </cell>
          <cell r="H252">
            <v>0.37739008200740787</v>
          </cell>
          <cell r="I252">
            <v>0.25447263704823664</v>
          </cell>
          <cell r="J252">
            <v>3.1167021448063714E-2</v>
          </cell>
          <cell r="K252">
            <v>3.1167021448063714E-2</v>
          </cell>
          <cell r="M252">
            <v>-0.44755096954652773</v>
          </cell>
          <cell r="N252">
            <v>0.40776067925643722</v>
          </cell>
          <cell r="O252">
            <v>-0.10256876684475125</v>
          </cell>
          <cell r="P252">
            <v>8.7859867401067548E-2</v>
          </cell>
          <cell r="Q252">
            <v>9.4663871224688112E-2</v>
          </cell>
          <cell r="R252">
            <v>7.1548102236515865E-2</v>
          </cell>
          <cell r="S252">
            <v>0.10220319930856303</v>
          </cell>
          <cell r="T252">
            <v>2.8925996516275365E-2</v>
          </cell>
          <cell r="U252">
            <v>2.8925996516275365E-2</v>
          </cell>
        </row>
        <row r="253">
          <cell r="B253" t="str">
            <v>EBITDA Margin</v>
          </cell>
          <cell r="C253">
            <v>0.11823966128147112</v>
          </cell>
          <cell r="D253">
            <v>0.13978431130046953</v>
          </cell>
          <cell r="E253">
            <v>3.3430400435524144E-2</v>
          </cell>
          <cell r="F253">
            <v>7.7024231074919403E-2</v>
          </cell>
          <cell r="G253">
            <v>0.49767331916214141</v>
          </cell>
          <cell r="H253">
            <v>2.8087481082974541E-3</v>
          </cell>
          <cell r="I253">
            <v>9.2016676363640526E-2</v>
          </cell>
          <cell r="J253">
            <v>8.2720158998771387E-2</v>
          </cell>
          <cell r="K253">
            <v>8.2720158998771609E-2</v>
          </cell>
          <cell r="M253">
            <v>0.22592980450213873</v>
          </cell>
          <cell r="N253">
            <v>2.4701111113993424E-2</v>
          </cell>
          <cell r="O253">
            <v>0.21193428107274648</v>
          </cell>
          <cell r="P253">
            <v>7.6209113790322691E-2</v>
          </cell>
          <cell r="Q253">
            <v>6.5830701459941299E-3</v>
          </cell>
          <cell r="R253">
            <v>8.3458125413556905E-2</v>
          </cell>
          <cell r="S253">
            <v>0.21981119502112567</v>
          </cell>
          <cell r="T253">
            <v>7.5768860916895386E-2</v>
          </cell>
          <cell r="U253">
            <v>7.5768860916895386E-2</v>
          </cell>
        </row>
        <row r="254">
          <cell r="B254" t="str">
            <v>FY(2)</v>
          </cell>
          <cell r="C254">
            <v>0.13698804761528982</v>
          </cell>
          <cell r="D254">
            <v>0.11620805269441058</v>
          </cell>
          <cell r="E254">
            <v>0.12750351537262949</v>
          </cell>
          <cell r="F254">
            <v>0.16785605133955017</v>
          </cell>
          <cell r="G254">
            <v>8.2868419605755084E-2</v>
          </cell>
          <cell r="H254">
            <v>9.0672933445708689E-2</v>
          </cell>
          <cell r="I254">
            <v>9.9641903695533218E-2</v>
          </cell>
          <cell r="J254">
            <v>0.11739127482412529</v>
          </cell>
          <cell r="K254">
            <v>0.12156171950147786</v>
          </cell>
          <cell r="M254">
            <v>0.26019338014128879</v>
          </cell>
          <cell r="N254">
            <v>0.14935354914750854</v>
          </cell>
          <cell r="O254">
            <v>0.23170570059294651</v>
          </cell>
          <cell r="P254">
            <v>0.41121611234792088</v>
          </cell>
          <cell r="Q254">
            <v>0.12028167227050689</v>
          </cell>
          <cell r="R254">
            <v>0.12027421769325956</v>
          </cell>
          <cell r="S254">
            <v>0.19563394891903294</v>
          </cell>
          <cell r="T254">
            <v>0.21266551158749486</v>
          </cell>
          <cell r="U254">
            <v>0.16668711075578976</v>
          </cell>
        </row>
        <row r="255">
          <cell r="A255" t="str">
            <v>mscalc:netIncomeBeforeOperatingLeaseAdjustment</v>
          </cell>
          <cell r="B255" t="str">
            <v>FY(1)</v>
          </cell>
          <cell r="C255">
            <v>0.1267910598026713</v>
          </cell>
          <cell r="D255">
            <v>8.6431288394483163E-2</v>
          </cell>
          <cell r="E255">
            <v>0.10750441909047083</v>
          </cell>
          <cell r="F255">
            <v>0.13044879990350983</v>
          </cell>
          <cell r="G255">
            <v>8.2192422010453139E-3</v>
          </cell>
          <cell r="H255">
            <v>9.7544958469286569E-2</v>
          </cell>
          <cell r="I255">
            <v>9.6657149752059329E-2</v>
          </cell>
          <cell r="J255">
            <v>9.3370988230503743E-2</v>
          </cell>
          <cell r="K255">
            <v>0.10278859736299435</v>
          </cell>
          <cell r="M255">
            <v>0.20810559331730538</v>
          </cell>
          <cell r="N255">
            <v>0.15596243180303057</v>
          </cell>
          <cell r="O255">
            <v>0.14721878254841297</v>
          </cell>
          <cell r="P255">
            <v>0.40239886291219351</v>
          </cell>
          <cell r="Q255">
            <v>0.1456698334021754</v>
          </cell>
          <cell r="R255">
            <v>0.11728210409699492</v>
          </cell>
          <cell r="S255">
            <v>0.20788196779929119</v>
          </cell>
          <cell r="T255">
            <v>0.19778851083991483</v>
          </cell>
          <cell r="U255">
            <v>0.17045411078742415</v>
          </cell>
        </row>
        <row r="256">
          <cell r="B256" t="str">
            <v>FY0</v>
          </cell>
          <cell r="C256">
            <v>0.13395819991849567</v>
          </cell>
          <cell r="D256">
            <v>6.5954797094283174E-2</v>
          </cell>
          <cell r="E256">
            <v>0.1134147899016561</v>
          </cell>
          <cell r="F256">
            <v>0.1388956163720029</v>
          </cell>
          <cell r="G256">
            <v>4.3845283751823318E-2</v>
          </cell>
          <cell r="H256">
            <v>0.12320973779591446</v>
          </cell>
          <cell r="I256">
            <v>0.1195888161753558</v>
          </cell>
          <cell r="J256">
            <v>0.10555246300136163</v>
          </cell>
          <cell r="K256">
            <v>0.1107535514305215</v>
          </cell>
          <cell r="M256">
            <v>0.13241469973110248</v>
          </cell>
          <cell r="N256">
            <v>0.19677817860594007</v>
          </cell>
          <cell r="O256">
            <v>0.13436656302937447</v>
          </cell>
          <cell r="P256">
            <v>0.34771803961531267</v>
          </cell>
          <cell r="Q256">
            <v>0.1679228005916743</v>
          </cell>
          <cell r="R256">
            <v>0.14117380216116088</v>
          </cell>
          <cell r="S256">
            <v>0.22226456371027473</v>
          </cell>
          <cell r="T256">
            <v>0.19180552106354851</v>
          </cell>
          <cell r="U256">
            <v>0.17664338994555029</v>
          </cell>
        </row>
        <row r="257">
          <cell r="B257" t="str">
            <v>FY1</v>
          </cell>
          <cell r="C257">
            <v>0.14524953541489105</v>
          </cell>
          <cell r="D257">
            <v>7.5696969513404266E-2</v>
          </cell>
          <cell r="E257">
            <v>0.12062063000600672</v>
          </cell>
          <cell r="F257">
            <v>0.15384036187165825</v>
          </cell>
          <cell r="G257">
            <v>5.9166066089843448E-2</v>
          </cell>
          <cell r="H257">
            <v>0.13352223205816469</v>
          </cell>
          <cell r="I257">
            <v>0.1254741288661009</v>
          </cell>
          <cell r="J257">
            <v>0.11622427483143848</v>
          </cell>
          <cell r="K257">
            <v>0.12054122450092597</v>
          </cell>
          <cell r="M257">
            <v>0.16025826241318036</v>
          </cell>
          <cell r="N257">
            <v>0.19872151824836315</v>
          </cell>
          <cell r="O257">
            <v>0.18010886307621324</v>
          </cell>
          <cell r="P257">
            <v>0.35376895413704895</v>
          </cell>
          <cell r="Q257">
            <v>0.16537263357722404</v>
          </cell>
          <cell r="R257">
            <v>0.1543223268754341</v>
          </cell>
          <cell r="S257">
            <v>0.23604606226171623</v>
          </cell>
          <cell r="T257">
            <v>0.20694266008416859</v>
          </cell>
          <cell r="U257">
            <v>0.18732508010362472</v>
          </cell>
        </row>
        <row r="258">
          <cell r="B258" t="str">
            <v>FY2</v>
          </cell>
          <cell r="C258">
            <v>0.15013309545326939</v>
          </cell>
          <cell r="D258">
            <v>7.9193958122540042E-2</v>
          </cell>
          <cell r="E258">
            <v>0.12262063000600606</v>
          </cell>
          <cell r="F258">
            <v>0.15941706666592947</v>
          </cell>
          <cell r="G258">
            <v>7.9918982174010306E-2</v>
          </cell>
          <cell r="H258">
            <v>0.13497861403200276</v>
          </cell>
          <cell r="I258">
            <v>0.12334122145439311</v>
          </cell>
          <cell r="J258">
            <v>0.121371938272593</v>
          </cell>
          <cell r="K258">
            <v>0.1235346883153805</v>
          </cell>
          <cell r="M258">
            <v>0.17746344955354632</v>
          </cell>
          <cell r="N258">
            <v>0.17966044021851338</v>
          </cell>
          <cell r="O258">
            <v>0.19258538043028928</v>
          </cell>
          <cell r="P258">
            <v>0.35575566674388343</v>
          </cell>
          <cell r="Q258">
            <v>0.17352122215451327</v>
          </cell>
          <cell r="R258">
            <v>0.16219812579766729</v>
          </cell>
          <cell r="S258">
            <v>0.24375203757221914</v>
          </cell>
          <cell r="T258">
            <v>0.21213376035294743</v>
          </cell>
          <cell r="U258">
            <v>0.19533599961776127</v>
          </cell>
        </row>
        <row r="259">
          <cell r="B259" t="str">
            <v>FQ(3)</v>
          </cell>
          <cell r="C259">
            <v>0.10775151181968114</v>
          </cell>
          <cell r="D259">
            <v>5.8180917683151347E-2</v>
          </cell>
          <cell r="E259">
            <v>6.2896710905943454E-2</v>
          </cell>
          <cell r="F259">
            <v>0.13071512309495897</v>
          </cell>
          <cell r="G259">
            <v>5.7490672272424374E-2</v>
          </cell>
          <cell r="H259">
            <v>0.11138337159102128</v>
          </cell>
          <cell r="I259">
            <v>0.10334057228107695</v>
          </cell>
          <cell r="J259">
            <v>9.0251268521179637E-2</v>
          </cell>
          <cell r="K259">
            <v>8.7326027810072149E-2</v>
          </cell>
          <cell r="M259">
            <v>4.2871458746379182E-2</v>
          </cell>
          <cell r="N259">
            <v>0.1664019763543321</v>
          </cell>
          <cell r="O259">
            <v>0.10171078431372549</v>
          </cell>
          <cell r="P259">
            <v>0.3101242129418777</v>
          </cell>
          <cell r="Q259">
            <v>0.15861848417013111</v>
          </cell>
          <cell r="R259">
            <v>8.7067457978237187E-2</v>
          </cell>
          <cell r="S259">
            <v>0.17726275740912067</v>
          </cell>
          <cell r="T259">
            <v>0.14915101884482906</v>
          </cell>
          <cell r="U259">
            <v>0.14473941352003131</v>
          </cell>
        </row>
        <row r="260">
          <cell r="B260" t="str">
            <v>FQ(2)</v>
          </cell>
          <cell r="C260">
            <v>0.14266946925906462</v>
          </cell>
          <cell r="D260">
            <v>4.7683661878543789E-2</v>
          </cell>
          <cell r="E260">
            <v>0.11289697908597986</v>
          </cell>
          <cell r="F260">
            <v>0.1324009324009324</v>
          </cell>
          <cell r="G260">
            <v>-5.6420198826411437E-2</v>
          </cell>
          <cell r="H260">
            <v>0.11833299785823652</v>
          </cell>
          <cell r="I260">
            <v>0.11113215130063475</v>
          </cell>
          <cell r="J260">
            <v>8.69565704224258E-2</v>
          </cell>
          <cell r="K260">
            <v>0.1040500073004839</v>
          </cell>
          <cell r="M260">
            <v>0.10608721307050457</v>
          </cell>
          <cell r="N260">
            <v>0.17149132488631846</v>
          </cell>
          <cell r="O260">
            <v>0.12417654608604675</v>
          </cell>
          <cell r="P260">
            <v>0.32257143738813798</v>
          </cell>
          <cell r="Q260">
            <v>0.15901386748844376</v>
          </cell>
          <cell r="R260">
            <v>0.11450781714982507</v>
          </cell>
          <cell r="S260">
            <v>0.22119112305015418</v>
          </cell>
          <cell r="T260">
            <v>0.17414847558849011</v>
          </cell>
          <cell r="U260">
            <v>0.16055236030399414</v>
          </cell>
        </row>
        <row r="261">
          <cell r="B261" t="str">
            <v>FQ(1)</v>
          </cell>
          <cell r="C261">
            <v>0.12071093557146384</v>
          </cell>
          <cell r="D261">
            <v>5.5018734955040782E-2</v>
          </cell>
          <cell r="E261">
            <v>7.3716126587075992E-2</v>
          </cell>
          <cell r="F261">
            <v>0.13436830835117772</v>
          </cell>
          <cell r="G261">
            <v>7.7460193781139441E-2</v>
          </cell>
          <cell r="H261">
            <v>0.12181483241874644</v>
          </cell>
          <cell r="I261">
            <v>0.1312139343283992</v>
          </cell>
          <cell r="J261">
            <v>0.10204329514186336</v>
          </cell>
          <cell r="K261">
            <v>0.10038664671341772</v>
          </cell>
          <cell r="M261">
            <v>0.14024312576623624</v>
          </cell>
          <cell r="N261">
            <v>0.208969811812524</v>
          </cell>
          <cell r="O261">
            <v>0.14267613043118341</v>
          </cell>
          <cell r="P261">
            <v>0.33702985276523206</v>
          </cell>
          <cell r="Q261">
            <v>0.18027305656171635</v>
          </cell>
          <cell r="R261">
            <v>8.3208166142882178E-2</v>
          </cell>
          <cell r="S261">
            <v>0.23599327930421032</v>
          </cell>
          <cell r="T261">
            <v>0.18977048896914067</v>
          </cell>
          <cell r="U261">
            <v>0.17257593409458666</v>
          </cell>
        </row>
        <row r="262">
          <cell r="B262" t="str">
            <v>Last Reported Q</v>
          </cell>
          <cell r="C262">
            <v>0.13395819991849567</v>
          </cell>
          <cell r="D262">
            <v>6.5954797094283174E-2</v>
          </cell>
          <cell r="E262">
            <v>0.1134147899016561</v>
          </cell>
          <cell r="F262">
            <v>0.1388956163720029</v>
          </cell>
          <cell r="G262">
            <v>4.3845283751823318E-2</v>
          </cell>
          <cell r="H262">
            <v>0.12320973779591446</v>
          </cell>
          <cell r="I262">
            <v>0.1195888161753558</v>
          </cell>
          <cell r="J262">
            <v>0.10555246300136163</v>
          </cell>
          <cell r="K262">
            <v>0.1107535514305215</v>
          </cell>
          <cell r="M262">
            <v>0.13241469973110248</v>
          </cell>
          <cell r="N262">
            <v>0.19677817860594007</v>
          </cell>
          <cell r="O262">
            <v>0.13436656302937447</v>
          </cell>
          <cell r="P262">
            <v>0.38393246980061119</v>
          </cell>
          <cell r="Q262">
            <v>0.1679228005916743</v>
          </cell>
          <cell r="R262">
            <v>0.14117380216116088</v>
          </cell>
          <cell r="S262">
            <v>0.22226456371027473</v>
          </cell>
          <cell r="T262">
            <v>0.19697901109001972</v>
          </cell>
          <cell r="U262">
            <v>0.16687672680250146</v>
          </cell>
        </row>
        <row r="263">
          <cell r="B263" t="str">
            <v>LTM</v>
          </cell>
          <cell r="C263">
            <v>0.12991768973214285</v>
          </cell>
          <cell r="D263">
            <v>6.0950532559043924E-2</v>
          </cell>
          <cell r="E263">
            <v>0.10128038028061029</v>
          </cell>
          <cell r="F263">
            <v>0.13629534234814339</v>
          </cell>
          <cell r="G263">
            <v>3.7850898154233259E-2</v>
          </cell>
          <cell r="H263">
            <v>0.1207023044678138</v>
          </cell>
          <cell r="I263">
            <v>0.1181474006949358</v>
          </cell>
          <cell r="J263">
            <v>0.10073493546241762</v>
          </cell>
          <cell r="K263">
            <v>0.10534231755292885</v>
          </cell>
          <cell r="M263">
            <v>0.11925606841663891</v>
          </cell>
          <cell r="N263">
            <v>0.19215209018233734</v>
          </cell>
          <cell r="O263">
            <v>0.13028147082239661</v>
          </cell>
          <cell r="P263">
            <v>0.34265106717003696</v>
          </cell>
          <cell r="Q263">
            <v>0.16735656925242157</v>
          </cell>
          <cell r="R263">
            <v>0.12346629865368679</v>
          </cell>
          <cell r="S263">
            <v>0.2189597225568104</v>
          </cell>
          <cell r="T263">
            <v>0.18487475529347552</v>
          </cell>
          <cell r="U263">
            <v>0.16395638290338857</v>
          </cell>
        </row>
        <row r="264">
          <cell r="B264" t="str">
            <v>Last Reported Q</v>
          </cell>
          <cell r="C264">
            <v>193</v>
          </cell>
          <cell r="D264">
            <v>27</v>
          </cell>
          <cell r="E264">
            <v>-2</v>
          </cell>
          <cell r="F264">
            <v>83</v>
          </cell>
          <cell r="G264">
            <v>2.2584630489110999</v>
          </cell>
          <cell r="H264">
            <v>105.08</v>
          </cell>
          <cell r="I264">
            <v>347.79899999999998</v>
          </cell>
          <cell r="J264">
            <v>108.01963757841587</v>
          </cell>
          <cell r="K264">
            <v>756.13746304891106</v>
          </cell>
          <cell r="M264">
            <v>26.331</v>
          </cell>
          <cell r="N264">
            <v>62.628999999999998</v>
          </cell>
          <cell r="O264">
            <v>44.501489999999997</v>
          </cell>
          <cell r="P264">
            <v>622.12800000000004</v>
          </cell>
          <cell r="Q264">
            <v>307</v>
          </cell>
          <cell r="R264">
            <v>6.0990000000000002</v>
          </cell>
          <cell r="S264">
            <v>62.392000000000003</v>
          </cell>
          <cell r="T264">
            <v>161.58292714285716</v>
          </cell>
          <cell r="U264">
            <v>1131.0804900000001</v>
          </cell>
        </row>
        <row r="265">
          <cell r="B265" t="str">
            <v>EBITDA Growth, Y/Y</v>
          </cell>
          <cell r="C265">
            <v>895</v>
          </cell>
          <cell r="D265">
            <v>259.38200000000001</v>
          </cell>
          <cell r="E265">
            <v>917</v>
          </cell>
          <cell r="F265">
            <v>324</v>
          </cell>
          <cell r="G265">
            <v>-129.12349297410259</v>
          </cell>
          <cell r="H265">
            <v>397.26099999999997</v>
          </cell>
          <cell r="I265">
            <v>1054.4956247570569</v>
          </cell>
          <cell r="J265">
            <v>531.14501882613627</v>
          </cell>
          <cell r="K265">
            <v>3718.0151317829541</v>
          </cell>
          <cell r="M265">
            <v>99.525280000000024</v>
          </cell>
          <cell r="N265">
            <v>202.98999999999998</v>
          </cell>
          <cell r="O265">
            <v>127.42749000000001</v>
          </cell>
          <cell r="P265">
            <v>1107.99</v>
          </cell>
          <cell r="Q265">
            <v>993</v>
          </cell>
          <cell r="R265">
            <v>287.89599999999996</v>
          </cell>
          <cell r="S265">
            <v>182.76300000000001</v>
          </cell>
          <cell r="T265">
            <v>428.79882428571426</v>
          </cell>
          <cell r="U265">
            <v>3001.59177</v>
          </cell>
        </row>
        <row r="266">
          <cell r="B266" t="str">
            <v>FY(2)</v>
          </cell>
        </row>
        <row r="267">
          <cell r="A267" t="str">
            <v>mstag:adjEpsForConsensus</v>
          </cell>
          <cell r="B267" t="str">
            <v>FY(1)</v>
          </cell>
          <cell r="C267">
            <v>-7.9201488899720784E-2</v>
          </cell>
          <cell r="D267">
            <v>-0.30770811203667681</v>
          </cell>
          <cell r="E267">
            <v>-0.20238450074515646</v>
          </cell>
          <cell r="F267">
            <v>-0.2701109864880733</v>
          </cell>
          <cell r="G267">
            <v>-0.90773496921431085</v>
          </cell>
          <cell r="H267">
            <v>0.16777747721630143</v>
          </cell>
          <cell r="I267">
            <v>5.1073732749904455E-3</v>
          </cell>
          <cell r="J267">
            <v>-0.17552771553726221</v>
          </cell>
          <cell r="K267">
            <v>-0.17552771553726221</v>
          </cell>
          <cell r="M267">
            <v>-0.24679808239512446</v>
          </cell>
          <cell r="N267">
            <v>0.24367530259585379</v>
          </cell>
          <cell r="O267">
            <v>-0.37848007932673966</v>
          </cell>
          <cell r="P267">
            <v>0.19142889589717416</v>
          </cell>
          <cell r="Q267">
            <v>0.11603375527426163</v>
          </cell>
          <cell r="R267">
            <v>-0.12576981191488734</v>
          </cell>
          <cell r="S267">
            <v>0.29299367376136587</v>
          </cell>
          <cell r="T267">
            <v>-1.3845206508230845E-2</v>
          </cell>
          <cell r="U267">
            <v>-1.3845206508230734E-2</v>
          </cell>
        </row>
        <row r="268">
          <cell r="B268" t="str">
            <v>FY0</v>
          </cell>
          <cell r="C268">
            <v>0.10733284375201535</v>
          </cell>
          <cell r="D268">
            <v>-0.27525786308272593</v>
          </cell>
          <cell r="E268">
            <v>-4.484304932735439E-3</v>
          </cell>
          <cell r="F268">
            <v>6.0514021067892276E-2</v>
          </cell>
          <cell r="G268">
            <v>3.6122101741780241</v>
          </cell>
          <cell r="H268">
            <v>0.39904973528588439</v>
          </cell>
          <cell r="I268">
            <v>0.32118318178996508</v>
          </cell>
          <cell r="J268">
            <v>7.747688463813307E-2</v>
          </cell>
          <cell r="K268">
            <v>7.747688463813307E-2</v>
          </cell>
          <cell r="M268">
            <v>-0.4651512799438895</v>
          </cell>
          <cell r="N268">
            <v>0.49227400092494356</v>
          </cell>
          <cell r="O268">
            <v>-8.6768482534487767E-2</v>
          </cell>
          <cell r="P268">
            <v>-0.12238218719261096</v>
          </cell>
          <cell r="Q268">
            <v>0.12665406427221182</v>
          </cell>
          <cell r="R268">
            <v>0.14911267487438096</v>
          </cell>
          <cell r="S268">
            <v>0.12932793595490644</v>
          </cell>
          <cell r="T268">
            <v>1.3998711751485926E-2</v>
          </cell>
          <cell r="U268">
            <v>1.3998711751485926E-2</v>
          </cell>
        </row>
        <row r="269">
          <cell r="B269" t="str">
            <v>FY1</v>
          </cell>
          <cell r="C269">
            <v>0.16768440513724037</v>
          </cell>
          <cell r="D269">
            <v>0.16396720568492218</v>
          </cell>
          <cell r="E269">
            <v>0.11132962211942954</v>
          </cell>
          <cell r="F269">
            <v>0.1979250781288231</v>
          </cell>
          <cell r="G269">
            <v>0.40687676655192195</v>
          </cell>
          <cell r="H269">
            <v>0.17716918655120795</v>
          </cell>
          <cell r="I269">
            <v>0.14062970104034123</v>
          </cell>
          <cell r="J269">
            <v>0.15371196728365222</v>
          </cell>
          <cell r="K269">
            <v>0.153711967283652</v>
          </cell>
          <cell r="M269">
            <v>0.30702832399387292</v>
          </cell>
          <cell r="N269">
            <v>0.10051549344582478</v>
          </cell>
          <cell r="O269">
            <v>0.3396915735002326</v>
          </cell>
          <cell r="P269">
            <v>9.4761092269401104E-2</v>
          </cell>
          <cell r="Q269">
            <v>-2.48488144569462E-2</v>
          </cell>
          <cell r="R269">
            <v>0.1536928140979561</v>
          </cell>
          <cell r="S269">
            <v>0.23940390562692615</v>
          </cell>
          <cell r="T269">
            <v>9.9808707697482735E-2</v>
          </cell>
          <cell r="U269">
            <v>9.9808707697482957E-2</v>
          </cell>
        </row>
        <row r="270">
          <cell r="B270" t="str">
            <v>FY2</v>
          </cell>
          <cell r="C270">
            <v>0.11975332839646402</v>
          </cell>
          <cell r="D270">
            <v>6.9243624140826077E-2</v>
          </cell>
          <cell r="E270">
            <v>2.5119437823411195E-2</v>
          </cell>
          <cell r="F270">
            <v>8.5067534120490729E-2</v>
          </cell>
          <cell r="G270">
            <v>0.4468704139954931</v>
          </cell>
          <cell r="H270">
            <v>5.720354411580475E-2</v>
          </cell>
          <cell r="I270">
            <v>4.7780997854424578E-2</v>
          </cell>
          <cell r="J270">
            <v>7.0543438842309403E-2</v>
          </cell>
          <cell r="K270">
            <v>7.0543438842309403E-2</v>
          </cell>
          <cell r="M270">
            <v>0.19636141008461783</v>
          </cell>
          <cell r="N270">
            <v>2.3273998342098423E-2</v>
          </cell>
          <cell r="O270">
            <v>0.18246504233387761</v>
          </cell>
          <cell r="P270">
            <v>7.5419279534387984E-2</v>
          </cell>
          <cell r="Q270">
            <v>8.3012160730286944E-3</v>
          </cell>
          <cell r="R270">
            <v>9.0653076544306099E-2</v>
          </cell>
          <cell r="S270">
            <v>0.17812910149573691</v>
          </cell>
          <cell r="T270">
            <v>7.7406716021881428E-2</v>
          </cell>
          <cell r="U270">
            <v>7.7406716021881428E-2</v>
          </cell>
        </row>
        <row r="271">
          <cell r="B271" t="str">
            <v>FY1</v>
          </cell>
          <cell r="C271">
            <v>3.11</v>
          </cell>
          <cell r="D271">
            <v>1.03510445527076</v>
          </cell>
          <cell r="E271">
            <v>1.14784510187135</v>
          </cell>
          <cell r="F271">
            <v>1.8136411490884501</v>
          </cell>
          <cell r="G271">
            <v>-0.472295447628726</v>
          </cell>
          <cell r="H271">
            <v>3.3862868587624302</v>
          </cell>
          <cell r="I271">
            <v>2.6945205236563301</v>
          </cell>
          <cell r="M271">
            <v>1.0080029976226801</v>
          </cell>
          <cell r="N271">
            <v>3.19697659901902</v>
          </cell>
          <cell r="O271">
            <v>0.73983220363332802</v>
          </cell>
          <cell r="P271">
            <v>2.1342367427798301</v>
          </cell>
          <cell r="Q271">
            <v>1.5442144348621401</v>
          </cell>
          <cell r="R271">
            <v>1.1090965137337101</v>
          </cell>
          <cell r="S271">
            <v>1.24056550686542</v>
          </cell>
        </row>
        <row r="272">
          <cell r="A272" t="str">
            <v>mscalc:netIncomeBeforeOperatingLeaseAdjustment</v>
          </cell>
          <cell r="B272" t="str">
            <v>Net Income</v>
          </cell>
          <cell r="C272">
            <v>3.6141121475309599</v>
          </cell>
          <cell r="D272">
            <v>1.5303898670656499</v>
          </cell>
          <cell r="E272">
            <v>1.3294495544969001</v>
          </cell>
          <cell r="F272">
            <v>2.03885624205917</v>
          </cell>
          <cell r="G272">
            <v>-0.23101098907579101</v>
          </cell>
          <cell r="H272">
            <v>3.5442519215475099</v>
          </cell>
          <cell r="I272">
            <v>3.1175626704531201</v>
          </cell>
          <cell r="M272">
            <v>1.5590303512307999</v>
          </cell>
          <cell r="N272">
            <v>3.4587188109684202</v>
          </cell>
          <cell r="O272">
            <v>0.93491756401208104</v>
          </cell>
          <cell r="P272">
            <v>2.3560769521099698</v>
          </cell>
          <cell r="Q272">
            <v>1.64332942576824</v>
          </cell>
          <cell r="R272">
            <v>1.2755329709446399</v>
          </cell>
          <cell r="S272">
            <v>1.5606882755392599</v>
          </cell>
        </row>
        <row r="273">
          <cell r="B273" t="str">
            <v>FY(10)</v>
          </cell>
          <cell r="C273">
            <v>264.01</v>
          </cell>
          <cell r="D273">
            <v>384.12799999999999</v>
          </cell>
          <cell r="E273">
            <v>825</v>
          </cell>
          <cell r="F273">
            <v>202.291</v>
          </cell>
          <cell r="G273" t="str">
            <v>NA</v>
          </cell>
          <cell r="H273">
            <v>159.10599999999999</v>
          </cell>
          <cell r="I273">
            <v>526.822</v>
          </cell>
          <cell r="J273">
            <v>393.55950000000001</v>
          </cell>
          <cell r="K273">
            <v>2361.357</v>
          </cell>
          <cell r="M273">
            <v>149.60400000000001</v>
          </cell>
          <cell r="N273" t="str">
            <v>NA</v>
          </cell>
          <cell r="O273">
            <v>90.66</v>
          </cell>
          <cell r="P273">
            <v>21.001124000000001</v>
          </cell>
          <cell r="Q273" t="str">
            <v>NA</v>
          </cell>
          <cell r="R273">
            <v>446.56</v>
          </cell>
          <cell r="S273">
            <v>18.68</v>
          </cell>
          <cell r="T273">
            <v>145.30102479999999</v>
          </cell>
          <cell r="U273">
            <v>726.50512399999991</v>
          </cell>
        </row>
        <row r="274">
          <cell r="B274" t="str">
            <v>FY(9)</v>
          </cell>
          <cell r="C274">
            <v>368.71199999999999</v>
          </cell>
          <cell r="D274">
            <v>-88.56</v>
          </cell>
          <cell r="E274">
            <v>901</v>
          </cell>
          <cell r="F274">
            <v>134.77500000000001</v>
          </cell>
          <cell r="G274" t="str">
            <v>NA</v>
          </cell>
          <cell r="H274">
            <v>150.28800000000001</v>
          </cell>
          <cell r="I274">
            <v>538.06600000000003</v>
          </cell>
          <cell r="J274">
            <v>334.04683333333338</v>
          </cell>
          <cell r="K274">
            <v>2004.2810000000002</v>
          </cell>
          <cell r="M274">
            <v>156.85300000000001</v>
          </cell>
          <cell r="N274" t="str">
            <v>NA</v>
          </cell>
          <cell r="O274">
            <v>91.152000000000001</v>
          </cell>
          <cell r="P274">
            <v>38.685000000000002</v>
          </cell>
          <cell r="Q274">
            <v>877.41700000000003</v>
          </cell>
          <cell r="R274">
            <v>412.46089999999998</v>
          </cell>
          <cell r="S274">
            <v>10.494999999999999</v>
          </cell>
          <cell r="T274">
            <v>264.5104833333333</v>
          </cell>
          <cell r="U274">
            <v>1587.0628999999999</v>
          </cell>
        </row>
        <row r="275">
          <cell r="B275" t="str">
            <v>FY(8)</v>
          </cell>
          <cell r="C275">
            <v>491.98899999999998</v>
          </cell>
          <cell r="D275">
            <v>183</v>
          </cell>
          <cell r="E275">
            <v>746</v>
          </cell>
          <cell r="F275">
            <v>124.688</v>
          </cell>
          <cell r="G275" t="str">
            <v>NA</v>
          </cell>
          <cell r="H275">
            <v>155.04499999999999</v>
          </cell>
          <cell r="I275">
            <v>540.39700000000005</v>
          </cell>
          <cell r="J275">
            <v>373.51983333333334</v>
          </cell>
          <cell r="K275">
            <v>2241.1190000000001</v>
          </cell>
          <cell r="M275">
            <v>166.6</v>
          </cell>
          <cell r="N275" t="str">
            <v>NA</v>
          </cell>
          <cell r="O275">
            <v>101.666</v>
          </cell>
          <cell r="P275">
            <v>70.602440000000001</v>
          </cell>
          <cell r="Q275">
            <v>-7.7640000000000002</v>
          </cell>
          <cell r="R275">
            <v>405.77499999999998</v>
          </cell>
          <cell r="S275">
            <v>15.007</v>
          </cell>
          <cell r="T275">
            <v>125.31440666666664</v>
          </cell>
          <cell r="U275">
            <v>751.88643999999988</v>
          </cell>
        </row>
        <row r="276">
          <cell r="B276" t="str">
            <v>FY(7)</v>
          </cell>
          <cell r="C276">
            <v>635.47</v>
          </cell>
          <cell r="D276">
            <v>283</v>
          </cell>
          <cell r="E276">
            <v>706</v>
          </cell>
          <cell r="F276">
            <v>106.34099999999999</v>
          </cell>
          <cell r="G276" t="str">
            <v>NA</v>
          </cell>
          <cell r="H276">
            <v>200.07599999999999</v>
          </cell>
          <cell r="I276">
            <v>578.38800000000003</v>
          </cell>
          <cell r="J276">
            <v>418.21250000000003</v>
          </cell>
          <cell r="K276">
            <v>2509.2750000000001</v>
          </cell>
          <cell r="M276">
            <v>194.75399999999999</v>
          </cell>
          <cell r="N276">
            <v>33.71546</v>
          </cell>
          <cell r="O276">
            <v>99.644000000000005</v>
          </cell>
          <cell r="P276">
            <v>78.97</v>
          </cell>
          <cell r="Q276">
            <v>477.72370245564099</v>
          </cell>
          <cell r="R276">
            <v>517.41099999999994</v>
          </cell>
          <cell r="S276">
            <v>27.413</v>
          </cell>
          <cell r="T276">
            <v>204.23302320794872</v>
          </cell>
          <cell r="U276">
            <v>1429.6311624556411</v>
          </cell>
        </row>
        <row r="277">
          <cell r="B277" t="str">
            <v>FY(6)</v>
          </cell>
          <cell r="C277">
            <v>580.86199999999997</v>
          </cell>
          <cell r="D277">
            <v>360</v>
          </cell>
          <cell r="E277">
            <v>714</v>
          </cell>
          <cell r="F277">
            <v>242.88900000000001</v>
          </cell>
          <cell r="G277">
            <v>-69.899950647510195</v>
          </cell>
          <cell r="H277">
            <v>227.57400000000001</v>
          </cell>
          <cell r="I277">
            <v>609.41200000000003</v>
          </cell>
          <cell r="J277">
            <v>380.69100705035572</v>
          </cell>
          <cell r="K277">
            <v>2664.8370493524899</v>
          </cell>
          <cell r="M277">
            <v>204.83</v>
          </cell>
          <cell r="N277">
            <v>54.253999999999998</v>
          </cell>
          <cell r="O277">
            <v>83.108000000000004</v>
          </cell>
          <cell r="P277">
            <v>122.383</v>
          </cell>
          <cell r="Q277">
            <v>1042.69954791705</v>
          </cell>
          <cell r="R277">
            <v>583.65</v>
          </cell>
          <cell r="S277">
            <v>48.375999999999998</v>
          </cell>
          <cell r="T277">
            <v>305.61436398815005</v>
          </cell>
          <cell r="U277">
            <v>2139.3005479170502</v>
          </cell>
        </row>
        <row r="278">
          <cell r="B278" t="str">
            <v>FY(5)</v>
          </cell>
          <cell r="C278">
            <v>703.51288799999998</v>
          </cell>
          <cell r="D278">
            <v>657.37</v>
          </cell>
          <cell r="E278">
            <v>786.546594982079</v>
          </cell>
          <cell r="F278">
            <v>393.47500000000002</v>
          </cell>
          <cell r="G278">
            <v>-69.191530595781302</v>
          </cell>
          <cell r="H278">
            <v>185.72</v>
          </cell>
          <cell r="I278">
            <v>628.96199999999999</v>
          </cell>
          <cell r="J278">
            <v>469.4849931980425</v>
          </cell>
          <cell r="K278">
            <v>3286.3949523862975</v>
          </cell>
          <cell r="M278">
            <v>241.95355390734301</v>
          </cell>
          <cell r="N278">
            <v>86.960999999999999</v>
          </cell>
          <cell r="O278">
            <v>224.232</v>
          </cell>
          <cell r="P278">
            <v>220.239</v>
          </cell>
          <cell r="Q278">
            <v>1214.12078310316</v>
          </cell>
          <cell r="R278">
            <v>674.27200000000005</v>
          </cell>
          <cell r="S278">
            <v>90.489000000000004</v>
          </cell>
          <cell r="T278">
            <v>393.18104814435759</v>
          </cell>
          <cell r="U278">
            <v>2752.2673370105031</v>
          </cell>
        </row>
        <row r="279">
          <cell r="B279" t="str">
            <v>FY(4)</v>
          </cell>
          <cell r="C279">
            <v>831.621966099166</v>
          </cell>
          <cell r="D279">
            <v>928.03159479553904</v>
          </cell>
          <cell r="E279">
            <v>1089.0546208098101</v>
          </cell>
          <cell r="F279">
            <v>551.18021775831903</v>
          </cell>
          <cell r="G279">
            <v>-113.296092527064</v>
          </cell>
          <cell r="H279">
            <v>199.63200000000001</v>
          </cell>
          <cell r="I279">
            <v>642.13399999999695</v>
          </cell>
          <cell r="J279">
            <v>589.76547241939534</v>
          </cell>
          <cell r="K279">
            <v>4128.3583069357674</v>
          </cell>
          <cell r="M279">
            <v>363.59381999999999</v>
          </cell>
          <cell r="N279">
            <v>83.953999999999994</v>
          </cell>
          <cell r="O279">
            <v>293.71100000000001</v>
          </cell>
          <cell r="P279">
            <v>336.64699999999999</v>
          </cell>
          <cell r="Q279">
            <v>1076.3882618510199</v>
          </cell>
          <cell r="R279">
            <v>546.83600000000001</v>
          </cell>
          <cell r="S279">
            <v>129.832005188067</v>
          </cell>
          <cell r="T279">
            <v>404.42315529129809</v>
          </cell>
          <cell r="U279">
            <v>2830.9620870390868</v>
          </cell>
        </row>
        <row r="280">
          <cell r="B280" t="str">
            <v>FY(3)</v>
          </cell>
          <cell r="C280">
            <v>1108.5977755399999</v>
          </cell>
          <cell r="D280">
            <v>1134</v>
          </cell>
          <cell r="E280">
            <v>1137.6065454545501</v>
          </cell>
          <cell r="F280">
            <v>677.99900000000002</v>
          </cell>
          <cell r="G280">
            <v>29.8422306591854</v>
          </cell>
          <cell r="H280">
            <v>241.63399999999999</v>
          </cell>
          <cell r="I280">
            <v>784.33473025389503</v>
          </cell>
          <cell r="J280">
            <v>730.57346884394724</v>
          </cell>
          <cell r="K280">
            <v>5114.0142819076309</v>
          </cell>
          <cell r="M280">
            <v>446.524</v>
          </cell>
          <cell r="N280">
            <v>100.86799999999999</v>
          </cell>
          <cell r="O280">
            <v>387.35899999999998</v>
          </cell>
          <cell r="P280">
            <v>464.00954749822699</v>
          </cell>
          <cell r="Q280">
            <v>780.95348837209303</v>
          </cell>
          <cell r="R280">
            <v>675.04899999999998</v>
          </cell>
          <cell r="S280">
            <v>108.90600000000001</v>
          </cell>
          <cell r="T280">
            <v>423.38129083861713</v>
          </cell>
          <cell r="U280">
            <v>2963.6690358703199</v>
          </cell>
        </row>
        <row r="281">
          <cell r="B281" t="str">
            <v>FY(2)</v>
          </cell>
          <cell r="C281">
            <v>1083.8209999999999</v>
          </cell>
          <cell r="D281">
            <v>1073</v>
          </cell>
          <cell r="E281">
            <v>968.870454545455</v>
          </cell>
          <cell r="F281">
            <v>694.02599999999995</v>
          </cell>
          <cell r="G281">
            <v>63.374305710902703</v>
          </cell>
          <cell r="H281">
            <v>261.05099999999999</v>
          </cell>
          <cell r="I281">
            <v>902.52825069543098</v>
          </cell>
          <cell r="J281">
            <v>720.95300156454118</v>
          </cell>
          <cell r="K281">
            <v>5046.671010951788</v>
          </cell>
          <cell r="M281">
            <v>499.12700000000001</v>
          </cell>
          <cell r="N281">
            <v>125.371</v>
          </cell>
          <cell r="O281">
            <v>400.01900000000001</v>
          </cell>
          <cell r="P281">
            <v>636.529</v>
          </cell>
          <cell r="Q281">
            <v>888.19060546964795</v>
          </cell>
          <cell r="R281">
            <v>461.45582675721101</v>
          </cell>
          <cell r="S281">
            <v>152.53</v>
          </cell>
          <cell r="T281">
            <v>451.88891888955135</v>
          </cell>
          <cell r="U281">
            <v>3163.2224322268594</v>
          </cell>
        </row>
        <row r="282">
          <cell r="B282" t="str">
            <v>FY(1)</v>
          </cell>
          <cell r="C282">
            <v>885.62900000000002</v>
          </cell>
          <cell r="D282">
            <v>562.53838064516106</v>
          </cell>
          <cell r="E282">
            <v>545</v>
          </cell>
          <cell r="F282">
            <v>394.55099999999999</v>
          </cell>
          <cell r="G282">
            <v>-109.755122537465</v>
          </cell>
          <cell r="H282">
            <v>302.774720000005</v>
          </cell>
          <cell r="I282">
            <v>883.85870191995605</v>
          </cell>
          <cell r="J282">
            <v>494.9423828610939</v>
          </cell>
          <cell r="K282">
            <v>3464.5966800276574</v>
          </cell>
          <cell r="M282">
            <v>318.97024840902799</v>
          </cell>
          <cell r="N282">
            <v>149.422</v>
          </cell>
          <cell r="O282">
            <v>204.88800000000001</v>
          </cell>
          <cell r="P282">
            <v>742.00199999999995</v>
          </cell>
          <cell r="Q282">
            <v>967</v>
          </cell>
          <cell r="R282">
            <v>353.38200000000001</v>
          </cell>
          <cell r="S282">
            <v>199.364</v>
          </cell>
          <cell r="T282">
            <v>419.28974977271827</v>
          </cell>
          <cell r="U282">
            <v>2935.028248409028</v>
          </cell>
        </row>
        <row r="283">
          <cell r="B283" t="str">
            <v>FY0</v>
          </cell>
          <cell r="C283">
            <v>990.1</v>
          </cell>
          <cell r="D283">
            <v>249.58199999999999</v>
          </cell>
          <cell r="E283">
            <v>576</v>
          </cell>
          <cell r="F283">
            <v>427.8</v>
          </cell>
          <cell r="G283">
            <v>-47.731873116743998</v>
          </cell>
          <cell r="H283">
            <v>442.75700000000001</v>
          </cell>
          <cell r="I283">
            <v>1213.5719999999999</v>
          </cell>
          <cell r="J283">
            <v>550.29701812617952</v>
          </cell>
          <cell r="K283">
            <v>3852.0791268832563</v>
          </cell>
          <cell r="M283">
            <v>95.928809999999999</v>
          </cell>
          <cell r="N283">
            <v>231.32900000000001</v>
          </cell>
          <cell r="O283">
            <v>159.06599</v>
          </cell>
          <cell r="P283">
            <v>622.12800000000004</v>
          </cell>
          <cell r="Q283">
            <v>1099.8</v>
          </cell>
          <cell r="R283">
            <v>405.17</v>
          </cell>
          <cell r="S283">
            <v>219.893</v>
          </cell>
          <cell r="T283">
            <v>404.75925714285717</v>
          </cell>
          <cell r="U283">
            <v>2833.3148000000001</v>
          </cell>
        </row>
        <row r="284">
          <cell r="B284" t="str">
            <v>FY1</v>
          </cell>
          <cell r="C284">
            <v>1190.2064623122999</v>
          </cell>
          <cell r="D284">
            <v>371.94239455885997</v>
          </cell>
          <cell r="E284">
            <v>780.85661388894903</v>
          </cell>
          <cell r="F284">
            <v>574.20119639689005</v>
          </cell>
          <cell r="G284">
            <v>-14.812477877415599</v>
          </cell>
          <cell r="H284">
            <v>520.84207533519498</v>
          </cell>
          <cell r="I284">
            <v>1413.51496786962</v>
          </cell>
          <cell r="J284">
            <v>690.96446178348549</v>
          </cell>
          <cell r="K284">
            <v>4836.7512324843983</v>
          </cell>
          <cell r="M284">
            <v>155.41382199654501</v>
          </cell>
          <cell r="N284">
            <v>257.42391448394397</v>
          </cell>
          <cell r="O284">
            <v>248.62981426116701</v>
          </cell>
          <cell r="P284">
            <v>691.98393385513396</v>
          </cell>
          <cell r="Q284">
            <v>1083.8921535054101</v>
          </cell>
          <cell r="R284">
            <v>546.01826939091302</v>
          </cell>
          <cell r="S284">
            <v>279.22350732756701</v>
          </cell>
          <cell r="T284">
            <v>466.08363068866856</v>
          </cell>
          <cell r="U284">
            <v>3262.5854148206799</v>
          </cell>
        </row>
        <row r="285">
          <cell r="B285" t="str">
            <v>FY2</v>
          </cell>
          <cell r="C285">
            <v>1377.4147410483899</v>
          </cell>
          <cell r="D285">
            <v>461.162423782784</v>
          </cell>
          <cell r="E285">
            <v>888.32831729053999</v>
          </cell>
          <cell r="F285">
            <v>631.87045905384298</v>
          </cell>
          <cell r="G285">
            <v>21.642644285581799</v>
          </cell>
          <cell r="H285">
            <v>560.83917130142299</v>
          </cell>
          <cell r="I285">
            <v>1528.2089011232599</v>
          </cell>
          <cell r="J285">
            <v>781.35237969797447</v>
          </cell>
          <cell r="K285">
            <v>5469.4666578858214</v>
          </cell>
          <cell r="M285">
            <v>204.14473111967499</v>
          </cell>
          <cell r="N285">
            <v>256.17082013345799</v>
          </cell>
          <cell r="O285">
            <v>305.99673004238099</v>
          </cell>
          <cell r="P285">
            <v>736.84328923360295</v>
          </cell>
          <cell r="Q285">
            <v>1074.52887673393</v>
          </cell>
          <cell r="R285">
            <v>630.31680483250398</v>
          </cell>
          <cell r="S285">
            <v>334.56420596740901</v>
          </cell>
          <cell r="T285">
            <v>506.08077972327999</v>
          </cell>
          <cell r="U285">
            <v>3542.5654580629598</v>
          </cell>
        </row>
        <row r="286">
          <cell r="B286" t="str">
            <v>FQ(3)</v>
          </cell>
          <cell r="C286">
            <v>137</v>
          </cell>
          <cell r="D286">
            <v>25</v>
          </cell>
          <cell r="E286">
            <v>-68</v>
          </cell>
          <cell r="F286">
            <v>68</v>
          </cell>
          <cell r="G286">
            <v>-4.7939999999999996</v>
          </cell>
          <cell r="H286">
            <v>91.387</v>
          </cell>
          <cell r="I286">
            <v>209.214</v>
          </cell>
          <cell r="J286">
            <v>65.400999999999996</v>
          </cell>
          <cell r="K286">
            <v>457.80700000000002</v>
          </cell>
          <cell r="M286">
            <v>-23.105</v>
          </cell>
          <cell r="N286">
            <v>33.174999999999997</v>
          </cell>
          <cell r="O286">
            <v>15.680999999999999</v>
          </cell>
          <cell r="P286">
            <v>123.145</v>
          </cell>
          <cell r="Q286">
            <v>215</v>
          </cell>
          <cell r="R286">
            <v>2.601</v>
          </cell>
          <cell r="S286">
            <v>30.805</v>
          </cell>
          <cell r="T286">
            <v>56.757428571428569</v>
          </cell>
          <cell r="U286">
            <v>397.30199999999996</v>
          </cell>
        </row>
        <row r="287">
          <cell r="B287" t="str">
            <v>FQ(2)</v>
          </cell>
          <cell r="C287">
            <v>229.1</v>
          </cell>
          <cell r="D287">
            <v>-0.61799999999999999</v>
          </cell>
          <cell r="E287">
            <v>84</v>
          </cell>
          <cell r="F287">
            <v>105</v>
          </cell>
          <cell r="G287">
            <v>-54.902999999999999</v>
          </cell>
          <cell r="H287">
            <v>103.407</v>
          </cell>
          <cell r="I287">
            <v>261.56099999999998</v>
          </cell>
          <cell r="J287">
            <v>103.9352857142857</v>
          </cell>
          <cell r="K287">
            <v>727.54699999999991</v>
          </cell>
          <cell r="M287">
            <v>6.8895899999999903</v>
          </cell>
          <cell r="N287">
            <v>38.960999999999999</v>
          </cell>
          <cell r="O287">
            <v>28.571999999999999</v>
          </cell>
          <cell r="P287">
            <v>136.26599999999999</v>
          </cell>
          <cell r="Q287">
            <v>228</v>
          </cell>
          <cell r="R287">
            <v>60.262999999999998</v>
          </cell>
          <cell r="S287">
            <v>49.021000000000001</v>
          </cell>
          <cell r="T287">
            <v>78.281798571428567</v>
          </cell>
          <cell r="U287">
            <v>547.97258999999997</v>
          </cell>
        </row>
        <row r="288">
          <cell r="B288" t="str">
            <v>FQ(1)</v>
          </cell>
          <cell r="C288">
            <v>193</v>
          </cell>
          <cell r="D288">
            <v>27</v>
          </cell>
          <cell r="E288">
            <v>-12</v>
          </cell>
          <cell r="F288">
            <v>83</v>
          </cell>
          <cell r="G288">
            <v>1.8857268832559799</v>
          </cell>
          <cell r="H288">
            <v>105.08</v>
          </cell>
          <cell r="I288">
            <v>347.79899999999998</v>
          </cell>
          <cell r="J288">
            <v>106.53781812617942</v>
          </cell>
          <cell r="K288">
            <v>745.76472688325589</v>
          </cell>
          <cell r="M288">
            <v>30.623000000000001</v>
          </cell>
          <cell r="N288">
            <v>62.628999999999998</v>
          </cell>
          <cell r="O288">
            <v>44.501489999999997</v>
          </cell>
          <cell r="P288">
            <v>140.827</v>
          </cell>
          <cell r="Q288">
            <v>307</v>
          </cell>
          <cell r="R288">
            <v>6.0990000000000002</v>
          </cell>
          <cell r="S288">
            <v>62.392000000000003</v>
          </cell>
          <cell r="T288">
            <v>93.438784285714306</v>
          </cell>
          <cell r="U288">
            <v>654.07149000000015</v>
          </cell>
        </row>
        <row r="289">
          <cell r="B289" t="str">
            <v>Last Reported Q</v>
          </cell>
          <cell r="C289">
            <v>990.1</v>
          </cell>
          <cell r="D289">
            <v>249.58199999999999</v>
          </cell>
          <cell r="E289">
            <v>576</v>
          </cell>
          <cell r="F289">
            <v>427.8</v>
          </cell>
          <cell r="G289">
            <v>-47.731873116743998</v>
          </cell>
          <cell r="H289">
            <v>442.75700000000001</v>
          </cell>
          <cell r="I289">
            <v>1213.5719999999999</v>
          </cell>
          <cell r="J289">
            <v>550.29701812617952</v>
          </cell>
          <cell r="K289">
            <v>3852.0791268832563</v>
          </cell>
          <cell r="M289">
            <v>95.928809999999999</v>
          </cell>
          <cell r="N289">
            <v>231.32900000000001</v>
          </cell>
          <cell r="O289">
            <v>159.06599</v>
          </cell>
          <cell r="P289">
            <v>240.95</v>
          </cell>
          <cell r="Q289">
            <v>1099.8</v>
          </cell>
          <cell r="R289">
            <v>405.17</v>
          </cell>
          <cell r="S289">
            <v>219.893</v>
          </cell>
          <cell r="T289">
            <v>350.3052571428571</v>
          </cell>
          <cell r="U289">
            <v>2452.1367999999998</v>
          </cell>
        </row>
        <row r="290">
          <cell r="B290" t="str">
            <v>LTM</v>
          </cell>
          <cell r="C290">
            <v>1549.2</v>
          </cell>
          <cell r="D290">
            <v>300.964</v>
          </cell>
          <cell r="E290">
            <v>580</v>
          </cell>
          <cell r="F290">
            <v>683.8</v>
          </cell>
          <cell r="G290">
            <v>-105.54314623348802</v>
          </cell>
          <cell r="H290">
            <v>742.63099999999997</v>
          </cell>
          <cell r="I290">
            <v>2032.1459999999997</v>
          </cell>
          <cell r="J290">
            <v>826.17112196664436</v>
          </cell>
          <cell r="K290">
            <v>5783.1978537665109</v>
          </cell>
          <cell r="M290">
            <v>110.3364</v>
          </cell>
          <cell r="N290">
            <v>366.09399999999999</v>
          </cell>
          <cell r="O290">
            <v>247.82048</v>
          </cell>
          <cell r="P290">
            <v>641.18799999999999</v>
          </cell>
          <cell r="Q290">
            <v>1849.8</v>
          </cell>
          <cell r="R290">
            <v>474.13300000000004</v>
          </cell>
          <cell r="S290">
            <v>362.11099999999999</v>
          </cell>
          <cell r="T290">
            <v>578.78326857142849</v>
          </cell>
          <cell r="U290">
            <v>4051.4828799999996</v>
          </cell>
        </row>
        <row r="291">
          <cell r="B291" t="str">
            <v>FQ(3)</v>
          </cell>
          <cell r="C291">
            <v>6.4183381088825209E-2</v>
          </cell>
          <cell r="D291">
            <v>3.6115991111283878E-2</v>
          </cell>
          <cell r="E291">
            <v>0.10436097806906983</v>
          </cell>
          <cell r="F291">
            <v>2.9552368535419381E-2</v>
          </cell>
          <cell r="G291">
            <v>-8.5798356710030096E-2</v>
          </cell>
          <cell r="H291">
            <v>5.6159579081397279E-2</v>
          </cell>
          <cell r="I291">
            <v>4.3851399344251564E-2</v>
          </cell>
          <cell r="J291">
            <v>3.5489334360031009E-2</v>
          </cell>
          <cell r="K291">
            <v>5.8316995678285438E-2</v>
          </cell>
          <cell r="M291">
            <v>9.7305990751085966E-2</v>
          </cell>
          <cell r="N291">
            <v>9.8874375558863026E-2</v>
          </cell>
          <cell r="O291">
            <v>4.2699569393839017E-2</v>
          </cell>
          <cell r="P291">
            <v>0.19376130355109239</v>
          </cell>
          <cell r="Q291">
            <v>5.9529642332190102E-2</v>
          </cell>
          <cell r="R291">
            <v>7.3194762331742616E-2</v>
          </cell>
          <cell r="S291">
            <v>7.9800739256570843E-2</v>
          </cell>
          <cell r="T291">
            <v>9.2166626167912005E-2</v>
          </cell>
          <cell r="U291">
            <v>7.7996182250806484E-2</v>
          </cell>
        </row>
        <row r="292">
          <cell r="A292" t="str">
            <v>mstag:adjEpsForConsensus</v>
          </cell>
          <cell r="B292" t="str">
            <v>EPS</v>
          </cell>
          <cell r="C292">
            <v>3.7658053875755909E-2</v>
          </cell>
          <cell r="D292">
            <v>6.4359422215875383E-3</v>
          </cell>
          <cell r="E292">
            <v>9.6172340834775917E-3</v>
          </cell>
          <cell r="F292">
            <v>3.9859320046893319E-2</v>
          </cell>
          <cell r="G292">
            <v>-7.7165014663606243E-3</v>
          </cell>
          <cell r="H292">
            <v>5.4024032882497568E-2</v>
          </cell>
          <cell r="I292">
            <v>4.8048515648253277E-2</v>
          </cell>
          <cell r="J292">
            <v>2.6846656756014938E-2</v>
          </cell>
          <cell r="K292">
            <v>2.7296515280776795E-2</v>
          </cell>
          <cell r="M292">
            <v>-4.3768051544101315E-2</v>
          </cell>
          <cell r="N292">
            <v>8.1306491774993619E-2</v>
          </cell>
          <cell r="O292">
            <v>2.5622549019607841E-2</v>
          </cell>
          <cell r="P292">
            <v>0.22588351439616103</v>
          </cell>
          <cell r="Q292">
            <v>6.8755996162456035E-2</v>
          </cell>
          <cell r="R292">
            <v>1.507618953222079E-3</v>
          </cell>
          <cell r="S292">
            <v>8.0055405981351163E-2</v>
          </cell>
          <cell r="T292">
            <v>6.2766217820527201E-2</v>
          </cell>
          <cell r="U292">
            <v>6.2249080363126458E-2</v>
          </cell>
        </row>
        <row r="293">
          <cell r="B293" t="str">
            <v>FY(10)</v>
          </cell>
          <cell r="C293">
            <v>0.77521446372088398</v>
          </cell>
          <cell r="D293">
            <v>1.4</v>
          </cell>
          <cell r="E293">
            <v>1.8784153005464499</v>
          </cell>
          <cell r="F293">
            <v>1.4613761964962999</v>
          </cell>
          <cell r="G293" t="str">
            <v>NA</v>
          </cell>
          <cell r="H293">
            <v>1.6372326095779799</v>
          </cell>
          <cell r="I293">
            <v>1.6577637227997</v>
          </cell>
          <cell r="J293">
            <v>1.8959747286601904E-2</v>
          </cell>
          <cell r="K293">
            <v>3.092076908075473E-2</v>
          </cell>
          <cell r="M293">
            <v>1.3898421605150499</v>
          </cell>
          <cell r="N293" t="str">
            <v>NA</v>
          </cell>
          <cell r="O293">
            <v>0.41371261553099398</v>
          </cell>
          <cell r="P293" t="str">
            <v>NA</v>
          </cell>
          <cell r="Q293" t="str">
            <v>NA</v>
          </cell>
          <cell r="R293">
            <v>0.81070495076287297</v>
          </cell>
          <cell r="S293">
            <v>0.13085369962356699</v>
          </cell>
          <cell r="T293">
            <v>7.2375282624266277E-2</v>
          </cell>
          <cell r="U293">
            <v>6.4194610152069412E-2</v>
          </cell>
        </row>
        <row r="294">
          <cell r="B294" t="str">
            <v>FY(9)</v>
          </cell>
          <cell r="C294">
            <v>1.07237890611166</v>
          </cell>
          <cell r="D294">
            <v>-0.44</v>
          </cell>
          <cell r="E294">
            <v>2.10016098088076</v>
          </cell>
          <cell r="F294">
            <v>0.92919013844067999</v>
          </cell>
          <cell r="G294" t="str">
            <v>NA</v>
          </cell>
          <cell r="H294">
            <v>0.90120980436249298</v>
          </cell>
          <cell r="I294">
            <v>0.93027911866000801</v>
          </cell>
          <cell r="J294">
            <v>3.2613120775195285E-2</v>
          </cell>
          <cell r="K294">
            <v>3.28813844777502E-2</v>
          </cell>
          <cell r="M294">
            <v>1.53542621089314</v>
          </cell>
          <cell r="N294" t="str">
            <v>NA</v>
          </cell>
          <cell r="O294">
            <v>0.42122774912660099</v>
          </cell>
          <cell r="P294">
            <v>0.13003536181999101</v>
          </cell>
          <cell r="Q294">
            <v>0.999041521977453</v>
          </cell>
          <cell r="R294">
            <v>0.78378468838372195</v>
          </cell>
          <cell r="S294">
            <v>7.5941413026930193E-2</v>
          </cell>
          <cell r="T294">
            <v>8.699911328383772E-2</v>
          </cell>
          <cell r="U294">
            <v>0.10112604374923474</v>
          </cell>
        </row>
        <row r="295">
          <cell r="B295" t="str">
            <v>FY(8)</v>
          </cell>
          <cell r="C295">
            <v>1.4191983074683301</v>
          </cell>
          <cell r="D295">
            <v>0.56999999999999995</v>
          </cell>
          <cell r="E295">
            <v>1.60143363650378</v>
          </cell>
          <cell r="F295">
            <v>0.46398124546486302</v>
          </cell>
          <cell r="G295" t="str">
            <v>NA</v>
          </cell>
          <cell r="H295">
            <v>0.95576405027709099</v>
          </cell>
          <cell r="I295">
            <v>0.97136844341894002</v>
          </cell>
          <cell r="J295">
            <v>2.9910983539014519E-2</v>
          </cell>
          <cell r="K295">
            <v>3.8970939552062538E-2</v>
          </cell>
          <cell r="M295">
            <v>1.6249853692793901</v>
          </cell>
          <cell r="N295" t="str">
            <v>NA</v>
          </cell>
          <cell r="O295">
            <v>0.45921469255751202</v>
          </cell>
          <cell r="P295">
            <v>0.195661357058865</v>
          </cell>
          <cell r="Q295">
            <v>-8.90735342104753E-3</v>
          </cell>
          <cell r="R295">
            <v>0.78103307517848597</v>
          </cell>
          <cell r="S295">
            <v>0.107571157241721</v>
          </cell>
          <cell r="T295">
            <v>8.142679641502977E-2</v>
          </cell>
          <cell r="U295">
            <v>7.8553207218398979E-2</v>
          </cell>
        </row>
        <row r="296">
          <cell r="B296" t="str">
            <v>FY(7)</v>
          </cell>
          <cell r="C296">
            <v>1.8429396202147099</v>
          </cell>
          <cell r="D296">
            <v>0.94</v>
          </cell>
          <cell r="E296">
            <v>1.70938972591492</v>
          </cell>
          <cell r="F296">
            <v>0.370127283723937</v>
          </cell>
          <cell r="G296" t="str">
            <v>NA</v>
          </cell>
          <cell r="H296">
            <v>1.2544579038447099</v>
          </cell>
          <cell r="I296">
            <v>1.07558342936518</v>
          </cell>
          <cell r="M296">
            <v>1.9353280798163599</v>
          </cell>
          <cell r="N296">
            <v>0.40010402540755902</v>
          </cell>
          <cell r="O296">
            <v>0.45635198695666102</v>
          </cell>
          <cell r="P296">
            <v>0.21405208526080999</v>
          </cell>
          <cell r="Q296">
            <v>0.51707348651642404</v>
          </cell>
          <cell r="R296">
            <v>0.97464618533151604</v>
          </cell>
          <cell r="S296">
            <v>0.176735357727373</v>
          </cell>
        </row>
        <row r="297">
          <cell r="B297" t="str">
            <v>FY(6)</v>
          </cell>
          <cell r="C297">
            <v>1.6897901951429499</v>
          </cell>
          <cell r="D297">
            <v>1.2</v>
          </cell>
          <cell r="E297">
            <v>1.8506172802885601</v>
          </cell>
          <cell r="F297">
            <v>0.88174338254112505</v>
          </cell>
          <cell r="G297">
            <v>-0.499913824862043</v>
          </cell>
          <cell r="H297">
            <v>1.4667904170775601</v>
          </cell>
          <cell r="I297">
            <v>1.1603136408820001</v>
          </cell>
          <cell r="M297">
            <v>2.0569391444065102</v>
          </cell>
          <cell r="N297">
            <v>0.62053859923024501</v>
          </cell>
          <cell r="O297">
            <v>0.383656247547559</v>
          </cell>
          <cell r="P297">
            <v>0.32926625843458401</v>
          </cell>
          <cell r="Q297">
            <v>1.0553914221029499</v>
          </cell>
          <cell r="R297">
            <v>1.1101679803131399</v>
          </cell>
          <cell r="S297">
            <v>0.29924111670925502</v>
          </cell>
        </row>
        <row r="298">
          <cell r="A298" t="str">
            <v>mscalc:totalCashIncludingShorttermInvestmentsForCac</v>
          </cell>
          <cell r="B298" t="str">
            <v>FY(5)</v>
          </cell>
          <cell r="C298">
            <v>2.04119863603426</v>
          </cell>
          <cell r="D298">
            <v>2.2599999999999998</v>
          </cell>
          <cell r="E298">
            <v>2.20692086134141</v>
          </cell>
          <cell r="F298">
            <v>1.3831814139226799</v>
          </cell>
          <cell r="G298">
            <v>-0.49610332398208501</v>
          </cell>
          <cell r="H298">
            <v>1.2040334606671801</v>
          </cell>
          <cell r="I298">
            <v>1.2268856649054201</v>
          </cell>
          <cell r="M298">
            <v>2.5439339071322</v>
          </cell>
          <cell r="N298">
            <v>1.0125578552091501</v>
          </cell>
          <cell r="O298">
            <v>0.99496818508559404</v>
          </cell>
          <cell r="P298">
            <v>0.57122145046919004</v>
          </cell>
          <cell r="Q298">
            <v>1.22494717770251</v>
          </cell>
          <cell r="R298">
            <v>1.4087813785758301</v>
          </cell>
          <cell r="S298">
            <v>0.540867507514041</v>
          </cell>
        </row>
        <row r="299">
          <cell r="B299" t="str">
            <v>FY(4)</v>
          </cell>
          <cell r="C299">
            <v>2.4284486808766101</v>
          </cell>
          <cell r="D299">
            <v>3.6336397603584198</v>
          </cell>
          <cell r="E299">
            <v>2.5058780966631602</v>
          </cell>
          <cell r="F299">
            <v>1.98426148320344</v>
          </cell>
          <cell r="G299">
            <v>-0.81891959260101599</v>
          </cell>
          <cell r="H299">
            <v>1.3624223480615401</v>
          </cell>
          <cell r="I299">
            <v>1.2668460007154301</v>
          </cell>
          <cell r="J299">
            <v>934.86214260037673</v>
          </cell>
          <cell r="K299">
            <v>6544.0349982026373</v>
          </cell>
          <cell r="M299">
            <v>3.9858565461900199</v>
          </cell>
          <cell r="N299">
            <v>1.0005780312375301</v>
          </cell>
          <cell r="O299">
            <v>1.26039453978226</v>
          </cell>
          <cell r="P299">
            <v>0.86277489742203195</v>
          </cell>
          <cell r="Q299">
            <v>1.1929264385604199</v>
          </cell>
          <cell r="R299">
            <v>1.3287632730684</v>
          </cell>
          <cell r="S299">
            <v>0.76400511877328903</v>
          </cell>
          <cell r="T299">
            <v>742.61106636551267</v>
          </cell>
          <cell r="U299">
            <v>5198.2774645585887</v>
          </cell>
        </row>
        <row r="300">
          <cell r="B300" t="str">
            <v>FY(3)</v>
          </cell>
          <cell r="C300">
            <v>3.31</v>
          </cell>
          <cell r="D300">
            <v>4.8837209302325597</v>
          </cell>
          <cell r="E300">
            <v>2.0770614304446702</v>
          </cell>
          <cell r="F300">
            <v>2.55149905494669</v>
          </cell>
          <cell r="G300">
            <v>0.21962195068579499</v>
          </cell>
          <cell r="H300">
            <v>1.7017917007071</v>
          </cell>
          <cell r="I300">
            <v>1.6338775120122</v>
          </cell>
          <cell r="J300">
            <v>747.65958469519319</v>
          </cell>
          <cell r="K300">
            <v>5233.6170928663523</v>
          </cell>
          <cell r="M300">
            <v>4.8529942397565504</v>
          </cell>
          <cell r="N300">
            <v>1.2508897900467499</v>
          </cell>
          <cell r="O300">
            <v>1.6960864158610001</v>
          </cell>
          <cell r="P300">
            <v>1.1943771412713899</v>
          </cell>
          <cell r="Q300">
            <v>0.93175389657940999</v>
          </cell>
          <cell r="R300">
            <v>1.67714662290667</v>
          </cell>
          <cell r="S300">
            <v>0.64679793670709995</v>
          </cell>
          <cell r="T300">
            <v>742.61106636551267</v>
          </cell>
          <cell r="U300">
            <v>5198.2774645585887</v>
          </cell>
        </row>
        <row r="301">
          <cell r="B301" t="str">
            <v>FY(2)</v>
          </cell>
          <cell r="C301">
            <v>3.39</v>
          </cell>
          <cell r="D301">
            <v>4.7651826357277702</v>
          </cell>
          <cell r="E301">
            <v>2.1292197011621501</v>
          </cell>
          <cell r="F301">
            <v>2.7888518417687198</v>
          </cell>
          <cell r="G301">
            <v>0.41278125259495102</v>
          </cell>
          <cell r="H301">
            <v>1.9036822857226201</v>
          </cell>
          <cell r="I301">
            <v>1.92828963541067</v>
          </cell>
          <cell r="J301">
            <v>741.50341404003791</v>
          </cell>
          <cell r="K301">
            <v>5190.5238982802657</v>
          </cell>
          <cell r="M301">
            <v>5.45356904821739</v>
          </cell>
          <cell r="N301">
            <v>1.11670185002093</v>
          </cell>
          <cell r="O301">
            <v>1.8159569638641699</v>
          </cell>
          <cell r="P301">
            <v>1.6868129829656899</v>
          </cell>
          <cell r="Q301">
            <v>1.11882277420426</v>
          </cell>
          <cell r="R301">
            <v>1.2136220796667601</v>
          </cell>
          <cell r="S301">
            <v>0.89916095308231403</v>
          </cell>
          <cell r="T301">
            <v>755.60655281196853</v>
          </cell>
          <cell r="U301">
            <v>5289.2458696837793</v>
          </cell>
        </row>
        <row r="302">
          <cell r="B302" t="str">
            <v>FY(1)</v>
          </cell>
          <cell r="C302">
            <v>2.89</v>
          </cell>
          <cell r="D302">
            <v>2.52400843811626</v>
          </cell>
          <cell r="E302">
            <v>1.29323129857033</v>
          </cell>
          <cell r="F302">
            <v>1.80139710078758</v>
          </cell>
          <cell r="G302">
            <v>-0.79312003221084204</v>
          </cell>
          <cell r="H302">
            <v>2.3067627390142502</v>
          </cell>
          <cell r="I302">
            <v>1.9985273245524799</v>
          </cell>
          <cell r="J302">
            <v>1191.4163447597857</v>
          </cell>
          <cell r="K302">
            <v>8339.9144133185</v>
          </cell>
          <cell r="M302">
            <v>3.5722553046670802</v>
          </cell>
          <cell r="N302">
            <v>1.4741130973521199</v>
          </cell>
          <cell r="O302">
            <v>0.98702199612683195</v>
          </cell>
          <cell r="P302">
            <v>2.0596348737991299</v>
          </cell>
          <cell r="Q302">
            <v>1.34492350486787</v>
          </cell>
          <cell r="R302">
            <v>1.0476755183056099</v>
          </cell>
          <cell r="S302">
            <v>1.16684752728228</v>
          </cell>
          <cell r="T302">
            <v>1087.3847737330791</v>
          </cell>
          <cell r="U302">
            <v>7611.693416131553</v>
          </cell>
        </row>
        <row r="303">
          <cell r="B303" t="str">
            <v>FY0</v>
          </cell>
          <cell r="C303">
            <v>3.2250814332247599</v>
          </cell>
          <cell r="D303">
            <v>1.07185741893923</v>
          </cell>
          <cell r="E303">
            <v>1.3637977980347999</v>
          </cell>
          <cell r="F303">
            <v>1.9476439790575899</v>
          </cell>
          <cell r="G303">
            <v>-0.32505046574263302</v>
          </cell>
          <cell r="H303">
            <v>3.5404627917437099</v>
          </cell>
          <cell r="I303">
            <v>2.83955201617291</v>
          </cell>
          <cell r="J303">
            <v>1563.6266665338462</v>
          </cell>
          <cell r="K303">
            <v>10945.386665736924</v>
          </cell>
          <cell r="M303">
            <v>1.0857232916170301</v>
          </cell>
          <cell r="N303">
            <v>2.2898250181267499</v>
          </cell>
          <cell r="O303">
            <v>0.76073186478937904</v>
          </cell>
          <cell r="P303">
            <v>1.9105951722867101</v>
          </cell>
          <cell r="Q303">
            <v>1.57451682176092</v>
          </cell>
          <cell r="R303">
            <v>1.2399430783590699</v>
          </cell>
          <cell r="S303">
            <v>1.2842313990523899</v>
          </cell>
          <cell r="T303">
            <v>1157.569772525901</v>
          </cell>
          <cell r="U303">
            <v>8102.9884076813069</v>
          </cell>
        </row>
        <row r="304">
          <cell r="B304" t="str">
            <v>FY1</v>
          </cell>
          <cell r="C304">
            <v>3.84</v>
          </cell>
          <cell r="D304">
            <v>1.5673931502691101</v>
          </cell>
          <cell r="E304">
            <v>1.8332979923671699</v>
          </cell>
          <cell r="F304">
            <v>2.5862513892318302</v>
          </cell>
          <cell r="G304">
            <v>-9.7405174087837498E-2</v>
          </cell>
          <cell r="H304">
            <v>4.2896851724700404</v>
          </cell>
          <cell r="I304">
            <v>3.4390463814732599</v>
          </cell>
          <cell r="J304">
            <v>741.43169975432386</v>
          </cell>
          <cell r="K304">
            <v>5190.0218982802671</v>
          </cell>
          <cell r="M304">
            <v>1.7864819853377301</v>
          </cell>
          <cell r="N304">
            <v>2.7325550569536099</v>
          </cell>
          <cell r="O304">
            <v>1.15945960309165</v>
          </cell>
          <cell r="P304">
            <v>2.1782807832683999</v>
          </cell>
          <cell r="Q304">
            <v>1.6516746689870401</v>
          </cell>
          <cell r="R304">
            <v>1.69537580939143</v>
          </cell>
          <cell r="S304">
            <v>1.61941939902598</v>
          </cell>
          <cell r="T304">
            <v>699.77055281196863</v>
          </cell>
          <cell r="U304">
            <v>4898.3938696837804</v>
          </cell>
        </row>
        <row r="305">
          <cell r="B305" t="str">
            <v>FY2</v>
          </cell>
          <cell r="C305">
            <v>4.5728797622460302</v>
          </cell>
          <cell r="D305">
            <v>1.94285457963845</v>
          </cell>
          <cell r="E305">
            <v>2.0856204477039402</v>
          </cell>
          <cell r="F305">
            <v>2.9116860600686101</v>
          </cell>
          <cell r="G305">
            <v>0.13182592432298201</v>
          </cell>
          <cell r="H305">
            <v>4.8723869135682998</v>
          </cell>
          <cell r="I305">
            <v>3.8781326293192002</v>
          </cell>
          <cell r="J305">
            <v>698.08827118289616</v>
          </cell>
          <cell r="K305">
            <v>4886.617898280273</v>
          </cell>
          <cell r="M305">
            <v>2.4574533255178199</v>
          </cell>
          <cell r="N305">
            <v>2.98453685978743</v>
          </cell>
          <cell r="O305">
            <v>1.4121827801328699</v>
          </cell>
          <cell r="P305">
            <v>2.4232914952671898</v>
          </cell>
          <cell r="Q305">
            <v>1.7645736925778299</v>
          </cell>
          <cell r="R305">
            <v>1.98791893284279</v>
          </cell>
          <cell r="S305">
            <v>1.9456738520825001</v>
          </cell>
          <cell r="T305">
            <v>646.65298138339688</v>
          </cell>
          <cell r="U305">
            <v>4526.5708696837783</v>
          </cell>
        </row>
        <row r="306">
          <cell r="B306" t="str">
            <v>FQ(3)</v>
          </cell>
          <cell r="C306">
            <v>0.45</v>
          </cell>
          <cell r="D306">
            <v>0.112258643915582</v>
          </cell>
          <cell r="E306">
            <v>-0.16136687233032701</v>
          </cell>
          <cell r="F306">
            <v>0.31278748850046001</v>
          </cell>
          <cell r="G306">
            <v>-3.4664526345474199E-2</v>
          </cell>
          <cell r="H306">
            <v>0.72206156569008495</v>
          </cell>
          <cell r="I306">
            <v>0.48651822379909199</v>
          </cell>
          <cell r="J306">
            <v>951.39055689718236</v>
          </cell>
          <cell r="K306">
            <v>6659.7338982802767</v>
          </cell>
          <cell r="M306">
            <v>-0.26346397254181902</v>
          </cell>
          <cell r="N306">
            <v>0.32625264296602202</v>
          </cell>
          <cell r="O306">
            <v>7.5649103171463603E-2</v>
          </cell>
          <cell r="P306">
            <v>0.38320548925643</v>
          </cell>
          <cell r="Q306">
            <v>0.30846484935437601</v>
          </cell>
          <cell r="R306">
            <v>8.04553257961238E-3</v>
          </cell>
          <cell r="S306">
            <v>0.18086892567228299</v>
          </cell>
          <cell r="T306">
            <v>817.61028571428574</v>
          </cell>
          <cell r="U306">
            <v>5723.2719999999999</v>
          </cell>
        </row>
        <row r="307">
          <cell r="B307" t="str">
            <v>FQ(2)</v>
          </cell>
          <cell r="C307">
            <v>0.75</v>
          </cell>
          <cell r="D307">
            <v>-2.64328485885372E-3</v>
          </cell>
          <cell r="E307">
            <v>0.19900497512437801</v>
          </cell>
          <cell r="F307">
            <v>0.479890310786106</v>
          </cell>
          <cell r="G307">
            <v>-0.396913067052232</v>
          </cell>
          <cell r="H307">
            <v>0.82292412739340104</v>
          </cell>
          <cell r="I307">
            <v>0.60764125235507704</v>
          </cell>
          <cell r="J307">
            <v>951.70144671342098</v>
          </cell>
          <cell r="K307">
            <v>6661.9101269939465</v>
          </cell>
          <cell r="M307">
            <v>7.8399485650561193E-2</v>
          </cell>
          <cell r="N307">
            <v>0.38030953043325499</v>
          </cell>
          <cell r="O307">
            <v>0.13669832308686</v>
          </cell>
          <cell r="P307">
            <v>0.42515100838658099</v>
          </cell>
          <cell r="Q307">
            <v>0.32571428571428601</v>
          </cell>
          <cell r="R307">
            <v>0.18502780191404899</v>
          </cell>
          <cell r="S307">
            <v>0.28714391088612501</v>
          </cell>
          <cell r="T307">
            <v>844.17771428571439</v>
          </cell>
          <cell r="U307">
            <v>5909.2440000000006</v>
          </cell>
        </row>
        <row r="308">
          <cell r="B308" t="str">
            <v>FQ(1)</v>
          </cell>
          <cell r="C308">
            <v>0.63</v>
          </cell>
          <cell r="D308">
            <v>0.11363636363636399</v>
          </cell>
          <cell r="E308">
            <v>-2.8449502133712699E-2</v>
          </cell>
          <cell r="F308">
            <v>0.37607612143180802</v>
          </cell>
          <cell r="G308">
            <v>1.23689909433279E-2</v>
          </cell>
          <cell r="H308">
            <v>0.843013927219047</v>
          </cell>
          <cell r="I308">
            <v>0.81243984937817104</v>
          </cell>
          <cell r="J308">
            <v>951.70144671342098</v>
          </cell>
          <cell r="K308">
            <v>6661.9101269939465</v>
          </cell>
          <cell r="M308">
            <v>0.34512566212104101</v>
          </cell>
          <cell r="N308">
            <v>0.61409108068224705</v>
          </cell>
          <cell r="O308">
            <v>0.21252615894514101</v>
          </cell>
          <cell r="P308">
            <v>0.43855628046027101</v>
          </cell>
          <cell r="Q308">
            <v>0.43607954545454503</v>
          </cell>
          <cell r="R308">
            <v>1.8579840918299399E-2</v>
          </cell>
          <cell r="S308">
            <v>0.36392078850375198</v>
          </cell>
          <cell r="T308">
            <v>844.17771428571439</v>
          </cell>
          <cell r="U308">
            <v>5909.2440000000006</v>
          </cell>
        </row>
        <row r="309">
          <cell r="B309" t="str">
            <v>Last Reported Q</v>
          </cell>
          <cell r="C309">
            <v>3.2250814332247599</v>
          </cell>
          <cell r="D309">
            <v>1.07185741893923</v>
          </cell>
          <cell r="E309">
            <v>1.3637977980347999</v>
          </cell>
          <cell r="F309">
            <v>1.9476439790575899</v>
          </cell>
          <cell r="G309">
            <v>-0.32505046574263302</v>
          </cell>
          <cell r="H309">
            <v>3.5404627917437099</v>
          </cell>
          <cell r="I309">
            <v>2.83955201617291</v>
          </cell>
          <cell r="M309">
            <v>1.0857232916170301</v>
          </cell>
          <cell r="N309">
            <v>2.2898250181267499</v>
          </cell>
          <cell r="O309">
            <v>0.76073186478937904</v>
          </cell>
          <cell r="P309">
            <v>0.74973318273326695</v>
          </cell>
          <cell r="Q309">
            <v>1.57451682176092</v>
          </cell>
          <cell r="R309">
            <v>1.2399430783590699</v>
          </cell>
          <cell r="S309">
            <v>1.2842313990523899</v>
          </cell>
        </row>
        <row r="310">
          <cell r="A310" t="str">
            <v>mstag:shortTermBorrowings</v>
          </cell>
          <cell r="B310" t="str">
            <v>LTM</v>
          </cell>
          <cell r="C310">
            <v>5.0550814332247604</v>
          </cell>
          <cell r="D310">
            <v>1.2951091416323224</v>
          </cell>
          <cell r="E310">
            <v>1.3729863986951383</v>
          </cell>
          <cell r="F310">
            <v>3.116397899775964</v>
          </cell>
          <cell r="G310">
            <v>-0.74425906819701138</v>
          </cell>
          <cell r="H310">
            <v>5.928462412046243</v>
          </cell>
          <cell r="I310">
            <v>4.7461513417052501</v>
          </cell>
          <cell r="M310">
            <v>1.2457844668468132</v>
          </cell>
          <cell r="N310">
            <v>3.6104782722082742</v>
          </cell>
          <cell r="O310">
            <v>1.1856054499928437</v>
          </cell>
          <cell r="P310">
            <v>1.996645960836549</v>
          </cell>
          <cell r="Q310">
            <v>2.6447755022841273</v>
          </cell>
          <cell r="R310">
            <v>1.4515962537710307</v>
          </cell>
          <cell r="S310">
            <v>2.11616502411455</v>
          </cell>
        </row>
        <row r="311">
          <cell r="B311" t="str">
            <v>FY(2)</v>
          </cell>
          <cell r="C311">
            <v>18.841000000000001</v>
          </cell>
          <cell r="D311">
            <v>434</v>
          </cell>
          <cell r="E311">
            <v>650</v>
          </cell>
          <cell r="F311">
            <v>6.8</v>
          </cell>
          <cell r="G311">
            <v>236.667</v>
          </cell>
          <cell r="H311">
            <v>0</v>
          </cell>
          <cell r="I311">
            <v>1.8540000000000001</v>
          </cell>
          <cell r="J311">
            <v>192.59457142857141</v>
          </cell>
          <cell r="K311">
            <v>1348.1619999999998</v>
          </cell>
          <cell r="M311">
            <v>0</v>
          </cell>
          <cell r="N311">
            <v>0</v>
          </cell>
          <cell r="O311">
            <v>0</v>
          </cell>
          <cell r="P311">
            <v>0.23499999999999999</v>
          </cell>
          <cell r="Q311">
            <v>325</v>
          </cell>
          <cell r="R311">
            <v>18</v>
          </cell>
          <cell r="S311" t="str">
            <v>NA</v>
          </cell>
          <cell r="T311">
            <v>57.205833333333338</v>
          </cell>
          <cell r="U311">
            <v>343.23500000000001</v>
          </cell>
        </row>
        <row r="312">
          <cell r="B312" t="str">
            <v>EPS Y/Y Δ</v>
          </cell>
          <cell r="C312">
            <v>12.701000000000001</v>
          </cell>
          <cell r="D312">
            <v>203</v>
          </cell>
          <cell r="E312">
            <v>666</v>
          </cell>
          <cell r="F312">
            <v>261</v>
          </cell>
          <cell r="G312">
            <v>319.24200000000002</v>
          </cell>
          <cell r="H312">
            <v>0</v>
          </cell>
          <cell r="I312">
            <v>2.008</v>
          </cell>
          <cell r="J312">
            <v>209.13585714285713</v>
          </cell>
          <cell r="K312">
            <v>1463.951</v>
          </cell>
          <cell r="M312">
            <v>0</v>
          </cell>
          <cell r="N312">
            <v>0</v>
          </cell>
          <cell r="O312">
            <v>0</v>
          </cell>
          <cell r="P312">
            <v>0.28499999999999998</v>
          </cell>
          <cell r="Q312">
            <v>138</v>
          </cell>
          <cell r="R312">
            <v>0</v>
          </cell>
          <cell r="S312" t="str">
            <v>NA</v>
          </cell>
          <cell r="T312">
            <v>23.047499999999999</v>
          </cell>
          <cell r="U312">
            <v>138.285</v>
          </cell>
        </row>
        <row r="313">
          <cell r="B313" t="str">
            <v>FY(10)</v>
          </cell>
          <cell r="C313">
            <v>17</v>
          </cell>
          <cell r="D313">
            <v>0</v>
          </cell>
          <cell r="E313">
            <v>966</v>
          </cell>
          <cell r="F313">
            <v>299</v>
          </cell>
          <cell r="G313">
            <v>4.673</v>
          </cell>
          <cell r="H313">
            <v>0</v>
          </cell>
          <cell r="I313">
            <v>395.02699999999999</v>
          </cell>
          <cell r="J313">
            <v>240.24285714285716</v>
          </cell>
          <cell r="K313">
            <v>1681.7</v>
          </cell>
          <cell r="M313">
            <v>0</v>
          </cell>
          <cell r="N313">
            <v>0</v>
          </cell>
          <cell r="O313">
            <v>75</v>
          </cell>
          <cell r="P313">
            <v>8.0039999999999996</v>
          </cell>
          <cell r="Q313">
            <v>50</v>
          </cell>
          <cell r="R313">
            <v>0</v>
          </cell>
          <cell r="S313" t="str">
            <v>NA</v>
          </cell>
          <cell r="T313">
            <v>22.167333333333335</v>
          </cell>
          <cell r="U313">
            <v>133.00400000000002</v>
          </cell>
        </row>
        <row r="314">
          <cell r="B314" t="str">
            <v>FY(9)</v>
          </cell>
          <cell r="C314">
            <v>0.38333191174535419</v>
          </cell>
          <cell r="D314">
            <v>-1.3142857142857143</v>
          </cell>
          <cell r="E314">
            <v>0.11804933673070162</v>
          </cell>
          <cell r="F314">
            <v>-0.36416773403833624</v>
          </cell>
          <cell r="G314">
            <v>4.8470000000000004</v>
          </cell>
          <cell r="H314">
            <v>-0.44955298404739652</v>
          </cell>
          <cell r="I314">
            <v>-0.43883491605853564</v>
          </cell>
          <cell r="J314">
            <v>-0.34424334999232115</v>
          </cell>
          <cell r="K314">
            <v>799.84699999999998</v>
          </cell>
          <cell r="M314">
            <v>0.10474862147233988</v>
          </cell>
          <cell r="N314">
            <v>0</v>
          </cell>
          <cell r="O314">
            <v>1.8165106195665359E-2</v>
          </cell>
          <cell r="P314">
            <v>0.70399999999999996</v>
          </cell>
          <cell r="Q314">
            <v>0</v>
          </cell>
          <cell r="R314">
            <v>-3.3205992332745793E-2</v>
          </cell>
          <cell r="S314">
            <v>-0.41964642004471842</v>
          </cell>
          <cell r="T314">
            <v>-8.2484671177364743E-2</v>
          </cell>
          <cell r="U314">
            <v>50.704000000000001</v>
          </cell>
        </row>
        <row r="315">
          <cell r="B315" t="str">
            <v>FY(8)</v>
          </cell>
          <cell r="C315">
            <v>0.32341124893457951</v>
          </cell>
          <cell r="D315">
            <v>-2.2954545454545454</v>
          </cell>
          <cell r="E315">
            <v>-0.23747100765952955</v>
          </cell>
          <cell r="F315">
            <v>-0.50066060080717933</v>
          </cell>
          <cell r="G315">
            <v>4.8470000000000004</v>
          </cell>
          <cell r="H315">
            <v>6.0534456738616127E-2</v>
          </cell>
          <cell r="I315">
            <v>4.4168813353693048E-2</v>
          </cell>
          <cell r="J315">
            <v>-0.43424527248239436</v>
          </cell>
          <cell r="K315">
            <v>786.84699999999998</v>
          </cell>
          <cell r="M315">
            <v>5.832853298378593E-2</v>
          </cell>
          <cell r="N315">
            <v>0</v>
          </cell>
          <cell r="O315">
            <v>9.0181483792735495E-2</v>
          </cell>
          <cell r="P315">
            <v>0.50467806849125085</v>
          </cell>
          <cell r="Q315">
            <v>-1.0089158991143998</v>
          </cell>
          <cell r="R315">
            <v>-3.5106748651982933E-3</v>
          </cell>
          <cell r="S315">
            <v>0.41650191844039486</v>
          </cell>
          <cell r="T315">
            <v>9.5439049547615031E-3</v>
          </cell>
          <cell r="U315">
            <v>50</v>
          </cell>
        </row>
        <row r="316">
          <cell r="B316" t="str">
            <v>FY(7)</v>
          </cell>
          <cell r="C316">
            <v>0.29857794398182502</v>
          </cell>
          <cell r="D316">
            <v>0.64912280701754388</v>
          </cell>
          <cell r="E316">
            <v>6.7412153054826396E-2</v>
          </cell>
          <cell r="F316">
            <v>-0.20227964526215647</v>
          </cell>
          <cell r="G316">
            <v>4.673</v>
          </cell>
          <cell r="H316">
            <v>0.31251840188069724</v>
          </cell>
          <cell r="I316">
            <v>0.10728677326538727</v>
          </cell>
          <cell r="J316">
            <v>0.20543973898968723</v>
          </cell>
          <cell r="K316">
            <v>1681.7</v>
          </cell>
          <cell r="M316">
            <v>0.19098184907018156</v>
          </cell>
          <cell r="N316">
            <v>0</v>
          </cell>
          <cell r="O316">
            <v>-6.2339155241477595E-3</v>
          </cell>
          <cell r="P316">
            <v>9.3992643608273196E-2</v>
          </cell>
          <cell r="Q316">
            <v>-59.050181919874326</v>
          </cell>
          <cell r="R316">
            <v>0.24789361207114635</v>
          </cell>
          <cell r="S316">
            <v>0.64296231684330118</v>
          </cell>
          <cell r="T316">
            <v>-9.6467642356342616</v>
          </cell>
          <cell r="U316">
            <v>125.33499999999999</v>
          </cell>
        </row>
        <row r="317">
          <cell r="B317" t="str">
            <v>FY(6)</v>
          </cell>
          <cell r="C317">
            <v>-8.3100620005075121E-2</v>
          </cell>
          <cell r="D317">
            <v>0.27659574468085113</v>
          </cell>
          <cell r="E317">
            <v>8.2618698493727383E-2</v>
          </cell>
          <cell r="F317">
            <v>1.3822706979871873</v>
          </cell>
          <cell r="G317">
            <v>4.6859999999999999</v>
          </cell>
          <cell r="H317">
            <v>0.16926236630347291</v>
          </cell>
          <cell r="I317">
            <v>7.8776047681237138E-2</v>
          </cell>
          <cell r="J317">
            <v>0.3177371558569001</v>
          </cell>
          <cell r="K317">
            <v>1907.1309999999999</v>
          </cell>
          <cell r="M317">
            <v>6.2837441288863927E-2</v>
          </cell>
          <cell r="N317">
            <v>0.55094315434128438</v>
          </cell>
          <cell r="O317">
            <v>-0.15929751921077051</v>
          </cell>
          <cell r="P317">
            <v>0.53825298190107462</v>
          </cell>
          <cell r="Q317">
            <v>1.0410859377324253</v>
          </cell>
          <cell r="R317">
            <v>0.13904717119015597</v>
          </cell>
          <cell r="S317">
            <v>0.69315931207639814</v>
          </cell>
          <cell r="T317">
            <v>0.40943263990277595</v>
          </cell>
          <cell r="U317">
            <v>77.399000000000001</v>
          </cell>
        </row>
        <row r="318">
          <cell r="B318" t="str">
            <v>FY(5)</v>
          </cell>
          <cell r="C318">
            <v>0.20795980583943563</v>
          </cell>
          <cell r="D318">
            <v>0.8833333333333333</v>
          </cell>
          <cell r="E318">
            <v>0.19253228900861274</v>
          </cell>
          <cell r="F318">
            <v>0.56868930497266024</v>
          </cell>
          <cell r="G318">
            <v>-7.6223154680900018E-3</v>
          </cell>
          <cell r="H318">
            <v>-0.17913735551524679</v>
          </cell>
          <cell r="I318">
            <v>5.7374163051996829E-2</v>
          </cell>
          <cell r="J318">
            <v>0.2461613178889574</v>
          </cell>
          <cell r="K318">
            <v>1301.9349999999999</v>
          </cell>
          <cell r="M318">
            <v>0.2367570105561887</v>
          </cell>
          <cell r="N318">
            <v>0.63174032439753192</v>
          </cell>
          <cell r="O318">
            <v>1.5933845504816269</v>
          </cell>
          <cell r="P318">
            <v>0.73483141936535756</v>
          </cell>
          <cell r="Q318">
            <v>0.1606567497599205</v>
          </cell>
          <cell r="R318">
            <v>0.2689803737434957</v>
          </cell>
          <cell r="S318">
            <v>0.80746387215080495</v>
          </cell>
          <cell r="T318">
            <v>0.6334020429221322</v>
          </cell>
          <cell r="U318">
            <v>77.489999999999995</v>
          </cell>
        </row>
        <row r="319">
          <cell r="B319" t="str">
            <v>FY(4)</v>
          </cell>
          <cell r="C319">
            <v>0.18971698197619724</v>
          </cell>
          <cell r="D319">
            <v>0.60780520369841606</v>
          </cell>
          <cell r="E319">
            <v>0.13546350508465355</v>
          </cell>
          <cell r="F319">
            <v>0.43456343703759504</v>
          </cell>
          <cell r="G319">
            <v>0.65070370024488766</v>
          </cell>
          <cell r="H319">
            <v>0.13154857615551108</v>
          </cell>
          <cell r="I319">
            <v>3.2570545856928312E-2</v>
          </cell>
          <cell r="J319">
            <v>0.3117674214363127</v>
          </cell>
          <cell r="K319">
            <v>1063.2470000000001</v>
          </cell>
          <cell r="M319">
            <v>0.5668082158169403</v>
          </cell>
          <cell r="N319">
            <v>-1.1831248861474242E-2</v>
          </cell>
          <cell r="O319">
            <v>0.26676868534628784</v>
          </cell>
          <cell r="P319">
            <v>0.51040353388929227</v>
          </cell>
          <cell r="Q319">
            <v>-2.6140506076472336E-2</v>
          </cell>
          <cell r="R319">
            <v>-5.6799519587859892E-2</v>
          </cell>
          <cell r="S319">
            <v>0.41255503087039358</v>
          </cell>
          <cell r="T319">
            <v>0.23739488448530108</v>
          </cell>
          <cell r="U319">
            <v>58.003999999999998</v>
          </cell>
        </row>
        <row r="320">
          <cell r="B320" t="str">
            <v>FY(3)</v>
          </cell>
          <cell r="C320">
            <v>0.3630100673180261</v>
          </cell>
          <cell r="D320">
            <v>0.34403002287459361</v>
          </cell>
          <cell r="E320">
            <v>-0.17112431238754366</v>
          </cell>
          <cell r="F320">
            <v>0.28586835784741838</v>
          </cell>
          <cell r="G320">
            <v>-1.2681849996875048</v>
          </cell>
          <cell r="H320">
            <v>0.24909262030853796</v>
          </cell>
          <cell r="I320">
            <v>0.2897207009293119</v>
          </cell>
          <cell r="J320">
            <v>1.3201779600405647E-2</v>
          </cell>
          <cell r="K320">
            <v>1063.2470000000001</v>
          </cell>
          <cell r="M320">
            <v>0.21755366343914351</v>
          </cell>
          <cell r="N320">
            <v>0.25016715437938464</v>
          </cell>
          <cell r="O320">
            <v>0.34567896188602032</v>
          </cell>
          <cell r="P320">
            <v>0.38434387096817968</v>
          </cell>
          <cell r="Q320">
            <v>-0.21893432280382974</v>
          </cell>
          <cell r="R320">
            <v>0.26218616731765776</v>
          </cell>
          <cell r="S320">
            <v>-0.15341151411967069</v>
          </cell>
          <cell r="T320">
            <v>0.15536914015241221</v>
          </cell>
          <cell r="U320">
            <v>58.003999999999998</v>
          </cell>
        </row>
        <row r="321">
          <cell r="B321" t="str">
            <v>FY(2)</v>
          </cell>
          <cell r="C321">
            <v>2.4169184290030232E-2</v>
          </cell>
          <cell r="D321">
            <v>-2.427212697002834E-2</v>
          </cell>
          <cell r="E321">
            <v>2.51115686579928E-2</v>
          </cell>
          <cell r="F321">
            <v>9.3024838226714035E-2</v>
          </cell>
          <cell r="G321">
            <v>0.87950817896842159</v>
          </cell>
          <cell r="H321">
            <v>0.11863413420786695</v>
          </cell>
          <cell r="I321">
            <v>0.18019228567255752</v>
          </cell>
          <cell r="J321">
            <v>0.18519543757907925</v>
          </cell>
          <cell r="M321">
            <v>0.12375345586459363</v>
          </cell>
          <cell r="N321">
            <v>-0.10727399095711287</v>
          </cell>
          <cell r="O321">
            <v>7.0674788078129103E-2</v>
          </cell>
          <cell r="P321">
            <v>0.41229509899202532</v>
          </cell>
          <cell r="Q321">
            <v>0.20077069525719637</v>
          </cell>
          <cell r="R321">
            <v>-0.27637687540793165</v>
          </cell>
          <cell r="S321">
            <v>0.39017288406950468</v>
          </cell>
          <cell r="T321">
            <v>0.11628800798520066</v>
          </cell>
        </row>
        <row r="322">
          <cell r="A322" t="str">
            <v>mstag:longTermDebt</v>
          </cell>
          <cell r="B322" t="str">
            <v>FY(1)</v>
          </cell>
          <cell r="C322">
            <v>-0.14749262536873153</v>
          </cell>
          <cell r="D322">
            <v>-0.47032283312877121</v>
          </cell>
          <cell r="E322">
            <v>-0.39262665197749624</v>
          </cell>
          <cell r="F322">
            <v>-0.3540721404385847</v>
          </cell>
          <cell r="G322">
            <v>-2.9214051685363369</v>
          </cell>
          <cell r="H322">
            <v>0.21173725065084814</v>
          </cell>
          <cell r="I322">
            <v>3.6424864736075424E-2</v>
          </cell>
          <cell r="J322">
            <v>-0.57682247200899972</v>
          </cell>
          <cell r="M322">
            <v>-0.34496927185056092</v>
          </cell>
          <cell r="N322">
            <v>0.32005968945470187</v>
          </cell>
          <cell r="O322">
            <v>-0.45647280427474968</v>
          </cell>
          <cell r="P322">
            <v>0.22102147339295364</v>
          </cell>
          <cell r="Q322">
            <v>0.20208806602495155</v>
          </cell>
          <cell r="R322">
            <v>-0.13673660371004148</v>
          </cell>
          <cell r="S322">
            <v>0.29770707155636522</v>
          </cell>
          <cell r="T322">
            <v>1.4671088656231457E-2</v>
          </cell>
        </row>
        <row r="323">
          <cell r="B323" t="str">
            <v>FY0</v>
          </cell>
          <cell r="C323">
            <v>0.11594513260372308</v>
          </cell>
          <cell r="D323">
            <v>-0.57533524739751352</v>
          </cell>
          <cell r="E323">
            <v>5.4566031260209424E-2</v>
          </cell>
          <cell r="F323">
            <v>8.1185252383314088E-2</v>
          </cell>
          <cell r="G323">
            <v>-0.59016233036436283</v>
          </cell>
          <cell r="H323">
            <v>0.53481878819347384</v>
          </cell>
          <cell r="I323">
            <v>0.42082221308070245</v>
          </cell>
          <cell r="J323">
            <v>5.9771199656495034E-3</v>
          </cell>
          <cell r="K323">
            <v>13906.364000000001</v>
          </cell>
          <cell r="M323">
            <v>-0.69606783417787799</v>
          </cell>
          <cell r="N323">
            <v>0.55335775948253563</v>
          </cell>
          <cell r="O323">
            <v>-0.22926554040886304</v>
          </cell>
          <cell r="P323">
            <v>-7.2362195556296083E-2</v>
          </cell>
          <cell r="Q323">
            <v>0.17071105982016865</v>
          </cell>
          <cell r="R323">
            <v>0.18351823316861648</v>
          </cell>
          <cell r="S323">
            <v>0.10059915201046898</v>
          </cell>
          <cell r="T323">
            <v>1.4986620483932336E-3</v>
          </cell>
          <cell r="U323">
            <v>1855.865</v>
          </cell>
        </row>
        <row r="324">
          <cell r="B324" t="str">
            <v>FY1</v>
          </cell>
          <cell r="C324">
            <v>0.19066760933238913</v>
          </cell>
          <cell r="D324">
            <v>0.46231497079181483</v>
          </cell>
          <cell r="E324">
            <v>0.34425938728520356</v>
          </cell>
          <cell r="F324">
            <v>0.32788713801956981</v>
          </cell>
          <cell r="G324">
            <v>-0.70033830326838997</v>
          </cell>
          <cell r="H324">
            <v>0.21161707516698169</v>
          </cell>
          <cell r="I324">
            <v>0.21112286793334967</v>
          </cell>
          <cell r="J324">
            <v>0.1496472493229884</v>
          </cell>
          <cell r="K324">
            <v>18116.307000000001</v>
          </cell>
          <cell r="M324">
            <v>0.64543028516687695</v>
          </cell>
          <cell r="N324">
            <v>0.19334666855419669</v>
          </cell>
          <cell r="O324">
            <v>0.52413702745666524</v>
          </cell>
          <cell r="P324">
            <v>0.14010587635962057</v>
          </cell>
          <cell r="Q324">
            <v>4.9004142832737463E-2</v>
          </cell>
          <cell r="R324">
            <v>0.36730132131152016</v>
          </cell>
          <cell r="S324">
            <v>0.2610028069870578</v>
          </cell>
          <cell r="T324">
            <v>0.31147544695266788</v>
          </cell>
          <cell r="U324">
            <v>2957.2190000000001</v>
          </cell>
        </row>
        <row r="325">
          <cell r="B325" t="str">
            <v>FY2</v>
          </cell>
          <cell r="C325">
            <v>0.19085410475157039</v>
          </cell>
          <cell r="D325">
            <v>0.23954515132650411</v>
          </cell>
          <cell r="E325">
            <v>0.13763308332158775</v>
          </cell>
          <cell r="F325">
            <v>0.1258325745872062</v>
          </cell>
          <cell r="G325">
            <v>-2.353377020856251</v>
          </cell>
          <cell r="H325">
            <v>0.13583788032694577</v>
          </cell>
          <cell r="I325">
            <v>0.12767674498703308</v>
          </cell>
          <cell r="J325">
            <v>-0.19942821165077196</v>
          </cell>
          <cell r="K325">
            <v>17655.983</v>
          </cell>
          <cell r="M325">
            <v>0.37558248316354792</v>
          </cell>
          <cell r="N325">
            <v>9.221472123410468E-2</v>
          </cell>
          <cell r="O325">
            <v>0.21796634946775573</v>
          </cell>
          <cell r="P325">
            <v>0.11247893929962682</v>
          </cell>
          <cell r="Q325">
            <v>6.8354274428650053E-2</v>
          </cell>
          <cell r="R325">
            <v>0.17255355528304417</v>
          </cell>
          <cell r="S325">
            <v>0.20146384145623419</v>
          </cell>
          <cell r="T325">
            <v>0.17723059490470908</v>
          </cell>
          <cell r="U325">
            <v>3022.1860000000001</v>
          </cell>
        </row>
        <row r="326">
          <cell r="B326" t="str">
            <v>FY1</v>
          </cell>
          <cell r="C326">
            <v>2054</v>
          </cell>
          <cell r="D326">
            <v>2999</v>
          </cell>
          <cell r="E326">
            <v>8618.2000000000007</v>
          </cell>
          <cell r="F326">
            <v>2259</v>
          </cell>
          <cell r="G326">
            <v>499.60599999999999</v>
          </cell>
          <cell r="H326">
            <v>150</v>
          </cell>
          <cell r="I326">
            <v>774.7</v>
          </cell>
          <cell r="J326">
            <v>2479.2151428571428</v>
          </cell>
          <cell r="K326">
            <v>17354.506000000001</v>
          </cell>
          <cell r="M326">
            <v>50.582000000000001</v>
          </cell>
          <cell r="N326" t="str">
            <v>NA</v>
          </cell>
          <cell r="O326">
            <v>0</v>
          </cell>
          <cell r="P326">
            <v>24.428999999999998</v>
          </cell>
          <cell r="Q326">
            <v>0</v>
          </cell>
          <cell r="R326">
            <v>2880.2820000000002</v>
          </cell>
          <cell r="S326">
            <v>0</v>
          </cell>
          <cell r="T326">
            <v>492.54883333333333</v>
          </cell>
          <cell r="U326">
            <v>2955.2930000000001</v>
          </cell>
        </row>
        <row r="327">
          <cell r="B327" t="str">
            <v>Net Income Margin</v>
          </cell>
          <cell r="C327">
            <v>2037</v>
          </cell>
          <cell r="D327">
            <v>2597</v>
          </cell>
          <cell r="E327">
            <v>8355.4</v>
          </cell>
          <cell r="F327">
            <v>1909</v>
          </cell>
          <cell r="G327">
            <v>476.60599999999999</v>
          </cell>
          <cell r="H327">
            <v>150</v>
          </cell>
          <cell r="I327">
            <v>774.7</v>
          </cell>
          <cell r="J327">
            <v>2328.5294285714285</v>
          </cell>
          <cell r="K327">
            <v>16299.706</v>
          </cell>
          <cell r="M327">
            <v>50.582000000000001</v>
          </cell>
          <cell r="N327" t="str">
            <v>NA</v>
          </cell>
          <cell r="O327">
            <v>0</v>
          </cell>
          <cell r="P327">
            <v>25.132999999999999</v>
          </cell>
          <cell r="Q327">
            <v>0</v>
          </cell>
          <cell r="R327">
            <v>2878.2820000000002</v>
          </cell>
          <cell r="S327">
            <v>0</v>
          </cell>
          <cell r="T327">
            <v>492.33283333333338</v>
          </cell>
          <cell r="U327">
            <v>2953.9970000000003</v>
          </cell>
        </row>
        <row r="328">
          <cell r="B328" t="str">
            <v>FY(10)</v>
          </cell>
          <cell r="C328">
            <v>5.7935299255208496E-2</v>
          </cell>
          <cell r="D328">
            <v>1.2101187663421857E-2</v>
          </cell>
          <cell r="E328">
            <v>5.1469212053153662E-2</v>
          </cell>
          <cell r="F328">
            <v>3.92874344532919E-2</v>
          </cell>
          <cell r="G328">
            <v>635.4</v>
          </cell>
          <cell r="H328">
            <v>6.4450923950777714E-2</v>
          </cell>
          <cell r="I328">
            <v>5.9897807329261712E-2</v>
          </cell>
          <cell r="J328">
            <v>4.752364411751922E-2</v>
          </cell>
          <cell r="K328">
            <v>3.4351025607138229E-2</v>
          </cell>
          <cell r="M328">
            <v>0.14512571081565068</v>
          </cell>
          <cell r="N328" t="str">
            <v>NA</v>
          </cell>
          <cell r="O328">
            <v>0.10895272706296327</v>
          </cell>
          <cell r="P328">
            <v>4.1358625076558596E-2</v>
          </cell>
          <cell r="Q328">
            <v>0</v>
          </cell>
          <cell r="R328">
            <v>4.572598812205611E-2</v>
          </cell>
          <cell r="S328">
            <v>6.7166942933268137E-2</v>
          </cell>
          <cell r="T328">
            <v>8.1665998802099363E-2</v>
          </cell>
          <cell r="U328">
            <v>2.9919546644090092E-2</v>
          </cell>
        </row>
        <row r="329">
          <cell r="B329" t="str">
            <v>FY(9)</v>
          </cell>
          <cell r="C329">
            <v>5.9931731738239978E-2</v>
          </cell>
          <cell r="D329">
            <v>-2.7808829994347799E-3</v>
          </cell>
          <cell r="E329">
            <v>5.4153143406659457E-2</v>
          </cell>
          <cell r="F329">
            <v>2.4378058788428116E-2</v>
          </cell>
          <cell r="G329">
            <v>631.94000000000005</v>
          </cell>
          <cell r="H329">
            <v>5.5476499230908083E-2</v>
          </cell>
          <cell r="I329">
            <v>5.6171381456489332E-2</v>
          </cell>
          <cell r="J329">
            <v>4.1221655270215034E-2</v>
          </cell>
          <cell r="K329">
            <v>2.7663271784373999E-2</v>
          </cell>
          <cell r="M329">
            <v>0.12673924777230844</v>
          </cell>
          <cell r="N329" t="str">
            <v>NA</v>
          </cell>
          <cell r="O329">
            <v>8.6118055201265253E-2</v>
          </cell>
          <cell r="P329">
            <v>7.0464480874316948E-2</v>
          </cell>
          <cell r="Q329">
            <v>6.4169722482663394E-2</v>
          </cell>
          <cell r="R329">
            <v>4.5425209251101321E-2</v>
          </cell>
          <cell r="S329">
            <v>3.5536157490019732E-2</v>
          </cell>
          <cell r="T329">
            <v>7.1408812178612516E-2</v>
          </cell>
          <cell r="U329">
            <v>6.0567113597635745E-2</v>
          </cell>
        </row>
        <row r="330">
          <cell r="B330" t="str">
            <v>FY(8)</v>
          </cell>
          <cell r="C330">
            <v>6.5697991332478528E-2</v>
          </cell>
          <cell r="D330">
            <v>1.0257847533632286E-2</v>
          </cell>
          <cell r="E330">
            <v>4.7260057016154579E-2</v>
          </cell>
          <cell r="F330">
            <v>2.2130834751771789E-2</v>
          </cell>
          <cell r="G330">
            <v>598.07899999999995</v>
          </cell>
          <cell r="H330">
            <v>5.1913616706109562E-2</v>
          </cell>
          <cell r="I330">
            <v>5.0461957318509172E-2</v>
          </cell>
          <cell r="J330">
            <v>4.1287050776442652E-2</v>
          </cell>
          <cell r="K330">
            <v>3.7077995485691816E-2</v>
          </cell>
          <cell r="M330">
            <v>0.1220644274511614</v>
          </cell>
          <cell r="N330" t="str">
            <v>NA</v>
          </cell>
          <cell r="O330">
            <v>7.9973380489094179E-2</v>
          </cell>
          <cell r="P330">
            <v>0.11757451818595117</v>
          </cell>
          <cell r="Q330">
            <v>-5.6066372070281121E-4</v>
          </cell>
          <cell r="R330">
            <v>4.8174640864300129E-2</v>
          </cell>
          <cell r="S330">
            <v>4.3005175407928746E-2</v>
          </cell>
          <cell r="T330">
            <v>6.8371913112955471E-2</v>
          </cell>
          <cell r="U330">
            <v>2.8622122577042136E-2</v>
          </cell>
        </row>
        <row r="331">
          <cell r="B331" t="str">
            <v>FY(7)</v>
          </cell>
          <cell r="C331">
            <v>6.9676535398502257E-2</v>
          </cell>
          <cell r="D331">
            <v>1.6279337321675105E-2</v>
          </cell>
          <cell r="E331">
            <v>4.5340697450388545E-2</v>
          </cell>
          <cell r="F331">
            <v>1.7888503556807996E-2</v>
          </cell>
          <cell r="G331">
            <v>514.60599999999999</v>
          </cell>
          <cell r="H331">
            <v>5.6657101861073485E-2</v>
          </cell>
          <cell r="I331">
            <v>4.8274602049693326E-2</v>
          </cell>
          <cell r="J331">
            <v>4.2352796273023442E-2</v>
          </cell>
          <cell r="K331">
            <v>3.9495927902977658E-2</v>
          </cell>
          <cell r="M331">
            <v>0.12204489781338887</v>
          </cell>
          <cell r="N331">
            <v>6.1200245414809118E-2</v>
          </cell>
          <cell r="O331">
            <v>7.2053180111980211E-2</v>
          </cell>
          <cell r="P331">
            <v>0.10977203224909647</v>
          </cell>
          <cell r="Q331">
            <v>3.3048788124032377E-2</v>
          </cell>
          <cell r="R331">
            <v>6.1270950868468239E-2</v>
          </cell>
          <cell r="S331">
            <v>6.4843857184083406E-2</v>
          </cell>
          <cell r="T331">
            <v>7.489056453797982E-2</v>
          </cell>
          <cell r="U331">
            <v>5.1851808847542182E-2</v>
          </cell>
        </row>
        <row r="332">
          <cell r="B332" t="str">
            <v>FY(6)</v>
          </cell>
          <cell r="C332">
            <v>5.6492578262754653E-2</v>
          </cell>
          <cell r="D332">
            <v>2.0556158282418774E-2</v>
          </cell>
          <cell r="E332">
            <v>4.632753698416818E-2</v>
          </cell>
          <cell r="F332">
            <v>3.7665548279526076E-2</v>
          </cell>
          <cell r="G332">
            <v>-2.8624187351994703E-2</v>
          </cell>
          <cell r="H332">
            <v>5.8045958981100515E-2</v>
          </cell>
          <cell r="I332">
            <v>4.5724402379422838E-2</v>
          </cell>
          <cell r="J332">
            <v>3.3741142259628043E-2</v>
          </cell>
          <cell r="K332">
            <v>3.842803169640515E-2</v>
          </cell>
          <cell r="M332">
            <v>0.11993729978001054</v>
          </cell>
          <cell r="N332">
            <v>7.382822493291312E-2</v>
          </cell>
          <cell r="O332">
            <v>5.7897391454582448E-2</v>
          </cell>
          <cell r="P332">
            <v>0.13210514612383772</v>
          </cell>
          <cell r="Q332">
            <v>6.5769812615373971E-2</v>
          </cell>
          <cell r="R332">
            <v>6.5329277355102813E-2</v>
          </cell>
          <cell r="S332">
            <v>8.8219257022290054E-2</v>
          </cell>
          <cell r="T332">
            <v>8.6155201326301528E-2</v>
          </cell>
          <cell r="U332">
            <v>7.0977314468242264E-2</v>
          </cell>
        </row>
        <row r="333">
          <cell r="B333" t="str">
            <v>FY(5)</v>
          </cell>
          <cell r="C333">
            <v>6.0125709402001584E-2</v>
          </cell>
          <cell r="D333">
            <v>3.632681255526083E-2</v>
          </cell>
          <cell r="E333">
            <v>4.9857162460831578E-2</v>
          </cell>
          <cell r="F333">
            <v>5.5174900121476633E-2</v>
          </cell>
          <cell r="G333">
            <v>-2.5006182052030538E-2</v>
          </cell>
          <cell r="H333">
            <v>4.3801990099033253E-2</v>
          </cell>
          <cell r="I333">
            <v>4.2174051494208296E-2</v>
          </cell>
          <cell r="J333">
            <v>3.749349201154023E-2</v>
          </cell>
          <cell r="K333">
            <v>4.4039051222133092E-2</v>
          </cell>
          <cell r="M333">
            <v>0.11970467536853013</v>
          </cell>
          <cell r="N333">
            <v>9.0188672200719341E-2</v>
          </cell>
          <cell r="O333">
            <v>0.11919365992980166</v>
          </cell>
          <cell r="P333">
            <v>0.17310304173543978</v>
          </cell>
          <cell r="Q333">
            <v>7.4637043284143362E-2</v>
          </cell>
          <cell r="R333">
            <v>7.1667691292550684E-2</v>
          </cell>
          <cell r="S333">
            <v>0.10931923890063426</v>
          </cell>
          <cell r="T333">
            <v>0.10825914610168845</v>
          </cell>
          <cell r="U333">
            <v>8.4316571263007345E-2</v>
          </cell>
        </row>
        <row r="334">
          <cell r="B334" t="str">
            <v>FY(4)</v>
          </cell>
          <cell r="C334">
            <v>6.2051153250896565E-2</v>
          </cell>
          <cell r="D334">
            <v>4.9413321697222672E-2</v>
          </cell>
          <cell r="E334">
            <v>4.8640224243403758E-2</v>
          </cell>
          <cell r="F334">
            <v>7.137225303541328E-2</v>
          </cell>
          <cell r="G334">
            <v>-4.0778442514653214E-2</v>
          </cell>
          <cell r="H334">
            <v>4.0377178900683007E-2</v>
          </cell>
          <cell r="I334">
            <v>4.0244189892129661E-2</v>
          </cell>
          <cell r="J334">
            <v>3.8759982643585107E-2</v>
          </cell>
          <cell r="K334">
            <v>4.8018534510282804E-2</v>
          </cell>
          <cell r="M334">
            <v>0.1313483666430168</v>
          </cell>
          <cell r="N334">
            <v>6.9709145287861388E-2</v>
          </cell>
          <cell r="O334">
            <v>0.12649259548605879</v>
          </cell>
          <cell r="P334">
            <v>0.20381799644488358</v>
          </cell>
          <cell r="Q334">
            <v>6.7177698424203958E-2</v>
          </cell>
          <cell r="R334">
            <v>5.6552665598014376E-2</v>
          </cell>
          <cell r="S334">
            <v>0.11888212893797678</v>
          </cell>
          <cell r="T334">
            <v>0.11056865668885939</v>
          </cell>
          <cell r="U334">
            <v>8.1511609039378055E-2</v>
          </cell>
        </row>
        <row r="335">
          <cell r="B335" t="str">
            <v>FY(3)</v>
          </cell>
          <cell r="C335">
            <v>7.1130982682978017E-2</v>
          </cell>
          <cell r="D335">
            <v>5.6976083309283464E-2</v>
          </cell>
          <cell r="E335">
            <v>4.2180442916371901E-2</v>
          </cell>
          <cell r="F335">
            <v>7.9199032602248087E-2</v>
          </cell>
          <cell r="G335">
            <v>1.0150408234000237E-2</v>
          </cell>
          <cell r="H335">
            <v>4.3379693045684092E-2</v>
          </cell>
          <cell r="I335">
            <v>4.5064699151949855E-2</v>
          </cell>
          <cell r="J335">
            <v>4.9725905991787958E-2</v>
          </cell>
          <cell r="K335">
            <v>5.275772799682768E-2</v>
          </cell>
          <cell r="M335">
            <v>0.1359622626801974</v>
          </cell>
          <cell r="N335">
            <v>7.1375197423167711E-2</v>
          </cell>
          <cell r="O335">
            <v>0.13861929302403478</v>
          </cell>
          <cell r="P335">
            <v>0.22800499610494254</v>
          </cell>
          <cell r="Q335">
            <v>4.9045625094020787E-2</v>
          </cell>
          <cell r="R335">
            <v>6.3262207407757273E-2</v>
          </cell>
          <cell r="S335">
            <v>8.8923400263081182E-2</v>
          </cell>
          <cell r="T335">
            <v>0.11074185457102881</v>
          </cell>
          <cell r="U335">
            <v>7.9358667406064287E-2</v>
          </cell>
        </row>
        <row r="336">
          <cell r="B336" t="str">
            <v>FY(2)</v>
          </cell>
          <cell r="C336">
            <v>6.5790988059755848E-2</v>
          </cell>
          <cell r="D336">
            <v>5.4025667478813932E-2</v>
          </cell>
          <cell r="E336">
            <v>3.6820980296638731E-2</v>
          </cell>
          <cell r="F336">
            <v>7.8618104096891933E-2</v>
          </cell>
          <cell r="G336">
            <v>1.9412382865364255E-2</v>
          </cell>
          <cell r="H336">
            <v>4.3688993796370736E-2</v>
          </cell>
          <cell r="I336">
            <v>4.9219705344096379E-2</v>
          </cell>
          <cell r="J336">
            <v>4.965383170541883E-2</v>
          </cell>
          <cell r="K336">
            <v>5.0949705676878843E-2</v>
          </cell>
          <cell r="M336">
            <v>0.13491173233403322</v>
          </cell>
          <cell r="N336">
            <v>7.9189203016960127E-2</v>
          </cell>
          <cell r="O336">
            <v>0.13092116007657215</v>
          </cell>
          <cell r="P336">
            <v>0.24365156772018359</v>
          </cell>
          <cell r="Q336">
            <v>5.6346546055297084E-2</v>
          </cell>
          <cell r="R336">
            <v>4.5750785423069804E-2</v>
          </cell>
          <cell r="S336">
            <v>0.10116573059790784</v>
          </cell>
          <cell r="T336">
            <v>0.11313381788914624</v>
          </cell>
          <cell r="U336">
            <v>8.2573996153070497E-2</v>
          </cell>
          <cell r="W336">
            <v>1.9679625000000001</v>
          </cell>
        </row>
        <row r="337">
          <cell r="B337" t="str">
            <v>FY(1)</v>
          </cell>
          <cell r="C337">
            <v>5.4038343024852185E-2</v>
          </cell>
          <cell r="D337">
            <v>3.0429729959475491E-2</v>
          </cell>
          <cell r="E337">
            <v>2.1894584605495742E-2</v>
          </cell>
          <cell r="F337">
            <v>4.7587866361114457E-2</v>
          </cell>
          <cell r="G337">
            <v>-3.6140655347666757E-2</v>
          </cell>
          <cell r="H337">
            <v>4.6680270034300066E-2</v>
          </cell>
          <cell r="I337">
            <v>4.6520091019211077E-2</v>
          </cell>
          <cell r="J337">
            <v>3.0144318522397469E-2</v>
          </cell>
          <cell r="K337">
            <v>3.5872481012592806E-2</v>
          </cell>
          <cell r="M337">
            <v>9.1551386331804568E-2</v>
          </cell>
          <cell r="N337">
            <v>7.9246641927393405E-2</v>
          </cell>
          <cell r="O337">
            <v>6.8551537280469158E-2</v>
          </cell>
          <cell r="P337">
            <v>0.23327843026046943</v>
          </cell>
          <cell r="Q337">
            <v>6.6570287759878832E-2</v>
          </cell>
          <cell r="R337">
            <v>3.9079252979834236E-2</v>
          </cell>
          <cell r="S337">
            <v>0.10866785347140387</v>
          </cell>
          <cell r="T337">
            <v>9.8135055715893357E-2</v>
          </cell>
          <cell r="U337">
            <v>7.944859600547749E-2</v>
          </cell>
          <cell r="W337">
            <v>0.15743700000000002</v>
          </cell>
          <cell r="X337">
            <v>2.3615550000000005</v>
          </cell>
        </row>
        <row r="338">
          <cell r="B338" t="str">
            <v>FY0</v>
          </cell>
          <cell r="C338">
            <v>5.7641031612039359E-2</v>
          </cell>
          <cell r="D338">
            <v>1.421513831466786E-2</v>
          </cell>
          <cell r="E338">
            <v>2.4522116735493208E-2</v>
          </cell>
          <cell r="F338">
            <v>5.1804310971179462E-2</v>
          </cell>
          <cell r="G338">
            <v>-1.8178653818107862E-2</v>
          </cell>
          <cell r="H338">
            <v>6.1629158266883234E-2</v>
          </cell>
          <cell r="I338">
            <v>5.9815922798219512E-2</v>
          </cell>
          <cell r="J338">
            <v>3.5921289268624972E-2</v>
          </cell>
          <cell r="K338">
            <v>3.9884916628223133E-2</v>
          </cell>
          <cell r="M338">
            <v>3.27555798369542E-2</v>
          </cell>
          <cell r="N338">
            <v>0.10373009342609429</v>
          </cell>
          <cell r="O338">
            <v>5.3189401442807663E-2</v>
          </cell>
          <cell r="P338">
            <v>0.19258138449289702</v>
          </cell>
          <cell r="Q338">
            <v>7.7467070507853772E-2</v>
          </cell>
          <cell r="R338">
            <v>4.6935220024844376E-2</v>
          </cell>
          <cell r="S338">
            <v>0.1134747124983551</v>
          </cell>
          <cell r="T338">
            <v>8.8590494604258052E-2</v>
          </cell>
          <cell r="U338">
            <v>7.8382891355829779E-2</v>
          </cell>
          <cell r="X338">
            <v>1.5527607462809245</v>
          </cell>
        </row>
        <row r="339">
          <cell r="B339" t="str">
            <v>FY1</v>
          </cell>
          <cell r="C339">
            <v>6.4342059385477615E-2</v>
          </cell>
          <cell r="D339">
            <v>2.0888385410296403E-2</v>
          </cell>
          <cell r="E339">
            <v>3.1813816711141418E-2</v>
          </cell>
          <cell r="F339">
            <v>6.4289686967320903E-2</v>
          </cell>
          <cell r="G339">
            <v>-5.4109647929955719E-3</v>
          </cell>
          <cell r="H339">
            <v>6.6741586443900089E-2</v>
          </cell>
          <cell r="I339">
            <v>6.408709964679335E-2</v>
          </cell>
          <cell r="J339">
            <v>4.3821667110276318E-2</v>
          </cell>
          <cell r="K339">
            <v>4.7244121762731239E-2</v>
          </cell>
          <cell r="M339">
            <v>4.9138863306919793E-2</v>
          </cell>
          <cell r="N339">
            <v>0.10592424514367912</v>
          </cell>
          <cell r="O339">
            <v>8.3184043353480633E-2</v>
          </cell>
          <cell r="P339">
            <v>0.19906903395437484</v>
          </cell>
          <cell r="Q339">
            <v>7.7103041633192648E-2</v>
          </cell>
          <cell r="R339">
            <v>5.9931233269422908E-2</v>
          </cell>
          <cell r="S339">
            <v>0.12346769396327388</v>
          </cell>
          <cell r="T339">
            <v>9.9688307803477691E-2</v>
          </cell>
          <cell r="U339">
            <v>8.7030148021657691E-2</v>
          </cell>
          <cell r="X339">
            <v>1.1645705597106935</v>
          </cell>
        </row>
        <row r="340">
          <cell r="B340" t="str">
            <v>FY2</v>
          </cell>
          <cell r="C340">
            <v>6.8734804965646143E-2</v>
          </cell>
          <cell r="D340">
            <v>2.5340780647728017E-2</v>
          </cell>
          <cell r="E340">
            <v>3.5890992658464148E-2</v>
          </cell>
          <cell r="F340">
            <v>6.7563637252128633E-2</v>
          </cell>
          <cell r="G340">
            <v>7.3808253466599869E-3</v>
          </cell>
          <cell r="H340">
            <v>6.8719750522266018E-2</v>
          </cell>
          <cell r="I340">
            <v>6.5003459195586075E-2</v>
          </cell>
          <cell r="J340">
            <v>4.8376321512639861E-2</v>
          </cell>
          <cell r="K340">
            <v>5.1143216615833258E-2</v>
          </cell>
          <cell r="M340">
            <v>5.9744748069720834E-2</v>
          </cell>
          <cell r="N340">
            <v>9.3130464819987338E-2</v>
          </cell>
          <cell r="O340">
            <v>9.2577090363576101E-2</v>
          </cell>
          <cell r="P340">
            <v>0.19821527577355608</v>
          </cell>
          <cell r="Q340">
            <v>7.9543041633187123E-2</v>
          </cell>
          <cell r="R340">
            <v>6.6670753955747591E-2</v>
          </cell>
          <cell r="S340">
            <v>0.12966998036485877</v>
          </cell>
          <cell r="T340">
            <v>0.10279305071151912</v>
          </cell>
          <cell r="U340">
            <v>9.1460253226173738E-2</v>
          </cell>
        </row>
        <row r="341">
          <cell r="B341" t="str">
            <v>FQ(3)</v>
          </cell>
          <cell r="C341">
            <v>3.7658053875755909E-2</v>
          </cell>
          <cell r="D341">
            <v>6.4359422215875383E-3</v>
          </cell>
          <cell r="E341">
            <v>-1.3079438353529526E-2</v>
          </cell>
          <cell r="F341">
            <v>3.9859320046893319E-2</v>
          </cell>
          <cell r="G341">
            <v>-7.7165014663606243E-3</v>
          </cell>
          <cell r="H341">
            <v>5.4024032882497568E-2</v>
          </cell>
          <cell r="I341">
            <v>4.8048515648253277E-2</v>
          </cell>
          <cell r="J341">
            <v>2.3604274979299639E-2</v>
          </cell>
          <cell r="K341">
            <v>2.1702646496389557E-2</v>
          </cell>
          <cell r="M341">
            <v>-3.8397684007252429E-2</v>
          </cell>
          <cell r="N341">
            <v>8.1306491774993619E-2</v>
          </cell>
          <cell r="O341">
            <v>2.5622549019607841E-2</v>
          </cell>
          <cell r="P341">
            <v>0.16642588105235703</v>
          </cell>
          <cell r="Q341">
            <v>6.8755996162456035E-2</v>
          </cell>
          <cell r="R341">
            <v>1.507618953222079E-3</v>
          </cell>
          <cell r="S341">
            <v>8.0055405981351163E-2</v>
          </cell>
          <cell r="T341">
            <v>5.5039465562390762E-2</v>
          </cell>
          <cell r="U341">
            <v>5.2285350502880412E-2</v>
          </cell>
        </row>
        <row r="342">
          <cell r="B342" t="str">
            <v>FQ(2)</v>
          </cell>
          <cell r="C342">
            <v>6.0194429847609039E-2</v>
          </cell>
          <cell r="D342">
            <v>-1.5674735660074499E-4</v>
          </cell>
          <cell r="E342">
            <v>1.6266460108443067E-2</v>
          </cell>
          <cell r="F342">
            <v>4.8951048951048952E-2</v>
          </cell>
          <cell r="G342">
            <v>-9.774504358229362E-2</v>
          </cell>
          <cell r="H342">
            <v>5.846708989300229E-2</v>
          </cell>
          <cell r="I342">
            <v>5.5094145837581147E-2</v>
          </cell>
          <cell r="J342">
            <v>2.0153054814112874E-2</v>
          </cell>
          <cell r="K342">
            <v>3.2867866733868163E-2</v>
          </cell>
          <cell r="M342">
            <v>1.08119318101569E-2</v>
          </cell>
          <cell r="N342">
            <v>8.6002825482318662E-2</v>
          </cell>
          <cell r="O342">
            <v>4.3449169398840623E-2</v>
          </cell>
          <cell r="P342">
            <v>0.17520675183607973</v>
          </cell>
          <cell r="Q342">
            <v>7.0261941448382131E-2</v>
          </cell>
          <cell r="R342">
            <v>2.9160315686075262E-2</v>
          </cell>
          <cell r="S342">
            <v>0.10688665710186514</v>
          </cell>
          <cell r="T342">
            <v>7.4539941823388342E-2</v>
          </cell>
          <cell r="U342">
            <v>6.6054083642394706E-2</v>
          </cell>
        </row>
        <row r="343">
          <cell r="B343" t="str">
            <v>FQ(1)</v>
          </cell>
          <cell r="C343">
            <v>4.7642557393236237E-2</v>
          </cell>
          <cell r="D343">
            <v>6.4587210599395695E-3</v>
          </cell>
          <cell r="E343">
            <v>-2.2740193291642978E-3</v>
          </cell>
          <cell r="F343">
            <v>4.4432548179871523E-2</v>
          </cell>
          <cell r="G343">
            <v>2.9864196151236392E-3</v>
          </cell>
          <cell r="H343">
            <v>6.024749174234393E-2</v>
          </cell>
          <cell r="I343">
            <v>6.6311264215112978E-2</v>
          </cell>
          <cell r="J343">
            <v>3.2257854696637653E-2</v>
          </cell>
          <cell r="K343">
            <v>3.2428905596618297E-2</v>
          </cell>
          <cell r="M343">
            <v>4.0631086768459994E-2</v>
          </cell>
          <cell r="N343">
            <v>0.11029378097274223</v>
          </cell>
          <cell r="O343">
            <v>5.9417553894590108E-2</v>
          </cell>
          <cell r="P343">
            <v>0.18494898461724343</v>
          </cell>
          <cell r="Q343">
            <v>8.5539147394817494E-2</v>
          </cell>
          <cell r="R343">
            <v>3.4316300186323051E-3</v>
          </cell>
          <cell r="S343">
            <v>0.12332872109112474</v>
          </cell>
          <cell r="T343">
            <v>8.67987006796586E-2</v>
          </cell>
          <cell r="U343">
            <v>7.5145127121260702E-2</v>
          </cell>
        </row>
        <row r="344">
          <cell r="B344" t="str">
            <v>Last Reported Q</v>
          </cell>
          <cell r="C344">
            <v>5.7641031612039359E-2</v>
          </cell>
          <cell r="D344">
            <v>1.421513831466786E-2</v>
          </cell>
          <cell r="E344">
            <v>2.4522116735493208E-2</v>
          </cell>
          <cell r="F344">
            <v>5.1804310971179462E-2</v>
          </cell>
          <cell r="G344">
            <v>-1.8178653818107862E-2</v>
          </cell>
          <cell r="H344">
            <v>6.1629158266883234E-2</v>
          </cell>
          <cell r="I344">
            <v>5.9815922798219512E-2</v>
          </cell>
          <cell r="J344">
            <v>3.5921289268624972E-2</v>
          </cell>
          <cell r="K344">
            <v>3.9884916628223133E-2</v>
          </cell>
          <cell r="M344">
            <v>3.27555798369542E-2</v>
          </cell>
          <cell r="N344">
            <v>0.10373009342609429</v>
          </cell>
          <cell r="O344">
            <v>5.3189401442807663E-2</v>
          </cell>
          <cell r="P344">
            <v>0.22624306928136484</v>
          </cell>
          <cell r="Q344">
            <v>7.7467070507853772E-2</v>
          </cell>
          <cell r="R344">
            <v>4.6935220024844376E-2</v>
          </cell>
          <cell r="S344">
            <v>0.1134747124983551</v>
          </cell>
          <cell r="T344">
            <v>9.3399306716896321E-2</v>
          </cell>
          <cell r="U344">
            <v>7.2160627776563305E-2</v>
          </cell>
        </row>
        <row r="345">
          <cell r="B345" t="str">
            <v>LTM</v>
          </cell>
          <cell r="C345">
            <v>5.4031808035714286E-2</v>
          </cell>
          <cell r="D345">
            <v>1.0179753652108822E-2</v>
          </cell>
          <cell r="E345">
            <v>1.4822765723632088E-2</v>
          </cell>
          <cell r="F345">
            <v>4.8923231022393932E-2</v>
          </cell>
          <cell r="G345">
            <v>-2.3770411389612774E-2</v>
          </cell>
          <cell r="H345">
            <v>5.9944770133995101E-2</v>
          </cell>
          <cell r="I345">
            <v>5.8672951304775935E-2</v>
          </cell>
          <cell r="J345">
            <v>3.1829266926143913E-2</v>
          </cell>
          <cell r="K345">
            <v>3.5521845921950616E-2</v>
          </cell>
          <cell r="M345">
            <v>2.2420360318365685E-2</v>
          </cell>
          <cell r="N345">
            <v>0.10005337542877304</v>
          </cell>
          <cell r="O345">
            <v>4.9473895194281789E-2</v>
          </cell>
          <cell r="P345">
            <v>0.19173565581430119</v>
          </cell>
          <cell r="Q345">
            <v>7.6570908187763881E-2</v>
          </cell>
          <cell r="R345">
            <v>3.3385714485891907E-2</v>
          </cell>
          <cell r="S345">
            <v>0.11015999637374407</v>
          </cell>
          <cell r="T345">
            <v>8.3399986543303078E-2</v>
          </cell>
          <cell r="U345">
            <v>6.9161187079676278E-2</v>
          </cell>
        </row>
        <row r="346">
          <cell r="B346" t="str">
            <v>Unadjusted Net Debt</v>
          </cell>
        </row>
        <row r="347">
          <cell r="B347" t="str">
            <v>FY(2)</v>
          </cell>
          <cell r="C347">
            <v>438.44063685600293</v>
          </cell>
          <cell r="D347">
            <v>640.86940520445978</v>
          </cell>
          <cell r="E347">
            <v>7286.125</v>
          </cell>
          <cell r="F347">
            <v>228.000703241682</v>
          </cell>
          <cell r="G347">
            <v>408.79410000000001</v>
          </cell>
          <cell r="H347">
            <v>-222.63499999999999</v>
          </cell>
          <cell r="I347">
            <v>-69.103843504782958</v>
          </cell>
          <cell r="J347">
            <v>1244.3558573996229</v>
          </cell>
          <cell r="K347">
            <v>8710.4910017973598</v>
          </cell>
          <cell r="M347">
            <v>-648.52</v>
          </cell>
          <cell r="N347">
            <v>-111.926</v>
          </cell>
          <cell r="O347">
            <v>-619.93899999999906</v>
          </cell>
          <cell r="P347">
            <v>-695.80499999999995</v>
          </cell>
          <cell r="Q347">
            <v>-1387.99470245564</v>
          </cell>
          <cell r="R347">
            <v>664.67723789704996</v>
          </cell>
          <cell r="S347">
            <v>-199.67</v>
          </cell>
          <cell r="T347">
            <v>-428.45392350836988</v>
          </cell>
          <cell r="U347">
            <v>-2999.1774645585892</v>
          </cell>
        </row>
        <row r="348">
          <cell r="A348" t="str">
            <v>mscalc:totalCashIncludingShorttermInvestmentsForCac</v>
          </cell>
          <cell r="B348" t="str">
            <v>Cash &amp; ST Inv. (Unadjusted Cash on Hand)</v>
          </cell>
          <cell r="C348">
            <v>1400.9176368560052</v>
          </cell>
          <cell r="D348">
            <v>1175.8694052044598</v>
          </cell>
          <cell r="E348">
            <v>9170.1249999999964</v>
          </cell>
          <cell r="F348">
            <v>2139.5977032416822</v>
          </cell>
          <cell r="G348">
            <v>471.42610004233597</v>
          </cell>
          <cell r="H348">
            <v>-113.678</v>
          </cell>
          <cell r="I348">
            <v>102.38306178916901</v>
          </cell>
          <cell r="J348">
            <v>2049.5201295905213</v>
          </cell>
          <cell r="K348">
            <v>14346.640907133649</v>
          </cell>
          <cell r="M348">
            <v>-648.52</v>
          </cell>
          <cell r="N348">
            <v>-111.926</v>
          </cell>
          <cell r="O348">
            <v>-619.93899999999906</v>
          </cell>
          <cell r="P348">
            <v>-696.04</v>
          </cell>
          <cell r="Q348">
            <v>-1712.99470245564</v>
          </cell>
          <cell r="R348">
            <v>1886.3162378970501</v>
          </cell>
          <cell r="S348">
            <v>-199.67</v>
          </cell>
          <cell r="T348">
            <v>-300.39620922265561</v>
          </cell>
          <cell r="U348">
            <v>-2102.7734645585892</v>
          </cell>
        </row>
        <row r="349">
          <cell r="B349" t="str">
            <v>FY(2)</v>
          </cell>
          <cell r="C349">
            <v>663.65836314399496</v>
          </cell>
          <cell r="D349">
            <v>2532.1305947955402</v>
          </cell>
          <cell r="E349">
            <v>582.87500000000398</v>
          </cell>
          <cell r="F349">
            <v>357.40229675831802</v>
          </cell>
          <cell r="G349">
            <v>101.16189995766401</v>
          </cell>
          <cell r="H349">
            <v>263.678</v>
          </cell>
          <cell r="I349">
            <v>732.71093821083105</v>
          </cell>
          <cell r="J349">
            <v>747.65958469519319</v>
          </cell>
          <cell r="K349">
            <v>5233.6170928663523</v>
          </cell>
          <cell r="M349">
            <v>522.13461840902801</v>
          </cell>
          <cell r="N349">
            <v>228.53</v>
          </cell>
          <cell r="O349">
            <v>483.85199999999901</v>
          </cell>
          <cell r="P349">
            <v>698.90499999999997</v>
          </cell>
          <cell r="Q349">
            <v>1715</v>
          </cell>
          <cell r="R349">
            <v>1173.3968696837801</v>
          </cell>
          <cell r="S349">
            <v>365.983</v>
          </cell>
          <cell r="T349">
            <v>741.11449829897253</v>
          </cell>
          <cell r="U349">
            <v>5187.8014880928076</v>
          </cell>
        </row>
        <row r="350">
          <cell r="B350" t="str">
            <v>FY(1)</v>
          </cell>
          <cell r="C350">
            <v>676.15936314399596</v>
          </cell>
          <cell r="D350">
            <v>2351.6269754406999</v>
          </cell>
          <cell r="E350">
            <v>1305.875</v>
          </cell>
          <cell r="F350">
            <v>71.919296758318097</v>
          </cell>
          <cell r="G350">
            <v>14.0472478064653</v>
          </cell>
          <cell r="H350">
            <v>322.15537499999999</v>
          </cell>
          <cell r="I350">
            <v>452.817640130786</v>
          </cell>
          <cell r="J350">
            <v>742.08584261146666</v>
          </cell>
          <cell r="K350">
            <v>5194.6008982802668</v>
          </cell>
          <cell r="M350">
            <v>522.13461840902801</v>
          </cell>
          <cell r="N350">
            <v>228.53</v>
          </cell>
          <cell r="O350">
            <v>483.85199999999901</v>
          </cell>
          <cell r="P350">
            <v>698.90499999999997</v>
          </cell>
          <cell r="Q350">
            <v>1715</v>
          </cell>
          <cell r="R350">
            <v>1173.3968696837801</v>
          </cell>
          <cell r="S350">
            <v>365.983</v>
          </cell>
          <cell r="T350">
            <v>741.11449829897253</v>
          </cell>
          <cell r="U350">
            <v>5187.8014880928076</v>
          </cell>
        </row>
        <row r="351">
          <cell r="B351" t="str">
            <v>FY0</v>
          </cell>
          <cell r="C351">
            <v>2265.757363144</v>
          </cell>
          <cell r="D351">
            <v>3007.2089754407002</v>
          </cell>
          <cell r="E351">
            <v>1686.375</v>
          </cell>
          <cell r="F351">
            <v>794.71929675831802</v>
          </cell>
          <cell r="G351">
            <v>164.16725116241</v>
          </cell>
          <cell r="H351">
            <v>770.00937499999998</v>
          </cell>
          <cell r="I351">
            <v>1745.38064013079</v>
          </cell>
          <cell r="J351">
            <v>1490.5168430908884</v>
          </cell>
          <cell r="K351">
            <v>10433.617901636218</v>
          </cell>
          <cell r="M351">
            <v>727.57220840902801</v>
          </cell>
          <cell r="N351">
            <v>346.87931378455897</v>
          </cell>
          <cell r="O351">
            <v>698.63491999999906</v>
          </cell>
          <cell r="P351">
            <v>800.36199999999997</v>
          </cell>
          <cell r="Q351">
            <v>2574.8000000000002</v>
          </cell>
          <cell r="R351">
            <v>1804.384</v>
          </cell>
          <cell r="S351">
            <v>501.53600000000102</v>
          </cell>
          <cell r="T351">
            <v>1064.8812060276553</v>
          </cell>
          <cell r="U351">
            <v>7454.168442193587</v>
          </cell>
        </row>
        <row r="352">
          <cell r="B352" t="str">
            <v>FY1</v>
          </cell>
          <cell r="C352">
            <v>2856.51614066414</v>
          </cell>
          <cell r="D352">
            <v>2894.3353540059602</v>
          </cell>
          <cell r="E352">
            <v>2642.7166360280198</v>
          </cell>
          <cell r="F352">
            <v>803.77325799983203</v>
          </cell>
          <cell r="G352">
            <v>168.64782983552701</v>
          </cell>
          <cell r="H352">
            <v>877.70577551911504</v>
          </cell>
          <cell r="I352">
            <v>2246.3475460263999</v>
          </cell>
          <cell r="J352">
            <v>1784.2917914398563</v>
          </cell>
          <cell r="K352">
            <v>12490.042540078994</v>
          </cell>
          <cell r="M352">
            <v>655.20583485722204</v>
          </cell>
          <cell r="N352">
            <v>418.99402043374801</v>
          </cell>
          <cell r="O352">
            <v>788.63650584369498</v>
          </cell>
          <cell r="P352">
            <v>954.40471939409099</v>
          </cell>
          <cell r="Q352">
            <v>2478.3974420773002</v>
          </cell>
          <cell r="R352">
            <v>1753.2076471989801</v>
          </cell>
          <cell r="S352">
            <v>727.98320368492102</v>
          </cell>
          <cell r="T352">
            <v>1110.9756247842795</v>
          </cell>
          <cell r="U352">
            <v>7776.8293734899571</v>
          </cell>
        </row>
        <row r="353">
          <cell r="B353" t="str">
            <v>FY2</v>
          </cell>
          <cell r="C353">
            <v>2958.2194660018799</v>
          </cell>
          <cell r="D353">
            <v>2984.7676295696201</v>
          </cell>
          <cell r="E353">
            <v>3421.2931870386501</v>
          </cell>
          <cell r="F353">
            <v>776.76218468146806</v>
          </cell>
          <cell r="G353">
            <v>155.83245585719601</v>
          </cell>
          <cell r="H353">
            <v>1014.8548907238001</v>
          </cell>
          <cell r="I353">
            <v>2770.0936741191899</v>
          </cell>
          <cell r="J353">
            <v>2011.689069713115</v>
          </cell>
          <cell r="K353">
            <v>14081.823487991805</v>
          </cell>
          <cell r="M353">
            <v>545.06647740002302</v>
          </cell>
          <cell r="N353">
            <v>465.93234996454299</v>
          </cell>
          <cell r="O353">
            <v>950.79550408930095</v>
          </cell>
          <cell r="P353">
            <v>1107.9918350544999</v>
          </cell>
          <cell r="Q353">
            <v>2368.83194985604</v>
          </cell>
          <cell r="R353">
            <v>2087.7913938627498</v>
          </cell>
          <cell r="S353">
            <v>921.75489727911997</v>
          </cell>
          <cell r="T353">
            <v>1206.8806296437538</v>
          </cell>
          <cell r="U353">
            <v>8448.1644075062759</v>
          </cell>
        </row>
        <row r="354">
          <cell r="B354" t="str">
            <v>FQ(3)</v>
          </cell>
          <cell r="C354">
            <v>893.65736314399498</v>
          </cell>
          <cell r="D354">
            <v>2137.6269754406999</v>
          </cell>
          <cell r="E354">
            <v>294.87500000000398</v>
          </cell>
          <cell r="F354">
            <v>77.619296758318498</v>
          </cell>
          <cell r="G354">
            <v>13.828247806465299</v>
          </cell>
          <cell r="H354">
            <v>460.35537499999998</v>
          </cell>
          <cell r="I354">
            <v>1012.23464013079</v>
          </cell>
          <cell r="J354">
            <v>698.59955689718186</v>
          </cell>
          <cell r="K354">
            <v>4890.1968982802728</v>
          </cell>
          <cell r="M354">
            <v>463.72861840902902</v>
          </cell>
          <cell r="N354">
            <v>247.74700000000001</v>
          </cell>
          <cell r="O354">
            <v>449.33199999999999</v>
          </cell>
          <cell r="P354">
            <v>551.26700000000005</v>
          </cell>
          <cell r="Q354">
            <v>1708</v>
          </cell>
          <cell r="R354">
            <v>935.99786968377805</v>
          </cell>
          <cell r="S354">
            <v>297.625</v>
          </cell>
          <cell r="T354">
            <v>664.81392687040102</v>
          </cell>
          <cell r="U354">
            <v>4653.6974880928074</v>
          </cell>
        </row>
        <row r="355">
          <cell r="B355" t="str">
            <v>FQ(2)</v>
          </cell>
          <cell r="C355">
            <v>1353.757363144</v>
          </cell>
          <cell r="D355">
            <v>2312.0089754406999</v>
          </cell>
          <cell r="E355">
            <v>514.87500000000398</v>
          </cell>
          <cell r="F355">
            <v>518.619296758318</v>
          </cell>
          <cell r="G355">
            <v>16.548247806465302</v>
          </cell>
          <cell r="H355">
            <v>521.561375</v>
          </cell>
          <cell r="I355">
            <v>1426.59264013079</v>
          </cell>
          <cell r="J355">
            <v>951.99469975432532</v>
          </cell>
          <cell r="K355">
            <v>6663.9628982802769</v>
          </cell>
          <cell r="M355">
            <v>441.27420840902897</v>
          </cell>
          <cell r="N355">
            <v>245.45400000000001</v>
          </cell>
          <cell r="O355">
            <v>529.78800000000001</v>
          </cell>
          <cell r="P355">
            <v>800.36199999999997</v>
          </cell>
          <cell r="Q355">
            <v>2131</v>
          </cell>
          <cell r="R355">
            <v>1550.31486968378</v>
          </cell>
          <cell r="S355">
            <v>288.76</v>
          </cell>
          <cell r="T355">
            <v>855.27901115611553</v>
          </cell>
          <cell r="U355">
            <v>5986.9530780928089</v>
          </cell>
        </row>
        <row r="356">
          <cell r="B356" t="str">
            <v>FQ(1)</v>
          </cell>
          <cell r="C356">
            <v>1530.757363144</v>
          </cell>
          <cell r="D356">
            <v>2129.0089754406999</v>
          </cell>
          <cell r="E356">
            <v>488.87500000000398</v>
          </cell>
          <cell r="F356">
            <v>483.619296758318</v>
          </cell>
          <cell r="G356">
            <v>11.527851162409601</v>
          </cell>
          <cell r="H356">
            <v>577.14337499999999</v>
          </cell>
          <cell r="I356">
            <v>1445.3386401307901</v>
          </cell>
          <cell r="J356">
            <v>952.32435737660296</v>
          </cell>
          <cell r="K356">
            <v>6666.2705016362206</v>
          </cell>
          <cell r="M356">
            <v>526.36420840902895</v>
          </cell>
          <cell r="N356">
            <v>285.53031378455898</v>
          </cell>
          <cell r="O356">
            <v>515.90300000000002</v>
          </cell>
          <cell r="P356">
            <v>994.68</v>
          </cell>
          <cell r="Q356">
            <v>2398</v>
          </cell>
          <cell r="R356">
            <v>968.16886968377798</v>
          </cell>
          <cell r="S356">
            <v>418.39499999999998</v>
          </cell>
          <cell r="T356">
            <v>872.43448455390956</v>
          </cell>
          <cell r="U356">
            <v>6107.0413918773666</v>
          </cell>
        </row>
        <row r="357">
          <cell r="B357" t="str">
            <v>Last Reported Q</v>
          </cell>
          <cell r="C357">
            <v>2265.757363144</v>
          </cell>
          <cell r="D357">
            <v>3007.2089754407002</v>
          </cell>
          <cell r="E357">
            <v>1686.375</v>
          </cell>
          <cell r="F357">
            <v>794.71929675831802</v>
          </cell>
          <cell r="G357">
            <v>164.16725116241</v>
          </cell>
          <cell r="H357">
            <v>770.00937499999998</v>
          </cell>
          <cell r="I357">
            <v>1745.38064013079</v>
          </cell>
          <cell r="J357">
            <v>1490.5168430908884</v>
          </cell>
          <cell r="K357">
            <v>10433.617901636218</v>
          </cell>
          <cell r="M357">
            <v>727.57220840902801</v>
          </cell>
          <cell r="N357">
            <v>346.87931378455897</v>
          </cell>
          <cell r="O357">
            <v>698.63491999999906</v>
          </cell>
          <cell r="P357">
            <v>1103.1769999999999</v>
          </cell>
          <cell r="Q357">
            <v>2574.8000000000002</v>
          </cell>
          <cell r="R357">
            <v>1804.384</v>
          </cell>
          <cell r="S357">
            <v>501.53600000000102</v>
          </cell>
          <cell r="T357">
            <v>1108.1404917419411</v>
          </cell>
          <cell r="U357">
            <v>7756.9834421935875</v>
          </cell>
        </row>
        <row r="358">
          <cell r="A358" t="str">
            <v>mscalc:shareholdersEquityExcludingAdjustments2</v>
          </cell>
          <cell r="B358" t="str">
            <v>LTM</v>
          </cell>
          <cell r="C358">
            <v>2265.757363144</v>
          </cell>
          <cell r="D358">
            <v>3007.2089754407002</v>
          </cell>
          <cell r="E358">
            <v>1686.375</v>
          </cell>
          <cell r="F358">
            <v>794.71929675831802</v>
          </cell>
          <cell r="G358">
            <v>164.16725116241</v>
          </cell>
          <cell r="H358">
            <v>770.00937499999998</v>
          </cell>
          <cell r="I358">
            <v>1745.38064013079</v>
          </cell>
          <cell r="J358">
            <v>1490.5168430908884</v>
          </cell>
          <cell r="K358">
            <v>10433.617901636218</v>
          </cell>
          <cell r="M358">
            <v>727.57220840902801</v>
          </cell>
          <cell r="N358">
            <v>346.87931378455897</v>
          </cell>
          <cell r="O358">
            <v>698.63491999999906</v>
          </cell>
          <cell r="P358">
            <v>1103.1769999999999</v>
          </cell>
          <cell r="Q358">
            <v>2574.8000000000002</v>
          </cell>
          <cell r="R358">
            <v>1804.384</v>
          </cell>
          <cell r="S358">
            <v>501.53600000000102</v>
          </cell>
          <cell r="T358">
            <v>1108.1404917419411</v>
          </cell>
          <cell r="U358">
            <v>7756.9834421935875</v>
          </cell>
        </row>
        <row r="359">
          <cell r="B359" t="str">
            <v>FY(2)</v>
          </cell>
          <cell r="C359">
            <v>5603.3950000000004</v>
          </cell>
          <cell r="D359">
            <v>4288</v>
          </cell>
          <cell r="E359">
            <v>12254</v>
          </cell>
          <cell r="F359">
            <v>2168.5210000000002</v>
          </cell>
          <cell r="G359">
            <v>1096.1389999999999</v>
          </cell>
          <cell r="H359">
            <v>909.83</v>
          </cell>
          <cell r="I359">
            <v>2290.1210000000001</v>
          </cell>
          <cell r="J359">
            <v>4087.1437142857144</v>
          </cell>
          <cell r="K359">
            <v>28610.006000000001</v>
          </cell>
          <cell r="M359">
            <v>1405.297</v>
          </cell>
          <cell r="N359">
            <v>312.11599999999999</v>
          </cell>
          <cell r="O359">
            <v>1417.3119999999999</v>
          </cell>
          <cell r="P359">
            <v>1910.354</v>
          </cell>
          <cell r="Q359">
            <v>5174</v>
          </cell>
          <cell r="R359">
            <v>2955</v>
          </cell>
          <cell r="S359">
            <v>675.28300000000002</v>
          </cell>
          <cell r="T359">
            <v>1978.4802857142856</v>
          </cell>
          <cell r="U359">
            <v>13849.361999999999</v>
          </cell>
        </row>
        <row r="360">
          <cell r="A360" t="str">
            <v>mstag:shortTermBorrowings</v>
          </cell>
          <cell r="B360" t="str">
            <v>ST. Debt</v>
          </cell>
          <cell r="C360">
            <v>6101.6030000000001</v>
          </cell>
          <cell r="D360">
            <v>5312</v>
          </cell>
          <cell r="E360">
            <v>9907</v>
          </cell>
          <cell r="F360">
            <v>1115</v>
          </cell>
          <cell r="G360">
            <v>1175.3088999576601</v>
          </cell>
          <cell r="H360">
            <v>970.649</v>
          </cell>
          <cell r="I360">
            <v>2131.2449999999999</v>
          </cell>
          <cell r="J360">
            <v>3816.11512856538</v>
          </cell>
          <cell r="K360">
            <v>26712.805899957661</v>
          </cell>
          <cell r="M360">
            <v>1618.3130000000001</v>
          </cell>
          <cell r="N360">
            <v>197.27600000000001</v>
          </cell>
          <cell r="O360">
            <v>1340.4639999999999</v>
          </cell>
          <cell r="P360">
            <v>1490.375</v>
          </cell>
          <cell r="Q360">
            <v>4274</v>
          </cell>
          <cell r="R360">
            <v>2219.23776210295</v>
          </cell>
          <cell r="S360">
            <v>853.43100000000004</v>
          </cell>
          <cell r="T360">
            <v>1713.2995374432787</v>
          </cell>
          <cell r="U360">
            <v>11993.09676210295</v>
          </cell>
        </row>
        <row r="361">
          <cell r="B361" t="str">
            <v>FY(2)</v>
          </cell>
          <cell r="C361">
            <v>12.701000000000001</v>
          </cell>
          <cell r="D361">
            <v>203</v>
          </cell>
          <cell r="E361">
            <v>666</v>
          </cell>
          <cell r="F361">
            <v>261</v>
          </cell>
          <cell r="G361">
            <v>319.24200000000002</v>
          </cell>
          <cell r="H361">
            <v>0</v>
          </cell>
          <cell r="I361">
            <v>2.008</v>
          </cell>
          <cell r="J361">
            <v>209.13585714285713</v>
          </cell>
          <cell r="K361">
            <v>1463.951</v>
          </cell>
          <cell r="M361">
            <v>0</v>
          </cell>
          <cell r="N361">
            <v>0</v>
          </cell>
          <cell r="O361">
            <v>0</v>
          </cell>
          <cell r="P361">
            <v>0.23499999999999999</v>
          </cell>
          <cell r="Q361">
            <v>138</v>
          </cell>
          <cell r="R361">
            <v>0</v>
          </cell>
          <cell r="S361" t="str">
            <v>NA</v>
          </cell>
          <cell r="T361">
            <v>23.03916666666667</v>
          </cell>
          <cell r="U361">
            <v>138.23500000000001</v>
          </cell>
        </row>
        <row r="362">
          <cell r="B362" t="str">
            <v>FY(1)</v>
          </cell>
          <cell r="C362">
            <v>17</v>
          </cell>
          <cell r="D362">
            <v>0</v>
          </cell>
          <cell r="E362">
            <v>966</v>
          </cell>
          <cell r="F362">
            <v>299</v>
          </cell>
          <cell r="G362">
            <v>4.673</v>
          </cell>
          <cell r="H362">
            <v>0</v>
          </cell>
          <cell r="I362">
            <v>395.02699999999999</v>
          </cell>
          <cell r="J362">
            <v>240.24285714285716</v>
          </cell>
          <cell r="K362">
            <v>1681.7</v>
          </cell>
          <cell r="M362">
            <v>0</v>
          </cell>
          <cell r="N362">
            <v>0</v>
          </cell>
          <cell r="O362">
            <v>75</v>
          </cell>
          <cell r="P362">
            <v>0.28499999999999998</v>
          </cell>
          <cell r="Q362">
            <v>50</v>
          </cell>
          <cell r="R362">
            <v>0</v>
          </cell>
          <cell r="S362" t="str">
            <v>NA</v>
          </cell>
          <cell r="T362">
            <v>20.880833333333332</v>
          </cell>
          <cell r="U362">
            <v>125.285</v>
          </cell>
        </row>
        <row r="363">
          <cell r="B363" t="str">
            <v>FY0</v>
          </cell>
          <cell r="C363">
            <v>16</v>
          </cell>
          <cell r="D363">
            <v>393</v>
          </cell>
          <cell r="E363">
            <v>242</v>
          </cell>
          <cell r="F363">
            <v>356</v>
          </cell>
          <cell r="G363">
            <v>27.856999999999999</v>
          </cell>
          <cell r="H363">
            <v>0</v>
          </cell>
          <cell r="I363">
            <v>0</v>
          </cell>
          <cell r="J363">
            <v>147.83671428571429</v>
          </cell>
          <cell r="K363">
            <v>1034.857</v>
          </cell>
          <cell r="M363">
            <v>11.61</v>
          </cell>
          <cell r="N363">
            <v>0</v>
          </cell>
          <cell r="O363">
            <v>30</v>
          </cell>
          <cell r="P363">
            <v>8.0039999999999996</v>
          </cell>
          <cell r="Q363">
            <v>0</v>
          </cell>
          <cell r="R363">
            <v>0</v>
          </cell>
          <cell r="S363" t="str">
            <v>NA</v>
          </cell>
          <cell r="T363">
            <v>8.2690000000000001</v>
          </cell>
          <cell r="U363">
            <v>49.613999999999997</v>
          </cell>
        </row>
        <row r="364">
          <cell r="B364" t="str">
            <v>FY1</v>
          </cell>
          <cell r="C364">
            <v>16</v>
          </cell>
          <cell r="D364">
            <v>393</v>
          </cell>
          <cell r="E364">
            <v>242</v>
          </cell>
          <cell r="F364">
            <v>6</v>
          </cell>
          <cell r="G364">
            <v>27.856999999999999</v>
          </cell>
          <cell r="H364">
            <v>0</v>
          </cell>
          <cell r="I364">
            <v>0</v>
          </cell>
          <cell r="J364">
            <v>97.83671428571428</v>
          </cell>
          <cell r="K364">
            <v>684.85699999999997</v>
          </cell>
          <cell r="M364">
            <v>11.61</v>
          </cell>
          <cell r="N364">
            <v>0</v>
          </cell>
          <cell r="O364">
            <v>30</v>
          </cell>
          <cell r="P364">
            <v>0.73699999999999999</v>
          </cell>
          <cell r="Q364">
            <v>0</v>
          </cell>
          <cell r="R364">
            <v>0</v>
          </cell>
          <cell r="S364" t="str">
            <v>NA</v>
          </cell>
          <cell r="T364">
            <v>7.0578333333333338</v>
          </cell>
          <cell r="U364">
            <v>42.347000000000001</v>
          </cell>
        </row>
        <row r="365">
          <cell r="B365" t="str">
            <v>FY2</v>
          </cell>
          <cell r="C365">
            <v>16</v>
          </cell>
          <cell r="D365">
            <v>393</v>
          </cell>
          <cell r="E365">
            <v>242</v>
          </cell>
          <cell r="F365">
            <v>6</v>
          </cell>
          <cell r="G365">
            <v>27.856999999999999</v>
          </cell>
          <cell r="H365">
            <v>0</v>
          </cell>
          <cell r="I365">
            <v>0</v>
          </cell>
          <cell r="J365">
            <v>97.83671428571428</v>
          </cell>
          <cell r="K365">
            <v>684.85699999999997</v>
          </cell>
          <cell r="M365">
            <v>11.61</v>
          </cell>
          <cell r="N365">
            <v>0</v>
          </cell>
          <cell r="O365">
            <v>30</v>
          </cell>
          <cell r="P365">
            <v>0</v>
          </cell>
          <cell r="Q365">
            <v>0</v>
          </cell>
          <cell r="R365">
            <v>0</v>
          </cell>
          <cell r="S365" t="str">
            <v>NA</v>
          </cell>
          <cell r="T365">
            <v>6.9349999999999996</v>
          </cell>
          <cell r="U365">
            <v>41.61</v>
          </cell>
        </row>
        <row r="366">
          <cell r="B366" t="str">
            <v>FQ(3)</v>
          </cell>
          <cell r="C366">
            <v>17</v>
          </cell>
          <cell r="D366">
            <v>506</v>
          </cell>
          <cell r="E366">
            <v>135</v>
          </cell>
          <cell r="F366">
            <v>500</v>
          </cell>
          <cell r="G366">
            <v>4.6859999999999999</v>
          </cell>
          <cell r="H366">
            <v>0</v>
          </cell>
          <cell r="I366">
            <v>744.44500000000005</v>
          </cell>
          <cell r="J366">
            <v>272.44728571428567</v>
          </cell>
          <cell r="K366">
            <v>1907.1309999999999</v>
          </cell>
          <cell r="M366">
            <v>0</v>
          </cell>
          <cell r="N366">
            <v>0</v>
          </cell>
          <cell r="O366">
            <v>75</v>
          </cell>
          <cell r="P366">
            <v>2.4900000000000002</v>
          </cell>
          <cell r="Q366">
            <v>0</v>
          </cell>
          <cell r="R366">
            <v>0</v>
          </cell>
          <cell r="S366" t="str">
            <v>NA</v>
          </cell>
          <cell r="T366">
            <v>12.914999999999999</v>
          </cell>
          <cell r="U366">
            <v>77.489999999999995</v>
          </cell>
        </row>
        <row r="367">
          <cell r="B367" t="str">
            <v>FQ(2)</v>
          </cell>
          <cell r="C367">
            <v>16</v>
          </cell>
          <cell r="D367">
            <v>393</v>
          </cell>
          <cell r="E367">
            <v>92</v>
          </cell>
          <cell r="F367">
            <v>375</v>
          </cell>
          <cell r="G367">
            <v>4.7290000000000001</v>
          </cell>
          <cell r="H367">
            <v>0</v>
          </cell>
          <cell r="I367">
            <v>421.20600000000002</v>
          </cell>
          <cell r="J367">
            <v>185.99071428571429</v>
          </cell>
          <cell r="K367">
            <v>1301.9349999999999</v>
          </cell>
          <cell r="M367">
            <v>0</v>
          </cell>
          <cell r="N367">
            <v>0</v>
          </cell>
          <cell r="O367">
            <v>75</v>
          </cell>
          <cell r="P367">
            <v>8.0039999999999996</v>
          </cell>
          <cell r="Q367">
            <v>0</v>
          </cell>
          <cell r="R367">
            <v>0</v>
          </cell>
          <cell r="S367" t="str">
            <v>NA</v>
          </cell>
          <cell r="T367">
            <v>13.834000000000001</v>
          </cell>
          <cell r="U367">
            <v>83.004000000000005</v>
          </cell>
        </row>
        <row r="368">
          <cell r="B368" t="str">
            <v>FQ(1)</v>
          </cell>
          <cell r="C368">
            <v>17</v>
          </cell>
          <cell r="D368">
            <v>393</v>
          </cell>
          <cell r="E368">
            <v>92</v>
          </cell>
          <cell r="F368">
            <v>356</v>
          </cell>
          <cell r="G368">
            <v>4.8470000000000004</v>
          </cell>
          <cell r="H368">
            <v>0</v>
          </cell>
          <cell r="I368">
            <v>202.667</v>
          </cell>
          <cell r="J368">
            <v>152.2162857142857</v>
          </cell>
          <cell r="K368">
            <v>1065.5139999999999</v>
          </cell>
          <cell r="M368">
            <v>0</v>
          </cell>
          <cell r="N368">
            <v>0</v>
          </cell>
          <cell r="O368">
            <v>50</v>
          </cell>
          <cell r="P368">
            <v>0.70399999999999996</v>
          </cell>
          <cell r="Q368">
            <v>0</v>
          </cell>
          <cell r="R368">
            <v>0</v>
          </cell>
          <cell r="S368" t="str">
            <v>NA</v>
          </cell>
          <cell r="T368">
            <v>8.4506666666666668</v>
          </cell>
          <cell r="U368">
            <v>50.704000000000001</v>
          </cell>
        </row>
        <row r="369">
          <cell r="B369" t="str">
            <v>Last Reported Q</v>
          </cell>
          <cell r="C369">
            <v>16</v>
          </cell>
          <cell r="D369">
            <v>393</v>
          </cell>
          <cell r="E369">
            <v>242</v>
          </cell>
          <cell r="F369">
            <v>356</v>
          </cell>
          <cell r="G369">
            <v>27.856999999999999</v>
          </cell>
          <cell r="H369">
            <v>0</v>
          </cell>
          <cell r="I369">
            <v>0</v>
          </cell>
          <cell r="J369">
            <v>147.83671428571429</v>
          </cell>
          <cell r="K369">
            <v>1034.857</v>
          </cell>
          <cell r="M369">
            <v>11.61</v>
          </cell>
          <cell r="N369">
            <v>0</v>
          </cell>
          <cell r="O369">
            <v>30</v>
          </cell>
          <cell r="P369">
            <v>0.73699999999999999</v>
          </cell>
          <cell r="Q369">
            <v>0</v>
          </cell>
          <cell r="R369">
            <v>0</v>
          </cell>
          <cell r="S369" t="str">
            <v>NA</v>
          </cell>
          <cell r="T369">
            <v>7.0578333333333338</v>
          </cell>
          <cell r="U369">
            <v>42.347000000000001</v>
          </cell>
        </row>
        <row r="370">
          <cell r="B370" t="str">
            <v>LTM</v>
          </cell>
          <cell r="C370">
            <v>16</v>
          </cell>
          <cell r="D370">
            <v>393</v>
          </cell>
          <cell r="E370">
            <v>242</v>
          </cell>
          <cell r="F370">
            <v>356</v>
          </cell>
          <cell r="G370">
            <v>27.856999999999999</v>
          </cell>
          <cell r="H370">
            <v>0</v>
          </cell>
          <cell r="I370">
            <v>0</v>
          </cell>
          <cell r="J370">
            <v>147.83671428571429</v>
          </cell>
          <cell r="K370">
            <v>1034.857</v>
          </cell>
          <cell r="M370">
            <v>11.61</v>
          </cell>
          <cell r="N370">
            <v>0</v>
          </cell>
          <cell r="O370">
            <v>30</v>
          </cell>
          <cell r="P370">
            <v>0.73699999999999999</v>
          </cell>
          <cell r="Q370">
            <v>0</v>
          </cell>
          <cell r="R370">
            <v>0</v>
          </cell>
          <cell r="S370" t="str">
            <v>NA</v>
          </cell>
          <cell r="T370">
            <v>7.0578333333333338</v>
          </cell>
          <cell r="U370">
            <v>42.347000000000001</v>
          </cell>
        </row>
        <row r="371">
          <cell r="B371" t="str">
            <v>FY(2)</v>
          </cell>
          <cell r="C371">
            <v>6662.2930000000006</v>
          </cell>
          <cell r="D371">
            <v>7732</v>
          </cell>
          <cell r="E371">
            <v>20751</v>
          </cell>
          <cell r="F371">
            <v>2798.973</v>
          </cell>
          <cell r="G371">
            <v>1782.8159999999998</v>
          </cell>
          <cell r="H371">
            <v>1059.83</v>
          </cell>
          <cell r="I371">
            <v>3077.62</v>
          </cell>
          <cell r="J371">
            <v>6266.3617142857156</v>
          </cell>
          <cell r="K371">
            <v>43864.532000000007</v>
          </cell>
          <cell r="M371">
            <v>1405.297</v>
          </cell>
          <cell r="N371">
            <v>312.11599999999999</v>
          </cell>
          <cell r="O371">
            <v>1417.3119999999999</v>
          </cell>
          <cell r="P371">
            <v>1913.454</v>
          </cell>
          <cell r="Q371">
            <v>5687</v>
          </cell>
          <cell r="R371">
            <v>4638</v>
          </cell>
          <cell r="S371">
            <v>675.28300000000002</v>
          </cell>
          <cell r="T371">
            <v>2292.6374285714287</v>
          </cell>
          <cell r="U371">
            <v>16048.462</v>
          </cell>
        </row>
        <row r="372">
          <cell r="A372" t="str">
            <v>mstag:longTermDebt</v>
          </cell>
          <cell r="B372" t="str">
            <v>LT. Debt</v>
          </cell>
          <cell r="C372">
            <v>8166.1790000000001</v>
          </cell>
          <cell r="D372">
            <v>9020</v>
          </cell>
          <cell r="E372">
            <v>19660</v>
          </cell>
          <cell r="F372">
            <v>3612</v>
          </cell>
          <cell r="G372">
            <v>1747.89689995766</v>
          </cell>
          <cell r="H372">
            <v>1120.6489999999999</v>
          </cell>
          <cell r="I372">
            <v>2966.3389999999999</v>
          </cell>
          <cell r="J372">
            <v>6613.2948428510945</v>
          </cell>
          <cell r="K372">
            <v>46293.063899957662</v>
          </cell>
          <cell r="M372">
            <v>1618.3130000000001</v>
          </cell>
          <cell r="N372">
            <v>197.27600000000001</v>
          </cell>
          <cell r="O372">
            <v>1340.4639999999999</v>
          </cell>
          <cell r="P372">
            <v>1493.24</v>
          </cell>
          <cell r="Q372">
            <v>4462</v>
          </cell>
          <cell r="R372">
            <v>5123.8767621029501</v>
          </cell>
          <cell r="S372">
            <v>853.43100000000004</v>
          </cell>
          <cell r="T372">
            <v>2155.5143945861355</v>
          </cell>
          <cell r="U372">
            <v>15088.600762102949</v>
          </cell>
        </row>
        <row r="373">
          <cell r="B373" t="str">
            <v>FY(2)</v>
          </cell>
          <cell r="C373">
            <v>2051.875</v>
          </cell>
          <cell r="D373">
            <v>3505</v>
          </cell>
          <cell r="E373">
            <v>9087</v>
          </cell>
          <cell r="F373">
            <v>2236</v>
          </cell>
          <cell r="G373">
            <v>253.346</v>
          </cell>
          <cell r="H373">
            <v>150</v>
          </cell>
          <cell r="I373">
            <v>833.08600000000001</v>
          </cell>
          <cell r="J373">
            <v>2588.0438571428572</v>
          </cell>
          <cell r="K373">
            <v>18116.307000000001</v>
          </cell>
          <cell r="M373">
            <v>0</v>
          </cell>
          <cell r="N373" t="str">
            <v>NA</v>
          </cell>
          <cell r="O373">
            <v>0</v>
          </cell>
          <cell r="P373">
            <v>2.8650000000000002</v>
          </cell>
          <cell r="Q373">
            <v>50</v>
          </cell>
          <cell r="R373">
            <v>2904.6390000000001</v>
          </cell>
          <cell r="S373">
            <v>0</v>
          </cell>
          <cell r="T373">
            <v>492.91733333333332</v>
          </cell>
          <cell r="U373">
            <v>2957.5039999999999</v>
          </cell>
        </row>
        <row r="374">
          <cell r="B374" t="str">
            <v>FY(1)</v>
          </cell>
          <cell r="C374">
            <v>2053</v>
          </cell>
          <cell r="D374">
            <v>3505</v>
          </cell>
          <cell r="E374">
            <v>8733</v>
          </cell>
          <cell r="F374">
            <v>2214</v>
          </cell>
          <cell r="G374">
            <v>635.4</v>
          </cell>
          <cell r="H374">
            <v>150</v>
          </cell>
          <cell r="I374">
            <v>383.78199999999998</v>
          </cell>
          <cell r="J374">
            <v>2524.883142857143</v>
          </cell>
          <cell r="K374">
            <v>17674.182000000001</v>
          </cell>
          <cell r="M374">
            <v>100</v>
          </cell>
          <cell r="N374" t="str">
            <v>NA</v>
          </cell>
          <cell r="O374">
            <v>0</v>
          </cell>
          <cell r="P374">
            <v>2.58</v>
          </cell>
          <cell r="Q374">
            <v>0</v>
          </cell>
          <cell r="R374">
            <v>2897.114</v>
          </cell>
          <cell r="S374">
            <v>0</v>
          </cell>
          <cell r="T374">
            <v>499.94900000000001</v>
          </cell>
          <cell r="U374">
            <v>2999.694</v>
          </cell>
        </row>
        <row r="375">
          <cell r="B375" t="str">
            <v>FY0</v>
          </cell>
          <cell r="C375">
            <v>2052</v>
          </cell>
          <cell r="D375">
            <v>2999</v>
          </cell>
          <cell r="E375">
            <v>8456</v>
          </cell>
          <cell r="F375">
            <v>2257</v>
          </cell>
          <cell r="G375">
            <v>493.33</v>
          </cell>
          <cell r="H375">
            <v>150</v>
          </cell>
          <cell r="I375">
            <v>774.3</v>
          </cell>
          <cell r="J375">
            <v>2454.5185714285717</v>
          </cell>
          <cell r="K375">
            <v>17181.63</v>
          </cell>
          <cell r="M375">
            <v>71.212999999999994</v>
          </cell>
          <cell r="N375" t="str">
            <v>NA</v>
          </cell>
          <cell r="O375">
            <v>0</v>
          </cell>
          <cell r="P375">
            <v>25.071999999999999</v>
          </cell>
          <cell r="Q375">
            <v>0</v>
          </cell>
          <cell r="R375">
            <v>2722.8130000000001</v>
          </cell>
          <cell r="S375">
            <v>0</v>
          </cell>
          <cell r="T375">
            <v>469.84966666666668</v>
          </cell>
          <cell r="U375">
            <v>2819.098</v>
          </cell>
        </row>
        <row r="376">
          <cell r="B376" t="str">
            <v>FY1</v>
          </cell>
          <cell r="C376">
            <v>2052</v>
          </cell>
          <cell r="D376">
            <v>2606</v>
          </cell>
          <cell r="E376">
            <v>8218</v>
          </cell>
          <cell r="F376">
            <v>2382</v>
          </cell>
          <cell r="G376">
            <v>470.33</v>
          </cell>
          <cell r="H376">
            <v>150</v>
          </cell>
          <cell r="I376">
            <v>774.3</v>
          </cell>
          <cell r="J376">
            <v>2378.9471428571428</v>
          </cell>
          <cell r="K376">
            <v>16652.63</v>
          </cell>
          <cell r="M376">
            <v>71.212999999999994</v>
          </cell>
          <cell r="N376" t="str">
            <v>NA</v>
          </cell>
          <cell r="O376">
            <v>0</v>
          </cell>
          <cell r="P376">
            <v>24.338999999999999</v>
          </cell>
          <cell r="Q376">
            <v>0</v>
          </cell>
          <cell r="R376">
            <v>2722.8130000000001</v>
          </cell>
          <cell r="S376">
            <v>0</v>
          </cell>
          <cell r="T376">
            <v>469.72750000000002</v>
          </cell>
          <cell r="U376">
            <v>2818.3650000000002</v>
          </cell>
        </row>
        <row r="377">
          <cell r="B377" t="str">
            <v>FY2</v>
          </cell>
          <cell r="C377">
            <v>1636</v>
          </cell>
          <cell r="D377">
            <v>2606</v>
          </cell>
          <cell r="E377">
            <v>7556</v>
          </cell>
          <cell r="F377">
            <v>2382</v>
          </cell>
          <cell r="G377">
            <v>378.33</v>
          </cell>
          <cell r="H377">
            <v>150</v>
          </cell>
          <cell r="I377">
            <v>774.3</v>
          </cell>
          <cell r="J377">
            <v>2211.8042857142855</v>
          </cell>
          <cell r="K377">
            <v>15482.63</v>
          </cell>
          <cell r="M377">
            <v>71.212999999999994</v>
          </cell>
          <cell r="N377" t="str">
            <v>NA</v>
          </cell>
          <cell r="O377">
            <v>0</v>
          </cell>
          <cell r="P377">
            <v>25.076000000000001</v>
          </cell>
          <cell r="Q377">
            <v>0</v>
          </cell>
          <cell r="R377">
            <v>2722.8130000000001</v>
          </cell>
          <cell r="S377">
            <v>0</v>
          </cell>
          <cell r="T377">
            <v>469.85033333333331</v>
          </cell>
          <cell r="U377">
            <v>2819.1019999999999</v>
          </cell>
        </row>
        <row r="378">
          <cell r="B378" t="str">
            <v>FQ(3)</v>
          </cell>
          <cell r="C378">
            <v>2056</v>
          </cell>
          <cell r="D378">
            <v>2999</v>
          </cell>
          <cell r="E378">
            <v>8719</v>
          </cell>
          <cell r="F378">
            <v>2002</v>
          </cell>
          <cell r="G378">
            <v>631.94000000000005</v>
          </cell>
          <cell r="H378">
            <v>150</v>
          </cell>
          <cell r="I378">
            <v>391.93099999999998</v>
          </cell>
          <cell r="J378">
            <v>2421.4101428571425</v>
          </cell>
          <cell r="K378">
            <v>16949.870999999999</v>
          </cell>
          <cell r="M378">
            <v>100</v>
          </cell>
          <cell r="N378" t="str">
            <v>NA</v>
          </cell>
          <cell r="O378">
            <v>0</v>
          </cell>
          <cell r="P378">
            <v>24.986000000000001</v>
          </cell>
          <cell r="Q378">
            <v>0</v>
          </cell>
          <cell r="R378">
            <v>2897.297</v>
          </cell>
          <cell r="S378">
            <v>0</v>
          </cell>
          <cell r="T378">
            <v>503.7138333333333</v>
          </cell>
          <cell r="U378">
            <v>3022.2829999999999</v>
          </cell>
        </row>
        <row r="379">
          <cell r="B379" t="str">
            <v>FQ(2)</v>
          </cell>
          <cell r="C379">
            <v>2053</v>
          </cell>
          <cell r="D379">
            <v>2999</v>
          </cell>
          <cell r="E379">
            <v>8632</v>
          </cell>
          <cell r="F379">
            <v>2260</v>
          </cell>
          <cell r="G379">
            <v>598.07899999999995</v>
          </cell>
          <cell r="H379">
            <v>150</v>
          </cell>
          <cell r="I379">
            <v>791.33199999999999</v>
          </cell>
          <cell r="J379">
            <v>2497.6301428571428</v>
          </cell>
          <cell r="K379">
            <v>17483.411</v>
          </cell>
          <cell r="M379">
            <v>36.729999999999997</v>
          </cell>
          <cell r="N379" t="str">
            <v>NA</v>
          </cell>
          <cell r="O379">
            <v>0</v>
          </cell>
          <cell r="P379">
            <v>25.071999999999999</v>
          </cell>
          <cell r="Q379">
            <v>0</v>
          </cell>
          <cell r="R379">
            <v>3251</v>
          </cell>
          <cell r="S379">
            <v>0</v>
          </cell>
          <cell r="T379">
            <v>552.13366666666673</v>
          </cell>
          <cell r="U379">
            <v>3312.8020000000001</v>
          </cell>
        </row>
        <row r="380">
          <cell r="B380" t="str">
            <v>FQ(1)</v>
          </cell>
          <cell r="C380">
            <v>2054</v>
          </cell>
          <cell r="D380">
            <v>2999</v>
          </cell>
          <cell r="E380">
            <v>8618</v>
          </cell>
          <cell r="F380">
            <v>2259</v>
          </cell>
          <cell r="G380">
            <v>514.60599999999999</v>
          </cell>
          <cell r="H380">
            <v>150</v>
          </cell>
          <cell r="I380">
            <v>790.75699999999995</v>
          </cell>
          <cell r="J380">
            <v>2483.6232857142859</v>
          </cell>
          <cell r="K380">
            <v>17385.363000000001</v>
          </cell>
          <cell r="M380">
            <v>50.582000000000001</v>
          </cell>
          <cell r="N380" t="str">
            <v>NA</v>
          </cell>
          <cell r="O380">
            <v>0</v>
          </cell>
          <cell r="P380">
            <v>24.428999999999998</v>
          </cell>
          <cell r="Q380">
            <v>0</v>
          </cell>
          <cell r="R380">
            <v>2880.2820000000002</v>
          </cell>
          <cell r="S380">
            <v>0</v>
          </cell>
          <cell r="T380">
            <v>492.54883333333333</v>
          </cell>
          <cell r="U380">
            <v>2955.2930000000001</v>
          </cell>
        </row>
        <row r="381">
          <cell r="B381" t="str">
            <v>Last Reported Q</v>
          </cell>
          <cell r="C381">
            <v>2052</v>
          </cell>
          <cell r="D381">
            <v>2999</v>
          </cell>
          <cell r="E381">
            <v>8456</v>
          </cell>
          <cell r="F381">
            <v>2257</v>
          </cell>
          <cell r="G381">
            <v>493.33</v>
          </cell>
          <cell r="H381">
            <v>150</v>
          </cell>
          <cell r="I381">
            <v>774.3</v>
          </cell>
          <cell r="J381">
            <v>2454.5185714285717</v>
          </cell>
          <cell r="K381">
            <v>17181.63</v>
          </cell>
          <cell r="M381">
            <v>71.212999999999994</v>
          </cell>
          <cell r="N381" t="str">
            <v>NA</v>
          </cell>
          <cell r="O381">
            <v>0</v>
          </cell>
          <cell r="P381">
            <v>24.338999999999999</v>
          </cell>
          <cell r="Q381">
            <v>0</v>
          </cell>
          <cell r="R381">
            <v>2722.8130000000001</v>
          </cell>
          <cell r="S381">
            <v>0</v>
          </cell>
          <cell r="T381">
            <v>469.72750000000002</v>
          </cell>
          <cell r="U381">
            <v>2818.3650000000002</v>
          </cell>
        </row>
        <row r="382">
          <cell r="B382" t="str">
            <v>LTM</v>
          </cell>
          <cell r="C382">
            <v>2052</v>
          </cell>
          <cell r="D382">
            <v>2999</v>
          </cell>
          <cell r="E382">
            <v>8456</v>
          </cell>
          <cell r="F382">
            <v>2257</v>
          </cell>
          <cell r="G382">
            <v>493.33</v>
          </cell>
          <cell r="H382">
            <v>150</v>
          </cell>
          <cell r="I382">
            <v>774.3</v>
          </cell>
          <cell r="J382">
            <v>2454.5185714285717</v>
          </cell>
          <cell r="K382">
            <v>17181.63</v>
          </cell>
          <cell r="M382">
            <v>71.212999999999994</v>
          </cell>
          <cell r="N382" t="str">
            <v>NA</v>
          </cell>
          <cell r="O382">
            <v>0</v>
          </cell>
          <cell r="P382">
            <v>24.338999999999999</v>
          </cell>
          <cell r="Q382">
            <v>0</v>
          </cell>
          <cell r="R382">
            <v>2722.8130000000001</v>
          </cell>
          <cell r="S382">
            <v>0</v>
          </cell>
          <cell r="T382">
            <v>469.72750000000002</v>
          </cell>
          <cell r="U382">
            <v>2818.3650000000002</v>
          </cell>
        </row>
        <row r="383">
          <cell r="B383" t="str">
            <v>FY(2)</v>
          </cell>
          <cell r="C383" t="e">
            <v>#VALUE!</v>
          </cell>
          <cell r="D383" t="e">
            <v>#VALUE!</v>
          </cell>
          <cell r="E383" t="e">
            <v>#VALUE!</v>
          </cell>
          <cell r="F383" t="e">
            <v>#VALUE!</v>
          </cell>
          <cell r="G383" t="e">
            <v>#VALUE!</v>
          </cell>
          <cell r="H383" t="e">
            <v>#VALUE!</v>
          </cell>
          <cell r="I383" t="e">
            <v>#VALUE!</v>
          </cell>
          <cell r="J383" t="e">
            <v>#VALUE!</v>
          </cell>
          <cell r="K383" t="e">
            <v>#VALUE!</v>
          </cell>
          <cell r="M383" t="e">
            <v>#VALUE!</v>
          </cell>
          <cell r="N383" t="e">
            <v>#VALUE!</v>
          </cell>
          <cell r="O383" t="e">
            <v>#VALUE!</v>
          </cell>
          <cell r="P383" t="e">
            <v>#VALUE!</v>
          </cell>
          <cell r="Q383" t="e">
            <v>#VALUE!</v>
          </cell>
          <cell r="R383" t="e">
            <v>#VALUE!</v>
          </cell>
          <cell r="S383" t="e">
            <v>#VALUE!</v>
          </cell>
          <cell r="T383" t="e">
            <v>#VALUE!</v>
          </cell>
          <cell r="U383" t="e">
            <v>#VALUE!</v>
          </cell>
        </row>
        <row r="384">
          <cell r="B384" t="str">
            <v>Unadjusted Debt</v>
          </cell>
          <cell r="C384" t="e">
            <v>#VALUE!</v>
          </cell>
          <cell r="D384" t="e">
            <v>#VALUE!</v>
          </cell>
          <cell r="E384" t="e">
            <v>#VALUE!</v>
          </cell>
          <cell r="F384" t="e">
            <v>#VALUE!</v>
          </cell>
          <cell r="G384" t="e">
            <v>#VALUE!</v>
          </cell>
          <cell r="H384" t="e">
            <v>#VALUE!</v>
          </cell>
          <cell r="I384" t="e">
            <v>#VALUE!</v>
          </cell>
          <cell r="J384" t="e">
            <v>#VALUE!</v>
          </cell>
          <cell r="K384" t="e">
            <v>#VALUE!</v>
          </cell>
          <cell r="M384" t="e">
            <v>#VALUE!</v>
          </cell>
          <cell r="N384" t="e">
            <v>#VALUE!</v>
          </cell>
          <cell r="O384" t="e">
            <v>#VALUE!</v>
          </cell>
          <cell r="P384" t="e">
            <v>#VALUE!</v>
          </cell>
          <cell r="Q384" t="e">
            <v>#VALUE!</v>
          </cell>
          <cell r="R384" t="e">
            <v>#VALUE!</v>
          </cell>
          <cell r="S384" t="e">
            <v>#VALUE!</v>
          </cell>
          <cell r="T384" t="e">
            <v>#VALUE!</v>
          </cell>
          <cell r="U384" t="e">
            <v>#VALUE!</v>
          </cell>
        </row>
        <row r="385">
          <cell r="B385" t="str">
            <v>FY(2)</v>
          </cell>
          <cell r="C385">
            <v>2064.576</v>
          </cell>
          <cell r="D385">
            <v>3708</v>
          </cell>
          <cell r="E385">
            <v>9753</v>
          </cell>
          <cell r="F385">
            <v>2497</v>
          </cell>
          <cell r="G385">
            <v>572.58799999999997</v>
          </cell>
          <cell r="H385">
            <v>150</v>
          </cell>
          <cell r="I385">
            <v>835.09400000000005</v>
          </cell>
          <cell r="J385">
            <v>2797.1797142857145</v>
          </cell>
          <cell r="K385">
            <v>19580.258000000002</v>
          </cell>
          <cell r="M385">
            <v>0</v>
          </cell>
          <cell r="N385">
            <v>0</v>
          </cell>
          <cell r="O385">
            <v>0</v>
          </cell>
          <cell r="P385">
            <v>3.1</v>
          </cell>
          <cell r="Q385">
            <v>188</v>
          </cell>
          <cell r="R385">
            <v>2904.6390000000001</v>
          </cell>
          <cell r="S385">
            <v>0</v>
          </cell>
          <cell r="T385">
            <v>442.24842857142858</v>
          </cell>
          <cell r="U385">
            <v>3095.739</v>
          </cell>
        </row>
        <row r="386">
          <cell r="B386" t="str">
            <v>FY(1)</v>
          </cell>
          <cell r="C386">
            <v>2070</v>
          </cell>
          <cell r="D386">
            <v>3505</v>
          </cell>
          <cell r="E386">
            <v>9699</v>
          </cell>
          <cell r="F386">
            <v>2513</v>
          </cell>
          <cell r="G386">
            <v>640.07299999999998</v>
          </cell>
          <cell r="H386">
            <v>150</v>
          </cell>
          <cell r="I386">
            <v>778.80899999999997</v>
          </cell>
          <cell r="J386">
            <v>2765.1260000000002</v>
          </cell>
          <cell r="K386">
            <v>19355.882000000001</v>
          </cell>
          <cell r="M386">
            <v>100</v>
          </cell>
          <cell r="N386">
            <v>0</v>
          </cell>
          <cell r="O386">
            <v>75</v>
          </cell>
          <cell r="P386">
            <v>2.8650000000000002</v>
          </cell>
          <cell r="Q386">
            <v>50</v>
          </cell>
          <cell r="R386">
            <v>2897.114</v>
          </cell>
          <cell r="S386">
            <v>0</v>
          </cell>
          <cell r="T386">
            <v>446.42557142857146</v>
          </cell>
          <cell r="U386">
            <v>3124.9790000000003</v>
          </cell>
        </row>
        <row r="387">
          <cell r="B387" t="str">
            <v>FY0</v>
          </cell>
          <cell r="C387">
            <v>2068</v>
          </cell>
          <cell r="D387">
            <v>3392</v>
          </cell>
          <cell r="E387">
            <v>8698</v>
          </cell>
          <cell r="F387">
            <v>2613</v>
          </cell>
          <cell r="G387">
            <v>521.18700000000001</v>
          </cell>
          <cell r="H387">
            <v>150</v>
          </cell>
          <cell r="I387">
            <v>774.3</v>
          </cell>
          <cell r="J387">
            <v>2602.3552857142859</v>
          </cell>
          <cell r="K387">
            <v>18216.487000000001</v>
          </cell>
          <cell r="M387">
            <v>82.822999999999993</v>
          </cell>
          <cell r="N387">
            <v>0</v>
          </cell>
          <cell r="O387">
            <v>30</v>
          </cell>
          <cell r="P387">
            <v>33.076000000000001</v>
          </cell>
          <cell r="Q387">
            <v>0</v>
          </cell>
          <cell r="R387">
            <v>2722.8130000000001</v>
          </cell>
          <cell r="S387">
            <v>0</v>
          </cell>
          <cell r="T387">
            <v>409.81599999999997</v>
          </cell>
          <cell r="U387">
            <v>2868.712</v>
          </cell>
        </row>
        <row r="388">
          <cell r="B388" t="str">
            <v>FY1</v>
          </cell>
          <cell r="C388">
            <v>2068</v>
          </cell>
          <cell r="D388">
            <v>2999</v>
          </cell>
          <cell r="E388">
            <v>8460</v>
          </cell>
          <cell r="F388">
            <v>2388</v>
          </cell>
          <cell r="G388">
            <v>498.18700000000001</v>
          </cell>
          <cell r="H388">
            <v>150</v>
          </cell>
          <cell r="I388">
            <v>774.3</v>
          </cell>
          <cell r="J388">
            <v>2476.7838571428574</v>
          </cell>
          <cell r="K388">
            <v>17337.487000000001</v>
          </cell>
          <cell r="M388">
            <v>82.822999999999993</v>
          </cell>
          <cell r="N388">
            <v>0</v>
          </cell>
          <cell r="O388">
            <v>30</v>
          </cell>
          <cell r="P388">
            <v>25.075999999999997</v>
          </cell>
          <cell r="Q388">
            <v>0</v>
          </cell>
          <cell r="R388">
            <v>2722.8130000000001</v>
          </cell>
          <cell r="S388">
            <v>0</v>
          </cell>
          <cell r="T388">
            <v>408.67314285714286</v>
          </cell>
          <cell r="U388">
            <v>2860.712</v>
          </cell>
        </row>
        <row r="389">
          <cell r="B389" t="str">
            <v>FY2</v>
          </cell>
          <cell r="C389">
            <v>1652</v>
          </cell>
          <cell r="D389">
            <v>2999</v>
          </cell>
          <cell r="E389">
            <v>7798</v>
          </cell>
          <cell r="F389">
            <v>2388</v>
          </cell>
          <cell r="G389">
            <v>406.18700000000001</v>
          </cell>
          <cell r="H389">
            <v>150</v>
          </cell>
          <cell r="I389">
            <v>774.3</v>
          </cell>
          <cell r="J389">
            <v>2309.6410000000001</v>
          </cell>
          <cell r="K389">
            <v>16167.486999999999</v>
          </cell>
          <cell r="M389">
            <v>82.822999999999993</v>
          </cell>
          <cell r="N389">
            <v>0</v>
          </cell>
          <cell r="O389">
            <v>30</v>
          </cell>
          <cell r="P389">
            <v>25.076000000000001</v>
          </cell>
          <cell r="Q389">
            <v>0</v>
          </cell>
          <cell r="R389">
            <v>2722.8130000000001</v>
          </cell>
          <cell r="S389">
            <v>0</v>
          </cell>
          <cell r="T389">
            <v>408.67314285714286</v>
          </cell>
          <cell r="U389">
            <v>2860.712</v>
          </cell>
        </row>
        <row r="390">
          <cell r="B390" t="str">
            <v>FQ(3)</v>
          </cell>
          <cell r="C390">
            <v>2073</v>
          </cell>
          <cell r="D390">
            <v>3505</v>
          </cell>
          <cell r="E390">
            <v>8854</v>
          </cell>
          <cell r="F390">
            <v>2502</v>
          </cell>
          <cell r="G390">
            <v>636.62600000000009</v>
          </cell>
          <cell r="H390">
            <v>150</v>
          </cell>
          <cell r="I390">
            <v>1136.376</v>
          </cell>
          <cell r="J390">
            <v>2693.8574285714285</v>
          </cell>
          <cell r="K390">
            <v>18857.002</v>
          </cell>
          <cell r="M390">
            <v>100</v>
          </cell>
          <cell r="N390">
            <v>0</v>
          </cell>
          <cell r="O390">
            <v>75</v>
          </cell>
          <cell r="P390">
            <v>27.475999999999999</v>
          </cell>
          <cell r="Q390">
            <v>0</v>
          </cell>
          <cell r="R390">
            <v>2897.297</v>
          </cell>
          <cell r="S390">
            <v>0</v>
          </cell>
          <cell r="T390">
            <v>442.82471428571432</v>
          </cell>
          <cell r="U390">
            <v>3099.7730000000001</v>
          </cell>
        </row>
        <row r="391">
          <cell r="B391" t="str">
            <v>FQ(2)</v>
          </cell>
          <cell r="C391">
            <v>2069</v>
          </cell>
          <cell r="D391">
            <v>3392</v>
          </cell>
          <cell r="E391">
            <v>8724</v>
          </cell>
          <cell r="F391">
            <v>2635</v>
          </cell>
          <cell r="G391">
            <v>602.80799999999999</v>
          </cell>
          <cell r="H391">
            <v>150</v>
          </cell>
          <cell r="I391">
            <v>1212.538</v>
          </cell>
          <cell r="J391">
            <v>2683.6208571428574</v>
          </cell>
          <cell r="K391">
            <v>18785.346000000001</v>
          </cell>
          <cell r="M391">
            <v>36.729999999999997</v>
          </cell>
          <cell r="N391">
            <v>0</v>
          </cell>
          <cell r="O391">
            <v>75</v>
          </cell>
          <cell r="P391">
            <v>33.076000000000001</v>
          </cell>
          <cell r="Q391">
            <v>0</v>
          </cell>
          <cell r="R391">
            <v>3251</v>
          </cell>
          <cell r="S391">
            <v>0</v>
          </cell>
          <cell r="T391">
            <v>485.11514285714287</v>
          </cell>
          <cell r="U391">
            <v>3395.806</v>
          </cell>
        </row>
        <row r="392">
          <cell r="B392" t="str">
            <v>FQ(1)</v>
          </cell>
          <cell r="C392">
            <v>2071</v>
          </cell>
          <cell r="D392">
            <v>3392</v>
          </cell>
          <cell r="E392">
            <v>8710</v>
          </cell>
          <cell r="F392">
            <v>2615</v>
          </cell>
          <cell r="G392">
            <v>519.45299999999997</v>
          </cell>
          <cell r="H392">
            <v>150</v>
          </cell>
          <cell r="I392">
            <v>993.42399999999998</v>
          </cell>
          <cell r="J392">
            <v>2635.8395714285716</v>
          </cell>
          <cell r="K392">
            <v>18450.877</v>
          </cell>
          <cell r="M392">
            <v>50.582000000000001</v>
          </cell>
          <cell r="N392">
            <v>0</v>
          </cell>
          <cell r="O392">
            <v>50</v>
          </cell>
          <cell r="P392">
            <v>25.132999999999999</v>
          </cell>
          <cell r="Q392">
            <v>0</v>
          </cell>
          <cell r="R392">
            <v>2880.2820000000002</v>
          </cell>
          <cell r="S392">
            <v>0</v>
          </cell>
          <cell r="T392">
            <v>429.42814285714292</v>
          </cell>
          <cell r="U392">
            <v>3005.9970000000003</v>
          </cell>
        </row>
        <row r="393">
          <cell r="B393" t="str">
            <v>Last Reported Q</v>
          </cell>
          <cell r="C393">
            <v>2068</v>
          </cell>
          <cell r="D393">
            <v>3392</v>
          </cell>
          <cell r="E393">
            <v>8698</v>
          </cell>
          <cell r="F393">
            <v>2613</v>
          </cell>
          <cell r="G393">
            <v>521.18700000000001</v>
          </cell>
          <cell r="H393">
            <v>150</v>
          </cell>
          <cell r="I393">
            <v>774.3</v>
          </cell>
          <cell r="J393">
            <v>2602.3552857142859</v>
          </cell>
          <cell r="K393">
            <v>18216.487000000001</v>
          </cell>
          <cell r="M393">
            <v>82.822999999999993</v>
          </cell>
          <cell r="N393">
            <v>0</v>
          </cell>
          <cell r="O393">
            <v>30</v>
          </cell>
          <cell r="P393">
            <v>25.075999999999997</v>
          </cell>
          <cell r="Q393">
            <v>0</v>
          </cell>
          <cell r="R393">
            <v>2722.8130000000001</v>
          </cell>
          <cell r="S393">
            <v>0</v>
          </cell>
          <cell r="T393">
            <v>408.67314285714286</v>
          </cell>
          <cell r="U393">
            <v>2860.712</v>
          </cell>
        </row>
        <row r="394">
          <cell r="B394" t="str">
            <v>LTM</v>
          </cell>
          <cell r="C394">
            <v>2068</v>
          </cell>
          <cell r="D394">
            <v>3392</v>
          </cell>
          <cell r="E394">
            <v>8698</v>
          </cell>
          <cell r="F394">
            <v>2613</v>
          </cell>
          <cell r="G394">
            <v>521.18700000000001</v>
          </cell>
          <cell r="H394">
            <v>150</v>
          </cell>
          <cell r="I394">
            <v>774.3</v>
          </cell>
          <cell r="J394">
            <v>2602.3552857142859</v>
          </cell>
          <cell r="K394">
            <v>18216.487000000001</v>
          </cell>
          <cell r="M394">
            <v>82.822999999999993</v>
          </cell>
          <cell r="N394">
            <v>0</v>
          </cell>
          <cell r="O394">
            <v>30</v>
          </cell>
          <cell r="P394">
            <v>25.075999999999997</v>
          </cell>
          <cell r="Q394">
            <v>0</v>
          </cell>
          <cell r="R394">
            <v>2722.8130000000001</v>
          </cell>
          <cell r="S394">
            <v>0</v>
          </cell>
          <cell r="T394">
            <v>408.67314285714286</v>
          </cell>
          <cell r="U394">
            <v>2860.712</v>
          </cell>
        </row>
        <row r="396">
          <cell r="B396" t="str">
            <v>Unadjusted Net Debt</v>
          </cell>
        </row>
        <row r="397">
          <cell r="B397" t="str">
            <v>FY(2)</v>
          </cell>
          <cell r="C397">
            <v>1400.9176368560052</v>
          </cell>
          <cell r="D397">
            <v>1175.8694052044598</v>
          </cell>
          <cell r="E397">
            <v>9170.1249999999964</v>
          </cell>
          <cell r="F397">
            <v>2139.5977032416822</v>
          </cell>
          <cell r="G397">
            <v>471.42610004233597</v>
          </cell>
          <cell r="H397">
            <v>-113.678</v>
          </cell>
          <cell r="I397">
            <v>102.38306178916901</v>
          </cell>
          <cell r="J397">
            <v>2049.5201295905213</v>
          </cell>
          <cell r="K397">
            <v>14346.640907133649</v>
          </cell>
          <cell r="M397">
            <v>-522.13461840902801</v>
          </cell>
          <cell r="N397">
            <v>-228.53</v>
          </cell>
          <cell r="O397">
            <v>-483.85199999999901</v>
          </cell>
          <cell r="P397">
            <v>-695.80499999999995</v>
          </cell>
          <cell r="Q397">
            <v>-1527</v>
          </cell>
          <cell r="R397">
            <v>1731.24213031622</v>
          </cell>
          <cell r="S397">
            <v>-365.983</v>
          </cell>
          <cell r="T397">
            <v>-298.8660697275439</v>
          </cell>
          <cell r="U397">
            <v>-2092.0624880928071</v>
          </cell>
        </row>
        <row r="398">
          <cell r="B398" t="str">
            <v>FY(1)</v>
          </cell>
          <cell r="C398">
            <v>1393.840636856004</v>
          </cell>
          <cell r="D398">
            <v>1153.3730245593001</v>
          </cell>
          <cell r="E398">
            <v>8393.125</v>
          </cell>
          <cell r="F398">
            <v>2441.0807032416819</v>
          </cell>
          <cell r="G398">
            <v>626.02575219353469</v>
          </cell>
          <cell r="H398">
            <v>-172.15537499999999</v>
          </cell>
          <cell r="I398">
            <v>325.99135986921397</v>
          </cell>
          <cell r="J398">
            <v>2023.0401573885335</v>
          </cell>
          <cell r="K398">
            <v>14161.281101719735</v>
          </cell>
          <cell r="M398">
            <v>-422.13461840902801</v>
          </cell>
          <cell r="N398">
            <v>-228.53</v>
          </cell>
          <cell r="O398">
            <v>-408.85199999999901</v>
          </cell>
          <cell r="P398">
            <v>-696.04</v>
          </cell>
          <cell r="Q398">
            <v>-1665</v>
          </cell>
          <cell r="R398">
            <v>1723.7171303162199</v>
          </cell>
          <cell r="S398">
            <v>-365.983</v>
          </cell>
          <cell r="T398">
            <v>-294.68892687040096</v>
          </cell>
          <cell r="U398">
            <v>-2062.8224880928069</v>
          </cell>
        </row>
        <row r="399">
          <cell r="B399" t="str">
            <v>FY0</v>
          </cell>
          <cell r="C399">
            <v>-197.75736314400001</v>
          </cell>
          <cell r="D399">
            <v>384.79102455929979</v>
          </cell>
          <cell r="E399">
            <v>7011.625</v>
          </cell>
          <cell r="F399">
            <v>1818.280703241682</v>
          </cell>
          <cell r="G399">
            <v>357.01974883758999</v>
          </cell>
          <cell r="H399">
            <v>-620.00937499999998</v>
          </cell>
          <cell r="I399">
            <v>-971.08064013079002</v>
          </cell>
          <cell r="J399">
            <v>1111.8384426233977</v>
          </cell>
          <cell r="K399">
            <v>7782.8690983637835</v>
          </cell>
          <cell r="M399">
            <v>-644.74920840902803</v>
          </cell>
          <cell r="N399">
            <v>-346.87931378455897</v>
          </cell>
          <cell r="O399">
            <v>-668.63491999999906</v>
          </cell>
          <cell r="P399">
            <v>-767.28599999999994</v>
          </cell>
          <cell r="Q399">
            <v>-2574.8000000000002</v>
          </cell>
          <cell r="R399">
            <v>918.42900000000009</v>
          </cell>
          <cell r="S399">
            <v>-501.53600000000102</v>
          </cell>
          <cell r="T399">
            <v>-655.06520602765534</v>
          </cell>
          <cell r="U399">
            <v>-4585.4564421935875</v>
          </cell>
        </row>
        <row r="400">
          <cell r="B400" t="str">
            <v>FY1</v>
          </cell>
          <cell r="C400">
            <v>-788.51614066414004</v>
          </cell>
          <cell r="D400">
            <v>104.6646459940398</v>
          </cell>
          <cell r="E400">
            <v>5817.2833639719802</v>
          </cell>
          <cell r="F400">
            <v>1584.2267420001681</v>
          </cell>
          <cell r="G400">
            <v>329.53917016447303</v>
          </cell>
          <cell r="H400">
            <v>-727.70577551911504</v>
          </cell>
          <cell r="I400">
            <v>-1472.0475460263999</v>
          </cell>
          <cell r="J400">
            <v>692.49206570300078</v>
          </cell>
          <cell r="K400">
            <v>4847.4444599210055</v>
          </cell>
          <cell r="M400">
            <v>-572.38283485722206</v>
          </cell>
          <cell r="N400">
            <v>-418.99402043374801</v>
          </cell>
          <cell r="O400">
            <v>-758.63650584369498</v>
          </cell>
          <cell r="P400">
            <v>-929.32871939409097</v>
          </cell>
          <cell r="Q400">
            <v>-2478.3974420773002</v>
          </cell>
          <cell r="R400">
            <v>969.60535280101999</v>
          </cell>
          <cell r="S400">
            <v>-727.98320368492102</v>
          </cell>
          <cell r="T400">
            <v>-702.3024819271368</v>
          </cell>
          <cell r="U400">
            <v>-4916.1173734899576</v>
          </cell>
        </row>
        <row r="401">
          <cell r="B401" t="str">
            <v>FY2</v>
          </cell>
          <cell r="C401">
            <v>-1306.2194660018799</v>
          </cell>
          <cell r="D401">
            <v>14.232370430379888</v>
          </cell>
          <cell r="E401">
            <v>4376.7068129613499</v>
          </cell>
          <cell r="F401">
            <v>1611.2378153185318</v>
          </cell>
          <cell r="G401">
            <v>250.354544142804</v>
          </cell>
          <cell r="H401">
            <v>-864.85489072380005</v>
          </cell>
          <cell r="I401">
            <v>-1995.79367411919</v>
          </cell>
          <cell r="J401">
            <v>297.95193028688522</v>
          </cell>
          <cell r="K401">
            <v>2085.6635120081964</v>
          </cell>
          <cell r="M401">
            <v>-462.24347740002304</v>
          </cell>
          <cell r="N401">
            <v>-465.93234996454299</v>
          </cell>
          <cell r="O401">
            <v>-920.79550408930095</v>
          </cell>
          <cell r="P401">
            <v>-1082.9158350544999</v>
          </cell>
          <cell r="Q401">
            <v>-2368.83194985604</v>
          </cell>
          <cell r="R401">
            <v>635.02160613725027</v>
          </cell>
          <cell r="S401">
            <v>-921.75489727911997</v>
          </cell>
          <cell r="T401">
            <v>-798.20748678661107</v>
          </cell>
          <cell r="U401">
            <v>-5587.4524075062773</v>
          </cell>
        </row>
        <row r="402">
          <cell r="B402" t="str">
            <v>FQ(3)</v>
          </cell>
          <cell r="C402">
            <v>1179.3426368560049</v>
          </cell>
          <cell r="D402">
            <v>1367.3730245593001</v>
          </cell>
          <cell r="E402">
            <v>8559.1249999999964</v>
          </cell>
          <cell r="F402">
            <v>2424.3807032416817</v>
          </cell>
          <cell r="G402">
            <v>622.79775219353473</v>
          </cell>
          <cell r="H402">
            <v>-310.35537499999998</v>
          </cell>
          <cell r="I402">
            <v>124.14135986920996</v>
          </cell>
          <cell r="J402">
            <v>1995.2578716742471</v>
          </cell>
          <cell r="K402">
            <v>13966.80510171973</v>
          </cell>
          <cell r="M402">
            <v>-363.72861840902902</v>
          </cell>
          <cell r="N402">
            <v>-247.74700000000001</v>
          </cell>
          <cell r="O402">
            <v>-374.33199999999999</v>
          </cell>
          <cell r="P402">
            <v>-523.79100000000005</v>
          </cell>
          <cell r="Q402">
            <v>-1708</v>
          </cell>
          <cell r="R402">
            <v>1961.2991303162221</v>
          </cell>
          <cell r="S402">
            <v>-297.625</v>
          </cell>
          <cell r="T402">
            <v>-221.98921258468667</v>
          </cell>
          <cell r="U402">
            <v>-1553.9244880928068</v>
          </cell>
        </row>
        <row r="403">
          <cell r="B403" t="str">
            <v>FQ(2)</v>
          </cell>
          <cell r="C403">
            <v>715.24263685599999</v>
          </cell>
          <cell r="D403">
            <v>1079.9910245593001</v>
          </cell>
          <cell r="E403">
            <v>8209.1249999999964</v>
          </cell>
          <cell r="F403">
            <v>2116.3807032416821</v>
          </cell>
          <cell r="G403">
            <v>586.25975219353472</v>
          </cell>
          <cell r="H403">
            <v>-371.561375</v>
          </cell>
          <cell r="I403">
            <v>-214.05464013078995</v>
          </cell>
          <cell r="J403">
            <v>1731.626157388532</v>
          </cell>
          <cell r="K403">
            <v>12121.383101719724</v>
          </cell>
          <cell r="M403">
            <v>-404.54420840902895</v>
          </cell>
          <cell r="N403">
            <v>-245.45400000000001</v>
          </cell>
          <cell r="O403">
            <v>-454.78800000000001</v>
          </cell>
          <cell r="P403">
            <v>-767.28599999999994</v>
          </cell>
          <cell r="Q403">
            <v>-2131</v>
          </cell>
          <cell r="R403">
            <v>1700.68513031622</v>
          </cell>
          <cell r="S403">
            <v>-288.76</v>
          </cell>
          <cell r="T403">
            <v>-370.16386829897277</v>
          </cell>
          <cell r="U403">
            <v>-2591.1470780928094</v>
          </cell>
        </row>
        <row r="404">
          <cell r="B404" t="str">
            <v>FQ(1)</v>
          </cell>
          <cell r="C404">
            <v>540.24263685599999</v>
          </cell>
          <cell r="D404">
            <v>1262.9910245593001</v>
          </cell>
          <cell r="E404">
            <v>8221.1249999999964</v>
          </cell>
          <cell r="F404">
            <v>2131.3807032416821</v>
          </cell>
          <cell r="G404">
            <v>507.92514883759037</v>
          </cell>
          <cell r="H404">
            <v>-427.14337499999999</v>
          </cell>
          <cell r="I404">
            <v>-451.91464013079008</v>
          </cell>
          <cell r="J404">
            <v>1683.5152140519683</v>
          </cell>
          <cell r="K404">
            <v>11784.606498363779</v>
          </cell>
          <cell r="M404">
            <v>-475.78220840902895</v>
          </cell>
          <cell r="N404">
            <v>-285.53031378455898</v>
          </cell>
          <cell r="O404">
            <v>-465.90300000000002</v>
          </cell>
          <cell r="P404">
            <v>-969.54699999999991</v>
          </cell>
          <cell r="Q404">
            <v>-2398</v>
          </cell>
          <cell r="R404">
            <v>1912.1131303162222</v>
          </cell>
          <cell r="S404">
            <v>-418.39499999999998</v>
          </cell>
          <cell r="T404">
            <v>-443.00634169676653</v>
          </cell>
          <cell r="U404">
            <v>-3101.0443918773658</v>
          </cell>
        </row>
        <row r="405">
          <cell r="B405" t="str">
            <v>Last Reported Q</v>
          </cell>
          <cell r="C405">
            <v>-197.75736314400001</v>
          </cell>
          <cell r="D405">
            <v>384.79102455929979</v>
          </cell>
          <cell r="E405">
            <v>7011.625</v>
          </cell>
          <cell r="F405">
            <v>1818.280703241682</v>
          </cell>
          <cell r="G405">
            <v>357.01974883758999</v>
          </cell>
          <cell r="H405">
            <v>-620.00937499999998</v>
          </cell>
          <cell r="I405">
            <v>-971.08064013079002</v>
          </cell>
          <cell r="J405">
            <v>1111.8384426233977</v>
          </cell>
          <cell r="K405">
            <v>7782.8690983637835</v>
          </cell>
          <cell r="M405">
            <v>-644.74920840902803</v>
          </cell>
          <cell r="N405">
            <v>-346.87931378455897</v>
          </cell>
          <cell r="O405">
            <v>-668.63491999999906</v>
          </cell>
          <cell r="P405">
            <v>-1078.1009999999999</v>
          </cell>
          <cell r="Q405">
            <v>-2574.8000000000002</v>
          </cell>
          <cell r="R405">
            <v>918.42900000000009</v>
          </cell>
          <cell r="S405">
            <v>-501.53600000000102</v>
          </cell>
          <cell r="T405">
            <v>-699.46734888479818</v>
          </cell>
          <cell r="U405">
            <v>-4896.2714421935871</v>
          </cell>
        </row>
        <row r="406">
          <cell r="B406" t="str">
            <v>LTM</v>
          </cell>
          <cell r="C406">
            <v>-197.75736314400001</v>
          </cell>
          <cell r="D406">
            <v>384.79102455929979</v>
          </cell>
          <cell r="E406">
            <v>7011.625</v>
          </cell>
          <cell r="F406">
            <v>1818.280703241682</v>
          </cell>
          <cell r="G406">
            <v>357.01974883758999</v>
          </cell>
          <cell r="H406">
            <v>-620.00937499999998</v>
          </cell>
          <cell r="I406">
            <v>-971.08064013079002</v>
          </cell>
          <cell r="J406">
            <v>1111.8384426233977</v>
          </cell>
          <cell r="K406">
            <v>7782.8690983637835</v>
          </cell>
          <cell r="M406">
            <v>-644.74920840902803</v>
          </cell>
          <cell r="N406">
            <v>-346.87931378455897</v>
          </cell>
          <cell r="O406">
            <v>-668.63491999999906</v>
          </cell>
          <cell r="P406">
            <v>-1078.1009999999999</v>
          </cell>
          <cell r="Q406">
            <v>-2574.8000000000002</v>
          </cell>
          <cell r="R406">
            <v>918.42900000000009</v>
          </cell>
          <cell r="S406">
            <v>-501.53600000000102</v>
          </cell>
          <cell r="T406">
            <v>-699.46734888479818</v>
          </cell>
          <cell r="U406">
            <v>-4896.2714421935871</v>
          </cell>
        </row>
        <row r="408">
          <cell r="A408" t="str">
            <v>mscalc:shareholdersEquityExcludingAdjustments2</v>
          </cell>
          <cell r="B408" t="str">
            <v>Shareholders' Equity</v>
          </cell>
        </row>
        <row r="409">
          <cell r="B409" t="str">
            <v>FY(2)</v>
          </cell>
          <cell r="C409">
            <v>6101.6030000000001</v>
          </cell>
          <cell r="D409">
            <v>5312</v>
          </cell>
          <cell r="E409">
            <v>9907</v>
          </cell>
          <cell r="F409">
            <v>1115</v>
          </cell>
          <cell r="G409">
            <v>1175.3088999576601</v>
          </cell>
          <cell r="H409">
            <v>970.649</v>
          </cell>
          <cell r="I409">
            <v>2131.2449999999999</v>
          </cell>
          <cell r="J409">
            <v>3816.11512856538</v>
          </cell>
          <cell r="K409">
            <v>26712.805899957661</v>
          </cell>
          <cell r="M409">
            <v>1618.3130000000001</v>
          </cell>
          <cell r="N409">
            <v>197.27600000000001</v>
          </cell>
          <cell r="O409">
            <v>1340.4639999999999</v>
          </cell>
          <cell r="P409">
            <v>1910.354</v>
          </cell>
          <cell r="Q409">
            <v>4274</v>
          </cell>
          <cell r="R409">
            <v>2219.23776210295</v>
          </cell>
          <cell r="S409">
            <v>853.43100000000004</v>
          </cell>
          <cell r="T409">
            <v>1773.2965374432786</v>
          </cell>
          <cell r="U409">
            <v>12413.07576210295</v>
          </cell>
        </row>
        <row r="410">
          <cell r="B410" t="str">
            <v>FY(1)</v>
          </cell>
          <cell r="C410">
            <v>6739</v>
          </cell>
          <cell r="D410">
            <v>4155</v>
          </cell>
          <cell r="E410">
            <v>4646</v>
          </cell>
          <cell r="F410">
            <v>1210</v>
          </cell>
          <cell r="G410">
            <v>969.39424780646596</v>
          </cell>
          <cell r="H410">
            <v>996.36900000000003</v>
          </cell>
          <cell r="I410">
            <v>2134.5569999999998</v>
          </cell>
          <cell r="J410">
            <v>2978.6171782580668</v>
          </cell>
          <cell r="K410">
            <v>20850.320247806467</v>
          </cell>
          <cell r="M410">
            <v>1845.578</v>
          </cell>
          <cell r="N410">
            <v>355.06</v>
          </cell>
          <cell r="O410">
            <v>1409.0309999999999</v>
          </cell>
          <cell r="P410">
            <v>1490.375</v>
          </cell>
          <cell r="Q410">
            <v>4387</v>
          </cell>
          <cell r="R410">
            <v>1874</v>
          </cell>
          <cell r="S410">
            <v>1053.7750000000001</v>
          </cell>
          <cell r="T410">
            <v>1773.5455714285713</v>
          </cell>
          <cell r="U410">
            <v>12414.819</v>
          </cell>
        </row>
        <row r="411">
          <cell r="B411" t="str">
            <v>FY0</v>
          </cell>
          <cell r="C411">
            <v>7853</v>
          </cell>
          <cell r="D411">
            <v>4774</v>
          </cell>
          <cell r="E411">
            <v>4701</v>
          </cell>
          <cell r="F411">
            <v>1572</v>
          </cell>
          <cell r="G411">
            <v>1088.4762511624101</v>
          </cell>
          <cell r="H411">
            <v>1157.2929999999999</v>
          </cell>
          <cell r="I411">
            <v>2889.2759999999998</v>
          </cell>
          <cell r="J411">
            <v>3433.5778930232013</v>
          </cell>
          <cell r="K411">
            <v>24035.04525116241</v>
          </cell>
          <cell r="M411">
            <v>1830.9169999999999</v>
          </cell>
          <cell r="N411">
            <v>434.48899999999998</v>
          </cell>
          <cell r="O411">
            <v>1578.5170000000001</v>
          </cell>
          <cell r="P411">
            <v>1696.0419999999999</v>
          </cell>
          <cell r="Q411">
            <v>4891</v>
          </cell>
          <cell r="R411">
            <v>2184</v>
          </cell>
          <cell r="S411">
            <v>1296.7750000000001</v>
          </cell>
          <cell r="T411">
            <v>1987.3914285714286</v>
          </cell>
          <cell r="U411">
            <v>13911.74</v>
          </cell>
        </row>
        <row r="412">
          <cell r="B412" t="str">
            <v>FY1</v>
          </cell>
          <cell r="C412">
            <v>8743.2064623123206</v>
          </cell>
          <cell r="D412">
            <v>4957.1669827170499</v>
          </cell>
          <cell r="E412">
            <v>5396.9706138889496</v>
          </cell>
          <cell r="F412">
            <v>2006.10798487689</v>
          </cell>
          <cell r="G412">
            <v>1073.6637732849899</v>
          </cell>
          <cell r="H412">
            <v>1220.4279908261001</v>
          </cell>
          <cell r="I412">
            <v>3405.5016296878398</v>
          </cell>
          <cell r="J412">
            <v>3829.0064910848769</v>
          </cell>
          <cell r="K412">
            <v>26803.045437594137</v>
          </cell>
          <cell r="M412">
            <v>1722.9869249752701</v>
          </cell>
          <cell r="N412">
            <v>516.91291448393997</v>
          </cell>
          <cell r="O412">
            <v>1653.0837178745001</v>
          </cell>
          <cell r="P412">
            <v>1912.53454591285</v>
          </cell>
          <cell r="Q412">
            <v>4712.3968391781</v>
          </cell>
          <cell r="R412">
            <v>2011.9392668427699</v>
          </cell>
          <cell r="S412">
            <v>1587.9007739159299</v>
          </cell>
          <cell r="T412">
            <v>2016.8221404547658</v>
          </cell>
          <cell r="U412">
            <v>14117.75498318336</v>
          </cell>
        </row>
        <row r="413">
          <cell r="B413" t="str">
            <v>FY2</v>
          </cell>
          <cell r="C413">
            <v>9520.6212033606007</v>
          </cell>
          <cell r="D413">
            <v>5110.6210396290498</v>
          </cell>
          <cell r="E413">
            <v>6188.3885193436599</v>
          </cell>
          <cell r="F413">
            <v>2284.9148605284499</v>
          </cell>
          <cell r="G413">
            <v>1070.3064175705799</v>
          </cell>
          <cell r="H413">
            <v>1369.67472339298</v>
          </cell>
          <cell r="I413">
            <v>4020.41295026936</v>
          </cell>
          <cell r="J413">
            <v>4223.5628162992407</v>
          </cell>
          <cell r="K413">
            <v>29564.939714094682</v>
          </cell>
          <cell r="M413">
            <v>1671.9507421953499</v>
          </cell>
          <cell r="N413">
            <v>568.14707851062997</v>
          </cell>
          <cell r="O413">
            <v>1772.59744765189</v>
          </cell>
          <cell r="P413">
            <v>2075.2400173670699</v>
          </cell>
          <cell r="Q413">
            <v>4390.0381761579001</v>
          </cell>
          <cell r="R413">
            <v>2201.0343082925201</v>
          </cell>
          <cell r="S413">
            <v>1900.71093984038</v>
          </cell>
          <cell r="T413">
            <v>2082.8169585736773</v>
          </cell>
          <cell r="U413">
            <v>14579.718710015743</v>
          </cell>
        </row>
        <row r="414">
          <cell r="B414" t="str">
            <v>FQ(3)</v>
          </cell>
          <cell r="C414">
            <v>6885</v>
          </cell>
          <cell r="D414">
            <v>4196</v>
          </cell>
          <cell r="E414">
            <v>4555</v>
          </cell>
          <cell r="F414">
            <v>1274</v>
          </cell>
          <cell r="G414">
            <v>991.83624780646505</v>
          </cell>
          <cell r="H414">
            <v>1035.758</v>
          </cell>
          <cell r="I414">
            <v>2335.4740000000002</v>
          </cell>
          <cell r="J414">
            <v>3039.0097496866388</v>
          </cell>
          <cell r="K414">
            <v>21273.06824780647</v>
          </cell>
          <cell r="M414">
            <v>1771.4059999999999</v>
          </cell>
          <cell r="N414">
            <v>397.149</v>
          </cell>
          <cell r="O414">
            <v>1433.47</v>
          </cell>
          <cell r="P414">
            <v>1541.914</v>
          </cell>
          <cell r="Q414">
            <v>4540</v>
          </cell>
          <cell r="R414">
            <v>1839.2148696837801</v>
          </cell>
          <cell r="S414">
            <v>1091.626</v>
          </cell>
          <cell r="T414">
            <v>1802.1114099548254</v>
          </cell>
          <cell r="U414">
            <v>12614.779869683778</v>
          </cell>
        </row>
        <row r="415">
          <cell r="B415" t="str">
            <v>FQ(2)</v>
          </cell>
          <cell r="C415">
            <v>7136</v>
          </cell>
          <cell r="D415">
            <v>4536</v>
          </cell>
          <cell r="E415">
            <v>4549</v>
          </cell>
          <cell r="F415">
            <v>1357</v>
          </cell>
          <cell r="G415">
            <v>962.96024780646496</v>
          </cell>
          <cell r="H415">
            <v>1069.422</v>
          </cell>
          <cell r="I415">
            <v>2831.9119999999998</v>
          </cell>
          <cell r="J415">
            <v>3206.0420354009234</v>
          </cell>
          <cell r="K415">
            <v>22442.294247806465</v>
          </cell>
          <cell r="M415">
            <v>1756.258</v>
          </cell>
          <cell r="N415">
            <v>429.57600000000002</v>
          </cell>
          <cell r="O415">
            <v>1469.857</v>
          </cell>
          <cell r="P415">
            <v>1696.0419999999999</v>
          </cell>
          <cell r="Q415">
            <v>4745</v>
          </cell>
          <cell r="R415">
            <v>1876</v>
          </cell>
          <cell r="S415">
            <v>1148.2149999999999</v>
          </cell>
          <cell r="T415">
            <v>1874.421142857143</v>
          </cell>
          <cell r="U415">
            <v>13120.948</v>
          </cell>
        </row>
        <row r="416">
          <cell r="B416" t="str">
            <v>FQ(1)</v>
          </cell>
          <cell r="C416">
            <v>7395</v>
          </cell>
          <cell r="D416">
            <v>4588</v>
          </cell>
          <cell r="E416">
            <v>4494</v>
          </cell>
          <cell r="F416">
            <v>1430</v>
          </cell>
          <cell r="G416">
            <v>1069.4598511624099</v>
          </cell>
          <cell r="H416">
            <v>1107.193</v>
          </cell>
          <cell r="I416">
            <v>2940.5070000000001</v>
          </cell>
          <cell r="J416">
            <v>3289.1656930232016</v>
          </cell>
          <cell r="K416">
            <v>23024.159851162411</v>
          </cell>
          <cell r="M416">
            <v>1782.376</v>
          </cell>
          <cell r="N416">
            <v>448.44900000000001</v>
          </cell>
          <cell r="O416">
            <v>1523.3050000000001</v>
          </cell>
          <cell r="P416">
            <v>1840.981</v>
          </cell>
          <cell r="Q416">
            <v>4981</v>
          </cell>
          <cell r="R416">
            <v>1865</v>
          </cell>
          <cell r="S416">
            <v>1215.26</v>
          </cell>
          <cell r="T416">
            <v>1950.910142857143</v>
          </cell>
          <cell r="U416">
            <v>13656.371000000001</v>
          </cell>
        </row>
        <row r="417">
          <cell r="B417" t="str">
            <v>Last Reported Q</v>
          </cell>
          <cell r="C417">
            <v>7853</v>
          </cell>
          <cell r="D417">
            <v>4774</v>
          </cell>
          <cell r="E417">
            <v>4701</v>
          </cell>
          <cell r="F417">
            <v>1572</v>
          </cell>
          <cell r="G417">
            <v>1088.4762511624101</v>
          </cell>
          <cell r="H417">
            <v>1157.2929999999999</v>
          </cell>
          <cell r="I417">
            <v>2889.2759999999998</v>
          </cell>
          <cell r="J417">
            <v>3433.5778930232013</v>
          </cell>
          <cell r="K417">
            <v>24035.04525116241</v>
          </cell>
          <cell r="M417">
            <v>1830.9169999999999</v>
          </cell>
          <cell r="N417">
            <v>434.48899999999998</v>
          </cell>
          <cell r="O417">
            <v>1578.5170000000001</v>
          </cell>
          <cell r="P417">
            <v>1865.566</v>
          </cell>
          <cell r="Q417">
            <v>4891</v>
          </cell>
          <cell r="R417">
            <v>2184</v>
          </cell>
          <cell r="S417">
            <v>1296.7750000000001</v>
          </cell>
          <cell r="T417">
            <v>2011.6091428571428</v>
          </cell>
          <cell r="U417">
            <v>14081.263999999999</v>
          </cell>
        </row>
        <row r="418">
          <cell r="B418" t="str">
            <v>LTM</v>
          </cell>
          <cell r="C418">
            <v>7853</v>
          </cell>
          <cell r="D418">
            <v>4774</v>
          </cell>
          <cell r="E418">
            <v>4701</v>
          </cell>
          <cell r="F418">
            <v>1572</v>
          </cell>
          <cell r="G418">
            <v>1088.4762511624101</v>
          </cell>
          <cell r="H418">
            <v>1157.2929999999999</v>
          </cell>
          <cell r="I418">
            <v>2889.2759999999998</v>
          </cell>
          <cell r="J418">
            <v>3433.5778930232013</v>
          </cell>
          <cell r="K418">
            <v>24035.04525116241</v>
          </cell>
          <cell r="M418">
            <v>1830.9169999999999</v>
          </cell>
          <cell r="N418">
            <v>434.48899999999998</v>
          </cell>
          <cell r="O418">
            <v>1578.5170000000001</v>
          </cell>
          <cell r="P418">
            <v>1865.566</v>
          </cell>
          <cell r="Q418">
            <v>4891</v>
          </cell>
          <cell r="R418">
            <v>2184</v>
          </cell>
          <cell r="S418">
            <v>1296.7750000000001</v>
          </cell>
          <cell r="T418">
            <v>2011.6091428571428</v>
          </cell>
          <cell r="U418">
            <v>14081.263999999999</v>
          </cell>
        </row>
        <row r="419">
          <cell r="B419" t="str">
            <v>FY1</v>
          </cell>
          <cell r="C419">
            <v>1.4809307600267818</v>
          </cell>
          <cell r="D419">
            <v>1.6952981091780144</v>
          </cell>
          <cell r="E419">
            <v>3.4410419583047971</v>
          </cell>
          <cell r="F419">
            <v>2.4186860774510537</v>
          </cell>
          <cell r="G419">
            <v>6.3385571555919507</v>
          </cell>
          <cell r="H419">
            <v>1.900098027765555</v>
          </cell>
          <cell r="I419">
            <v>2.2013545974281428</v>
          </cell>
          <cell r="J419">
            <v>2.7822809551066134</v>
          </cell>
          <cell r="K419">
            <v>2.3066225639221698</v>
          </cell>
          <cell r="M419">
            <v>2.6669756192435479</v>
          </cell>
          <cell r="N419">
            <v>0.77306828247647918</v>
          </cell>
          <cell r="O419">
            <v>1.8005922814156723</v>
          </cell>
          <cell r="P419">
            <v>0.13348743351882905</v>
          </cell>
          <cell r="Q419">
            <v>1.5560441034066363</v>
          </cell>
          <cell r="R419">
            <v>3.1519676961742058</v>
          </cell>
          <cell r="S419">
            <v>0.84923530832250471</v>
          </cell>
          <cell r="T419">
            <v>1.5616243892225536</v>
          </cell>
          <cell r="U419">
            <v>1.6332140081940278</v>
          </cell>
        </row>
        <row r="420">
          <cell r="B420" t="str">
            <v>Total Capitalization</v>
          </cell>
          <cell r="C420">
            <v>1.1181009497855385</v>
          </cell>
          <cell r="D420">
            <v>1.1713922360269251</v>
          </cell>
          <cell r="E420">
            <v>2.9385369993289423</v>
          </cell>
          <cell r="F420">
            <v>2.0884778637610841</v>
          </cell>
          <cell r="G420">
            <v>4.7694258543874373</v>
          </cell>
          <cell r="H420">
            <v>1.8604840886408607</v>
          </cell>
          <cell r="I420">
            <v>1.9928163212591523</v>
          </cell>
          <cell r="J420">
            <v>2.2770334733128488</v>
          </cell>
          <cell r="K420">
            <v>1.9437264725656025</v>
          </cell>
          <cell r="M420">
            <v>2.8344898287836364</v>
          </cell>
          <cell r="N420">
            <v>0.78610647369306275</v>
          </cell>
          <cell r="O420">
            <v>1.6718605411603178</v>
          </cell>
          <cell r="P420">
            <v>9.0088846790629187E-2</v>
          </cell>
          <cell r="Q420">
            <v>1.5147230801771487</v>
          </cell>
          <cell r="R420">
            <v>2.9339800205554445</v>
          </cell>
          <cell r="S420">
            <v>0.61862510334400245</v>
          </cell>
          <cell r="T420">
            <v>1.49283912778632</v>
          </cell>
          <cell r="U420">
            <v>1.5665265365502281</v>
          </cell>
        </row>
        <row r="421">
          <cell r="B421" t="str">
            <v>FY(2)</v>
          </cell>
          <cell r="C421">
            <v>8166.1790000000001</v>
          </cell>
          <cell r="D421">
            <v>9020</v>
          </cell>
          <cell r="E421">
            <v>19660</v>
          </cell>
          <cell r="F421">
            <v>3612</v>
          </cell>
          <cell r="G421">
            <v>1747.89689995766</v>
          </cell>
          <cell r="H421">
            <v>1120.6489999999999</v>
          </cell>
          <cell r="I421">
            <v>2966.3389999999999</v>
          </cell>
          <cell r="J421">
            <v>6613.2948428510945</v>
          </cell>
          <cell r="K421">
            <v>46293.063899957662</v>
          </cell>
          <cell r="M421">
            <v>1618.3130000000001</v>
          </cell>
          <cell r="N421">
            <v>197.27600000000001</v>
          </cell>
          <cell r="O421">
            <v>1340.4639999999999</v>
          </cell>
          <cell r="P421">
            <v>1913.454</v>
          </cell>
          <cell r="Q421">
            <v>4462</v>
          </cell>
          <cell r="R421">
            <v>5123.8767621029501</v>
          </cell>
          <cell r="S421">
            <v>853.43100000000004</v>
          </cell>
          <cell r="T421">
            <v>2215.5449660147069</v>
          </cell>
          <cell r="U421">
            <v>15508.814762102949</v>
          </cell>
        </row>
        <row r="422">
          <cell r="B422" t="str">
            <v>FY(1)</v>
          </cell>
          <cell r="C422">
            <v>8809</v>
          </cell>
          <cell r="D422">
            <v>7660</v>
          </cell>
          <cell r="E422">
            <v>14345</v>
          </cell>
          <cell r="F422">
            <v>3723</v>
          </cell>
          <cell r="G422">
            <v>1609.4672478064658</v>
          </cell>
          <cell r="H422">
            <v>1146.3690000000001</v>
          </cell>
          <cell r="I422">
            <v>2913.366</v>
          </cell>
          <cell r="J422">
            <v>5743.743178258067</v>
          </cell>
          <cell r="K422">
            <v>40206.202247806468</v>
          </cell>
          <cell r="M422">
            <v>1945.578</v>
          </cell>
          <cell r="N422">
            <v>355.06</v>
          </cell>
          <cell r="O422">
            <v>1484.0309999999999</v>
          </cell>
          <cell r="P422">
            <v>1493.24</v>
          </cell>
          <cell r="Q422">
            <v>4437</v>
          </cell>
          <cell r="R422">
            <v>4771.1139999999996</v>
          </cell>
          <cell r="S422">
            <v>1053.7750000000001</v>
          </cell>
          <cell r="T422">
            <v>2219.9711428571427</v>
          </cell>
          <cell r="U422">
            <v>15539.797999999999</v>
          </cell>
        </row>
        <row r="423">
          <cell r="B423" t="str">
            <v>FY0</v>
          </cell>
          <cell r="C423">
            <v>9921</v>
          </cell>
          <cell r="D423">
            <v>8166</v>
          </cell>
          <cell r="E423">
            <v>13399</v>
          </cell>
          <cell r="F423">
            <v>4185</v>
          </cell>
          <cell r="G423">
            <v>1609.6632511624102</v>
          </cell>
          <cell r="H423">
            <v>1307.2929999999999</v>
          </cell>
          <cell r="I423">
            <v>3663.576</v>
          </cell>
          <cell r="J423">
            <v>6035.9331787374877</v>
          </cell>
          <cell r="K423">
            <v>42251.532251162411</v>
          </cell>
          <cell r="M423">
            <v>1913.74</v>
          </cell>
          <cell r="N423">
            <v>434.48899999999998</v>
          </cell>
          <cell r="O423">
            <v>1608.5170000000001</v>
          </cell>
          <cell r="P423">
            <v>1729.1179999999999</v>
          </cell>
          <cell r="Q423">
            <v>4891</v>
          </cell>
          <cell r="R423">
            <v>4906.8130000000001</v>
          </cell>
          <cell r="S423">
            <v>1296.7750000000001</v>
          </cell>
          <cell r="T423">
            <v>2397.2074285714289</v>
          </cell>
          <cell r="U423">
            <v>16780.452000000001</v>
          </cell>
        </row>
        <row r="424">
          <cell r="B424" t="str">
            <v>FY1</v>
          </cell>
          <cell r="C424">
            <v>10811.206462312321</v>
          </cell>
          <cell r="D424">
            <v>7956.1669827170499</v>
          </cell>
          <cell r="E424">
            <v>13856.970613888949</v>
          </cell>
          <cell r="F424">
            <v>4394.1079848768895</v>
          </cell>
          <cell r="G424">
            <v>1571.8507732849898</v>
          </cell>
          <cell r="H424">
            <v>1370.4279908261001</v>
          </cell>
          <cell r="I424">
            <v>4179.8016296878395</v>
          </cell>
          <cell r="J424">
            <v>6305.7903482277343</v>
          </cell>
          <cell r="K424">
            <v>44140.532437594142</v>
          </cell>
          <cell r="M424">
            <v>1805.8099249752702</v>
          </cell>
          <cell r="N424">
            <v>516.91291448393997</v>
          </cell>
          <cell r="O424">
            <v>1683.0837178745001</v>
          </cell>
          <cell r="P424">
            <v>1937.6105459128501</v>
          </cell>
          <cell r="Q424">
            <v>4712.3968391781</v>
          </cell>
          <cell r="R424">
            <v>4734.75226684277</v>
          </cell>
          <cell r="S424">
            <v>1587.9007739159299</v>
          </cell>
          <cell r="T424">
            <v>2425.4952833119087</v>
          </cell>
          <cell r="U424">
            <v>16978.46698318336</v>
          </cell>
        </row>
        <row r="425">
          <cell r="B425" t="str">
            <v>FY2</v>
          </cell>
          <cell r="C425">
            <v>11172.621203360601</v>
          </cell>
          <cell r="D425">
            <v>8109.6210396290498</v>
          </cell>
          <cell r="E425">
            <v>13986.38851934366</v>
          </cell>
          <cell r="F425">
            <v>4672.9148605284499</v>
          </cell>
          <cell r="G425">
            <v>1476.4934175705798</v>
          </cell>
          <cell r="H425">
            <v>1519.67472339298</v>
          </cell>
          <cell r="I425">
            <v>4794.7129502693597</v>
          </cell>
          <cell r="J425">
            <v>6533.2038162992394</v>
          </cell>
          <cell r="K425">
            <v>45732.426714094676</v>
          </cell>
          <cell r="M425">
            <v>1754.77374219535</v>
          </cell>
          <cell r="N425">
            <v>568.14707851062997</v>
          </cell>
          <cell r="O425">
            <v>1802.59744765189</v>
          </cell>
          <cell r="P425">
            <v>2100.3160173670699</v>
          </cell>
          <cell r="Q425">
            <v>4390.0381761579001</v>
          </cell>
          <cell r="R425">
            <v>4923.8473082925202</v>
          </cell>
          <cell r="S425">
            <v>1900.71093984038</v>
          </cell>
          <cell r="T425">
            <v>2491.4901014308198</v>
          </cell>
          <cell r="U425">
            <v>17440.430710015738</v>
          </cell>
        </row>
        <row r="426">
          <cell r="B426" t="str">
            <v>FQ(3)</v>
          </cell>
          <cell r="C426">
            <v>8958</v>
          </cell>
          <cell r="D426">
            <v>7701</v>
          </cell>
          <cell r="E426">
            <v>13409</v>
          </cell>
          <cell r="F426">
            <v>3776</v>
          </cell>
          <cell r="G426">
            <v>1628.4622478064653</v>
          </cell>
          <cell r="H426">
            <v>1185.758</v>
          </cell>
          <cell r="I426">
            <v>3471.8500000000004</v>
          </cell>
          <cell r="J426">
            <v>5732.8671782580659</v>
          </cell>
          <cell r="K426">
            <v>40130.070247806463</v>
          </cell>
          <cell r="M426">
            <v>1871.4059999999999</v>
          </cell>
          <cell r="N426">
            <v>397.149</v>
          </cell>
          <cell r="O426">
            <v>1508.47</v>
          </cell>
          <cell r="P426">
            <v>1569.3899999999999</v>
          </cell>
          <cell r="Q426">
            <v>4540</v>
          </cell>
          <cell r="R426">
            <v>4736.5118696837799</v>
          </cell>
          <cell r="S426">
            <v>1091.626</v>
          </cell>
          <cell r="T426">
            <v>2244.9361242405398</v>
          </cell>
          <cell r="U426">
            <v>15714.552869683779</v>
          </cell>
        </row>
        <row r="427">
          <cell r="B427" t="str">
            <v>FQ(2)</v>
          </cell>
          <cell r="C427">
            <v>9205</v>
          </cell>
          <cell r="D427">
            <v>7928</v>
          </cell>
          <cell r="E427">
            <v>13273</v>
          </cell>
          <cell r="F427">
            <v>3992</v>
          </cell>
          <cell r="G427">
            <v>1565.7682478064648</v>
          </cell>
          <cell r="H427">
            <v>1219.422</v>
          </cell>
          <cell r="I427">
            <v>4044.45</v>
          </cell>
          <cell r="J427">
            <v>5889.6628925437808</v>
          </cell>
          <cell r="K427">
            <v>41227.640247806463</v>
          </cell>
          <cell r="M427">
            <v>1792.9880000000001</v>
          </cell>
          <cell r="N427">
            <v>429.57600000000002</v>
          </cell>
          <cell r="O427">
            <v>1544.857</v>
          </cell>
          <cell r="P427">
            <v>1729.1179999999999</v>
          </cell>
          <cell r="Q427">
            <v>4745</v>
          </cell>
          <cell r="R427">
            <v>5127</v>
          </cell>
          <cell r="S427">
            <v>1148.2149999999999</v>
          </cell>
          <cell r="T427">
            <v>2359.5362857142859</v>
          </cell>
          <cell r="U427">
            <v>16516.754000000001</v>
          </cell>
        </row>
        <row r="428">
          <cell r="B428" t="str">
            <v>FQ(1)</v>
          </cell>
          <cell r="C428">
            <v>9466</v>
          </cell>
          <cell r="D428">
            <v>7980</v>
          </cell>
          <cell r="E428">
            <v>13204</v>
          </cell>
          <cell r="F428">
            <v>4045</v>
          </cell>
          <cell r="G428">
            <v>1588.9128511624099</v>
          </cell>
          <cell r="H428">
            <v>1257.193</v>
          </cell>
          <cell r="I428">
            <v>3933.931</v>
          </cell>
          <cell r="J428">
            <v>5925.0052644517718</v>
          </cell>
          <cell r="K428">
            <v>41475.036851162404</v>
          </cell>
          <cell r="M428">
            <v>1832.9580000000001</v>
          </cell>
          <cell r="N428">
            <v>448.44900000000001</v>
          </cell>
          <cell r="O428">
            <v>1573.3050000000001</v>
          </cell>
          <cell r="P428">
            <v>1866.114</v>
          </cell>
          <cell r="Q428">
            <v>4981</v>
          </cell>
          <cell r="R428">
            <v>4745.2820000000002</v>
          </cell>
          <cell r="S428">
            <v>1215.26</v>
          </cell>
          <cell r="T428">
            <v>2380.3382857142856</v>
          </cell>
          <cell r="U428">
            <v>16662.367999999999</v>
          </cell>
        </row>
        <row r="429">
          <cell r="B429" t="str">
            <v>Last Reported Q</v>
          </cell>
          <cell r="C429">
            <v>9921</v>
          </cell>
          <cell r="D429">
            <v>8166</v>
          </cell>
          <cell r="E429">
            <v>13399</v>
          </cell>
          <cell r="F429">
            <v>4185</v>
          </cell>
          <cell r="G429">
            <v>1609.6632511624102</v>
          </cell>
          <cell r="H429">
            <v>1307.2929999999999</v>
          </cell>
          <cell r="I429">
            <v>3663.576</v>
          </cell>
          <cell r="J429">
            <v>6035.9331787374877</v>
          </cell>
          <cell r="K429">
            <v>42251.532251162411</v>
          </cell>
          <cell r="M429">
            <v>1913.74</v>
          </cell>
          <cell r="N429">
            <v>434.48899999999998</v>
          </cell>
          <cell r="O429">
            <v>1608.5170000000001</v>
          </cell>
          <cell r="P429">
            <v>1890.6420000000001</v>
          </cell>
          <cell r="Q429">
            <v>4891</v>
          </cell>
          <cell r="R429">
            <v>4906.8130000000001</v>
          </cell>
          <cell r="S429">
            <v>1296.7750000000001</v>
          </cell>
          <cell r="T429">
            <v>2420.2822857142855</v>
          </cell>
          <cell r="U429">
            <v>16941.975999999999</v>
          </cell>
        </row>
        <row r="430">
          <cell r="B430" t="str">
            <v>LTM</v>
          </cell>
          <cell r="C430">
            <v>9921</v>
          </cell>
          <cell r="D430">
            <v>8166</v>
          </cell>
          <cell r="E430">
            <v>13399</v>
          </cell>
          <cell r="F430">
            <v>4185</v>
          </cell>
          <cell r="G430">
            <v>1609.6632511624102</v>
          </cell>
          <cell r="H430">
            <v>1307.2929999999999</v>
          </cell>
          <cell r="I430">
            <v>3663.576</v>
          </cell>
          <cell r="J430">
            <v>6035.9331787374877</v>
          </cell>
          <cell r="K430">
            <v>42251.532251162411</v>
          </cell>
          <cell r="M430">
            <v>1913.74</v>
          </cell>
          <cell r="N430">
            <v>434.48899999999998</v>
          </cell>
          <cell r="O430">
            <v>1608.5170000000001</v>
          </cell>
          <cell r="P430">
            <v>1890.6420000000001</v>
          </cell>
          <cell r="Q430">
            <v>4891</v>
          </cell>
          <cell r="R430">
            <v>4906.8130000000001</v>
          </cell>
          <cell r="S430">
            <v>1296.7750000000001</v>
          </cell>
          <cell r="T430">
            <v>2420.2822857142855</v>
          </cell>
          <cell r="U430">
            <v>16941.975999999999</v>
          </cell>
        </row>
        <row r="431">
          <cell r="B431" t="str">
            <v>FY(2)</v>
          </cell>
          <cell r="C431">
            <v>6.5809269699786982E-2</v>
          </cell>
          <cell r="D431">
            <v>8.2885334351326931E-2</v>
          </cell>
          <cell r="E431">
            <v>0.35112163269240038</v>
          </cell>
          <cell r="F431">
            <v>8.1458700473953122E-2</v>
          </cell>
          <cell r="G431">
            <v>0.22929685396586078</v>
          </cell>
          <cell r="H431">
            <v>-0.21006670881179057</v>
          </cell>
          <cell r="I431">
            <v>-2.2453663384297919E-2</v>
          </cell>
          <cell r="J431">
            <v>8.2578774141034234E-2</v>
          </cell>
          <cell r="K431">
            <v>0.19857708733327781</v>
          </cell>
          <cell r="M431">
            <v>-0.46148251935356011</v>
          </cell>
          <cell r="N431">
            <v>-0.35860385241384618</v>
          </cell>
          <cell r="O431">
            <v>-0.43740474927186046</v>
          </cell>
          <cell r="P431">
            <v>-0.36363821654453149</v>
          </cell>
          <cell r="Q431">
            <v>-0.24406448082567961</v>
          </cell>
          <cell r="R431">
            <v>0.14331117677814789</v>
          </cell>
          <cell r="S431">
            <v>-0.29568343938763447</v>
          </cell>
          <cell r="T431">
            <v>-0.28822372585985206</v>
          </cell>
          <cell r="U431">
            <v>-0.18688254765837309</v>
          </cell>
        </row>
        <row r="432">
          <cell r="B432" t="str">
            <v>Unadjusted Cash/Market Cap</v>
          </cell>
          <cell r="C432">
            <v>0.17155117918135337</v>
          </cell>
          <cell r="D432">
            <v>0.13036246177433036</v>
          </cell>
          <cell r="E432">
            <v>0.46643565615462851</v>
          </cell>
          <cell r="F432">
            <v>0.59235816811785225</v>
          </cell>
          <cell r="G432">
            <v>0.26971047322857289</v>
          </cell>
          <cell r="H432">
            <v>-0.10143943375668921</v>
          </cell>
          <cell r="I432">
            <v>3.451495658087933E-2</v>
          </cell>
          <cell r="J432">
            <v>0.22335620875441822</v>
          </cell>
          <cell r="K432">
            <v>0.30990908137205347</v>
          </cell>
          <cell r="M432">
            <v>-0.40073829969851316</v>
          </cell>
          <cell r="N432">
            <v>-0.56735740789553724</v>
          </cell>
          <cell r="O432">
            <v>-0.46248090213537929</v>
          </cell>
          <cell r="P432">
            <v>-0.46612734724491706</v>
          </cell>
          <cell r="Q432">
            <v>-0.38390737392551322</v>
          </cell>
          <cell r="R432">
            <v>0.36814239012315064</v>
          </cell>
          <cell r="S432">
            <v>-0.23396150362478041</v>
          </cell>
          <cell r="T432">
            <v>-0.30663292062878422</v>
          </cell>
          <cell r="U432">
            <v>-0.13936172728752871</v>
          </cell>
        </row>
        <row r="433">
          <cell r="B433" t="str">
            <v>FY(2)</v>
          </cell>
          <cell r="C433" t="e">
            <v>#VALUE!</v>
          </cell>
          <cell r="D433" t="e">
            <v>#VALUE!</v>
          </cell>
          <cell r="E433" t="e">
            <v>#VALUE!</v>
          </cell>
          <cell r="F433" t="e">
            <v>#VALUE!</v>
          </cell>
          <cell r="G433" t="e">
            <v>#VALUE!</v>
          </cell>
          <cell r="H433" t="e">
            <v>#VALUE!</v>
          </cell>
          <cell r="I433" t="e">
            <v>#VALUE!</v>
          </cell>
          <cell r="J433" t="e">
            <v>#VALUE!</v>
          </cell>
          <cell r="K433" t="e">
            <v>#VALUE!</v>
          </cell>
          <cell r="M433" t="e">
            <v>#VALUE!</v>
          </cell>
          <cell r="N433" t="e">
            <v>#VALUE!</v>
          </cell>
          <cell r="O433" t="e">
            <v>#VALUE!</v>
          </cell>
          <cell r="P433" t="e">
            <v>#VALUE!</v>
          </cell>
          <cell r="Q433" t="e">
            <v>#VALUE!</v>
          </cell>
          <cell r="R433" t="e">
            <v>#VALUE!</v>
          </cell>
          <cell r="S433" t="e">
            <v>#VALUE!</v>
          </cell>
          <cell r="T433" t="e">
            <v>#VALUE!</v>
          </cell>
          <cell r="U433" t="e">
            <v>#VALUE!</v>
          </cell>
        </row>
        <row r="434">
          <cell r="B434" t="str">
            <v>FY(1)</v>
          </cell>
          <cell r="C434" t="e">
            <v>#VALUE!</v>
          </cell>
          <cell r="D434" t="e">
            <v>#VALUE!</v>
          </cell>
          <cell r="E434" t="e">
            <v>#VALUE!</v>
          </cell>
          <cell r="F434" t="e">
            <v>#VALUE!</v>
          </cell>
          <cell r="G434" t="e">
            <v>#VALUE!</v>
          </cell>
          <cell r="H434" t="e">
            <v>#VALUE!</v>
          </cell>
          <cell r="I434" t="e">
            <v>#VALUE!</v>
          </cell>
          <cell r="J434" t="e">
            <v>#VALUE!</v>
          </cell>
          <cell r="K434" t="e">
            <v>#VALUE!</v>
          </cell>
          <cell r="M434" t="e">
            <v>#VALUE!</v>
          </cell>
          <cell r="N434" t="e">
            <v>#VALUE!</v>
          </cell>
          <cell r="O434" t="e">
            <v>#VALUE!</v>
          </cell>
          <cell r="P434" t="e">
            <v>#VALUE!</v>
          </cell>
          <cell r="Q434" t="e">
            <v>#VALUE!</v>
          </cell>
          <cell r="R434" t="e">
            <v>#VALUE!</v>
          </cell>
          <cell r="S434" t="e">
            <v>#VALUE!</v>
          </cell>
          <cell r="T434" t="e">
            <v>#VALUE!</v>
          </cell>
          <cell r="U434" t="e">
            <v>#VALUE!</v>
          </cell>
        </row>
        <row r="435">
          <cell r="B435" t="str">
            <v>FY0</v>
          </cell>
          <cell r="C435" t="e">
            <v>#VALUE!</v>
          </cell>
          <cell r="D435" t="e">
            <v>#VALUE!</v>
          </cell>
          <cell r="E435" t="e">
            <v>#VALUE!</v>
          </cell>
          <cell r="F435" t="e">
            <v>#VALUE!</v>
          </cell>
          <cell r="G435" t="e">
            <v>#VALUE!</v>
          </cell>
          <cell r="H435" t="e">
            <v>#VALUE!</v>
          </cell>
          <cell r="I435" t="e">
            <v>#VALUE!</v>
          </cell>
          <cell r="J435" t="e">
            <v>#VALUE!</v>
          </cell>
          <cell r="K435" t="e">
            <v>#VALUE!</v>
          </cell>
          <cell r="M435" t="e">
            <v>#VALUE!</v>
          </cell>
          <cell r="N435" t="e">
            <v>#VALUE!</v>
          </cell>
          <cell r="O435" t="e">
            <v>#VALUE!</v>
          </cell>
          <cell r="P435" t="e">
            <v>#VALUE!</v>
          </cell>
          <cell r="Q435" t="e">
            <v>#VALUE!</v>
          </cell>
          <cell r="R435" t="e">
            <v>#VALUE!</v>
          </cell>
          <cell r="S435" t="e">
            <v>#VALUE!</v>
          </cell>
          <cell r="T435" t="e">
            <v>#VALUE!</v>
          </cell>
          <cell r="U435" t="e">
            <v>#VALUE!</v>
          </cell>
        </row>
        <row r="436">
          <cell r="B436" t="str">
            <v>FY1</v>
          </cell>
          <cell r="C436" t="e">
            <v>#VALUE!</v>
          </cell>
          <cell r="D436" t="e">
            <v>#VALUE!</v>
          </cell>
          <cell r="E436" t="e">
            <v>#VALUE!</v>
          </cell>
          <cell r="F436" t="e">
            <v>#VALUE!</v>
          </cell>
          <cell r="G436" t="e">
            <v>#VALUE!</v>
          </cell>
          <cell r="H436" t="e">
            <v>#VALUE!</v>
          </cell>
          <cell r="I436" t="e">
            <v>#VALUE!</v>
          </cell>
          <cell r="J436" t="e">
            <v>#VALUE!</v>
          </cell>
          <cell r="K436" t="e">
            <v>#VALUE!</v>
          </cell>
          <cell r="M436" t="e">
            <v>#VALUE!</v>
          </cell>
          <cell r="N436" t="e">
            <v>#VALUE!</v>
          </cell>
          <cell r="O436" t="e">
            <v>#VALUE!</v>
          </cell>
          <cell r="P436" t="e">
            <v>#VALUE!</v>
          </cell>
          <cell r="Q436" t="e">
            <v>#VALUE!</v>
          </cell>
          <cell r="R436" t="e">
            <v>#VALUE!</v>
          </cell>
          <cell r="S436" t="e">
            <v>#VALUE!</v>
          </cell>
          <cell r="T436" t="e">
            <v>#VALUE!</v>
          </cell>
          <cell r="U436" t="e">
            <v>#VALUE!</v>
          </cell>
        </row>
        <row r="437">
          <cell r="B437" t="str">
            <v>FY2</v>
          </cell>
          <cell r="C437" t="e">
            <v>#VALUE!</v>
          </cell>
          <cell r="D437" t="e">
            <v>#VALUE!</v>
          </cell>
          <cell r="E437" t="e">
            <v>#VALUE!</v>
          </cell>
          <cell r="F437" t="e">
            <v>#VALUE!</v>
          </cell>
          <cell r="G437" t="e">
            <v>#VALUE!</v>
          </cell>
          <cell r="H437" t="e">
            <v>#VALUE!</v>
          </cell>
          <cell r="I437" t="e">
            <v>#VALUE!</v>
          </cell>
          <cell r="J437" t="e">
            <v>#VALUE!</v>
          </cell>
          <cell r="K437" t="e">
            <v>#VALUE!</v>
          </cell>
          <cell r="M437" t="e">
            <v>#VALUE!</v>
          </cell>
          <cell r="N437" t="e">
            <v>#VALUE!</v>
          </cell>
          <cell r="O437" t="e">
            <v>#VALUE!</v>
          </cell>
          <cell r="P437" t="e">
            <v>#VALUE!</v>
          </cell>
          <cell r="Q437" t="e">
            <v>#VALUE!</v>
          </cell>
          <cell r="R437" t="e">
            <v>#VALUE!</v>
          </cell>
          <cell r="S437" t="e">
            <v>#VALUE!</v>
          </cell>
          <cell r="T437" t="e">
            <v>#VALUE!</v>
          </cell>
          <cell r="U437" t="e">
            <v>#VALUE!</v>
          </cell>
        </row>
        <row r="438">
          <cell r="B438" t="str">
            <v>FQ(3)</v>
          </cell>
          <cell r="C438" t="e">
            <v>#VALUE!</v>
          </cell>
          <cell r="D438" t="e">
            <v>#VALUE!</v>
          </cell>
          <cell r="E438" t="e">
            <v>#VALUE!</v>
          </cell>
          <cell r="F438" t="e">
            <v>#VALUE!</v>
          </cell>
          <cell r="G438" t="e">
            <v>#VALUE!</v>
          </cell>
          <cell r="H438" t="e">
            <v>#VALUE!</v>
          </cell>
          <cell r="I438" t="e">
            <v>#VALUE!</v>
          </cell>
          <cell r="J438" t="e">
            <v>#VALUE!</v>
          </cell>
          <cell r="K438" t="e">
            <v>#VALUE!</v>
          </cell>
          <cell r="M438" t="e">
            <v>#VALUE!</v>
          </cell>
          <cell r="N438" t="e">
            <v>#VALUE!</v>
          </cell>
          <cell r="O438" t="e">
            <v>#VALUE!</v>
          </cell>
          <cell r="P438" t="e">
            <v>#VALUE!</v>
          </cell>
          <cell r="Q438" t="e">
            <v>#VALUE!</v>
          </cell>
          <cell r="R438" t="e">
            <v>#VALUE!</v>
          </cell>
          <cell r="S438" t="e">
            <v>#VALUE!</v>
          </cell>
          <cell r="T438" t="e">
            <v>#VALUE!</v>
          </cell>
          <cell r="U438" t="e">
            <v>#VALUE!</v>
          </cell>
        </row>
        <row r="439">
          <cell r="B439" t="str">
            <v>FQ(2)</v>
          </cell>
          <cell r="C439" t="e">
            <v>#VALUE!</v>
          </cell>
          <cell r="D439" t="e">
            <v>#VALUE!</v>
          </cell>
          <cell r="E439" t="e">
            <v>#VALUE!</v>
          </cell>
          <cell r="F439" t="e">
            <v>#VALUE!</v>
          </cell>
          <cell r="G439" t="e">
            <v>#VALUE!</v>
          </cell>
          <cell r="H439" t="e">
            <v>#VALUE!</v>
          </cell>
          <cell r="I439" t="e">
            <v>#VALUE!</v>
          </cell>
          <cell r="J439" t="e">
            <v>#VALUE!</v>
          </cell>
          <cell r="K439" t="e">
            <v>#VALUE!</v>
          </cell>
          <cell r="M439" t="e">
            <v>#VALUE!</v>
          </cell>
          <cell r="N439" t="e">
            <v>#VALUE!</v>
          </cell>
          <cell r="O439" t="e">
            <v>#VALUE!</v>
          </cell>
          <cell r="P439" t="e">
            <v>#VALUE!</v>
          </cell>
          <cell r="Q439" t="e">
            <v>#VALUE!</v>
          </cell>
          <cell r="R439" t="e">
            <v>#VALUE!</v>
          </cell>
          <cell r="S439" t="e">
            <v>#VALUE!</v>
          </cell>
          <cell r="T439" t="e">
            <v>#VALUE!</v>
          </cell>
          <cell r="U439" t="e">
            <v>#VALUE!</v>
          </cell>
        </row>
        <row r="440">
          <cell r="B440" t="str">
            <v>FQ(1)</v>
          </cell>
          <cell r="C440" t="e">
            <v>#VALUE!</v>
          </cell>
          <cell r="D440" t="e">
            <v>#VALUE!</v>
          </cell>
          <cell r="E440" t="e">
            <v>#VALUE!</v>
          </cell>
          <cell r="F440" t="e">
            <v>#VALUE!</v>
          </cell>
          <cell r="G440" t="e">
            <v>#VALUE!</v>
          </cell>
          <cell r="H440" t="e">
            <v>#VALUE!</v>
          </cell>
          <cell r="I440" t="e">
            <v>#VALUE!</v>
          </cell>
          <cell r="J440" t="e">
            <v>#VALUE!</v>
          </cell>
          <cell r="K440" t="e">
            <v>#VALUE!</v>
          </cell>
          <cell r="M440" t="e">
            <v>#VALUE!</v>
          </cell>
          <cell r="N440" t="e">
            <v>#VALUE!</v>
          </cell>
          <cell r="O440" t="e">
            <v>#VALUE!</v>
          </cell>
          <cell r="P440" t="e">
            <v>#VALUE!</v>
          </cell>
          <cell r="Q440" t="e">
            <v>#VALUE!</v>
          </cell>
          <cell r="R440" t="e">
            <v>#VALUE!</v>
          </cell>
          <cell r="S440" t="e">
            <v>#VALUE!</v>
          </cell>
          <cell r="T440" t="e">
            <v>#VALUE!</v>
          </cell>
          <cell r="U440" t="e">
            <v>#VALUE!</v>
          </cell>
        </row>
        <row r="441">
          <cell r="A441" t="str">
            <v>mscalc:bookValuePerShareReported</v>
          </cell>
          <cell r="B441" t="str">
            <v>Last Reported Q</v>
          </cell>
          <cell r="C441" t="e">
            <v>#VALUE!</v>
          </cell>
          <cell r="D441" t="e">
            <v>#VALUE!</v>
          </cell>
          <cell r="E441" t="e">
            <v>#VALUE!</v>
          </cell>
          <cell r="F441" t="e">
            <v>#VALUE!</v>
          </cell>
          <cell r="G441" t="e">
            <v>#VALUE!</v>
          </cell>
          <cell r="H441" t="e">
            <v>#VALUE!</v>
          </cell>
          <cell r="I441" t="e">
            <v>#VALUE!</v>
          </cell>
          <cell r="J441" t="e">
            <v>#VALUE!</v>
          </cell>
          <cell r="K441" t="e">
            <v>#VALUE!</v>
          </cell>
          <cell r="M441" t="e">
            <v>#VALUE!</v>
          </cell>
          <cell r="N441" t="e">
            <v>#VALUE!</v>
          </cell>
          <cell r="O441" t="e">
            <v>#VALUE!</v>
          </cell>
          <cell r="P441" t="e">
            <v>#VALUE!</v>
          </cell>
          <cell r="Q441" t="e">
            <v>#VALUE!</v>
          </cell>
          <cell r="R441" t="e">
            <v>#VALUE!</v>
          </cell>
          <cell r="S441" t="e">
            <v>#VALUE!</v>
          </cell>
          <cell r="T441" t="e">
            <v>#VALUE!</v>
          </cell>
          <cell r="U441" t="e">
            <v>#VALUE!</v>
          </cell>
        </row>
        <row r="442">
          <cell r="B442" t="str">
            <v>LTM</v>
          </cell>
          <cell r="C442" t="e">
            <v>#VALUE!</v>
          </cell>
          <cell r="D442" t="e">
            <v>#VALUE!</v>
          </cell>
          <cell r="E442" t="e">
            <v>#VALUE!</v>
          </cell>
          <cell r="F442" t="e">
            <v>#VALUE!</v>
          </cell>
          <cell r="G442" t="e">
            <v>#VALUE!</v>
          </cell>
          <cell r="H442" t="e">
            <v>#VALUE!</v>
          </cell>
          <cell r="I442" t="e">
            <v>#VALUE!</v>
          </cell>
          <cell r="J442" t="e">
            <v>#VALUE!</v>
          </cell>
          <cell r="K442" t="e">
            <v>#VALUE!</v>
          </cell>
          <cell r="M442" t="e">
            <v>#VALUE!</v>
          </cell>
          <cell r="N442" t="e">
            <v>#VALUE!</v>
          </cell>
          <cell r="O442" t="e">
            <v>#VALUE!</v>
          </cell>
          <cell r="P442" t="e">
            <v>#VALUE!</v>
          </cell>
          <cell r="Q442" t="e">
            <v>#VALUE!</v>
          </cell>
          <cell r="R442" t="e">
            <v>#VALUE!</v>
          </cell>
          <cell r="S442" t="e">
            <v>#VALUE!</v>
          </cell>
          <cell r="T442" t="e">
            <v>#VALUE!</v>
          </cell>
          <cell r="U442" t="e">
            <v>#VALUE!</v>
          </cell>
        </row>
        <row r="443">
          <cell r="B443" t="str">
            <v>LTM Cash to Sales</v>
          </cell>
          <cell r="C443">
            <v>7.9023345533761155E-2</v>
          </cell>
          <cell r="D443">
            <v>0.10171530997194646</v>
          </cell>
          <cell r="E443">
            <v>4.3097830253775969E-2</v>
          </cell>
          <cell r="F443">
            <v>5.6859075392310082E-2</v>
          </cell>
          <cell r="G443">
            <v>3.6973723411650533E-2</v>
          </cell>
          <cell r="H443">
            <v>6.2154737662979645E-2</v>
          </cell>
          <cell r="I443">
            <v>5.039334442834939E-2</v>
          </cell>
          <cell r="J443">
            <v>6.1459623807824756E-2</v>
          </cell>
          <cell r="K443">
            <v>6.408588758018148E-2</v>
          </cell>
          <cell r="M443">
            <v>0.14784269805938441</v>
          </cell>
          <cell r="N443">
            <v>9.4802007709936922E-2</v>
          </cell>
          <cell r="O443">
            <v>0.13947269737814</v>
          </cell>
          <cell r="P443">
            <v>0.32988509699846741</v>
          </cell>
          <cell r="Q443">
            <v>0.10658167066810167</v>
          </cell>
          <cell r="R443">
            <v>0.12705432662757407</v>
          </cell>
          <cell r="S443">
            <v>0.15257532618810868</v>
          </cell>
          <cell r="T443">
            <v>0.15688768908995904</v>
          </cell>
          <cell r="U443">
            <v>0.13241625323602554</v>
          </cell>
        </row>
        <row r="444">
          <cell r="B444" t="str">
            <v>FY2</v>
          </cell>
          <cell r="C444">
            <v>28.941094679444198</v>
          </cell>
          <cell r="D444">
            <v>21.266051315025202</v>
          </cell>
          <cell r="E444">
            <v>13.083380297252999</v>
          </cell>
          <cell r="F444">
            <v>8.1142551074679794</v>
          </cell>
          <cell r="G444">
            <v>6.3740220739144702</v>
          </cell>
          <cell r="H444">
            <v>11.257598977178199</v>
          </cell>
          <cell r="I444">
            <v>9.1456806254300105</v>
          </cell>
          <cell r="M444">
            <v>20.9365909688578</v>
          </cell>
          <cell r="N444">
            <v>8.6045504321921999</v>
          </cell>
          <cell r="O444">
            <v>7.6901666904003703</v>
          </cell>
          <cell r="P444">
            <v>7.6203246194170697</v>
          </cell>
          <cell r="Q444">
            <v>7.6048157398120697</v>
          </cell>
          <cell r="R444">
            <v>6.9148812185110096</v>
          </cell>
          <cell r="S444">
            <v>9.2979721334564491</v>
          </cell>
        </row>
        <row r="446">
          <cell r="A446" t="str">
            <v>Free Cash Flow</v>
          </cell>
          <cell r="B446" t="str">
            <v>Unadjusted Net Debt/EBITDA</v>
          </cell>
        </row>
        <row r="447">
          <cell r="B447" t="str">
            <v>FY(2)</v>
          </cell>
          <cell r="C447">
            <v>0.62078151143528393</v>
          </cell>
          <cell r="D447">
            <v>0.50947547885808486</v>
          </cell>
          <cell r="E447">
            <v>2.7332712369597605</v>
          </cell>
          <cell r="F447">
            <v>1.4439160584488901</v>
          </cell>
          <cell r="G447">
            <v>1.7425698693100762</v>
          </cell>
          <cell r="H447">
            <v>-0.20981930268185092</v>
          </cell>
          <cell r="I447">
            <v>5.6035635454484554E-2</v>
          </cell>
          <cell r="J447">
            <v>0.98517578396924699</v>
          </cell>
          <cell r="K447">
            <v>1.1914891141070827</v>
          </cell>
          <cell r="M447">
            <v>-0.54240651967537545</v>
          </cell>
          <cell r="N447">
            <v>-0.9664881964356703</v>
          </cell>
          <cell r="O447">
            <v>-0.68344732314628698</v>
          </cell>
          <cell r="P447">
            <v>-0.64769185801892226</v>
          </cell>
          <cell r="Q447">
            <v>-0.805379746835443</v>
          </cell>
          <cell r="R447">
            <v>1.427097651690326</v>
          </cell>
          <cell r="S447">
            <v>-1.240780168292865</v>
          </cell>
          <cell r="T447">
            <v>-0.49415659438774812</v>
          </cell>
          <cell r="U447">
            <v>-0.32763191811526549</v>
          </cell>
        </row>
        <row r="448">
          <cell r="A448" t="str">
            <v>mstag:interestExpense</v>
          </cell>
          <cell r="B448" t="str">
            <v>FY(1)</v>
          </cell>
          <cell r="C448">
            <v>0.67077162805166402</v>
          </cell>
          <cell r="D448">
            <v>0.72184631302404723</v>
          </cell>
          <cell r="E448">
            <v>3.1364443198804186</v>
          </cell>
          <cell r="F448">
            <v>2.257018580946883</v>
          </cell>
          <cell r="G448">
            <v>25.080237511960661</v>
          </cell>
          <cell r="H448">
            <v>-0.27210060477062714</v>
          </cell>
          <cell r="I448">
            <v>0.1775128590615169</v>
          </cell>
          <cell r="J448">
            <v>4.5388186583077941</v>
          </cell>
          <cell r="K448">
            <v>1.4264821229894211</v>
          </cell>
          <cell r="M448">
            <v>-0.58221308880625289</v>
          </cell>
          <cell r="N448">
            <v>-0.77712260942898337</v>
          </cell>
          <cell r="O448">
            <v>-0.9291879730006114</v>
          </cell>
          <cell r="P448">
            <v>-0.5438097150397716</v>
          </cell>
          <cell r="Q448">
            <v>-0.78686200378071836</v>
          </cell>
          <cell r="R448">
            <v>1.6253095151051484</v>
          </cell>
          <cell r="S448">
            <v>-0.95961812766135968</v>
          </cell>
          <cell r="T448">
            <v>-0.42192914323036412</v>
          </cell>
          <cell r="U448">
            <v>-0.32758825241373812</v>
          </cell>
        </row>
        <row r="449">
          <cell r="A449">
            <v>0.38</v>
          </cell>
          <cell r="B449" t="str">
            <v>FY0</v>
          </cell>
          <cell r="C449">
            <v>-8.5944095238591922E-2</v>
          </cell>
          <cell r="D449">
            <v>0.33228931309093246</v>
          </cell>
          <cell r="E449">
            <v>2.6319913663663663</v>
          </cell>
          <cell r="F449">
            <v>1.5852490873946661</v>
          </cell>
          <cell r="G449">
            <v>3.1011487412602823</v>
          </cell>
          <cell r="H449">
            <v>-0.70044497353600743</v>
          </cell>
          <cell r="I449">
            <v>-0.40023585169619963</v>
          </cell>
          <cell r="J449">
            <v>0.92343622680592119</v>
          </cell>
          <cell r="K449">
            <v>0.72760479731418182</v>
          </cell>
          <cell r="M449">
            <v>-1.6626117758933967</v>
          </cell>
          <cell r="N449">
            <v>-0.79045318475366411</v>
          </cell>
          <cell r="O449">
            <v>-1.6639704751499984</v>
          </cell>
          <cell r="P449">
            <v>-0.68306905061195133</v>
          </cell>
          <cell r="Q449">
            <v>-1.0800335570469799</v>
          </cell>
          <cell r="R449">
            <v>0.75362110728915033</v>
          </cell>
          <cell r="S449">
            <v>-1.164446584097903</v>
          </cell>
          <cell r="T449">
            <v>-0.89870907432353486</v>
          </cell>
          <cell r="U449">
            <v>-0.71814415664016296</v>
          </cell>
        </row>
        <row r="450">
          <cell r="A450" t="str">
            <v>mstag:otherInterestIncomeExpense</v>
          </cell>
          <cell r="B450" t="str">
            <v>FY1</v>
          </cell>
          <cell r="C450">
            <v>-0.29347322790041919</v>
          </cell>
          <cell r="D450">
            <v>7.7651652985500877E-2</v>
          </cell>
          <cell r="E450">
            <v>1.9649120143593546</v>
          </cell>
          <cell r="F450">
            <v>1.1529866140968601</v>
          </cell>
          <cell r="G450">
            <v>2.0346107878341644</v>
          </cell>
          <cell r="H450">
            <v>-0.69838146213609853</v>
          </cell>
          <cell r="I450">
            <v>-0.53190963134538816</v>
          </cell>
          <cell r="J450">
            <v>0.52948524969913913</v>
          </cell>
          <cell r="K450">
            <v>0.39279981275510029</v>
          </cell>
          <cell r="M450">
            <v>-1.1292800002243304</v>
          </cell>
          <cell r="N450">
            <v>-0.86757976902155665</v>
          </cell>
          <cell r="O450">
            <v>-1.4092416602410212</v>
          </cell>
          <cell r="P450">
            <v>-0.75571377482459823</v>
          </cell>
          <cell r="Q450">
            <v>-1.0660872466694959</v>
          </cell>
          <cell r="R450">
            <v>0.68962386469426917</v>
          </cell>
          <cell r="S450">
            <v>-1.3637223498551692</v>
          </cell>
          <cell r="T450">
            <v>-0.84314299087741451</v>
          </cell>
          <cell r="U450">
            <v>-0.70005820169220656</v>
          </cell>
        </row>
        <row r="451">
          <cell r="B451" t="str">
            <v>FY2</v>
          </cell>
          <cell r="C451">
            <v>-0.43416188163660691</v>
          </cell>
          <cell r="D451">
            <v>9.8753220072346718E-3</v>
          </cell>
          <cell r="E451">
            <v>1.4421016561144622</v>
          </cell>
          <cell r="F451">
            <v>1.0807115726483665</v>
          </cell>
          <cell r="G451">
            <v>1.0683170055444</v>
          </cell>
          <cell r="H451">
            <v>-0.7850937435673967</v>
          </cell>
          <cell r="I451">
            <v>-0.68827364540108127</v>
          </cell>
          <cell r="J451">
            <v>0.24192518367276833</v>
          </cell>
          <cell r="K451">
            <v>0.15786955309226858</v>
          </cell>
          <cell r="M451">
            <v>-0.7622956319381099</v>
          </cell>
          <cell r="N451">
            <v>-0.94282809885546814</v>
          </cell>
          <cell r="O451">
            <v>-1.4465272382161611</v>
          </cell>
          <cell r="P451">
            <v>-0.81885096688786108</v>
          </cell>
          <cell r="Q451">
            <v>-1.0105684999347193</v>
          </cell>
          <cell r="R451">
            <v>0.41411327334332276</v>
          </cell>
          <cell r="S451">
            <v>-1.4656395262537882</v>
          </cell>
          <cell r="T451">
            <v>-0.86179952696325501</v>
          </cell>
          <cell r="U451">
            <v>-0.73849245633532801</v>
          </cell>
        </row>
        <row r="452">
          <cell r="B452" t="str">
            <v>FQ(3)</v>
          </cell>
          <cell r="C452">
            <v>3.0085271348367471</v>
          </cell>
          <cell r="D452">
            <v>6.0503231175190271</v>
          </cell>
          <cell r="E452">
            <v>26.174694189602434</v>
          </cell>
          <cell r="F452">
            <v>10.871662346375254</v>
          </cell>
          <cell r="G452">
            <v>17.437011848518488</v>
          </cell>
          <cell r="H452">
            <v>-1.647181635317595</v>
          </cell>
          <cell r="I452">
            <v>0.27588930739343676</v>
          </cell>
          <cell r="J452">
            <v>8.8815609012753978</v>
          </cell>
          <cell r="K452">
            <v>7.5819974592705446</v>
          </cell>
          <cell r="M452">
            <v>-14.099647959415011</v>
          </cell>
          <cell r="N452">
            <v>-3.6489189348415225</v>
          </cell>
          <cell r="O452">
            <v>-6.013655276559513</v>
          </cell>
          <cell r="P452">
            <v>-2.2825822645801468</v>
          </cell>
          <cell r="Q452">
            <v>-3.443548387096774</v>
          </cell>
          <cell r="R452">
            <v>13.056873820441924</v>
          </cell>
          <cell r="S452">
            <v>-4.36336314323413</v>
          </cell>
          <cell r="T452">
            <v>-2.9706917350407389</v>
          </cell>
          <cell r="U452">
            <v>-1.4128705561223336</v>
          </cell>
        </row>
        <row r="453">
          <cell r="B453" t="str">
            <v>FQ(2)</v>
          </cell>
          <cell r="C453">
            <v>1.3172055927366482</v>
          </cell>
          <cell r="D453">
            <v>5.744633109357979</v>
          </cell>
          <cell r="E453">
            <v>14.080831903945105</v>
          </cell>
          <cell r="F453">
            <v>7.4520447297242329</v>
          </cell>
          <cell r="G453">
            <v>-18.499250645089607</v>
          </cell>
          <cell r="H453">
            <v>-1.7753591940292801</v>
          </cell>
          <cell r="I453">
            <v>-0.40571156746794457</v>
          </cell>
          <cell r="J453">
            <v>1.1306277041681621</v>
          </cell>
          <cell r="K453">
            <v>5.2628443477421527</v>
          </cell>
          <cell r="M453">
            <v>-5.9842932561504849</v>
          </cell>
          <cell r="N453">
            <v>-3.1594434218486533</v>
          </cell>
          <cell r="O453">
            <v>-5.5694236939430306</v>
          </cell>
          <cell r="P453">
            <v>-3.0584028890536437</v>
          </cell>
          <cell r="Q453">
            <v>-4.1298449612403099</v>
          </cell>
          <cell r="R453">
            <v>7.1867121795963538</v>
          </cell>
          <cell r="S453">
            <v>-2.8464965892512124</v>
          </cell>
          <cell r="T453">
            <v>-2.508741804555854</v>
          </cell>
          <cell r="U453">
            <v>-1.9454326807327575</v>
          </cell>
        </row>
        <row r="454">
          <cell r="B454" t="str">
            <v>FQ(1)</v>
          </cell>
          <cell r="C454">
            <v>1.104790668417178</v>
          </cell>
          <cell r="D454">
            <v>5.49126532417087</v>
          </cell>
          <cell r="E454">
            <v>21.133997429305904</v>
          </cell>
          <cell r="F454">
            <v>8.4915565866202467</v>
          </cell>
          <cell r="G454">
            <v>10.384681336255451</v>
          </cell>
          <cell r="H454">
            <v>-2.0104459856350783</v>
          </cell>
          <cell r="I454">
            <v>-0.65665224296477831</v>
          </cell>
          <cell r="J454">
            <v>6.2770275880242554</v>
          </cell>
          <cell r="K454">
            <v>5.1046925747801914</v>
          </cell>
          <cell r="M454">
            <v>-4.5012933746679629</v>
          </cell>
          <cell r="N454">
            <v>-2.4062692357603508</v>
          </cell>
          <cell r="O454">
            <v>-4.3599790377974719</v>
          </cell>
          <cell r="P454">
            <v>-3.778039723022129</v>
          </cell>
          <cell r="Q454">
            <v>-3.7063369397217927</v>
          </cell>
          <cell r="R454">
            <v>12.929730062658297</v>
          </cell>
          <cell r="S454">
            <v>-3.5044685858831217</v>
          </cell>
          <cell r="T454">
            <v>-1.3323795477420757</v>
          </cell>
          <cell r="U454">
            <v>-2.0644451787323024</v>
          </cell>
        </row>
        <row r="455">
          <cell r="B455" t="str">
            <v>Last Reported Q</v>
          </cell>
          <cell r="C455">
            <v>-8.5944095238591922E-2</v>
          </cell>
          <cell r="D455">
            <v>0.33228931309093246</v>
          </cell>
          <cell r="E455">
            <v>2.6319913663663663</v>
          </cell>
          <cell r="F455">
            <v>1.5852490873946661</v>
          </cell>
          <cell r="G455">
            <v>3.1011487412602823</v>
          </cell>
          <cell r="H455">
            <v>-0.70044497353600743</v>
          </cell>
          <cell r="I455">
            <v>-0.40023585169619963</v>
          </cell>
          <cell r="J455">
            <v>0.92343622680592119</v>
          </cell>
          <cell r="K455">
            <v>0.72760479731418182</v>
          </cell>
          <cell r="M455">
            <v>-1.6626117758933967</v>
          </cell>
          <cell r="N455">
            <v>-0.79045318475366411</v>
          </cell>
          <cell r="O455">
            <v>-1.6639704751499984</v>
          </cell>
          <cell r="P455">
            <v>-2.6366528895301915</v>
          </cell>
          <cell r="Q455">
            <v>-1.0800335570469799</v>
          </cell>
          <cell r="R455">
            <v>0.75362110728915033</v>
          </cell>
          <cell r="S455">
            <v>-1.164446584097903</v>
          </cell>
          <cell r="T455">
            <v>-1.1777924798832833</v>
          </cell>
          <cell r="U455">
            <v>-0.86342639624357287</v>
          </cell>
        </row>
        <row r="456">
          <cell r="B456" t="str">
            <v>LTM</v>
          </cell>
          <cell r="C456">
            <v>-5.3089225005100674E-2</v>
          </cell>
          <cell r="D456">
            <v>0.21353552972214196</v>
          </cell>
          <cell r="E456">
            <v>1.7692720161493818</v>
          </cell>
          <cell r="F456">
            <v>0.95447805944445252</v>
          </cell>
          <cell r="G456">
            <v>2.1243335723577608</v>
          </cell>
          <cell r="H456">
            <v>-0.4146301889013202</v>
          </cell>
          <cell r="I456">
            <v>-0.23730896873519447</v>
          </cell>
          <cell r="J456">
            <v>0.62237011357601735</v>
          </cell>
          <cell r="K456">
            <v>0.45379983425291787</v>
          </cell>
          <cell r="M456">
            <v>-1.098586120753511</v>
          </cell>
          <cell r="N456">
            <v>-0.49336964078807161</v>
          </cell>
          <cell r="O456">
            <v>-1.0245786743692473</v>
          </cell>
          <cell r="P456">
            <v>-0.94085968017258526</v>
          </cell>
          <cell r="Q456">
            <v>-0.6368538214197379</v>
          </cell>
          <cell r="R456">
            <v>0.52379054058678198</v>
          </cell>
          <cell r="S456">
            <v>-0.69681914283811763</v>
          </cell>
          <cell r="T456">
            <v>-0.62389664853635551</v>
          </cell>
          <cell r="U456">
            <v>-0.50978328158630037</v>
          </cell>
        </row>
        <row r="457">
          <cell r="B457" t="str">
            <v>FY1</v>
          </cell>
          <cell r="C457">
            <v>3.8862183909618229E-2</v>
          </cell>
          <cell r="D457">
            <v>-2.7339277114496467E-3</v>
          </cell>
          <cell r="E457">
            <v>3.5223782244625912E-2</v>
          </cell>
          <cell r="F457">
            <v>2.6424387208056593E-2</v>
          </cell>
          <cell r="G457">
            <v>-1.8071537178470622E-2</v>
          </cell>
          <cell r="H457">
            <v>5.3285963374375404E-2</v>
          </cell>
          <cell r="I457">
            <v>4.6996767941554794E-2</v>
          </cell>
          <cell r="J457">
            <v>2.5712517112615813E-2</v>
          </cell>
          <cell r="K457">
            <v>3.0552783656178185E-2</v>
          </cell>
          <cell r="M457">
            <v>1.7558553174681878E-2</v>
          </cell>
          <cell r="N457">
            <v>9.4733747506953347E-2</v>
          </cell>
          <cell r="O457">
            <v>3.927450676946953E-2</v>
          </cell>
          <cell r="P457">
            <v>0.18632383464964566</v>
          </cell>
          <cell r="Q457">
            <v>7.601987728838501E-2</v>
          </cell>
          <cell r="R457">
            <v>3.9489732823429061E-2</v>
          </cell>
          <cell r="S457">
            <v>7.0273028870299736E-2</v>
          </cell>
          <cell r="T457">
            <v>7.4810468726123444E-2</v>
          </cell>
          <cell r="U457">
            <v>7.1133632257864343E-2</v>
          </cell>
        </row>
        <row r="458">
          <cell r="A458" t="str">
            <v>mstag:rentalPaymentOnCapitalizedOperatingLeasesLessee</v>
          </cell>
          <cell r="B458" t="str">
            <v>Rent Payments</v>
          </cell>
          <cell r="C458">
            <v>4.0399164926698122E-2</v>
          </cell>
          <cell r="D458">
            <v>1.6931586348310497E-2</v>
          </cell>
          <cell r="E458">
            <v>2.9456136212050146E-2</v>
          </cell>
          <cell r="F458">
            <v>2.0077868758461886E-2</v>
          </cell>
          <cell r="G458">
            <v>2.2569207819594437E-4</v>
          </cell>
          <cell r="H458">
            <v>4.4593896192770086E-2</v>
          </cell>
          <cell r="I458">
            <v>4.9015164653234404E-2</v>
          </cell>
          <cell r="J458">
            <v>2.8671358452817299E-2</v>
          </cell>
          <cell r="K458">
            <v>3.3086860119727286E-2</v>
          </cell>
          <cell r="M458">
            <v>1.3331044461962222E-2</v>
          </cell>
          <cell r="N458">
            <v>8.085394256907405E-2</v>
          </cell>
          <cell r="O458">
            <v>5.1174560505937175E-2</v>
          </cell>
          <cell r="P458">
            <v>0.18148861674681205</v>
          </cell>
          <cell r="Q458">
            <v>7.2415679205012184E-2</v>
          </cell>
          <cell r="R458">
            <v>4.2100436438037216E-2</v>
          </cell>
          <cell r="S458">
            <v>7.2374325816125115E-2</v>
          </cell>
          <cell r="T458">
            <v>7.3391229391851429E-2</v>
          </cell>
          <cell r="U458">
            <v>6.9928491080842994E-2</v>
          </cell>
        </row>
        <row r="459">
          <cell r="B459" t="str">
            <v>FY(2)</v>
          </cell>
          <cell r="C459">
            <v>413.3</v>
          </cell>
          <cell r="D459">
            <v>210</v>
          </cell>
          <cell r="E459">
            <v>221</v>
          </cell>
          <cell r="F459">
            <v>81</v>
          </cell>
          <cell r="G459">
            <v>87.075000000000003</v>
          </cell>
          <cell r="H459">
            <v>301.58199999999999</v>
          </cell>
          <cell r="I459">
            <v>886.9</v>
          </cell>
          <cell r="J459">
            <v>314.40814285714288</v>
          </cell>
          <cell r="K459">
            <v>2200.857</v>
          </cell>
          <cell r="M459">
            <v>231.65299999999999</v>
          </cell>
          <cell r="N459">
            <v>77.64</v>
          </cell>
          <cell r="O459">
            <v>167.05099999999999</v>
          </cell>
          <cell r="P459">
            <v>107.458</v>
          </cell>
          <cell r="Q459">
            <v>970</v>
          </cell>
          <cell r="R459">
            <v>441</v>
          </cell>
          <cell r="S459">
            <v>100.02</v>
          </cell>
          <cell r="T459">
            <v>299.26028571428571</v>
          </cell>
          <cell r="U459">
            <v>2094.8220000000001</v>
          </cell>
        </row>
        <row r="460">
          <cell r="B460" t="str">
            <v>FY(1)</v>
          </cell>
          <cell r="C460">
            <v>445</v>
          </cell>
          <cell r="D460">
            <v>217</v>
          </cell>
          <cell r="E460">
            <v>230</v>
          </cell>
          <cell r="F460">
            <v>76</v>
          </cell>
          <cell r="G460">
            <v>83.682000000000002</v>
          </cell>
          <cell r="H460">
            <v>325.89999999999998</v>
          </cell>
          <cell r="I460">
            <v>928.3</v>
          </cell>
          <cell r="J460">
            <v>329.41171428571425</v>
          </cell>
          <cell r="K460">
            <v>2305.8819999999996</v>
          </cell>
          <cell r="M460">
            <v>280.61399999999998</v>
          </cell>
          <cell r="N460">
            <v>88.031000000000006</v>
          </cell>
          <cell r="O460">
            <v>197.82</v>
          </cell>
          <cell r="P460">
            <v>132.96899999999999</v>
          </cell>
          <cell r="Q460">
            <v>992</v>
          </cell>
          <cell r="R460">
            <v>391</v>
          </cell>
          <cell r="S460">
            <v>112.907</v>
          </cell>
          <cell r="T460">
            <v>313.62014285714292</v>
          </cell>
          <cell r="U460">
            <v>2195.3410000000003</v>
          </cell>
        </row>
        <row r="461">
          <cell r="B461" t="str">
            <v>FY0</v>
          </cell>
          <cell r="C461">
            <v>496</v>
          </cell>
          <cell r="D461">
            <v>231</v>
          </cell>
          <cell r="E461">
            <v>230</v>
          </cell>
          <cell r="F461">
            <v>89</v>
          </cell>
          <cell r="G461">
            <v>88.454999999999998</v>
          </cell>
          <cell r="H461">
            <v>336.5</v>
          </cell>
          <cell r="I461">
            <v>949</v>
          </cell>
          <cell r="J461">
            <v>345.70785714285711</v>
          </cell>
          <cell r="K461">
            <v>2419.9549999999999</v>
          </cell>
          <cell r="M461">
            <v>301.13799999999998</v>
          </cell>
          <cell r="N461">
            <v>97.888999999999996</v>
          </cell>
          <cell r="O461">
            <v>229.428</v>
          </cell>
          <cell r="P461">
            <v>151.267</v>
          </cell>
          <cell r="Q461">
            <v>973</v>
          </cell>
          <cell r="R461">
            <v>407</v>
          </cell>
          <cell r="S461">
            <v>127.434109734499</v>
          </cell>
          <cell r="T461">
            <v>326.73658710492839</v>
          </cell>
          <cell r="U461">
            <v>2287.1561097344988</v>
          </cell>
        </row>
        <row r="462">
          <cell r="B462" t="str">
            <v>FY1</v>
          </cell>
          <cell r="C462">
            <v>518.56303309414204</v>
          </cell>
          <cell r="D462">
            <v>236.036967509025</v>
          </cell>
          <cell r="E462">
            <v>235.41176470588201</v>
          </cell>
          <cell r="F462">
            <v>94.618556360602398</v>
          </cell>
          <cell r="G462">
            <v>90.912720945319705</v>
          </cell>
          <cell r="H462">
            <v>357.93168758199101</v>
          </cell>
          <cell r="I462">
            <v>970.16158569428001</v>
          </cell>
          <cell r="J462">
            <v>357.66233084160604</v>
          </cell>
          <cell r="K462">
            <v>2503.6363158912422</v>
          </cell>
          <cell r="M462">
            <v>318.11697719272098</v>
          </cell>
          <cell r="N462">
            <v>105.26366844444399</v>
          </cell>
          <cell r="O462">
            <v>234.19916455511199</v>
          </cell>
          <cell r="P462">
            <v>166.354913589744</v>
          </cell>
          <cell r="Q462">
            <v>967.79732534490495</v>
          </cell>
          <cell r="R462">
            <v>457.30408312233999</v>
          </cell>
          <cell r="S462">
            <v>146.22090008927199</v>
          </cell>
          <cell r="T462">
            <v>342.17957604836266</v>
          </cell>
          <cell r="U462">
            <v>2395.2570323385385</v>
          </cell>
        </row>
        <row r="463">
          <cell r="B463" t="str">
            <v>FY2</v>
          </cell>
          <cell r="C463">
            <v>552.77130938437199</v>
          </cell>
          <cell r="D463">
            <v>241.82093644258001</v>
          </cell>
          <cell r="E463">
            <v>239.98217166756399</v>
          </cell>
          <cell r="F463">
            <v>100.17534986731199</v>
          </cell>
          <cell r="G463">
            <v>96.459784775814597</v>
          </cell>
          <cell r="H463">
            <v>383.82128500347801</v>
          </cell>
          <cell r="I463">
            <v>986.94424197336195</v>
          </cell>
          <cell r="J463">
            <v>371.7107255877832</v>
          </cell>
          <cell r="K463">
            <v>2601.9750791144825</v>
          </cell>
          <cell r="M463">
            <v>353.83675694878099</v>
          </cell>
          <cell r="N463">
            <v>117.765877715481</v>
          </cell>
          <cell r="O463">
            <v>253.48517768534199</v>
          </cell>
          <cell r="P463">
            <v>179.71223459268501</v>
          </cell>
          <cell r="Q463">
            <v>953.87523311373502</v>
          </cell>
          <cell r="R463">
            <v>472.39043594442302</v>
          </cell>
          <cell r="S463">
            <v>166.065647668351</v>
          </cell>
          <cell r="T463">
            <v>356.73305195268546</v>
          </cell>
          <cell r="U463">
            <v>2497.1313636687983</v>
          </cell>
        </row>
        <row r="464">
          <cell r="B464" t="str">
            <v>FY1</v>
          </cell>
          <cell r="C464">
            <v>2.1678220019136387</v>
          </cell>
          <cell r="D464">
            <v>-0.20556202869745732</v>
          </cell>
          <cell r="E464">
            <v>1.946659427655937</v>
          </cell>
          <cell r="F464">
            <v>0.97354893957990185</v>
          </cell>
          <cell r="G464">
            <v>-0.32022714107024319</v>
          </cell>
          <cell r="H464">
            <v>3.0324798233633263</v>
          </cell>
          <cell r="I464">
            <v>2.1899111206141724</v>
          </cell>
          <cell r="M464">
            <v>0.59076362179338449</v>
          </cell>
          <cell r="N464">
            <v>3.0549856965789917</v>
          </cell>
          <cell r="O464">
            <v>0.55397571895375231</v>
          </cell>
          <cell r="P464">
            <v>2.0205286121042589</v>
          </cell>
          <cell r="Q464">
            <v>1.5531511857589593</v>
          </cell>
          <cell r="R464">
            <v>1.0250297702777731</v>
          </cell>
          <cell r="S464">
            <v>0.79672676486813154</v>
          </cell>
        </row>
        <row r="465">
          <cell r="B465" t="str">
            <v>Adjusted Net Debt/EBITDAR (includes Rent capitalized at 8x)</v>
          </cell>
          <cell r="C465">
            <v>2.4259351333438075</v>
          </cell>
          <cell r="D465">
            <v>1.2413658361277</v>
          </cell>
          <cell r="E465">
            <v>1.6008639174988561</v>
          </cell>
          <cell r="F465">
            <v>0.76128900106267405</v>
          </cell>
          <cell r="G465">
            <v>3.6556641974695874E-3</v>
          </cell>
          <cell r="H465">
            <v>2.7280154257731373</v>
          </cell>
          <cell r="I465">
            <v>2.5010561968072311</v>
          </cell>
          <cell r="M465">
            <v>0.51679513609987526</v>
          </cell>
          <cell r="N465">
            <v>3.0815192419646067</v>
          </cell>
          <cell r="O465">
            <v>0.75955113998499157</v>
          </cell>
          <cell r="P465">
            <v>2.1733260926685545</v>
          </cell>
          <cell r="Q465">
            <v>1.5555110393579679</v>
          </cell>
          <cell r="R465">
            <v>1.119845743374736</v>
          </cell>
          <cell r="S465">
            <v>0.95223954907340669</v>
          </cell>
        </row>
        <row r="466">
          <cell r="B466" t="str">
            <v>FY(2)</v>
          </cell>
          <cell r="C466">
            <v>1.7630403134292154</v>
          </cell>
          <cell r="D466">
            <v>1.1341816541717473</v>
          </cell>
          <cell r="E466">
            <v>3.0587597874720349</v>
          </cell>
          <cell r="F466">
            <v>1.7837177731034912</v>
          </cell>
          <cell r="G466">
            <v>3.2662010966582922</v>
          </cell>
          <cell r="H466">
            <v>2.7259358859435694</v>
          </cell>
          <cell r="I466">
            <v>2.6520141454465453</v>
          </cell>
          <cell r="J466">
            <v>2.3405500937464141</v>
          </cell>
          <cell r="K466">
            <v>2.2436432720862096</v>
          </cell>
          <cell r="M466">
            <v>1.1145547912933007</v>
          </cell>
          <cell r="N466">
            <v>1.2499124465924214</v>
          </cell>
          <cell r="O466">
            <v>0.97433969250602104</v>
          </cell>
          <cell r="P466">
            <v>0.13865886124043997</v>
          </cell>
          <cell r="Q466">
            <v>2.1748080949057922</v>
          </cell>
          <cell r="R466">
            <v>3.1794784845342146</v>
          </cell>
          <cell r="S466">
            <v>1.0992323700826874</v>
          </cell>
          <cell r="T466">
            <v>1.418712105879268</v>
          </cell>
          <cell r="U466">
            <v>1.7294953910912045</v>
          </cell>
        </row>
        <row r="467">
          <cell r="B467" t="str">
            <v>FY(1)</v>
          </cell>
          <cell r="C467">
            <v>1.9634987696449357</v>
          </cell>
          <cell r="D467">
            <v>1.5921080102834659</v>
          </cell>
          <cell r="E467">
            <v>3.5213781830695114</v>
          </cell>
          <cell r="F467">
            <v>2.6340789332320407</v>
          </cell>
          <cell r="G467">
            <v>11.924217205587883</v>
          </cell>
          <cell r="H467">
            <v>2.5402353666684365</v>
          </cell>
          <cell r="I467">
            <v>2.8040238749093813</v>
          </cell>
          <cell r="J467">
            <v>3.8542200490565222</v>
          </cell>
          <cell r="K467">
            <v>2.6655393954503377</v>
          </cell>
          <cell r="M467">
            <v>1.8125081650204506</v>
          </cell>
          <cell r="N467">
            <v>1.2449993849825833</v>
          </cell>
          <cell r="O467">
            <v>1.8401580358402727</v>
          </cell>
          <cell r="P467">
            <v>0.26025301117841149</v>
          </cell>
          <cell r="Q467">
            <v>2.0176962676962678</v>
          </cell>
          <cell r="R467">
            <v>3.3424457701446935</v>
          </cell>
          <cell r="S467">
            <v>1.0869568735825657</v>
          </cell>
          <cell r="T467">
            <v>1.6578596440636062</v>
          </cell>
          <cell r="U467">
            <v>1.8251633583838809</v>
          </cell>
        </row>
        <row r="468">
          <cell r="B468" t="str">
            <v>FY0</v>
          </cell>
          <cell r="C468">
            <v>1.3479594697375761</v>
          </cell>
          <cell r="D468">
            <v>1.6074809392075593</v>
          </cell>
          <cell r="E468">
            <v>3.0586126468555634</v>
          </cell>
          <cell r="F468">
            <v>2.047152672525633</v>
          </cell>
          <cell r="G468">
            <v>5.2296873407878488</v>
          </cell>
          <cell r="H468">
            <v>1.696038296095902</v>
          </cell>
          <cell r="I468">
            <v>1.9615963754819123</v>
          </cell>
          <cell r="J468">
            <v>2.4212182486702849</v>
          </cell>
          <cell r="K468">
            <v>2.0693383134945118</v>
          </cell>
          <cell r="M468">
            <v>2.5610036296682419</v>
          </cell>
          <cell r="N468">
            <v>0.81276759274384647</v>
          </cell>
          <cell r="O468">
            <v>1.8483523878471451</v>
          </cell>
          <cell r="P468">
            <v>0.34745351137138419</v>
          </cell>
          <cell r="Q468">
            <v>1.5517426273458446</v>
          </cell>
          <cell r="R468">
            <v>2.567792220893554</v>
          </cell>
          <cell r="S468">
            <v>0.92796661441807282</v>
          </cell>
          <cell r="T468">
            <v>1.5167255120411556</v>
          </cell>
          <cell r="U468">
            <v>1.5811015026553612</v>
          </cell>
        </row>
        <row r="469">
          <cell r="A469" t="str">
            <v>mstag:capitalExpenditures</v>
          </cell>
          <cell r="B469" t="str">
            <v>FY1</v>
          </cell>
          <cell r="C469">
            <v>1.0482258192150369</v>
          </cell>
          <cell r="D469">
            <v>1.2582527657927727</v>
          </cell>
          <cell r="E469">
            <v>2.4094468811563323</v>
          </cell>
          <cell r="F469">
            <v>1.5941125062690669</v>
          </cell>
          <cell r="G469">
            <v>4.17922891856856</v>
          </cell>
          <cell r="H469">
            <v>1.5256205587282161</v>
          </cell>
          <cell r="I469">
            <v>1.6826788867179201</v>
          </cell>
          <cell r="J469">
            <v>1.9567951909211292</v>
          </cell>
          <cell r="K469">
            <v>1.6758209958676464</v>
          </cell>
          <cell r="M469">
            <v>2.391050370712593</v>
          </cell>
          <cell r="N469">
            <v>0.71932761632238529</v>
          </cell>
          <cell r="O469">
            <v>1.4432560378481065</v>
          </cell>
          <cell r="P469">
            <v>0.28759622817734298</v>
          </cell>
          <cell r="Q469">
            <v>1.5987513531074025</v>
          </cell>
          <cell r="R469">
            <v>2.4837915361158127</v>
          </cell>
          <cell r="S469">
            <v>0.64964261665766232</v>
          </cell>
          <cell r="T469">
            <v>1.3676308227059006</v>
          </cell>
          <cell r="U469">
            <v>1.5126774008222057</v>
          </cell>
        </row>
        <row r="470">
          <cell r="B470" t="str">
            <v>FY2</v>
          </cell>
          <cell r="C470">
            <v>0.87493009858381077</v>
          </cell>
          <cell r="D470">
            <v>1.1579138512985476</v>
          </cell>
          <cell r="E470">
            <v>1.9226546792326706</v>
          </cell>
          <cell r="F470">
            <v>1.5163541404967966</v>
          </cell>
          <cell r="G470">
            <v>3.0895363696481981</v>
          </cell>
          <cell r="H470">
            <v>1.4849145427793713</v>
          </cell>
          <cell r="I470">
            <v>1.5179536310666246</v>
          </cell>
          <cell r="J470">
            <v>1.6520367590151455</v>
          </cell>
          <cell r="K470">
            <v>1.4482420880717608</v>
          </cell>
          <cell r="M470">
            <v>2.4665701567877596</v>
          </cell>
          <cell r="N470">
            <v>0.77815718698320846</v>
          </cell>
          <cell r="O470">
            <v>1.2438592969656144</v>
          </cell>
          <cell r="P470">
            <v>0.23617584483676721</v>
          </cell>
          <cell r="Q470">
            <v>1.5955958846176646</v>
          </cell>
          <cell r="R470">
            <v>2.200647221162388</v>
          </cell>
          <cell r="S470">
            <v>0.51167660904846224</v>
          </cell>
          <cell r="T470">
            <v>1.2903831714859808</v>
          </cell>
          <cell r="U470">
            <v>1.4299289350190132</v>
          </cell>
        </row>
        <row r="471">
          <cell r="B471" t="str">
            <v>FY1</v>
          </cell>
          <cell r="C471">
            <v>647.25003538475005</v>
          </cell>
          <cell r="D471">
            <v>597.63773739153396</v>
          </cell>
          <cell r="E471">
            <v>398.916049323469</v>
          </cell>
          <cell r="F471">
            <v>361</v>
          </cell>
          <cell r="G471">
            <v>66.837014679888597</v>
          </cell>
          <cell r="H471">
            <v>164.974553241579</v>
          </cell>
          <cell r="I471">
            <v>465.40417961601298</v>
          </cell>
          <cell r="J471">
            <v>386.00279566246201</v>
          </cell>
          <cell r="K471">
            <v>2702.0195696372339</v>
          </cell>
          <cell r="M471">
            <v>185.09325427162901</v>
          </cell>
          <cell r="N471">
            <v>49.858069962182</v>
          </cell>
          <cell r="O471">
            <v>129.30167913915301</v>
          </cell>
          <cell r="P471">
            <v>107.320766852448</v>
          </cell>
          <cell r="Q471">
            <v>350.99767742648697</v>
          </cell>
          <cell r="R471">
            <v>225.261</v>
          </cell>
          <cell r="S471">
            <v>119.233752219984</v>
          </cell>
          <cell r="T471">
            <v>166.72374283884042</v>
          </cell>
          <cell r="U471">
            <v>1167.0661998718829</v>
          </cell>
          <cell r="W471">
            <v>3869.0857695091167</v>
          </cell>
        </row>
        <row r="472">
          <cell r="B472" t="str">
            <v>Adjusted Net Debt/Cap (includes Rent capitalized at 8x)</v>
          </cell>
          <cell r="C472">
            <v>746.07111004947603</v>
          </cell>
          <cell r="D472">
            <v>394.57224859306899</v>
          </cell>
          <cell r="E472">
            <v>618.35365471548903</v>
          </cell>
          <cell r="F472">
            <v>465.162968324612</v>
          </cell>
          <cell r="G472">
            <v>45.8188964183229</v>
          </cell>
          <cell r="H472">
            <v>200.649569914437</v>
          </cell>
          <cell r="I472">
            <v>517.37070757901802</v>
          </cell>
          <cell r="J472">
            <v>426.85702222777485</v>
          </cell>
          <cell r="K472">
            <v>2987.9991555944239</v>
          </cell>
          <cell r="M472">
            <v>246.71197020712299</v>
          </cell>
          <cell r="N472">
            <v>67.516321371336403</v>
          </cell>
          <cell r="O472">
            <v>135.41319328435799</v>
          </cell>
          <cell r="P472">
            <v>137.30003618500299</v>
          </cell>
          <cell r="Q472">
            <v>423.142401533449</v>
          </cell>
          <cell r="R472">
            <v>252.161501557756</v>
          </cell>
          <cell r="S472">
            <v>148.570424497277</v>
          </cell>
          <cell r="T472">
            <v>201.5451212337575</v>
          </cell>
          <cell r="U472">
            <v>1410.8158486363025</v>
          </cell>
          <cell r="W472">
            <v>4398.8150042307261</v>
          </cell>
          <cell r="X472">
            <v>0.13691328295077265</v>
          </cell>
        </row>
        <row r="473">
          <cell r="B473" t="str">
            <v>FY(2)</v>
          </cell>
          <cell r="C473">
            <v>0.43550302523316747</v>
          </cell>
          <cell r="D473">
            <v>0.34964680059462472</v>
          </cell>
          <cell r="E473">
            <v>0.52473300112136523</v>
          </cell>
          <cell r="F473">
            <v>0.7142928672679153</v>
          </cell>
          <cell r="G473">
            <v>0.4984460608672418</v>
          </cell>
          <cell r="H473">
            <v>0.70313158045244917</v>
          </cell>
          <cell r="I473">
            <v>0.77154204302150575</v>
          </cell>
          <cell r="J473">
            <v>0.57104219693689562</v>
          </cell>
          <cell r="K473">
            <v>0.54466525719550296</v>
          </cell>
          <cell r="M473">
            <v>0.38342940939156683</v>
          </cell>
          <cell r="N473">
            <v>0.4797066456825303</v>
          </cell>
          <cell r="O473">
            <v>0.31848964014715719</v>
          </cell>
          <cell r="P473">
            <v>5.9088361908869382E-2</v>
          </cell>
          <cell r="Q473">
            <v>0.50998199967272129</v>
          </cell>
          <cell r="R473">
            <v>0.60787298235139131</v>
          </cell>
          <cell r="S473">
            <v>0.26256613636624776</v>
          </cell>
          <cell r="T473">
            <v>0.37444788221721204</v>
          </cell>
          <cell r="U473">
            <v>0.45453050790622207</v>
          </cell>
        </row>
        <row r="474">
          <cell r="B474" t="str">
            <v>FY(1)</v>
          </cell>
          <cell r="C474">
            <v>0.42366442772181695</v>
          </cell>
          <cell r="D474">
            <v>0.41016752157869452</v>
          </cell>
          <cell r="E474">
            <v>0.68775045575596683</v>
          </cell>
          <cell r="F474">
            <v>0.71590113352887597</v>
          </cell>
          <cell r="G474">
            <v>0.57198793761492206</v>
          </cell>
          <cell r="H474">
            <v>0.70963308161370375</v>
          </cell>
          <cell r="I474">
            <v>0.78410355528262954</v>
          </cell>
          <cell r="J474">
            <v>0.61474401615665852</v>
          </cell>
          <cell r="K474">
            <v>0.60997299068920097</v>
          </cell>
          <cell r="M474">
            <v>0.43497953260620403</v>
          </cell>
          <cell r="N474">
            <v>0.44908374146140695</v>
          </cell>
          <cell r="O474">
            <v>0.38274031326642549</v>
          </cell>
          <cell r="P474">
            <v>0.14380647260531124</v>
          </cell>
          <cell r="Q474">
            <v>0.50682938656752607</v>
          </cell>
          <cell r="R474">
            <v>0.61421029375145364</v>
          </cell>
          <cell r="S474">
            <v>0.27453474165713265</v>
          </cell>
          <cell r="T474">
            <v>0.40088349741649426</v>
          </cell>
          <cell r="U474">
            <v>0.46823935768246799</v>
          </cell>
          <cell r="W474">
            <v>0.10583919863895908</v>
          </cell>
        </row>
        <row r="475">
          <cell r="B475" t="str">
            <v>FY0</v>
          </cell>
          <cell r="C475">
            <v>0.32437098274976922</v>
          </cell>
          <cell r="D475">
            <v>0.31866099855600216</v>
          </cell>
          <cell r="E475">
            <v>0.65312992870384889</v>
          </cell>
          <cell r="F475">
            <v>0.61679852898467369</v>
          </cell>
          <cell r="G475">
            <v>0.49446934556739103</v>
          </cell>
          <cell r="H475">
            <v>0.64162547041683271</v>
          </cell>
          <cell r="I475">
            <v>0.69619172996255518</v>
          </cell>
          <cell r="J475">
            <v>0.53503528356301033</v>
          </cell>
          <cell r="K475">
            <v>0.53035963604257441</v>
          </cell>
          <cell r="M475">
            <v>0.40814676439653425</v>
          </cell>
          <cell r="N475">
            <v>0.35827227984819415</v>
          </cell>
          <cell r="O475">
            <v>0.3387947354498817</v>
          </cell>
          <cell r="P475">
            <v>0.1506674822931261</v>
          </cell>
          <cell r="Q475">
            <v>0.41098224852071003</v>
          </cell>
          <cell r="R475">
            <v>0.51139588766764599</v>
          </cell>
          <cell r="S475">
            <v>0.22361029785419212</v>
          </cell>
          <cell r="T475">
            <v>0.34312424229004063</v>
          </cell>
          <cell r="U475">
            <v>0.39089769547383957</v>
          </cell>
        </row>
        <row r="476">
          <cell r="B476" t="str">
            <v>FY1</v>
          </cell>
          <cell r="C476">
            <v>0.27761167517410235</v>
          </cell>
          <cell r="D476">
            <v>0.28675163494379724</v>
          </cell>
          <cell r="E476">
            <v>0.58794038590017261</v>
          </cell>
          <cell r="F476">
            <v>0.53853754106956986</v>
          </cell>
          <cell r="G476">
            <v>0.49605191308167351</v>
          </cell>
          <cell r="H476">
            <v>0.6363634999736747</v>
          </cell>
          <cell r="I476">
            <v>0.64872711884527645</v>
          </cell>
          <cell r="J476">
            <v>0.49599768128403809</v>
          </cell>
          <cell r="K476">
            <v>0.48136100917699715</v>
          </cell>
          <cell r="M476">
            <v>0.45338273009338498</v>
          </cell>
          <cell r="N476">
            <v>0.3113380398102033</v>
          </cell>
          <cell r="O476">
            <v>0.31348272554407308</v>
          </cell>
          <cell r="P476">
            <v>0.12284434737617074</v>
          </cell>
          <cell r="Q476">
            <v>0.42264761699012438</v>
          </cell>
          <cell r="R476">
            <v>0.55140427089044997</v>
          </cell>
          <cell r="S476">
            <v>0.1602020261661532</v>
          </cell>
          <cell r="T476">
            <v>0.33361453669579422</v>
          </cell>
          <cell r="U476">
            <v>0.39418186587584914</v>
          </cell>
        </row>
        <row r="477">
          <cell r="B477" t="str">
            <v>FY2</v>
          </cell>
          <cell r="C477">
            <v>0.24658198099063369</v>
          </cell>
          <cell r="D477">
            <v>0.27605661840184514</v>
          </cell>
          <cell r="E477">
            <v>0.50433224175968594</v>
          </cell>
          <cell r="F477">
            <v>0.5135949170173888</v>
          </cell>
          <cell r="G477">
            <v>0.48846420448934763</v>
          </cell>
          <cell r="H477">
            <v>0.6169160063040503</v>
          </cell>
          <cell r="I477">
            <v>0.59472351294919445</v>
          </cell>
          <cell r="J477">
            <v>0.46295278313030652</v>
          </cell>
          <cell r="K477">
            <v>0.43649769110271114</v>
          </cell>
          <cell r="M477">
            <v>0.51651231294961675</v>
          </cell>
          <cell r="N477">
            <v>0.31530347483637128</v>
          </cell>
          <cell r="O477">
            <v>0.28902023877853833</v>
          </cell>
          <cell r="P477">
            <v>0.10027717592566783</v>
          </cell>
          <cell r="Q477">
            <v>0.43774664231019594</v>
          </cell>
          <cell r="R477">
            <v>0.50719980535825493</v>
          </cell>
          <cell r="S477">
            <v>0.12596486252548919</v>
          </cell>
          <cell r="T477">
            <v>0.32743207324059054</v>
          </cell>
          <cell r="U477">
            <v>0.38456886671914609</v>
          </cell>
        </row>
        <row r="478">
          <cell r="B478" t="str">
            <v>FY1</v>
          </cell>
          <cell r="C478">
            <v>3.7856912119302158E-2</v>
          </cell>
          <cell r="D478">
            <v>3.4128142880679689E-2</v>
          </cell>
          <cell r="E478">
            <v>1.7111780644585135E-2</v>
          </cell>
          <cell r="F478">
            <v>4.46975854382725E-2</v>
          </cell>
          <cell r="G478">
            <v>2.5944116217902227E-2</v>
          </cell>
          <cell r="H478">
            <v>2.3149873315251059E-2</v>
          </cell>
          <cell r="I478">
            <v>2.3293819102922865E-2</v>
          </cell>
          <cell r="J478">
            <v>2.945460424555937E-2</v>
          </cell>
          <cell r="K478">
            <v>2.8240168758070814E-2</v>
          </cell>
          <cell r="M478">
            <v>6.2329427377884772E-2</v>
          </cell>
          <cell r="N478">
            <v>2.2851036467750125E-2</v>
          </cell>
          <cell r="O478">
            <v>4.3803673426332575E-2</v>
          </cell>
          <cell r="P478">
            <v>3.0749077335192904E-2</v>
          </cell>
          <cell r="Q478">
            <v>2.4603922708742794E-2</v>
          </cell>
          <cell r="R478">
            <v>2.6555011119058704E-2</v>
          </cell>
          <cell r="S478">
            <v>6.1491685262025593E-2</v>
          </cell>
          <cell r="T478">
            <v>3.8911976242426781E-2</v>
          </cell>
          <cell r="U478">
            <v>3.2167174429495293E-2</v>
          </cell>
        </row>
        <row r="479">
          <cell r="B479" t="str">
            <v>FY2</v>
          </cell>
          <cell r="C479">
            <v>4.1056912119301993E-2</v>
          </cell>
          <cell r="D479">
            <v>2.2583973489152562E-2</v>
          </cell>
          <cell r="E479">
            <v>2.6999999999999975E-2</v>
          </cell>
          <cell r="F479">
            <v>5.7000000000000009E-2</v>
          </cell>
          <cell r="G479">
            <v>1.749999999999996E-2</v>
          </cell>
          <cell r="H479">
            <v>2.7000000000000017E-2</v>
          </cell>
          <cell r="I479">
            <v>2.4293819102922845E-2</v>
          </cell>
          <cell r="J479">
            <v>3.0919243530196767E-2</v>
          </cell>
          <cell r="K479">
            <v>3.0473682053923909E-2</v>
          </cell>
          <cell r="M479">
            <v>7.4829427377884575E-2</v>
          </cell>
          <cell r="N479">
            <v>2.7949999999999978E-2</v>
          </cell>
          <cell r="O479">
            <v>4.2803673426332609E-2</v>
          </cell>
          <cell r="P479">
            <v>3.6749077335192643E-2</v>
          </cell>
          <cell r="Q479">
            <v>3.0000000000000072E-2</v>
          </cell>
          <cell r="R479">
            <v>2.9499999999999988E-2</v>
          </cell>
          <cell r="S479">
            <v>6.5794955109565761E-2</v>
          </cell>
          <cell r="T479">
            <v>4.3946733321282232E-2</v>
          </cell>
          <cell r="U479">
            <v>3.7598679443819762E-2</v>
          </cell>
        </row>
        <row r="480">
          <cell r="B480" t="str">
            <v>Unadjusted Net Debt/Cap</v>
          </cell>
        </row>
        <row r="481">
          <cell r="A481" t="str">
            <v>mstag:averageDilutedSharesOutstanding</v>
          </cell>
          <cell r="B481" t="str">
            <v>FY(2)</v>
          </cell>
          <cell r="C481">
            <v>0.17155117918135337</v>
          </cell>
          <cell r="D481">
            <v>0.13036246177433036</v>
          </cell>
          <cell r="E481">
            <v>0.46643565615462851</v>
          </cell>
          <cell r="F481">
            <v>0.59235816811785225</v>
          </cell>
          <cell r="G481">
            <v>0.26971047322857289</v>
          </cell>
          <cell r="H481">
            <v>-0.10143943375668921</v>
          </cell>
          <cell r="I481">
            <v>3.451495658087933E-2</v>
          </cell>
          <cell r="J481">
            <v>0.22335620875441822</v>
          </cell>
          <cell r="K481">
            <v>0.30990908137205347</v>
          </cell>
          <cell r="M481">
            <v>-0.32264130511775407</v>
          </cell>
          <cell r="N481">
            <v>-1.1584277864514689</v>
          </cell>
          <cell r="O481">
            <v>-0.36095859344226999</v>
          </cell>
          <cell r="P481">
            <v>-0.36363821654453149</v>
          </cell>
          <cell r="Q481">
            <v>-0.34222321828776331</v>
          </cell>
          <cell r="R481">
            <v>0.33787739453859944</v>
          </cell>
          <cell r="S481">
            <v>-0.42883724636203746</v>
          </cell>
          <cell r="T481">
            <v>-0.37697842452388947</v>
          </cell>
          <cell r="U481">
            <v>-0.13489505937003851</v>
          </cell>
        </row>
        <row r="482">
          <cell r="B482" t="str">
            <v>FY(1)</v>
          </cell>
          <cell r="C482">
            <v>0.15822915618753594</v>
          </cell>
          <cell r="D482">
            <v>0.15057089093463449</v>
          </cell>
          <cell r="E482">
            <v>0.58509062391077027</v>
          </cell>
          <cell r="F482">
            <v>0.6556757193772984</v>
          </cell>
          <cell r="G482">
            <v>0.38896458007874457</v>
          </cell>
          <cell r="H482">
            <v>-0.15017448570224767</v>
          </cell>
          <cell r="I482">
            <v>0.11189509312225583</v>
          </cell>
          <cell r="J482">
            <v>0.27146451112985603</v>
          </cell>
          <cell r="K482">
            <v>0.35221633255581436</v>
          </cell>
          <cell r="M482">
            <v>-0.21697131567535613</v>
          </cell>
          <cell r="N482">
            <v>-0.64363769503745849</v>
          </cell>
          <cell r="O482">
            <v>-0.27550098347002122</v>
          </cell>
          <cell r="P482">
            <v>-0.46612734724491706</v>
          </cell>
          <cell r="Q482">
            <v>-0.37525354969574037</v>
          </cell>
          <cell r="R482">
            <v>0.36128189984901221</v>
          </cell>
          <cell r="S482">
            <v>-0.3473065882185476</v>
          </cell>
          <cell r="T482">
            <v>-0.28050222564186122</v>
          </cell>
          <cell r="U482">
            <v>-0.13274448535899933</v>
          </cell>
        </row>
        <row r="483">
          <cell r="B483" t="str">
            <v>FY0</v>
          </cell>
          <cell r="C483">
            <v>-1.9933208662836408E-2</v>
          </cell>
          <cell r="D483">
            <v>4.7121114935010998E-2</v>
          </cell>
          <cell r="E483">
            <v>0.52329464885439214</v>
          </cell>
          <cell r="F483">
            <v>0.43447567580446406</v>
          </cell>
          <cell r="G483">
            <v>0.22179778818940543</v>
          </cell>
          <cell r="H483">
            <v>-0.47426963580467424</v>
          </cell>
          <cell r="I483">
            <v>-0.26506359909847371</v>
          </cell>
          <cell r="J483">
            <v>6.6774683459612613E-2</v>
          </cell>
          <cell r="K483">
            <v>0.18420323911802425</v>
          </cell>
          <cell r="M483">
            <v>-0.33690533113642818</v>
          </cell>
          <cell r="N483">
            <v>-0.79836155526275465</v>
          </cell>
          <cell r="O483">
            <v>-0.41568408664627049</v>
          </cell>
          <cell r="P483">
            <v>-0.44374415164262937</v>
          </cell>
          <cell r="Q483">
            <v>-0.52643631159272131</v>
          </cell>
          <cell r="R483">
            <v>0.18717424120299675</v>
          </cell>
          <cell r="S483">
            <v>-0.38675637639528909</v>
          </cell>
          <cell r="T483">
            <v>-0.38867336735329949</v>
          </cell>
          <cell r="U483">
            <v>-0.27326179546257678</v>
          </cell>
        </row>
        <row r="484">
          <cell r="B484" t="str">
            <v>FY1</v>
          </cell>
          <cell r="C484">
            <v>-7.2935073750824544E-2</v>
          </cell>
          <cell r="D484">
            <v>1.3155159541196127E-2</v>
          </cell>
          <cell r="E484">
            <v>0.41980917229782333</v>
          </cell>
          <cell r="F484">
            <v>0.36053432174461086</v>
          </cell>
          <cell r="G484">
            <v>0.20965041705312365</v>
          </cell>
          <cell r="H484">
            <v>-0.53100621148321026</v>
          </cell>
          <cell r="I484">
            <v>-0.35218119816282695</v>
          </cell>
          <cell r="J484">
            <v>6.7180838914131912E-3</v>
          </cell>
          <cell r="K484">
            <v>0.10981844106149648</v>
          </cell>
          <cell r="M484">
            <v>-0.31696737676589115</v>
          </cell>
          <cell r="N484">
            <v>-0.81056984395921061</v>
          </cell>
          <cell r="O484">
            <v>-0.45074199089855554</v>
          </cell>
          <cell r="P484">
            <v>-0.47962616706148459</v>
          </cell>
          <cell r="Q484">
            <v>-0.5259313947145341</v>
          </cell>
          <cell r="R484">
            <v>0.20478481199346313</v>
          </cell>
          <cell r="S484">
            <v>-0.4584563567467998</v>
          </cell>
          <cell r="T484">
            <v>-0.40535833116471603</v>
          </cell>
          <cell r="U484">
            <v>-0.2895501330219753</v>
          </cell>
        </row>
        <row r="485">
          <cell r="B485" t="str">
            <v>FY2</v>
          </cell>
          <cell r="C485">
            <v>-0.11691253486773395</v>
          </cell>
          <cell r="D485">
            <v>1.754998212719309E-3</v>
          </cell>
          <cell r="E485">
            <v>0.3129261572355303</v>
          </cell>
          <cell r="F485">
            <v>0.34480358906781372</v>
          </cell>
          <cell r="G485">
            <v>0.16956021690549561</v>
          </cell>
          <cell r="H485">
            <v>-0.56910526799632311</v>
          </cell>
          <cell r="I485">
            <v>-0.41624883383416506</v>
          </cell>
          <cell r="J485">
            <v>-3.9031667896666164E-2</v>
          </cell>
          <cell r="K485">
            <v>4.5605791379651359E-2</v>
          </cell>
          <cell r="M485">
            <v>-0.2634205574684077</v>
          </cell>
          <cell r="N485">
            <v>-0.82009107779971702</v>
          </cell>
          <cell r="O485">
            <v>-0.51081593690746263</v>
          </cell>
          <cell r="P485">
            <v>-0.51559661788992583</v>
          </cell>
          <cell r="Q485">
            <v>-0.5395925627073267</v>
          </cell>
          <cell r="R485">
            <v>0.12896858216293094</v>
          </cell>
          <cell r="S485">
            <v>-0.48495269741359415</v>
          </cell>
          <cell r="T485">
            <v>-0.42935726686050046</v>
          </cell>
          <cell r="U485">
            <v>-0.32037353322343692</v>
          </cell>
        </row>
        <row r="486">
          <cell r="B486" t="str">
            <v>FQ(3)</v>
          </cell>
          <cell r="C486">
            <v>0.13165244885644173</v>
          </cell>
          <cell r="D486">
            <v>0.17755785281902353</v>
          </cell>
          <cell r="E486">
            <v>0.63831195465731949</v>
          </cell>
          <cell r="F486">
            <v>0.64204997437544531</v>
          </cell>
          <cell r="G486">
            <v>0.38244531184707647</v>
          </cell>
          <cell r="H486">
            <v>-0.26173584744947953</v>
          </cell>
          <cell r="I486">
            <v>3.5756544743929017E-2</v>
          </cell>
          <cell r="J486">
            <v>0.24943403426425087</v>
          </cell>
          <cell r="K486">
            <v>0.34803839154712585</v>
          </cell>
          <cell r="M486">
            <v>-0.1943611479331738</v>
          </cell>
          <cell r="N486">
            <v>-0.6238137323775208</v>
          </cell>
          <cell r="O486">
            <v>-0.24815342698230658</v>
          </cell>
          <cell r="P486">
            <v>-0.33375451608586781</v>
          </cell>
          <cell r="Q486">
            <v>-0.37621145374449338</v>
          </cell>
          <cell r="R486">
            <v>0.41408090685248566</v>
          </cell>
          <cell r="S486">
            <v>-0.27264374428604671</v>
          </cell>
          <cell r="T486">
            <v>-0.23355101636527478</v>
          </cell>
          <cell r="U486">
            <v>-9.8884422673623046E-2</v>
          </cell>
        </row>
        <row r="487">
          <cell r="B487" t="str">
            <v>FQ(2)</v>
          </cell>
          <cell r="C487">
            <v>7.7701535780119499E-2</v>
          </cell>
          <cell r="D487">
            <v>0.13622490218961908</v>
          </cell>
          <cell r="E487">
            <v>0.6184830106230691</v>
          </cell>
          <cell r="F487">
            <v>0.53015548678398849</v>
          </cell>
          <cell r="G487">
            <v>0.37442306868519326</v>
          </cell>
          <cell r="H487">
            <v>-0.30470286332377144</v>
          </cell>
          <cell r="I487">
            <v>-5.2925525134638815E-2</v>
          </cell>
          <cell r="J487">
            <v>0.19705137365765421</v>
          </cell>
          <cell r="K487">
            <v>0.29401108161568013</v>
          </cell>
          <cell r="M487">
            <v>-0.22562571997639078</v>
          </cell>
          <cell r="N487">
            <v>-0.57138666964634899</v>
          </cell>
          <cell r="O487">
            <v>-0.29438841264919668</v>
          </cell>
          <cell r="P487">
            <v>-0.44374415164262937</v>
          </cell>
          <cell r="Q487">
            <v>-0.44910432033719705</v>
          </cell>
          <cell r="R487">
            <v>0.33171155262653013</v>
          </cell>
          <cell r="S487">
            <v>-0.25148600218600176</v>
          </cell>
          <cell r="T487">
            <v>-0.27200338911589061</v>
          </cell>
          <cell r="U487">
            <v>-0.15687992193216713</v>
          </cell>
        </row>
        <row r="488">
          <cell r="B488" t="str">
            <v>FQ(1)</v>
          </cell>
          <cell r="C488">
            <v>5.707190332305092E-2</v>
          </cell>
          <cell r="D488">
            <v>0.15826955194978698</v>
          </cell>
          <cell r="E488">
            <v>0.6226238261132987</v>
          </cell>
          <cell r="F488">
            <v>0.52691735556036645</v>
          </cell>
          <cell r="G488">
            <v>0.31966834963038077</v>
          </cell>
          <cell r="H488">
            <v>-0.33975958743009227</v>
          </cell>
          <cell r="I488">
            <v>-0.11487609725000009</v>
          </cell>
          <cell r="J488">
            <v>0.17570218598525592</v>
          </cell>
          <cell r="K488">
            <v>0.28413733640922606</v>
          </cell>
          <cell r="M488">
            <v>-0.25957070942652749</v>
          </cell>
          <cell r="N488">
            <v>-0.6367063228696217</v>
          </cell>
          <cell r="O488">
            <v>-0.29613012098734831</v>
          </cell>
          <cell r="P488">
            <v>-0.51955400366751436</v>
          </cell>
          <cell r="Q488">
            <v>-0.48142943184099579</v>
          </cell>
          <cell r="R488">
            <v>0.40295036845359711</v>
          </cell>
          <cell r="S488">
            <v>-0.34428435067392987</v>
          </cell>
          <cell r="T488">
            <v>-0.30496065300176289</v>
          </cell>
          <cell r="U488">
            <v>-0.18611066517540401</v>
          </cell>
        </row>
        <row r="489">
          <cell r="B489" t="str">
            <v>Last Reported Q</v>
          </cell>
          <cell r="C489">
            <v>-1.9933208662836408E-2</v>
          </cell>
          <cell r="D489">
            <v>4.7121114935010998E-2</v>
          </cell>
          <cell r="E489">
            <v>0.52329464885439214</v>
          </cell>
          <cell r="F489">
            <v>0.43447567580446406</v>
          </cell>
          <cell r="G489">
            <v>0.22179778818940543</v>
          </cell>
          <cell r="H489">
            <v>-0.47426963580467424</v>
          </cell>
          <cell r="I489">
            <v>-0.26506359909847371</v>
          </cell>
          <cell r="J489">
            <v>6.6774683459612613E-2</v>
          </cell>
          <cell r="K489">
            <v>0.18420323911802425</v>
          </cell>
          <cell r="M489">
            <v>-0.33690533113642818</v>
          </cell>
          <cell r="N489">
            <v>-0.79836155526275465</v>
          </cell>
          <cell r="O489">
            <v>-0.41568408664627049</v>
          </cell>
          <cell r="P489">
            <v>-0.57023011231105614</v>
          </cell>
          <cell r="Q489">
            <v>-0.52643631159272131</v>
          </cell>
          <cell r="R489">
            <v>0.18717424120299675</v>
          </cell>
          <cell r="S489">
            <v>-0.38675637639528909</v>
          </cell>
          <cell r="T489">
            <v>-0.40674279030593186</v>
          </cell>
          <cell r="U489">
            <v>-0.28900238332255856</v>
          </cell>
        </row>
        <row r="490">
          <cell r="B490" t="str">
            <v>Last Reported Q</v>
          </cell>
          <cell r="C490">
            <v>308</v>
          </cell>
          <cell r="D490">
            <v>237.6</v>
          </cell>
          <cell r="E490">
            <v>421.8</v>
          </cell>
          <cell r="F490">
            <v>220.7</v>
          </cell>
          <cell r="G490">
            <v>152.45599999999999</v>
          </cell>
          <cell r="H490">
            <v>124.648</v>
          </cell>
          <cell r="I490">
            <v>428.09199999999998</v>
          </cell>
          <cell r="M490">
            <v>88.73</v>
          </cell>
          <cell r="N490">
            <v>67.991</v>
          </cell>
          <cell r="O490">
            <v>209.393</v>
          </cell>
          <cell r="P490">
            <v>325.62</v>
          </cell>
          <cell r="Q490">
            <v>704</v>
          </cell>
          <cell r="R490">
            <v>328.25900000000001</v>
          </cell>
          <cell r="S490">
            <v>171.44390200000001</v>
          </cell>
        </row>
        <row r="491">
          <cell r="A491" t="str">
            <v>mscalc:bookValuePerShareReported</v>
          </cell>
          <cell r="B491" t="str">
            <v>Book Value per Share</v>
          </cell>
          <cell r="C491">
            <v>306.25</v>
          </cell>
          <cell r="D491">
            <v>229.17499999999998</v>
          </cell>
          <cell r="E491">
            <v>421.67500000000001</v>
          </cell>
          <cell r="F491">
            <v>218.42500000000001</v>
          </cell>
          <cell r="G491">
            <v>141.69149999999999</v>
          </cell>
          <cell r="H491">
            <v>126.26124999999999</v>
          </cell>
          <cell r="I491">
            <v>430.21950000000004</v>
          </cell>
          <cell r="M491">
            <v>88.140749999999997</v>
          </cell>
          <cell r="N491">
            <v>67.879500000000007</v>
          </cell>
          <cell r="O491">
            <v>208.06475</v>
          </cell>
          <cell r="P491">
            <v>326.54150000000004</v>
          </cell>
          <cell r="Q491">
            <v>701.75</v>
          </cell>
          <cell r="R491">
            <v>325.17600000000004</v>
          </cell>
          <cell r="S491">
            <v>170.63794924999999</v>
          </cell>
        </row>
        <row r="492">
          <cell r="B492" t="str">
            <v>FY0</v>
          </cell>
          <cell r="C492">
            <v>25.581971111559898</v>
          </cell>
          <cell r="D492">
            <v>20.228813559321999</v>
          </cell>
          <cell r="E492">
            <v>11.1522311579247</v>
          </cell>
          <cell r="F492">
            <v>7.2103264093207899</v>
          </cell>
          <cell r="G492">
            <v>6.7769218044169897</v>
          </cell>
          <cell r="H492">
            <v>9.4449871466029904</v>
          </cell>
          <cell r="I492">
            <v>7.0575837962216603</v>
          </cell>
          <cell r="M492">
            <v>20.809422060578498</v>
          </cell>
          <cell r="N492">
            <v>4.6120452582064999</v>
          </cell>
          <cell r="O492">
            <v>7.5511172122354298</v>
          </cell>
          <cell r="P492">
            <v>5.2874668910592098</v>
          </cell>
          <cell r="Q492">
            <v>7.3282179704913402</v>
          </cell>
          <cell r="R492">
            <v>6.7554028004188202</v>
          </cell>
          <cell r="S492">
            <v>7.6960105991444303</v>
          </cell>
        </row>
        <row r="493">
          <cell r="B493" t="str">
            <v>FY1</v>
          </cell>
          <cell r="C493">
            <v>28.987791150450199</v>
          </cell>
          <cell r="D493">
            <v>21.004944842021398</v>
          </cell>
          <cell r="E493">
            <v>12.80328947854</v>
          </cell>
          <cell r="F493">
            <v>9.2014588952335803</v>
          </cell>
          <cell r="G493">
            <v>6.6846983827321198</v>
          </cell>
          <cell r="H493">
            <v>10.5554386780573</v>
          </cell>
          <cell r="I493">
            <v>8.6548957537455706</v>
          </cell>
          <cell r="M493">
            <v>20.5779707680969</v>
          </cell>
          <cell r="N493">
            <v>5.9700213393204598</v>
          </cell>
          <cell r="O493">
            <v>7.7959405771838099</v>
          </cell>
          <cell r="P493">
            <v>6.2311363676978297</v>
          </cell>
          <cell r="Q493">
            <v>7.5766202395493298</v>
          </cell>
          <cell r="R493">
            <v>6.3691260799745004</v>
          </cell>
          <cell r="S493">
            <v>9.4237637110883892</v>
          </cell>
        </row>
        <row r="494">
          <cell r="B494" t="str">
            <v>FY2</v>
          </cell>
          <cell r="C494">
            <v>32.626001118711997</v>
          </cell>
          <cell r="D494">
            <v>21.959758464535799</v>
          </cell>
          <cell r="E494">
            <v>14.6807784009291</v>
          </cell>
          <cell r="F494">
            <v>10.9850032291769</v>
          </cell>
          <cell r="G494">
            <v>6.7748104299086203</v>
          </cell>
          <cell r="H494">
            <v>12.462182566505399</v>
          </cell>
          <cell r="I494">
            <v>10.707882158953799</v>
          </cell>
          <cell r="J494">
            <v>298.12399999999997</v>
          </cell>
          <cell r="K494">
            <v>1788.7439999999999</v>
          </cell>
          <cell r="M494">
            <v>20.862967341691199</v>
          </cell>
          <cell r="N494">
            <v>7.2792140908088303</v>
          </cell>
          <cell r="O494">
            <v>8.2988766572300605</v>
          </cell>
          <cell r="P494">
            <v>7.06096060554367</v>
          </cell>
          <cell r="Q494">
            <v>7.5439922520262002</v>
          </cell>
          <cell r="R494">
            <v>7.1588926320260802</v>
          </cell>
          <cell r="S494">
            <v>11.3433691405353</v>
          </cell>
          <cell r="T494">
            <v>104.35733333333333</v>
          </cell>
          <cell r="U494">
            <v>626.14400000000001</v>
          </cell>
        </row>
        <row r="495">
          <cell r="A495" t="str">
            <v>mstag:cashDividendsPaid</v>
          </cell>
          <cell r="B495" t="str">
            <v>FY(1)</v>
          </cell>
          <cell r="C495" t="str">
            <v>NA</v>
          </cell>
          <cell r="D495">
            <v>174</v>
          </cell>
          <cell r="E495">
            <v>230</v>
          </cell>
          <cell r="F495">
            <v>134</v>
          </cell>
          <cell r="G495">
            <v>7.43</v>
          </cell>
          <cell r="H495">
            <v>40.637999999999998</v>
          </cell>
          <cell r="I495">
            <v>151.49199999999999</v>
          </cell>
          <cell r="J495">
            <v>122.92666666666666</v>
          </cell>
          <cell r="K495">
            <v>737.56</v>
          </cell>
          <cell r="M495">
            <v>61.33</v>
          </cell>
          <cell r="N495">
            <v>0</v>
          </cell>
          <cell r="O495">
            <v>80.796000000000006</v>
          </cell>
          <cell r="P495">
            <v>0</v>
          </cell>
          <cell r="Q495">
            <v>252</v>
          </cell>
          <cell r="R495">
            <v>227</v>
          </cell>
          <cell r="S495" t="str">
            <v>NA</v>
          </cell>
          <cell r="T495">
            <v>103.521</v>
          </cell>
          <cell r="U495">
            <v>621.12599999999998</v>
          </cell>
        </row>
        <row r="496">
          <cell r="A496" t="str">
            <v>Free Cash Flow</v>
          </cell>
          <cell r="B496" t="str">
            <v>Free Cash Flow (EBITDA less interest, taxes at 38%, and capex)</v>
          </cell>
          <cell r="C496" t="str">
            <v>NA</v>
          </cell>
          <cell r="D496">
            <v>178</v>
          </cell>
          <cell r="E496">
            <v>221</v>
          </cell>
          <cell r="F496">
            <v>138</v>
          </cell>
          <cell r="G496">
            <v>1.1830000000000001</v>
          </cell>
          <cell r="H496">
            <v>49.838000000000001</v>
          </cell>
          <cell r="I496">
            <v>176.749</v>
          </cell>
          <cell r="J496">
            <v>127.46166666666666</v>
          </cell>
          <cell r="K496">
            <v>764.77</v>
          </cell>
          <cell r="M496">
            <v>60.768999999999998</v>
          </cell>
          <cell r="N496">
            <v>0</v>
          </cell>
          <cell r="O496">
            <v>82.394000000000005</v>
          </cell>
          <cell r="P496">
            <v>0</v>
          </cell>
          <cell r="Q496">
            <v>243</v>
          </cell>
          <cell r="R496">
            <v>201</v>
          </cell>
          <cell r="S496" t="str">
            <v>NA</v>
          </cell>
          <cell r="T496">
            <v>97.860500000000002</v>
          </cell>
          <cell r="U496">
            <v>587.16300000000001</v>
          </cell>
        </row>
        <row r="497">
          <cell r="B497" t="str">
            <v>FY(2)</v>
          </cell>
          <cell r="C497">
            <v>1360.4659999999999</v>
          </cell>
          <cell r="D497">
            <v>1336.1</v>
          </cell>
          <cell r="E497">
            <v>1743.44</v>
          </cell>
          <cell r="F497">
            <v>872.57001999999989</v>
          </cell>
          <cell r="G497">
            <v>141.49700592773291</v>
          </cell>
          <cell r="H497">
            <v>333.41181999999998</v>
          </cell>
          <cell r="I497">
            <v>1133.7966574336956</v>
          </cell>
          <cell r="J497">
            <v>988.754500480204</v>
          </cell>
          <cell r="K497">
            <v>6921.2815033614279</v>
          </cell>
          <cell r="M497">
            <v>181.81038000000001</v>
          </cell>
          <cell r="N497">
            <v>60.234480000000005</v>
          </cell>
          <cell r="O497">
            <v>165.19883999999999</v>
          </cell>
          <cell r="P497">
            <v>525.18407999999999</v>
          </cell>
          <cell r="Q497">
            <v>437.09999999999991</v>
          </cell>
          <cell r="R497">
            <v>-78.407379999999989</v>
          </cell>
          <cell r="S497">
            <v>61.648059999999987</v>
          </cell>
          <cell r="T497">
            <v>193.25263714285711</v>
          </cell>
          <cell r="U497">
            <v>1352.7684599999998</v>
          </cell>
        </row>
        <row r="498">
          <cell r="A498" t="str">
            <v>mstag:interestExpense</v>
          </cell>
          <cell r="B498" t="str">
            <v>FY(1)</v>
          </cell>
          <cell r="C498">
            <v>205.23620000000005</v>
          </cell>
          <cell r="D498">
            <v>-117.85800000000302</v>
          </cell>
          <cell r="E498">
            <v>414.92000000000007</v>
          </cell>
          <cell r="F498">
            <v>26.341619999999921</v>
          </cell>
          <cell r="G498">
            <v>-139.16627083414218</v>
          </cell>
          <cell r="H498">
            <v>167.75255881623235</v>
          </cell>
          <cell r="I498">
            <v>546.79914000000008</v>
          </cell>
          <cell r="J498">
            <v>157.71789256886959</v>
          </cell>
          <cell r="K498">
            <v>1104.0252479820872</v>
          </cell>
          <cell r="M498">
            <v>74.873244464512823</v>
          </cell>
          <cell r="N498">
            <v>98.973440000000011</v>
          </cell>
          <cell r="O498">
            <v>-3.5592199999999821</v>
          </cell>
          <cell r="P498">
            <v>618.83845999999994</v>
          </cell>
          <cell r="Q498">
            <v>858.59999999999991</v>
          </cell>
          <cell r="R498">
            <v>73.380319999999983</v>
          </cell>
          <cell r="S498">
            <v>117.67098000000001</v>
          </cell>
          <cell r="T498">
            <v>262.68246063778753</v>
          </cell>
          <cell r="U498">
            <v>1838.7772244645128</v>
          </cell>
        </row>
        <row r="499">
          <cell r="A499">
            <v>0.38</v>
          </cell>
          <cell r="B499" t="str">
            <v>FY0</v>
          </cell>
          <cell r="C499">
            <v>683.11999999999989</v>
          </cell>
          <cell r="D499">
            <v>-43.240000000000009</v>
          </cell>
          <cell r="E499">
            <v>846.96</v>
          </cell>
          <cell r="F499">
            <v>265.58000000000004</v>
          </cell>
          <cell r="G499">
            <v>-33.877099999999992</v>
          </cell>
          <cell r="H499">
            <v>395.02296000000001</v>
          </cell>
          <cell r="I499">
            <v>1050.4924400000002</v>
          </cell>
          <cell r="J499">
            <v>452.00832857142865</v>
          </cell>
          <cell r="K499">
            <v>3164.0583000000006</v>
          </cell>
          <cell r="M499">
            <v>62.684879999999993</v>
          </cell>
          <cell r="N499">
            <v>218.12030000000001</v>
          </cell>
          <cell r="O499">
            <v>120.84016000000001</v>
          </cell>
          <cell r="P499">
            <v>559.41203999999993</v>
          </cell>
          <cell r="Q499">
            <v>1143.46</v>
          </cell>
          <cell r="R499">
            <v>406.55790000000002</v>
          </cell>
          <cell r="S499">
            <v>144.51503698254709</v>
          </cell>
          <cell r="T499">
            <v>379.37004528322097</v>
          </cell>
          <cell r="U499">
            <v>2655.5903169825469</v>
          </cell>
        </row>
        <row r="500">
          <cell r="A500" t="str">
            <v>mstag:otherInterestIncomeExpense</v>
          </cell>
          <cell r="B500" t="str">
            <v>FY1</v>
          </cell>
          <cell r="C500">
            <v>680.79069688994991</v>
          </cell>
          <cell r="D500">
            <v>177.03400258655063</v>
          </cell>
          <cell r="E500">
            <v>935.13459901374267</v>
          </cell>
          <cell r="F500">
            <v>318.122968079369</v>
          </cell>
          <cell r="G500">
            <v>-13.694872436350408</v>
          </cell>
          <cell r="H500">
            <v>433.88313836270947</v>
          </cell>
          <cell r="I500">
            <v>1220.086555265349</v>
          </cell>
          <cell r="J500">
            <v>535.90815539447431</v>
          </cell>
          <cell r="K500">
            <v>3751.3570877613201</v>
          </cell>
          <cell r="M500">
            <v>64.570561609984964</v>
          </cell>
          <cell r="N500">
            <v>220.1304458997646</v>
          </cell>
          <cell r="O500">
            <v>224.03654899880598</v>
          </cell>
          <cell r="P500">
            <v>652.95258730104558</v>
          </cell>
          <cell r="Q500">
            <v>853.00671725937082</v>
          </cell>
          <cell r="R500">
            <v>465.44580975535899</v>
          </cell>
          <cell r="S500">
            <v>178.370021577594</v>
          </cell>
          <cell r="T500">
            <v>379.78752748598924</v>
          </cell>
          <cell r="U500">
            <v>2658.5126924019246</v>
          </cell>
        </row>
        <row r="501">
          <cell r="B501" t="str">
            <v>FY2</v>
          </cell>
          <cell r="C501">
            <v>722.01096722923512</v>
          </cell>
          <cell r="D501">
            <v>253.32779521420207</v>
          </cell>
          <cell r="E501">
            <v>924.7982950086739</v>
          </cell>
          <cell r="F501">
            <v>312.27250743986087</v>
          </cell>
          <cell r="G501">
            <v>79.398365058291446</v>
          </cell>
          <cell r="H501">
            <v>432.05155555638959</v>
          </cell>
          <cell r="I501">
            <v>1284.6515781260714</v>
          </cell>
          <cell r="J501">
            <v>572.64443766181773</v>
          </cell>
          <cell r="K501">
            <v>4008.5110636327245</v>
          </cell>
          <cell r="M501">
            <v>109.05470063555117</v>
          </cell>
          <cell r="N501">
            <v>216.65298271796476</v>
          </cell>
          <cell r="O501">
            <v>279.80100799880029</v>
          </cell>
          <cell r="P501">
            <v>680.55099082875904</v>
          </cell>
          <cell r="Q501">
            <v>939.98306811354939</v>
          </cell>
          <cell r="R501">
            <v>520.64507838295549</v>
          </cell>
          <cell r="S501">
            <v>215.82651155609608</v>
          </cell>
          <cell r="T501">
            <v>423.21633431909657</v>
          </cell>
          <cell r="U501">
            <v>2962.5143402336762</v>
          </cell>
        </row>
        <row r="502">
          <cell r="B502" t="str">
            <v>Last Reported Q</v>
          </cell>
          <cell r="C502" t="str">
            <v>NA</v>
          </cell>
          <cell r="D502">
            <v>47</v>
          </cell>
          <cell r="E502">
            <v>21</v>
          </cell>
          <cell r="F502">
            <v>35</v>
          </cell>
          <cell r="G502">
            <v>0</v>
          </cell>
          <cell r="H502">
            <v>13.734999999999999</v>
          </cell>
          <cell r="I502">
            <v>50.8</v>
          </cell>
          <cell r="J502">
            <v>27.922499999999999</v>
          </cell>
          <cell r="K502">
            <v>167.535</v>
          </cell>
          <cell r="M502">
            <v>16.858699999999999</v>
          </cell>
          <cell r="N502">
            <v>0</v>
          </cell>
          <cell r="O502">
            <v>20.757000000000001</v>
          </cell>
          <cell r="P502">
            <v>0</v>
          </cell>
          <cell r="Q502">
            <v>60</v>
          </cell>
          <cell r="R502">
            <v>49.238849999999999</v>
          </cell>
          <cell r="S502" t="str">
            <v>NA</v>
          </cell>
          <cell r="T502">
            <v>24.475758333333335</v>
          </cell>
          <cell r="U502">
            <v>146.85455000000002</v>
          </cell>
        </row>
        <row r="503">
          <cell r="B503" t="str">
            <v>Free Cash Flow/Sales</v>
          </cell>
          <cell r="C503">
            <v>0</v>
          </cell>
          <cell r="D503">
            <v>180</v>
          </cell>
          <cell r="E503">
            <v>118</v>
          </cell>
          <cell r="F503">
            <v>138</v>
          </cell>
          <cell r="G503">
            <v>0.53700000000000003</v>
          </cell>
          <cell r="H503">
            <v>54.201000000000001</v>
          </cell>
          <cell r="I503">
            <v>193.01299999999998</v>
          </cell>
          <cell r="J503">
            <v>97.678714285714278</v>
          </cell>
          <cell r="K503">
            <v>683.75099999999998</v>
          </cell>
          <cell r="M503">
            <v>62.804699999999997</v>
          </cell>
          <cell r="N503">
            <v>0</v>
          </cell>
          <cell r="O503">
            <v>83.063000000000002</v>
          </cell>
          <cell r="P503">
            <v>0</v>
          </cell>
          <cell r="Q503">
            <v>238</v>
          </cell>
          <cell r="R503">
            <v>193.23885000000001</v>
          </cell>
          <cell r="S503">
            <v>0</v>
          </cell>
          <cell r="T503">
            <v>82.443792857142853</v>
          </cell>
          <cell r="U503">
            <v>577.10654999999997</v>
          </cell>
        </row>
        <row r="504">
          <cell r="B504" t="str">
            <v>FY(2)</v>
          </cell>
          <cell r="C504">
            <v>8.2584118928959477E-2</v>
          </cell>
          <cell r="D504">
            <v>6.7272781284662894E-2</v>
          </cell>
          <cell r="E504">
            <v>6.6257743320792012E-2</v>
          </cell>
          <cell r="F504">
            <v>9.8843271958380621E-2</v>
          </cell>
          <cell r="G504">
            <v>4.3342392828759901E-2</v>
          </cell>
          <cell r="H504">
            <v>5.5799161602969057E-2</v>
          </cell>
          <cell r="I504">
            <v>6.1832011747009565E-2</v>
          </cell>
          <cell r="J504">
            <v>6.7990211667361938E-2</v>
          </cell>
          <cell r="K504">
            <v>6.9875221653607225E-2</v>
          </cell>
          <cell r="M504">
            <v>4.914250946574493E-2</v>
          </cell>
          <cell r="N504">
            <v>3.8046441883218811E-2</v>
          </cell>
          <cell r="O504">
            <v>5.4067491234426439E-2</v>
          </cell>
          <cell r="P504">
            <v>0.20103078482470135</v>
          </cell>
          <cell r="Q504">
            <v>2.7729493116792483E-2</v>
          </cell>
          <cell r="R504">
            <v>-7.7736567835179878E-3</v>
          </cell>
          <cell r="S504">
            <v>4.0888159901944908E-2</v>
          </cell>
          <cell r="T504">
            <v>5.7590174806187271E-2</v>
          </cell>
          <cell r="U504">
            <v>3.5313197223818864E-2</v>
          </cell>
        </row>
        <row r="505">
          <cell r="B505" t="str">
            <v>FY(1)</v>
          </cell>
          <cell r="C505">
            <v>1.2522878289574043E-2</v>
          </cell>
          <cell r="D505">
            <v>-6.3753643074999028E-3</v>
          </cell>
          <cell r="E505">
            <v>1.6668809255985861E-2</v>
          </cell>
          <cell r="F505">
            <v>3.1771342419490917E-3</v>
          </cell>
          <cell r="G505">
            <v>-4.5825289188847984E-2</v>
          </cell>
          <cell r="H505">
            <v>2.5863238332732671E-2</v>
          </cell>
          <cell r="I505">
            <v>2.8779651890930846E-2</v>
          </cell>
          <cell r="J505">
            <v>4.9730083592606613E-3</v>
          </cell>
          <cell r="K505">
            <v>1.1431092390628375E-2</v>
          </cell>
          <cell r="M505">
            <v>2.1490246705066201E-2</v>
          </cell>
          <cell r="N505">
            <v>5.2491017119315468E-2</v>
          </cell>
          <cell r="O505">
            <v>-1.1908457426466667E-3</v>
          </cell>
          <cell r="P505">
            <v>0.19455697495910562</v>
          </cell>
          <cell r="Q505">
            <v>5.9107806691449806E-2</v>
          </cell>
          <cell r="R505">
            <v>8.1148674494490071E-3</v>
          </cell>
          <cell r="S505">
            <v>6.4139226803617985E-2</v>
          </cell>
          <cell r="T505">
            <v>5.6958470569336783E-2</v>
          </cell>
          <cell r="U505">
            <v>4.9774058879925059E-2</v>
          </cell>
        </row>
        <row r="506">
          <cell r="B506" t="str">
            <v>FY0</v>
          </cell>
          <cell r="C506">
            <v>3.9769459160505317E-2</v>
          </cell>
          <cell r="D506">
            <v>-2.4627680711198658E-3</v>
          </cell>
          <cell r="E506">
            <v>3.605772914981481E-2</v>
          </cell>
          <cell r="F506">
            <v>3.2160329377573266E-2</v>
          </cell>
          <cell r="G506">
            <v>-1.2902072201423611E-2</v>
          </cell>
          <cell r="H506">
            <v>5.4984861946604312E-2</v>
          </cell>
          <cell r="I506">
            <v>5.1777871186178707E-2</v>
          </cell>
          <cell r="J506">
            <v>2.8483630078304706E-2</v>
          </cell>
          <cell r="K506">
            <v>3.2761061584019244E-2</v>
          </cell>
          <cell r="M506">
            <v>2.1404201630457975E-2</v>
          </cell>
          <cell r="N506">
            <v>9.7807188450768023E-2</v>
          </cell>
          <cell r="O506">
            <v>4.040722835002699E-2</v>
          </cell>
          <cell r="P506">
            <v>0.1731674915213523</v>
          </cell>
          <cell r="Q506">
            <v>8.0542368105937873E-2</v>
          </cell>
          <cell r="R506">
            <v>4.7095995481745138E-2</v>
          </cell>
          <cell r="S506">
            <v>7.4576281524576432E-2</v>
          </cell>
          <cell r="T506">
            <v>7.6428679294980664E-2</v>
          </cell>
          <cell r="U506">
            <v>7.3466191367664663E-2</v>
          </cell>
        </row>
        <row r="507">
          <cell r="B507" t="str">
            <v>FY1</v>
          </cell>
          <cell r="C507">
            <v>3.6803257951795759E-2</v>
          </cell>
          <cell r="D507">
            <v>9.9422774355722929E-3</v>
          </cell>
          <cell r="E507">
            <v>3.8099441311130286E-2</v>
          </cell>
          <cell r="F507">
            <v>3.5618222607814165E-2</v>
          </cell>
          <cell r="G507">
            <v>-5.0027060435742943E-3</v>
          </cell>
          <cell r="H507">
            <v>5.5598520850968301E-2</v>
          </cell>
          <cell r="I507">
            <v>5.5317283808356203E-2</v>
          </cell>
          <cell r="J507">
            <v>3.2339471131723245E-2</v>
          </cell>
          <cell r="K507">
            <v>3.6642275467751659E-2</v>
          </cell>
          <cell r="M507">
            <v>2.0415970470597081E-2</v>
          </cell>
          <cell r="N507">
            <v>9.0578807962802529E-2</v>
          </cell>
          <cell r="O507">
            <v>7.4955877918586475E-2</v>
          </cell>
          <cell r="P507">
            <v>0.18784054717553669</v>
          </cell>
          <cell r="Q507">
            <v>6.0678926608646197E-2</v>
          </cell>
          <cell r="R507">
            <v>5.1087560549650884E-2</v>
          </cell>
          <cell r="S507">
            <v>7.8872067209330793E-2</v>
          </cell>
          <cell r="T507">
            <v>8.0632822556450101E-2</v>
          </cell>
          <cell r="U507">
            <v>7.0916381862729541E-2</v>
          </cell>
        </row>
        <row r="508">
          <cell r="B508" t="str">
            <v>FY2</v>
          </cell>
          <cell r="C508">
            <v>3.6029295706379805E-2</v>
          </cell>
          <cell r="D508">
            <v>1.3920310414361453E-2</v>
          </cell>
          <cell r="E508">
            <v>3.736448357061728E-2</v>
          </cell>
          <cell r="F508">
            <v>3.3390176917072134E-2</v>
          </cell>
          <cell r="G508">
            <v>2.7077350511000488E-2</v>
          </cell>
          <cell r="H508">
            <v>5.2939374833065829E-2</v>
          </cell>
          <cell r="I508">
            <v>5.4643574172277366E-2</v>
          </cell>
          <cell r="J508">
            <v>3.6480652303539196E-2</v>
          </cell>
          <cell r="K508">
            <v>3.7482292599545136E-2</v>
          </cell>
          <cell r="M508">
            <v>3.1915815703665182E-2</v>
          </cell>
          <cell r="N508">
            <v>7.8763822416031151E-2</v>
          </cell>
          <cell r="O508">
            <v>8.4651764735319185E-2</v>
          </cell>
          <cell r="P508">
            <v>0.18307230899177407</v>
          </cell>
          <cell r="Q508">
            <v>6.9583157735798123E-2</v>
          </cell>
          <cell r="R508">
            <v>5.5070402142244991E-2</v>
          </cell>
          <cell r="S508">
            <v>8.3649771901842876E-2</v>
          </cell>
          <cell r="T508">
            <v>8.3815291946667939E-2</v>
          </cell>
          <cell r="U508">
            <v>7.6484772109785409E-2</v>
          </cell>
        </row>
        <row r="509">
          <cell r="B509" t="str">
            <v>FY1</v>
          </cell>
          <cell r="D509">
            <v>0.78550963147963926</v>
          </cell>
          <cell r="E509">
            <v>0.1993717773958395</v>
          </cell>
          <cell r="F509">
            <v>0.63496384836295683</v>
          </cell>
          <cell r="G509">
            <v>3.7211925699959076E-3</v>
          </cell>
          <cell r="H509">
            <v>0.44083291573044459</v>
          </cell>
          <cell r="I509">
            <v>0.46264560175149388</v>
          </cell>
          <cell r="M509">
            <v>0.73000681957512381</v>
          </cell>
          <cell r="N509">
            <v>0</v>
          </cell>
          <cell r="O509">
            <v>0.39783823264566592</v>
          </cell>
          <cell r="P509">
            <v>0.29736306688131298</v>
          </cell>
          <cell r="Q509">
            <v>0.33916219577575579</v>
          </cell>
          <cell r="R509">
            <v>0.59587734423778893</v>
          </cell>
          <cell r="S509" t="e">
            <v>#VALUE!</v>
          </cell>
        </row>
        <row r="510">
          <cell r="B510" t="str">
            <v>Free Cash Flow/Share</v>
          </cell>
          <cell r="D510">
            <v>0.86406059462760387</v>
          </cell>
          <cell r="E510">
            <v>0.2309150600599611</v>
          </cell>
          <cell r="F510">
            <v>0.63496384836295727</v>
          </cell>
          <cell r="G510">
            <v>0</v>
          </cell>
          <cell r="H510">
            <v>0.47713743550384785</v>
          </cell>
          <cell r="I510">
            <v>0.53528137752412319</v>
          </cell>
          <cell r="M510">
            <v>0.78806017555813523</v>
          </cell>
          <cell r="N510">
            <v>0</v>
          </cell>
          <cell r="O510">
            <v>0.41521422924591944</v>
          </cell>
          <cell r="P510">
            <v>0.3270077479111474</v>
          </cell>
          <cell r="Q510">
            <v>0.38380166486551759</v>
          </cell>
          <cell r="R510">
            <v>0.62236453288448068</v>
          </cell>
          <cell r="S510" t="e">
            <v>#VALUE!</v>
          </cell>
        </row>
        <row r="511">
          <cell r="B511" t="str">
            <v>FY(2)</v>
          </cell>
          <cell r="C511">
            <v>4.2490893744343969</v>
          </cell>
          <cell r="D511">
            <v>5.9336071944043516</v>
          </cell>
          <cell r="E511">
            <v>3.8593027116768126</v>
          </cell>
          <cell r="F511">
            <v>3.5063074111764871</v>
          </cell>
          <cell r="G511">
            <v>0.92162447683014992</v>
          </cell>
          <cell r="H511">
            <v>2.4313646589537625</v>
          </cell>
          <cell r="I511">
            <v>2.4224043308428991</v>
          </cell>
          <cell r="M511">
            <v>1.9864993498901917</v>
          </cell>
          <cell r="N511">
            <v>0.53651925286588464</v>
          </cell>
          <cell r="O511">
            <v>0.74994933720719081</v>
          </cell>
          <cell r="P511">
            <v>1.3917469975301837</v>
          </cell>
          <cell r="Q511">
            <v>0.55059964786060023</v>
          </cell>
          <cell r="R511">
            <v>-0.2062102633864612</v>
          </cell>
          <cell r="S511">
            <v>0.36341394076755845</v>
          </cell>
        </row>
        <row r="512">
          <cell r="B512" t="str">
            <v>FY(1)</v>
          </cell>
          <cell r="C512">
            <v>0.66934487847434565</v>
          </cell>
          <cell r="D512">
            <v>-0.52880762759395628</v>
          </cell>
          <cell r="E512">
            <v>0.98456427596844054</v>
          </cell>
          <cell r="F512">
            <v>0.12026764068028728</v>
          </cell>
          <cell r="G512">
            <v>-1.0056528994258165</v>
          </cell>
          <cell r="H512">
            <v>1.2780636112935091</v>
          </cell>
          <cell r="I512">
            <v>1.23638882545138</v>
          </cell>
          <cell r="M512">
            <v>0.83853069698528215</v>
          </cell>
          <cell r="N512">
            <v>0.97641608460597462</v>
          </cell>
          <cell r="O512">
            <v>-1.71460916649805E-2</v>
          </cell>
          <cell r="P512">
            <v>1.7177598894128945</v>
          </cell>
          <cell r="Q512">
            <v>1.1941585535465924</v>
          </cell>
          <cell r="R512">
            <v>0.21755144514839858</v>
          </cell>
          <cell r="S512">
            <v>0.6887105598096076</v>
          </cell>
        </row>
        <row r="513">
          <cell r="B513" t="str">
            <v>FY0</v>
          </cell>
          <cell r="C513">
            <v>2.22514657980456</v>
          </cell>
          <cell r="D513">
            <v>-0.18569894782048532</v>
          </cell>
          <cell r="E513">
            <v>2.0053510121936782</v>
          </cell>
          <cell r="F513">
            <v>1.209105394946506</v>
          </cell>
          <cell r="G513">
            <v>-0.23070050291294525</v>
          </cell>
          <cell r="H513">
            <v>3.1587622369933528</v>
          </cell>
          <cell r="I513">
            <v>2.4579735903402469</v>
          </cell>
          <cell r="M513">
            <v>0.70946813838531597</v>
          </cell>
          <cell r="N513">
            <v>2.1590778497348424</v>
          </cell>
          <cell r="O513">
            <v>0.57791712897425107</v>
          </cell>
          <cell r="P513">
            <v>1.7179904182789754</v>
          </cell>
          <cell r="Q513">
            <v>1.6370221904080173</v>
          </cell>
          <cell r="R513">
            <v>1.2441904732759017</v>
          </cell>
          <cell r="S513">
            <v>0.84400480291871405</v>
          </cell>
        </row>
        <row r="514">
          <cell r="B514" t="str">
            <v>FY1</v>
          </cell>
          <cell r="C514">
            <v>2.1951450951174922</v>
          </cell>
          <cell r="D514">
            <v>0.74603456631500475</v>
          </cell>
          <cell r="E514">
            <v>2.1955124058266442</v>
          </cell>
          <cell r="F514">
            <v>1.4328531067238148</v>
          </cell>
          <cell r="G514">
            <v>-9.0055927496579119E-2</v>
          </cell>
          <cell r="H514">
            <v>3.5734863855257211</v>
          </cell>
          <cell r="I514">
            <v>2.9684399163408011</v>
          </cell>
          <cell r="M514">
            <v>0.74223864787224936</v>
          </cell>
          <cell r="N514">
            <v>2.3366848582764055</v>
          </cell>
          <cell r="O514">
            <v>1.0447714364107594</v>
          </cell>
          <cell r="P514">
            <v>2.0554148784630577</v>
          </cell>
          <cell r="Q514">
            <v>1.2998429620665346</v>
          </cell>
          <cell r="R514">
            <v>1.4451999331855581</v>
          </cell>
          <cell r="S514">
            <v>1.0344969730953626</v>
          </cell>
        </row>
        <row r="515">
          <cell r="B515" t="str">
            <v>FY2</v>
          </cell>
          <cell r="C515">
            <v>2.3970045054472342</v>
          </cell>
          <cell r="D515">
            <v>1.067257525113209</v>
          </cell>
          <cell r="E515">
            <v>2.1712447937658159</v>
          </cell>
          <cell r="F515">
            <v>1.4389650502363978</v>
          </cell>
          <cell r="G515">
            <v>0.48361756194990174</v>
          </cell>
          <cell r="H515">
            <v>3.7535223162014</v>
          </cell>
          <cell r="I515">
            <v>3.260057704660106</v>
          </cell>
          <cell r="M515">
            <v>1.3127786118715399</v>
          </cell>
          <cell r="N515">
            <v>2.5241314071906578</v>
          </cell>
          <cell r="O515">
            <v>1.291288849083452</v>
          </cell>
          <cell r="P515">
            <v>2.2381603419179101</v>
          </cell>
          <cell r="Q515">
            <v>1.5436247730291666</v>
          </cell>
          <cell r="R515">
            <v>1.6420317539906257</v>
          </cell>
          <cell r="S515">
            <v>1.2551492139054254</v>
          </cell>
        </row>
        <row r="517">
          <cell r="A517" t="str">
            <v>mstag:fundsUsedToRepurchaseCommonStock</v>
          </cell>
          <cell r="B517" t="str">
            <v>Capex</v>
          </cell>
        </row>
        <row r="518">
          <cell r="B518" t="str">
            <v>FY(5)</v>
          </cell>
          <cell r="C518">
            <v>889.59799999999996</v>
          </cell>
          <cell r="D518">
            <v>398</v>
          </cell>
          <cell r="E518">
            <v>548</v>
          </cell>
          <cell r="F518">
            <v>246.851</v>
          </cell>
          <cell r="G518">
            <v>96.013000000000005</v>
          </cell>
          <cell r="H518">
            <v>149.541</v>
          </cell>
          <cell r="I518">
            <v>429.13299999999998</v>
          </cell>
          <cell r="J518">
            <v>393.87657142857142</v>
          </cell>
          <cell r="K518">
            <v>2757.136</v>
          </cell>
          <cell r="M518">
            <v>185.065</v>
          </cell>
          <cell r="N518">
            <v>46.677</v>
          </cell>
          <cell r="O518">
            <v>97.287999999999997</v>
          </cell>
          <cell r="P518">
            <v>67.692999999999998</v>
          </cell>
          <cell r="Q518">
            <v>419</v>
          </cell>
          <cell r="R518">
            <v>431</v>
          </cell>
          <cell r="S518">
            <v>75.141000000000005</v>
          </cell>
          <cell r="T518">
            <v>188.8377142857143</v>
          </cell>
          <cell r="U518">
            <v>1321.864</v>
          </cell>
        </row>
        <row r="519">
          <cell r="B519" t="str">
            <v>FY(4)</v>
          </cell>
          <cell r="C519">
            <v>828.09500000000003</v>
          </cell>
          <cell r="D519">
            <v>535</v>
          </cell>
          <cell r="E519">
            <v>656</v>
          </cell>
          <cell r="F519">
            <v>271.65899999999999</v>
          </cell>
          <cell r="G519">
            <v>130.124</v>
          </cell>
          <cell r="H519">
            <v>175.851</v>
          </cell>
          <cell r="I519">
            <v>495.94799999999998</v>
          </cell>
          <cell r="J519">
            <v>441.81099999999998</v>
          </cell>
          <cell r="K519">
            <v>3092.6769999999997</v>
          </cell>
          <cell r="M519">
            <v>256.42200000000003</v>
          </cell>
          <cell r="N519">
            <v>58.289000000000001</v>
          </cell>
          <cell r="O519">
            <v>81.545000000000002</v>
          </cell>
          <cell r="P519">
            <v>94.591999999999999</v>
          </cell>
          <cell r="Q519">
            <v>600</v>
          </cell>
          <cell r="R519">
            <v>480</v>
          </cell>
          <cell r="S519">
            <v>127.73</v>
          </cell>
          <cell r="T519">
            <v>242.654</v>
          </cell>
          <cell r="U519">
            <v>1698.578</v>
          </cell>
        </row>
        <row r="520">
          <cell r="B520" t="str">
            <v>FY(3)</v>
          </cell>
          <cell r="C520">
            <v>1163.0920000000001</v>
          </cell>
          <cell r="D520">
            <v>772</v>
          </cell>
          <cell r="E520">
            <v>1392</v>
          </cell>
          <cell r="F520">
            <v>264.43700000000001</v>
          </cell>
          <cell r="G520">
            <v>123.679</v>
          </cell>
          <cell r="H520">
            <v>223.95500000000001</v>
          </cell>
          <cell r="I520">
            <v>378.01100000000002</v>
          </cell>
          <cell r="J520">
            <v>616.73914285714284</v>
          </cell>
          <cell r="K520">
            <v>4317.174</v>
          </cell>
          <cell r="M520">
            <v>403.476</v>
          </cell>
          <cell r="N520">
            <v>44.948999999999998</v>
          </cell>
          <cell r="O520">
            <v>225.93899999999999</v>
          </cell>
          <cell r="P520">
            <v>133.876</v>
          </cell>
          <cell r="Q520">
            <v>572</v>
          </cell>
          <cell r="R520">
            <v>548</v>
          </cell>
          <cell r="S520">
            <v>212.029</v>
          </cell>
          <cell r="T520">
            <v>305.75271428571432</v>
          </cell>
          <cell r="U520">
            <v>2140.2690000000002</v>
          </cell>
        </row>
        <row r="521">
          <cell r="B521" t="str">
            <v>FY(2)</v>
          </cell>
          <cell r="C521">
            <v>1541.683</v>
          </cell>
          <cell r="D521">
            <v>1243</v>
          </cell>
          <cell r="E521">
            <v>1105</v>
          </cell>
          <cell r="F521">
            <v>501</v>
          </cell>
          <cell r="G521">
            <v>136.726</v>
          </cell>
          <cell r="H521">
            <v>236.12100000000001</v>
          </cell>
          <cell r="I521">
            <v>526.98699999999997</v>
          </cell>
          <cell r="J521">
            <v>755.78814285714282</v>
          </cell>
          <cell r="K521">
            <v>5290.5169999999998</v>
          </cell>
          <cell r="M521">
            <v>403.34500000000003</v>
          </cell>
          <cell r="N521">
            <v>82.305999999999997</v>
          </cell>
          <cell r="O521">
            <v>250.40700000000001</v>
          </cell>
          <cell r="P521">
            <v>140.87200000000001</v>
          </cell>
          <cell r="Q521">
            <v>682</v>
          </cell>
          <cell r="R521">
            <v>749</v>
          </cell>
          <cell r="S521">
            <v>115.37</v>
          </cell>
          <cell r="T521">
            <v>346.18571428571431</v>
          </cell>
          <cell r="U521">
            <v>2423.3000000000002</v>
          </cell>
        </row>
        <row r="522">
          <cell r="A522" t="str">
            <v>mstag:capitalExpenditures</v>
          </cell>
          <cell r="B522" t="str">
            <v>FY(1)</v>
          </cell>
          <cell r="C522">
            <v>1014</v>
          </cell>
          <cell r="D522">
            <v>969</v>
          </cell>
          <cell r="E522">
            <v>897</v>
          </cell>
          <cell r="F522">
            <v>563</v>
          </cell>
          <cell r="G522">
            <v>127.30500000000001</v>
          </cell>
          <cell r="H522">
            <v>224.41800000000001</v>
          </cell>
          <cell r="I522">
            <v>582.93200000000002</v>
          </cell>
          <cell r="J522">
            <v>625.37928571428563</v>
          </cell>
          <cell r="K522">
            <v>4377.6549999999997</v>
          </cell>
          <cell r="M522">
            <v>367.60199999999998</v>
          </cell>
          <cell r="N522">
            <v>83.034999999999997</v>
          </cell>
          <cell r="O522">
            <v>265.33499999999998</v>
          </cell>
          <cell r="P522">
            <v>174.72</v>
          </cell>
          <cell r="Q522">
            <v>431</v>
          </cell>
          <cell r="R522">
            <v>479</v>
          </cell>
          <cell r="S522">
            <v>112.553</v>
          </cell>
          <cell r="T522">
            <v>273.32071428571425</v>
          </cell>
          <cell r="U522">
            <v>1913.2449999999999</v>
          </cell>
        </row>
        <row r="523">
          <cell r="B523" t="str">
            <v>FY0</v>
          </cell>
          <cell r="C523">
            <v>666</v>
          </cell>
          <cell r="D523">
            <v>600</v>
          </cell>
          <cell r="E523">
            <v>460</v>
          </cell>
          <cell r="F523">
            <v>360</v>
          </cell>
          <cell r="G523">
            <v>74.576999999999998</v>
          </cell>
          <cell r="H523">
            <v>158.48699999999999</v>
          </cell>
          <cell r="I523">
            <v>429.3</v>
          </cell>
          <cell r="J523">
            <v>392.62342857142863</v>
          </cell>
          <cell r="K523">
            <v>2748.3640000000005</v>
          </cell>
          <cell r="M523">
            <v>175.47200000000001</v>
          </cell>
          <cell r="N523">
            <v>53.883000000000003</v>
          </cell>
          <cell r="O523">
            <v>127.419</v>
          </cell>
          <cell r="P523">
            <v>137.029</v>
          </cell>
          <cell r="Q523">
            <v>334</v>
          </cell>
          <cell r="R523">
            <v>202</v>
          </cell>
          <cell r="S523">
            <v>119.162038443713</v>
          </cell>
          <cell r="T523">
            <v>164.13786263481614</v>
          </cell>
          <cell r="U523">
            <v>1148.965038443713</v>
          </cell>
        </row>
        <row r="524">
          <cell r="B524" t="str">
            <v>FY1</v>
          </cell>
          <cell r="C524">
            <v>907.58838587964101</v>
          </cell>
          <cell r="D524">
            <v>516.37928113343298</v>
          </cell>
          <cell r="E524">
            <v>565.12585635259802</v>
          </cell>
          <cell r="F524">
            <v>455.23699236309801</v>
          </cell>
          <cell r="G524">
            <v>77.761425590910207</v>
          </cell>
          <cell r="H524">
            <v>216.66670210473899</v>
          </cell>
          <cell r="I524">
            <v>471.33063965813898</v>
          </cell>
          <cell r="J524">
            <v>458.58418329750833</v>
          </cell>
          <cell r="K524">
            <v>3210.0892830825583</v>
          </cell>
          <cell r="M524">
            <v>252.64958018246</v>
          </cell>
          <cell r="N524">
            <v>79.400220215663794</v>
          </cell>
          <cell r="O524">
            <v>104.611932148604</v>
          </cell>
          <cell r="P524">
            <v>109.483966350592</v>
          </cell>
          <cell r="Q524">
            <v>588.34474706810602</v>
          </cell>
          <cell r="R524">
            <v>273.32239281791698</v>
          </cell>
          <cell r="S524">
            <v>148.61906341465499</v>
          </cell>
          <cell r="T524">
            <v>222.34741459971397</v>
          </cell>
          <cell r="U524">
            <v>1556.4319021979977</v>
          </cell>
          <cell r="W524">
            <v>4766.521185280556</v>
          </cell>
        </row>
        <row r="525">
          <cell r="B525" t="str">
            <v>FY2</v>
          </cell>
          <cell r="C525">
            <v>1083.4152741635201</v>
          </cell>
          <cell r="D525">
            <v>545.95290120724496</v>
          </cell>
          <cell r="E525">
            <v>705.395843567165</v>
          </cell>
          <cell r="F525">
            <v>533.07692763290902</v>
          </cell>
          <cell r="G525">
            <v>36.653496169259</v>
          </cell>
          <cell r="H525">
            <v>234.750554079805</v>
          </cell>
          <cell r="I525">
            <v>525.90098383666202</v>
          </cell>
          <cell r="J525">
            <v>523.59228295093794</v>
          </cell>
          <cell r="K525">
            <v>3665.1459806565654</v>
          </cell>
          <cell r="M525">
            <v>269.53895223304102</v>
          </cell>
          <cell r="N525">
            <v>89.868208191571199</v>
          </cell>
          <cell r="O525">
            <v>109.075496451026</v>
          </cell>
          <cell r="P525">
            <v>139.387978389967</v>
          </cell>
          <cell r="Q525">
            <v>513.33336615648602</v>
          </cell>
          <cell r="R525">
            <v>320.49644583297498</v>
          </cell>
          <cell r="S525">
            <v>169.55707228555099</v>
          </cell>
          <cell r="T525">
            <v>230.17964564865957</v>
          </cell>
          <cell r="U525">
            <v>1611.2575195406171</v>
          </cell>
          <cell r="W525">
            <v>5276.4035001971824</v>
          </cell>
          <cell r="X525">
            <v>0.10697158264840789</v>
          </cell>
        </row>
        <row r="526">
          <cell r="B526" t="str">
            <v>Last Reported Q</v>
          </cell>
          <cell r="C526" t="str">
            <v>NA</v>
          </cell>
          <cell r="D526" t="str">
            <v>NA</v>
          </cell>
          <cell r="E526">
            <v>0</v>
          </cell>
          <cell r="F526">
            <v>0</v>
          </cell>
          <cell r="G526" t="str">
            <v>NA</v>
          </cell>
          <cell r="H526">
            <v>75.445999999999998</v>
          </cell>
          <cell r="I526">
            <v>293.8</v>
          </cell>
          <cell r="J526">
            <v>92.311499999999995</v>
          </cell>
          <cell r="K526">
            <v>369.24599999999998</v>
          </cell>
          <cell r="M526">
            <v>0</v>
          </cell>
          <cell r="N526">
            <v>20</v>
          </cell>
          <cell r="O526">
            <v>3.5000000000000003E-2</v>
          </cell>
          <cell r="P526" t="str">
            <v>NA</v>
          </cell>
          <cell r="Q526">
            <v>61</v>
          </cell>
          <cell r="R526" t="str">
            <v>NA</v>
          </cell>
          <cell r="S526">
            <v>0</v>
          </cell>
          <cell r="T526">
            <v>16.207000000000001</v>
          </cell>
          <cell r="U526">
            <v>81.034999999999997</v>
          </cell>
        </row>
        <row r="527">
          <cell r="B527" t="str">
            <v>Capex/Sales</v>
          </cell>
          <cell r="C527">
            <v>0</v>
          </cell>
          <cell r="D527">
            <v>0</v>
          </cell>
          <cell r="E527">
            <v>1</v>
          </cell>
          <cell r="F527">
            <v>0</v>
          </cell>
          <cell r="G527">
            <v>0</v>
          </cell>
          <cell r="H527">
            <v>298.41300000000001</v>
          </cell>
          <cell r="I527">
            <v>614.49799999999993</v>
          </cell>
          <cell r="J527">
            <v>130.55871428571427</v>
          </cell>
          <cell r="K527">
            <v>913.91099999999994</v>
          </cell>
          <cell r="M527">
            <v>0</v>
          </cell>
          <cell r="N527">
            <v>33.474000000000004</v>
          </cell>
          <cell r="O527">
            <v>0.2479999999999998</v>
          </cell>
          <cell r="P527">
            <v>0</v>
          </cell>
          <cell r="Q527">
            <v>218</v>
          </cell>
          <cell r="R527">
            <v>0</v>
          </cell>
          <cell r="S527">
            <v>0</v>
          </cell>
          <cell r="T527">
            <v>35.960285714285718</v>
          </cell>
          <cell r="U527">
            <v>251.72200000000001</v>
          </cell>
          <cell r="W527">
            <v>0.14175826821147752</v>
          </cell>
        </row>
        <row r="528">
          <cell r="B528" t="str">
            <v>FY(2)</v>
          </cell>
          <cell r="C528">
            <v>9.3584501356707955E-2</v>
          </cell>
          <cell r="D528">
            <v>6.2585186091487152E-2</v>
          </cell>
          <cell r="E528">
            <v>4.1994451411849654E-2</v>
          </cell>
          <cell r="F528">
            <v>5.6752441770975236E-2</v>
          </cell>
          <cell r="G528">
            <v>4.188097100041567E-2</v>
          </cell>
          <cell r="H528">
            <v>3.9516756894985482E-2</v>
          </cell>
          <cell r="I528">
            <v>2.8739427092928149E-2</v>
          </cell>
          <cell r="J528">
            <v>5.2150533659907031E-2</v>
          </cell>
          <cell r="K528">
            <v>5.3411503037065926E-2</v>
          </cell>
          <cell r="M528">
            <v>0.10902229828935447</v>
          </cell>
          <cell r="N528">
            <v>5.1987672934840759E-2</v>
          </cell>
          <cell r="O528">
            <v>8.1955044463623491E-2</v>
          </cell>
          <cell r="P528">
            <v>5.3923204831009597E-2</v>
          </cell>
          <cell r="Q528">
            <v>4.3265875785066292E-2</v>
          </cell>
          <cell r="R528">
            <v>7.4259195127486383E-2</v>
          </cell>
          <cell r="S528">
            <v>7.6519309900220475E-2</v>
          </cell>
          <cell r="T528">
            <v>7.0133228761657368E-2</v>
          </cell>
          <cell r="U528">
            <v>6.3258771447465792E-2</v>
          </cell>
        </row>
        <row r="529">
          <cell r="B529" t="str">
            <v>FY(1)</v>
          </cell>
          <cell r="C529">
            <v>6.1871144494139323E-2</v>
          </cell>
          <cell r="D529">
            <v>5.2416704966716285E-2</v>
          </cell>
          <cell r="E529">
            <v>3.6035674112164552E-2</v>
          </cell>
          <cell r="F529">
            <v>6.7904957182487027E-2</v>
          </cell>
          <cell r="G529">
            <v>4.1919557125583824E-2</v>
          </cell>
          <cell r="H529">
            <v>3.4599628530933429E-2</v>
          </cell>
          <cell r="I529">
            <v>3.0681430910963207E-2</v>
          </cell>
          <cell r="J529">
            <v>4.6489871046141093E-2</v>
          </cell>
          <cell r="K529">
            <v>4.5326299240674772E-2</v>
          </cell>
          <cell r="M529">
            <v>0.10550975486336762</v>
          </cell>
          <cell r="N529">
            <v>4.4037992480632775E-2</v>
          </cell>
          <cell r="O529">
            <v>8.8775927064119339E-2</v>
          </cell>
          <cell r="P529">
            <v>5.4930320046454352E-2</v>
          </cell>
          <cell r="Q529">
            <v>2.9670934875395842E-2</v>
          </cell>
          <cell r="R529">
            <v>5.2970898849801627E-2</v>
          </cell>
          <cell r="S529">
            <v>6.1349556147383272E-2</v>
          </cell>
          <cell r="T529">
            <v>6.2463626332450693E-2</v>
          </cell>
          <cell r="U529">
            <v>5.1789835122335176E-2</v>
          </cell>
        </row>
        <row r="530">
          <cell r="B530" t="str">
            <v>FY0</v>
          </cell>
          <cell r="C530">
            <v>3.8772777551376841E-2</v>
          </cell>
          <cell r="D530">
            <v>3.4173469997037909E-2</v>
          </cell>
          <cell r="E530">
            <v>1.9583634892928605E-2</v>
          </cell>
          <cell r="F530">
            <v>4.359409057883265E-2</v>
          </cell>
          <cell r="G530">
            <v>2.8402603486295135E-2</v>
          </cell>
          <cell r="H530">
            <v>2.206045394255432E-2</v>
          </cell>
          <cell r="I530">
            <v>2.115982871825952E-2</v>
          </cell>
          <cell r="J530">
            <v>2.9678122738183571E-2</v>
          </cell>
          <cell r="K530">
            <v>2.8456909994136789E-2</v>
          </cell>
          <cell r="M530">
            <v>5.9916172265141496E-2</v>
          </cell>
          <cell r="N530">
            <v>2.4161642613240185E-2</v>
          </cell>
          <cell r="O530">
            <v>4.2607098742107656E-2</v>
          </cell>
          <cell r="P530">
            <v>4.2417693040141556E-2</v>
          </cell>
          <cell r="Q530">
            <v>2.3526097062759738E-2</v>
          </cell>
          <cell r="R530">
            <v>2.3399843139962396E-2</v>
          </cell>
          <cell r="S530">
            <v>6.149299001386252E-2</v>
          </cell>
          <cell r="T530">
            <v>3.9645933839602229E-2</v>
          </cell>
          <cell r="U530">
            <v>3.1785808544811306E-2</v>
          </cell>
        </row>
        <row r="531">
          <cell r="B531" t="str">
            <v>FY1</v>
          </cell>
          <cell r="C531">
            <v>4.906384536712001E-2</v>
          </cell>
          <cell r="D531">
            <v>2.9000000000000019E-2</v>
          </cell>
          <cell r="E531">
            <v>2.3024470937356083E-2</v>
          </cell>
          <cell r="F531">
            <v>5.0970015246604841E-2</v>
          </cell>
          <cell r="G531">
            <v>2.8406073555532135E-2</v>
          </cell>
          <cell r="H531">
            <v>2.7764038492343043E-2</v>
          </cell>
          <cell r="I531">
            <v>2.1369574682242889E-2</v>
          </cell>
          <cell r="J531">
            <v>3.2799716897314146E-2</v>
          </cell>
          <cell r="K531">
            <v>3.1355313033391612E-2</v>
          </cell>
          <cell r="M531">
            <v>7.9882941077226516E-2</v>
          </cell>
          <cell r="N531">
            <v>3.2671433838796095E-2</v>
          </cell>
          <cell r="O531">
            <v>3.500000000000001E-2</v>
          </cell>
          <cell r="P531">
            <v>3.1496204389433645E-2</v>
          </cell>
          <cell r="Q531">
            <v>4.1852106209232701E-2</v>
          </cell>
          <cell r="R531">
            <v>3.0000000000000061E-2</v>
          </cell>
          <cell r="S531">
            <v>6.5716719965351583E-2</v>
          </cell>
          <cell r="T531">
            <v>4.5231343640005806E-2</v>
          </cell>
          <cell r="U531">
            <v>4.1518146381270146E-2</v>
          </cell>
        </row>
        <row r="532">
          <cell r="B532" t="str">
            <v>FY2</v>
          </cell>
          <cell r="C532">
            <v>5.4063845367119855E-2</v>
          </cell>
          <cell r="D532">
            <v>0.03</v>
          </cell>
          <cell r="E532">
            <v>2.8499999999999838E-2</v>
          </cell>
          <cell r="F532">
            <v>5.7000000000000065E-2</v>
          </cell>
          <cell r="G532">
            <v>1.2499999999999957E-2</v>
          </cell>
          <cell r="H532">
            <v>2.8764038492343064E-2</v>
          </cell>
          <cell r="I532">
            <v>2.2369574682242845E-2</v>
          </cell>
          <cell r="J532">
            <v>3.3313922648815095E-2</v>
          </cell>
          <cell r="K532">
            <v>3.4271596581928084E-2</v>
          </cell>
          <cell r="M532">
            <v>7.8882941077226418E-2</v>
          </cell>
          <cell r="N532">
            <v>3.2671433838796143E-2</v>
          </cell>
          <cell r="O532">
            <v>3.2999999999999953E-2</v>
          </cell>
          <cell r="P532">
            <v>3.7496204389433692E-2</v>
          </cell>
          <cell r="Q532">
            <v>3.800000000000011E-2</v>
          </cell>
          <cell r="R532">
            <v>3.3899999999999965E-2</v>
          </cell>
          <cell r="S532">
            <v>6.5716719965351306E-2</v>
          </cell>
          <cell r="T532">
            <v>4.5666757038686799E-2</v>
          </cell>
          <cell r="U532">
            <v>4.1598672627023166E-2</v>
          </cell>
        </row>
        <row r="533">
          <cell r="B533" t="str">
            <v>FY1</v>
          </cell>
          <cell r="C533">
            <v>0</v>
          </cell>
          <cell r="D533">
            <v>182.945193171608</v>
          </cell>
          <cell r="E533">
            <v>85.1</v>
          </cell>
          <cell r="F533">
            <v>139.1936024</v>
          </cell>
          <cell r="G533">
            <v>0.54100000000000004</v>
          </cell>
          <cell r="H533">
            <v>355.01931090619053</v>
          </cell>
          <cell r="I533">
            <v>823.37161142857099</v>
          </cell>
          <cell r="J533">
            <v>226.59581684376707</v>
          </cell>
          <cell r="K533">
            <v>1586.1707179063694</v>
          </cell>
          <cell r="M533">
            <v>64.431664990000002</v>
          </cell>
          <cell r="N533">
            <v>88.472999999999999</v>
          </cell>
          <cell r="O533">
            <v>83.486885200000003</v>
          </cell>
          <cell r="P533">
            <v>95.706649923605795</v>
          </cell>
          <cell r="Q533">
            <v>492.82129880369598</v>
          </cell>
          <cell r="R533">
            <v>194.73504270000001</v>
          </cell>
          <cell r="S533">
            <v>0</v>
          </cell>
          <cell r="T533">
            <v>145.6649345167574</v>
          </cell>
          <cell r="U533">
            <v>1019.6545416173018</v>
          </cell>
        </row>
        <row r="534">
          <cell r="A534" t="str">
            <v>mstag:averageDilutedSharesOutstanding</v>
          </cell>
          <cell r="B534" t="str">
            <v>Shares</v>
          </cell>
          <cell r="C534">
            <v>0</v>
          </cell>
          <cell r="D534">
            <v>205.90563969975801</v>
          </cell>
          <cell r="E534">
            <v>97.307606309267598</v>
          </cell>
          <cell r="F534">
            <v>286.66186174613699</v>
          </cell>
          <cell r="G534">
            <v>0</v>
          </cell>
          <cell r="H534">
            <v>307.96242645149999</v>
          </cell>
          <cell r="I534">
            <v>923.40618542842799</v>
          </cell>
          <cell r="J534">
            <v>260.17767423358436</v>
          </cell>
          <cell r="K534">
            <v>1821.2437196350907</v>
          </cell>
          <cell r="M534">
            <v>265.18449312984052</v>
          </cell>
          <cell r="N534">
            <v>175.375337620886</v>
          </cell>
          <cell r="O534">
            <v>139.4917100024507</v>
          </cell>
          <cell r="P534">
            <v>102.025034707074</v>
          </cell>
          <cell r="Q534">
            <v>1424.371796259763</v>
          </cell>
          <cell r="R534">
            <v>200</v>
          </cell>
          <cell r="S534">
            <v>0</v>
          </cell>
          <cell r="T534">
            <v>329.49262453143058</v>
          </cell>
          <cell r="U534">
            <v>2306.4483717200142</v>
          </cell>
        </row>
        <row r="535">
          <cell r="B535" t="str">
            <v>FY(2)</v>
          </cell>
          <cell r="C535">
            <v>320.17824999999999</v>
          </cell>
          <cell r="D535">
            <v>225.17500000000001</v>
          </cell>
          <cell r="E535">
            <v>451.75</v>
          </cell>
          <cell r="F535">
            <v>248.85724999999999</v>
          </cell>
          <cell r="G535">
            <v>153.53</v>
          </cell>
          <cell r="H535">
            <v>137.12950000000001</v>
          </cell>
          <cell r="I535">
            <v>468.04599999999999</v>
          </cell>
          <cell r="J535">
            <v>49.120571428571417</v>
          </cell>
          <cell r="K535">
            <v>343.84399999999994</v>
          </cell>
          <cell r="M535">
            <v>91.522999999999996</v>
          </cell>
          <cell r="N535">
            <v>112.26900000000001</v>
          </cell>
          <cell r="O535">
            <v>220.28</v>
          </cell>
          <cell r="P535">
            <v>377.35599999999999</v>
          </cell>
          <cell r="Q535">
            <v>793.86175000000003</v>
          </cell>
          <cell r="R535">
            <v>380.23025000000001</v>
          </cell>
          <cell r="S535">
            <v>169.63592499999999</v>
          </cell>
          <cell r="T535">
            <v>36.599857142857147</v>
          </cell>
          <cell r="U535">
            <v>256.19900000000001</v>
          </cell>
        </row>
        <row r="536">
          <cell r="B536" t="str">
            <v>FY(1)</v>
          </cell>
          <cell r="C536">
            <v>306.6225</v>
          </cell>
          <cell r="D536">
            <v>222.875</v>
          </cell>
          <cell r="E536">
            <v>421.42500000000001</v>
          </cell>
          <cell r="F536">
            <v>219.02500000000001</v>
          </cell>
          <cell r="G536">
            <v>138.38399999999999</v>
          </cell>
          <cell r="H536">
            <v>131.25524999999999</v>
          </cell>
          <cell r="I536">
            <v>442.255</v>
          </cell>
          <cell r="J536">
            <v>44.920142857142864</v>
          </cell>
          <cell r="K536">
            <v>314.44100000000003</v>
          </cell>
          <cell r="M536">
            <v>89.290999999999997</v>
          </cell>
          <cell r="N536">
            <v>101.364</v>
          </cell>
          <cell r="O536">
            <v>207.58199999999999</v>
          </cell>
          <cell r="P536">
            <v>360.25900000000001</v>
          </cell>
          <cell r="Q536">
            <v>719</v>
          </cell>
          <cell r="R536">
            <v>337.30099999999999</v>
          </cell>
          <cell r="S536">
            <v>170.85694175</v>
          </cell>
          <cell r="T536">
            <v>26.853857142857144</v>
          </cell>
          <cell r="U536">
            <v>187.977</v>
          </cell>
        </row>
        <row r="537">
          <cell r="B537" t="str">
            <v>FY0</v>
          </cell>
          <cell r="C537">
            <v>307</v>
          </cell>
          <cell r="D537">
            <v>232.85</v>
          </cell>
          <cell r="E537">
            <v>422.35</v>
          </cell>
          <cell r="F537">
            <v>219.65</v>
          </cell>
          <cell r="G537">
            <v>146.84450000000001</v>
          </cell>
          <cell r="H537">
            <v>125.05625000000001</v>
          </cell>
          <cell r="I537">
            <v>427.38150000000002</v>
          </cell>
          <cell r="J537">
            <v>57.513714285714286</v>
          </cell>
          <cell r="K537">
            <v>402.596</v>
          </cell>
          <cell r="M537">
            <v>88.354749999999996</v>
          </cell>
          <cell r="N537">
            <v>101.02475</v>
          </cell>
          <cell r="O537">
            <v>209.096</v>
          </cell>
          <cell r="P537">
            <v>325.62</v>
          </cell>
          <cell r="Q537">
            <v>698.5</v>
          </cell>
          <cell r="R537">
            <v>326.76499999999999</v>
          </cell>
          <cell r="S537">
            <v>171.22537274999999</v>
          </cell>
          <cell r="T537">
            <v>22.394714285714286</v>
          </cell>
          <cell r="U537">
            <v>156.76300000000001</v>
          </cell>
        </row>
        <row r="538">
          <cell r="B538" t="str">
            <v>FY1</v>
          </cell>
          <cell r="C538">
            <v>310.13471428571398</v>
          </cell>
          <cell r="D538">
            <v>237.3</v>
          </cell>
          <cell r="E538">
            <v>425.93</v>
          </cell>
          <cell r="F538">
            <v>222.02064300000001</v>
          </cell>
          <cell r="G538">
            <v>152.07075</v>
          </cell>
          <cell r="H538">
            <v>121.417319545455</v>
          </cell>
          <cell r="I538">
            <v>411.01945454545398</v>
          </cell>
          <cell r="J538">
            <v>76.682999999999993</v>
          </cell>
          <cell r="K538">
            <v>536.78099999999995</v>
          </cell>
          <cell r="M538">
            <v>86.994340425531902</v>
          </cell>
          <cell r="N538">
            <v>94.206304765520699</v>
          </cell>
          <cell r="O538">
            <v>214.43594377777799</v>
          </cell>
          <cell r="P538">
            <v>317.67435087815102</v>
          </cell>
          <cell r="Q538">
            <v>656.23828581818202</v>
          </cell>
          <cell r="R538">
            <v>322.06326548148098</v>
          </cell>
          <cell r="S538">
            <v>172.42198500000001</v>
          </cell>
          <cell r="T538">
            <v>32.55565</v>
          </cell>
          <cell r="U538">
            <v>227.88954999999999</v>
          </cell>
        </row>
        <row r="539">
          <cell r="B539" t="str">
            <v>FY2</v>
          </cell>
          <cell r="C539">
            <v>301.21385487113298</v>
          </cell>
          <cell r="D539">
            <v>237.363325395462</v>
          </cell>
          <cell r="E539">
            <v>425.93</v>
          </cell>
          <cell r="F539">
            <v>217.01187766065601</v>
          </cell>
          <cell r="G539">
            <v>164.17593426128801</v>
          </cell>
          <cell r="H539">
            <v>115.105631233766</v>
          </cell>
          <cell r="I539">
            <v>394.05792611882902</v>
          </cell>
          <cell r="J539">
            <v>228.23742857142858</v>
          </cell>
          <cell r="K539">
            <v>1597.662</v>
          </cell>
          <cell r="M539">
            <v>83.071661626235098</v>
          </cell>
          <cell r="N539">
            <v>85.832687672587596</v>
          </cell>
          <cell r="O539">
            <v>216.68351600604399</v>
          </cell>
          <cell r="P539">
            <v>304.067129634504</v>
          </cell>
          <cell r="Q539">
            <v>608.94531141072105</v>
          </cell>
          <cell r="R539">
            <v>317.07369672823501</v>
          </cell>
          <cell r="S539">
            <v>171.952871551062</v>
          </cell>
          <cell r="T539">
            <v>118.40407857142857</v>
          </cell>
          <cell r="U539">
            <v>828.82854999999995</v>
          </cell>
        </row>
        <row r="540">
          <cell r="B540" t="str">
            <v>FQ(3)</v>
          </cell>
          <cell r="C540">
            <v>306</v>
          </cell>
          <cell r="D540">
            <v>222.7</v>
          </cell>
          <cell r="E540">
            <v>421.4</v>
          </cell>
          <cell r="F540">
            <v>217.4</v>
          </cell>
          <cell r="G540">
            <v>138.297</v>
          </cell>
          <cell r="H540">
            <v>126.56399999999999</v>
          </cell>
          <cell r="I540">
            <v>431.798</v>
          </cell>
          <cell r="M540">
            <v>87.697000000000003</v>
          </cell>
          <cell r="N540">
            <v>101.685</v>
          </cell>
          <cell r="O540">
            <v>207.286</v>
          </cell>
          <cell r="P540">
            <v>321.35500000000002</v>
          </cell>
          <cell r="Q540">
            <v>697</v>
          </cell>
          <cell r="R540">
            <v>323.28500000000003</v>
          </cell>
          <cell r="S540">
            <v>170.31670800000001</v>
          </cell>
        </row>
        <row r="541">
          <cell r="B541" t="str">
            <v>FQ(2)</v>
          </cell>
          <cell r="C541">
            <v>306</v>
          </cell>
          <cell r="D541">
            <v>233.8</v>
          </cell>
          <cell r="E541">
            <v>422.1</v>
          </cell>
          <cell r="F541">
            <v>218.8</v>
          </cell>
          <cell r="G541">
            <v>138.32499999999999</v>
          </cell>
          <cell r="H541">
            <v>125.658</v>
          </cell>
          <cell r="I541">
            <v>430.45299999999997</v>
          </cell>
          <cell r="M541">
            <v>87.878</v>
          </cell>
          <cell r="N541">
            <v>102.4455</v>
          </cell>
          <cell r="O541">
            <v>209.01499999999999</v>
          </cell>
          <cell r="P541">
            <v>320.512</v>
          </cell>
          <cell r="Q541">
            <v>700</v>
          </cell>
          <cell r="R541">
            <v>325.697</v>
          </cell>
          <cell r="S541">
            <v>170.71927400000001</v>
          </cell>
        </row>
        <row r="542">
          <cell r="B542" t="str">
            <v>FQ(1)</v>
          </cell>
          <cell r="C542">
            <v>308</v>
          </cell>
          <cell r="D542">
            <v>237.6</v>
          </cell>
          <cell r="E542">
            <v>421.8</v>
          </cell>
          <cell r="F542">
            <v>220.7</v>
          </cell>
          <cell r="G542">
            <v>152.45599999999999</v>
          </cell>
          <cell r="H542">
            <v>124.648</v>
          </cell>
          <cell r="I542">
            <v>428.09199999999998</v>
          </cell>
          <cell r="J542">
            <v>5.9822026995043656</v>
          </cell>
          <cell r="K542">
            <v>1.0740709902116266</v>
          </cell>
          <cell r="M542">
            <v>88.73</v>
          </cell>
          <cell r="N542">
            <v>101.98650000000001</v>
          </cell>
          <cell r="O542">
            <v>209.393</v>
          </cell>
          <cell r="P542">
            <v>321.11500000000001</v>
          </cell>
          <cell r="Q542">
            <v>704</v>
          </cell>
          <cell r="R542">
            <v>328.25900000000001</v>
          </cell>
          <cell r="S542">
            <v>171.44390200000001</v>
          </cell>
          <cell r="T542">
            <v>0.54803252730191898</v>
          </cell>
          <cell r="U542">
            <v>0.62421656550496152</v>
          </cell>
        </row>
        <row r="543">
          <cell r="B543" t="str">
            <v>Last Reported Q</v>
          </cell>
          <cell r="C543">
            <v>307</v>
          </cell>
          <cell r="D543">
            <v>232.85</v>
          </cell>
          <cell r="E543">
            <v>422.35</v>
          </cell>
          <cell r="F543">
            <v>219.65</v>
          </cell>
          <cell r="G543">
            <v>146.84450000000001</v>
          </cell>
          <cell r="H543">
            <v>125.05625000000001</v>
          </cell>
          <cell r="I543">
            <v>427.38150000000002</v>
          </cell>
          <cell r="J543">
            <v>1.2055641241313226</v>
          </cell>
          <cell r="K543">
            <v>1.345688514126187</v>
          </cell>
          <cell r="M543">
            <v>88.354749999999996</v>
          </cell>
          <cell r="N543">
            <v>101.02475</v>
          </cell>
          <cell r="O543">
            <v>209.096</v>
          </cell>
          <cell r="P543">
            <v>321.38099999999997</v>
          </cell>
          <cell r="Q543">
            <v>698.5</v>
          </cell>
          <cell r="R543">
            <v>326.76499999999999</v>
          </cell>
          <cell r="S543">
            <v>171.22537274999999</v>
          </cell>
          <cell r="T543">
            <v>0.98358433469455953</v>
          </cell>
          <cell r="U543">
            <v>1.0261221323087046</v>
          </cell>
        </row>
        <row r="544">
          <cell r="B544" t="str">
            <v>LTM</v>
          </cell>
          <cell r="C544">
            <v>306.75</v>
          </cell>
          <cell r="D544">
            <v>231.73750000000001</v>
          </cell>
          <cell r="E544">
            <v>421.91250000000002</v>
          </cell>
          <cell r="F544">
            <v>219.13750000000002</v>
          </cell>
          <cell r="G544">
            <v>143.980625</v>
          </cell>
          <cell r="H544">
            <v>125.4815625</v>
          </cell>
          <cell r="I544">
            <v>429.43112499999995</v>
          </cell>
          <cell r="J544">
            <v>0.53601675902895107</v>
          </cell>
          <cell r="K544">
            <v>0.53144082268673543</v>
          </cell>
          <cell r="M544">
            <v>88.164937500000008</v>
          </cell>
          <cell r="N544">
            <v>101.78543749999999</v>
          </cell>
          <cell r="O544">
            <v>208.69749999999999</v>
          </cell>
          <cell r="P544">
            <v>321.09074999999996</v>
          </cell>
          <cell r="Q544">
            <v>699.875</v>
          </cell>
          <cell r="R544">
            <v>326.00149999999996</v>
          </cell>
          <cell r="S544">
            <v>170.9263141875</v>
          </cell>
          <cell r="T544">
            <v>0.33995816525749134</v>
          </cell>
          <cell r="U544">
            <v>0.48329425673440402</v>
          </cell>
        </row>
        <row r="545">
          <cell r="B545" t="str">
            <v>FY1</v>
          </cell>
          <cell r="C545">
            <v>0</v>
          </cell>
          <cell r="D545">
            <v>0.75886991644161217</v>
          </cell>
          <cell r="E545">
            <v>0.13544901852545316</v>
          </cell>
          <cell r="F545">
            <v>0.3501044562658292</v>
          </cell>
          <cell r="G545">
            <v>-7.8789507472054546E-3</v>
          </cell>
          <cell r="H545">
            <v>0.83723039615621164</v>
          </cell>
          <cell r="I545">
            <v>0.71266152001253269</v>
          </cell>
          <cell r="J545">
            <v>0.39806233666491903</v>
          </cell>
          <cell r="K545">
            <v>0.42529092369424204</v>
          </cell>
          <cell r="M545">
            <v>0.72421096097612114</v>
          </cell>
          <cell r="N545">
            <v>0.40902156005660512</v>
          </cell>
          <cell r="O545">
            <v>0.53922669551942037</v>
          </cell>
          <cell r="P545">
            <v>0.13932993511019859</v>
          </cell>
          <cell r="Q545">
            <v>0.45705508052969995</v>
          </cell>
          <cell r="R545">
            <v>0.5372637429287398</v>
          </cell>
          <cell r="S545">
            <v>0</v>
          </cell>
          <cell r="T545">
            <v>0.40087256787439784</v>
          </cell>
          <cell r="U545">
            <v>0.36417724611131913</v>
          </cell>
        </row>
        <row r="546">
          <cell r="B546" t="str">
            <v>Dividends</v>
          </cell>
          <cell r="C546">
            <v>0</v>
          </cell>
          <cell r="D546">
            <v>0.56460161768085815</v>
          </cell>
          <cell r="E546">
            <v>0.17369223170512707</v>
          </cell>
          <cell r="F546">
            <v>0.65325836349800881</v>
          </cell>
          <cell r="G546">
            <v>0</v>
          </cell>
          <cell r="H546">
            <v>0.71527012076771046</v>
          </cell>
          <cell r="I546">
            <v>0.70968320578337618</v>
          </cell>
          <cell r="J546">
            <v>0.40235793420501148</v>
          </cell>
          <cell r="K546">
            <v>0.43866553937993219</v>
          </cell>
          <cell r="M546">
            <v>1.9999999999999738</v>
          </cell>
          <cell r="N546">
            <v>0.79999999999998717</v>
          </cell>
          <cell r="O546">
            <v>0.7000000000000085</v>
          </cell>
          <cell r="P546">
            <v>0.13879332235659583</v>
          </cell>
          <cell r="Q546">
            <v>1.3200000000000276</v>
          </cell>
          <cell r="R546">
            <v>0.48792508469895424</v>
          </cell>
          <cell r="S546">
            <v>0</v>
          </cell>
          <cell r="T546">
            <v>0.77810262957936394</v>
          </cell>
          <cell r="U546">
            <v>0.75795426630354901</v>
          </cell>
        </row>
        <row r="547">
          <cell r="B547" t="str">
            <v>FY(2)</v>
          </cell>
          <cell r="C547" t="str">
            <v>NA</v>
          </cell>
          <cell r="D547">
            <v>174</v>
          </cell>
          <cell r="E547">
            <v>230</v>
          </cell>
          <cell r="F547">
            <v>134</v>
          </cell>
          <cell r="G547">
            <v>7.43</v>
          </cell>
          <cell r="H547">
            <v>40.637999999999998</v>
          </cell>
          <cell r="I547">
            <v>151.49199999999999</v>
          </cell>
          <cell r="J547">
            <v>122.92666666666666</v>
          </cell>
          <cell r="K547">
            <v>737.56</v>
          </cell>
          <cell r="M547">
            <v>61.33</v>
          </cell>
          <cell r="N547">
            <v>0</v>
          </cell>
          <cell r="O547">
            <v>80.796000000000006</v>
          </cell>
          <cell r="P547">
            <v>0</v>
          </cell>
          <cell r="Q547">
            <v>252</v>
          </cell>
          <cell r="R547">
            <v>227</v>
          </cell>
          <cell r="S547" t="str">
            <v>NA</v>
          </cell>
          <cell r="T547">
            <v>103.521</v>
          </cell>
          <cell r="U547">
            <v>621.12599999999998</v>
          </cell>
        </row>
        <row r="548">
          <cell r="A548" t="str">
            <v>mstag:cashDividendsPaid</v>
          </cell>
          <cell r="B548" t="str">
            <v>FY(1)</v>
          </cell>
          <cell r="C548" t="str">
            <v>NA</v>
          </cell>
          <cell r="D548">
            <v>178</v>
          </cell>
          <cell r="E548">
            <v>221</v>
          </cell>
          <cell r="F548">
            <v>138</v>
          </cell>
          <cell r="G548">
            <v>1.1830000000000001</v>
          </cell>
          <cell r="H548">
            <v>49.838000000000001</v>
          </cell>
          <cell r="I548">
            <v>176.749</v>
          </cell>
          <cell r="J548">
            <v>127.46166666666666</v>
          </cell>
          <cell r="K548">
            <v>764.77</v>
          </cell>
          <cell r="M548">
            <v>60.768999999999998</v>
          </cell>
          <cell r="N548">
            <v>0</v>
          </cell>
          <cell r="O548">
            <v>82.394000000000005</v>
          </cell>
          <cell r="P548">
            <v>0</v>
          </cell>
          <cell r="Q548">
            <v>243</v>
          </cell>
          <cell r="R548">
            <v>201</v>
          </cell>
          <cell r="S548" t="str">
            <v>NA</v>
          </cell>
          <cell r="T548">
            <v>97.860500000000002</v>
          </cell>
          <cell r="U548">
            <v>587.16300000000001</v>
          </cell>
        </row>
        <row r="549">
          <cell r="B549" t="str">
            <v>FY0</v>
          </cell>
          <cell r="C549" t="str">
            <v>NA</v>
          </cell>
          <cell r="D549">
            <v>183</v>
          </cell>
          <cell r="E549">
            <v>84</v>
          </cell>
          <cell r="F549">
            <v>139</v>
          </cell>
          <cell r="G549">
            <v>0.78100000000000003</v>
          </cell>
          <cell r="H549">
            <v>55.201999999999998</v>
          </cell>
          <cell r="I549">
            <v>197.7</v>
          </cell>
          <cell r="J549">
            <v>109.94716666666666</v>
          </cell>
          <cell r="K549">
            <v>659.68299999999999</v>
          </cell>
          <cell r="M549">
            <v>61.5</v>
          </cell>
          <cell r="N549">
            <v>0</v>
          </cell>
          <cell r="O549">
            <v>82.984999999999999</v>
          </cell>
          <cell r="P549">
            <v>0</v>
          </cell>
          <cell r="Q549">
            <v>234</v>
          </cell>
          <cell r="R549">
            <v>193</v>
          </cell>
          <cell r="S549" t="str">
            <v>NA</v>
          </cell>
          <cell r="T549">
            <v>95.247500000000002</v>
          </cell>
          <cell r="U549">
            <v>571.48500000000001</v>
          </cell>
        </row>
        <row r="550">
          <cell r="B550" t="str">
            <v>FY1</v>
          </cell>
          <cell r="C550" t="str">
            <v>NA</v>
          </cell>
          <cell r="D550">
            <v>188.775411841813</v>
          </cell>
          <cell r="E550">
            <v>85.186000000000007</v>
          </cell>
          <cell r="F550">
            <v>142.09321152000001</v>
          </cell>
          <cell r="G550">
            <v>0</v>
          </cell>
          <cell r="H550">
            <v>77.707084509090905</v>
          </cell>
          <cell r="I550">
            <v>197.28933818181801</v>
          </cell>
          <cell r="J550">
            <v>115.17517434212033</v>
          </cell>
          <cell r="K550">
            <v>691.05104605272197</v>
          </cell>
          <cell r="M550">
            <v>64.343897021276604</v>
          </cell>
          <cell r="N550">
            <v>0</v>
          </cell>
          <cell r="O550">
            <v>90.0630963866667</v>
          </cell>
          <cell r="P550">
            <v>94.252655263445405</v>
          </cell>
          <cell r="Q550">
            <v>262.49531432727298</v>
          </cell>
          <cell r="R550">
            <v>518.07900254814797</v>
          </cell>
          <cell r="S550" t="str">
            <v>NA</v>
          </cell>
          <cell r="T550">
            <v>171.53899425780162</v>
          </cell>
          <cell r="U550">
            <v>1029.2339655468097</v>
          </cell>
        </row>
        <row r="551">
          <cell r="B551" t="str">
            <v>FY2</v>
          </cell>
          <cell r="C551" t="str">
            <v>NA</v>
          </cell>
          <cell r="D551">
            <v>207.70836687078599</v>
          </cell>
          <cell r="E551">
            <v>96.910411835832903</v>
          </cell>
          <cell r="F551">
            <v>151.06358340229599</v>
          </cell>
          <cell r="G551">
            <v>0</v>
          </cell>
          <cell r="H551">
            <v>81.592438734545496</v>
          </cell>
          <cell r="I551">
            <v>213.29758054177</v>
          </cell>
          <cell r="J551">
            <v>125.09539689753841</v>
          </cell>
          <cell r="K551">
            <v>750.57238138523041</v>
          </cell>
          <cell r="M551">
            <v>68.188106938637006</v>
          </cell>
          <cell r="N551">
            <v>0</v>
          </cell>
          <cell r="O551">
            <v>98.400875799278495</v>
          </cell>
          <cell r="P551">
            <v>99.137817779386296</v>
          </cell>
          <cell r="Q551">
            <v>262.348142727675</v>
          </cell>
          <cell r="R551">
            <v>200</v>
          </cell>
          <cell r="S551" t="str">
            <v>NA</v>
          </cell>
          <cell r="T551">
            <v>121.3458238741628</v>
          </cell>
          <cell r="U551">
            <v>728.07494324497679</v>
          </cell>
        </row>
        <row r="552">
          <cell r="B552" t="str">
            <v>FQ(3)</v>
          </cell>
          <cell r="C552" t="str">
            <v>NA</v>
          </cell>
          <cell r="D552">
            <v>89</v>
          </cell>
          <cell r="E552">
            <v>21</v>
          </cell>
          <cell r="F552">
            <v>35</v>
          </cell>
          <cell r="G552">
            <v>0.47099999999999997</v>
          </cell>
          <cell r="H552">
            <v>13.967000000000001</v>
          </cell>
          <cell r="I552">
            <v>45.408000000000001</v>
          </cell>
          <cell r="J552">
            <v>34.140999999999998</v>
          </cell>
          <cell r="K552">
            <v>204.846</v>
          </cell>
          <cell r="M552">
            <v>15.337999999999999</v>
          </cell>
          <cell r="N552">
            <v>0</v>
          </cell>
          <cell r="O552">
            <v>20.638999999999999</v>
          </cell>
          <cell r="P552">
            <v>0</v>
          </cell>
          <cell r="Q552">
            <v>59</v>
          </cell>
          <cell r="R552">
            <v>48</v>
          </cell>
          <cell r="S552" t="str">
            <v>NA</v>
          </cell>
          <cell r="T552">
            <v>23.829499999999999</v>
          </cell>
          <cell r="U552">
            <v>142.977</v>
          </cell>
        </row>
        <row r="553">
          <cell r="A553" t="str">
            <v>Modelware DuPont (Non-lease Adjusted)ROIC</v>
          </cell>
          <cell r="B553" t="str">
            <v>FQ(2)</v>
          </cell>
          <cell r="C553" t="str">
            <v>NA</v>
          </cell>
          <cell r="D553">
            <v>0</v>
          </cell>
          <cell r="E553">
            <v>21</v>
          </cell>
          <cell r="F553">
            <v>34</v>
          </cell>
          <cell r="G553">
            <v>7.0000000000000104E-2</v>
          </cell>
          <cell r="H553">
            <v>13.858000000000001</v>
          </cell>
          <cell r="I553">
            <v>51.192</v>
          </cell>
          <cell r="J553">
            <v>20.02</v>
          </cell>
          <cell r="K553">
            <v>120.12</v>
          </cell>
          <cell r="M553">
            <v>15.374000000000001</v>
          </cell>
          <cell r="N553">
            <v>0</v>
          </cell>
          <cell r="O553">
            <v>20.721</v>
          </cell>
          <cell r="P553">
            <v>0</v>
          </cell>
          <cell r="Q553">
            <v>59</v>
          </cell>
          <cell r="R553">
            <v>48</v>
          </cell>
          <cell r="S553" t="str">
            <v>NA</v>
          </cell>
          <cell r="T553">
            <v>23.849166666666665</v>
          </cell>
          <cell r="U553">
            <v>143.095</v>
          </cell>
        </row>
        <row r="554">
          <cell r="B554" t="str">
            <v>FQ(1)</v>
          </cell>
          <cell r="C554" t="str">
            <v>NA</v>
          </cell>
          <cell r="D554">
            <v>47</v>
          </cell>
          <cell r="E554">
            <v>21</v>
          </cell>
          <cell r="F554">
            <v>35</v>
          </cell>
          <cell r="G554">
            <v>0.24</v>
          </cell>
          <cell r="H554">
            <v>13.734999999999999</v>
          </cell>
          <cell r="I554">
            <v>50.802999999999997</v>
          </cell>
          <cell r="J554">
            <v>27.962999999999997</v>
          </cell>
          <cell r="K554">
            <v>167.77799999999999</v>
          </cell>
          <cell r="M554">
            <v>15.391999999999999</v>
          </cell>
          <cell r="N554">
            <v>0</v>
          </cell>
          <cell r="O554">
            <v>20.757000000000001</v>
          </cell>
          <cell r="P554">
            <v>23.843</v>
          </cell>
          <cell r="Q554">
            <v>60</v>
          </cell>
          <cell r="R554">
            <v>49</v>
          </cell>
          <cell r="S554" t="str">
            <v>NA</v>
          </cell>
          <cell r="T554">
            <v>28.165333333333336</v>
          </cell>
          <cell r="U554">
            <v>168.99200000000002</v>
          </cell>
        </row>
        <row r="555">
          <cell r="B555" t="str">
            <v>Last Reported Q</v>
          </cell>
          <cell r="C555" t="str">
            <v>NA</v>
          </cell>
          <cell r="D555">
            <v>183</v>
          </cell>
          <cell r="E555">
            <v>84</v>
          </cell>
          <cell r="F555">
            <v>139</v>
          </cell>
          <cell r="G555">
            <v>0.78100000000000003</v>
          </cell>
          <cell r="H555">
            <v>55.201999999999998</v>
          </cell>
          <cell r="I555">
            <v>197.7</v>
          </cell>
          <cell r="J555">
            <v>109.94716666666666</v>
          </cell>
          <cell r="K555">
            <v>659.68299999999999</v>
          </cell>
          <cell r="M555">
            <v>61.5</v>
          </cell>
          <cell r="N555">
            <v>0</v>
          </cell>
          <cell r="O555">
            <v>82.984999999999999</v>
          </cell>
          <cell r="P555">
            <v>23.882999999999999</v>
          </cell>
          <cell r="Q555">
            <v>234</v>
          </cell>
          <cell r="R555">
            <v>193</v>
          </cell>
          <cell r="S555" t="str">
            <v>NA</v>
          </cell>
          <cell r="T555">
            <v>99.228000000000009</v>
          </cell>
          <cell r="U555">
            <v>595.36800000000005</v>
          </cell>
        </row>
        <row r="556">
          <cell r="B556" t="str">
            <v>LTM</v>
          </cell>
          <cell r="C556">
            <v>0</v>
          </cell>
          <cell r="D556">
            <v>319</v>
          </cell>
          <cell r="E556">
            <v>147</v>
          </cell>
          <cell r="F556">
            <v>243</v>
          </cell>
          <cell r="G556">
            <v>1.5620000000000001</v>
          </cell>
          <cell r="H556">
            <v>96.762</v>
          </cell>
          <cell r="I556">
            <v>345.10299999999995</v>
          </cell>
          <cell r="J556">
            <v>164.63242857142859</v>
          </cell>
          <cell r="K556">
            <v>1152.4270000000001</v>
          </cell>
          <cell r="M556">
            <v>107.604</v>
          </cell>
          <cell r="N556">
            <v>0</v>
          </cell>
          <cell r="O556">
            <v>145.102</v>
          </cell>
          <cell r="P556">
            <v>47.725999999999999</v>
          </cell>
          <cell r="Q556">
            <v>412</v>
          </cell>
          <cell r="R556">
            <v>338</v>
          </cell>
          <cell r="S556">
            <v>0</v>
          </cell>
          <cell r="T556">
            <v>150.06171428571429</v>
          </cell>
          <cell r="U556">
            <v>1050.432</v>
          </cell>
        </row>
        <row r="558">
          <cell r="A558" t="str">
            <v>Modelware DuPont (Non-lease Adjusted)ROE</v>
          </cell>
          <cell r="B558" t="str">
            <v>Dividends/Share</v>
          </cell>
        </row>
        <row r="559">
          <cell r="B559" t="str">
            <v>FY(2)</v>
          </cell>
          <cell r="D559">
            <v>0.77273231930720543</v>
          </cell>
          <cell r="E559">
            <v>0.50913115661317099</v>
          </cell>
          <cell r="F559">
            <v>0.53846130663261771</v>
          </cell>
          <cell r="G559">
            <v>4.8394450595974726E-2</v>
          </cell>
          <cell r="H559">
            <v>0.29634761302272666</v>
          </cell>
          <cell r="I559">
            <v>0.32366904107715905</v>
          </cell>
          <cell r="M559">
            <v>0.67010478240442295</v>
          </cell>
          <cell r="N559">
            <v>0</v>
          </cell>
          <cell r="O559">
            <v>0.3667877247140004</v>
          </cell>
          <cell r="P559">
            <v>0</v>
          </cell>
          <cell r="Q559">
            <v>0.31743562402395631</v>
          </cell>
          <cell r="R559">
            <v>0.59700668213536401</v>
          </cell>
          <cell r="S559" t="e">
            <v>#VALUE!</v>
          </cell>
        </row>
        <row r="560">
          <cell r="B560" t="str">
            <v>FY(1)</v>
          </cell>
          <cell r="D560">
            <v>0.79865395401009531</v>
          </cell>
          <cell r="E560">
            <v>0.52441122382393068</v>
          </cell>
          <cell r="F560">
            <v>0.63006506106608828</v>
          </cell>
          <cell r="G560">
            <v>8.5486761475315077E-3</v>
          </cell>
          <cell r="H560">
            <v>0.37970290712181043</v>
          </cell>
          <cell r="I560">
            <v>0.39965404574284064</v>
          </cell>
          <cell r="M560">
            <v>0.68057251010740161</v>
          </cell>
          <cell r="N560">
            <v>0</v>
          </cell>
          <cell r="O560">
            <v>0.39692266188783232</v>
          </cell>
          <cell r="P560">
            <v>0</v>
          </cell>
          <cell r="Q560">
            <v>0.33796940194714881</v>
          </cell>
          <cell r="R560">
            <v>0.59590691993204881</v>
          </cell>
          <cell r="S560" t="e">
            <v>#VALUE!</v>
          </cell>
        </row>
        <row r="561">
          <cell r="B561" t="str">
            <v>FY0</v>
          </cell>
          <cell r="D561">
            <v>0.78591367833369119</v>
          </cell>
          <cell r="E561">
            <v>0.19888717888007576</v>
          </cell>
          <cell r="F561">
            <v>0.63282494878215345</v>
          </cell>
          <cell r="G561">
            <v>5.3185512566013707E-3</v>
          </cell>
          <cell r="H561">
            <v>0.44141736218701583</v>
          </cell>
          <cell r="I561">
            <v>0.46258436549078513</v>
          </cell>
          <cell r="M561">
            <v>0.69605765394616592</v>
          </cell>
          <cell r="N561">
            <v>0</v>
          </cell>
          <cell r="O561">
            <v>0.39687511956230631</v>
          </cell>
          <cell r="P561">
            <v>0</v>
          </cell>
          <cell r="Q561">
            <v>0.33500357909806727</v>
          </cell>
          <cell r="R561">
            <v>0.59063853227854879</v>
          </cell>
          <cell r="S561" t="e">
            <v>#VALUE!</v>
          </cell>
        </row>
        <row r="562">
          <cell r="B562" t="str">
            <v>FY1</v>
          </cell>
          <cell r="D562">
            <v>0.79551374564607247</v>
          </cell>
          <cell r="E562">
            <v>0.2</v>
          </cell>
          <cell r="F562">
            <v>0.64</v>
          </cell>
          <cell r="G562">
            <v>0</v>
          </cell>
          <cell r="H562">
            <v>0.63999999999999757</v>
          </cell>
          <cell r="I562">
            <v>0.48000000000000026</v>
          </cell>
          <cell r="M562">
            <v>0.7396331382770317</v>
          </cell>
          <cell r="N562">
            <v>0</v>
          </cell>
          <cell r="O562">
            <v>0.41999999999999976</v>
          </cell>
          <cell r="P562">
            <v>0.29669583018868745</v>
          </cell>
          <cell r="Q562">
            <v>0.40000000000000024</v>
          </cell>
          <cell r="R562">
            <v>1.6086249444612246</v>
          </cell>
          <cell r="S562" t="e">
            <v>#VALUE!</v>
          </cell>
        </row>
        <row r="563">
          <cell r="A563" t="str">
            <v>Modelware DuPont (Lease Adjusted)ROIC</v>
          </cell>
          <cell r="B563" t="str">
            <v>FY2</v>
          </cell>
          <cell r="D563">
            <v>0.87506512021067695</v>
          </cell>
          <cell r="E563">
            <v>0.22752661666431784</v>
          </cell>
          <cell r="F563">
            <v>0.69610744366036903</v>
          </cell>
          <cell r="G563">
            <v>0</v>
          </cell>
          <cell r="H563">
            <v>0.70884836701725606</v>
          </cell>
          <cell r="I563">
            <v>0.54128483759377466</v>
          </cell>
          <cell r="M563">
            <v>0.82083475403966555</v>
          </cell>
          <cell r="N563">
            <v>0</v>
          </cell>
          <cell r="O563">
            <v>0.45412257292582325</v>
          </cell>
          <cell r="P563">
            <v>0.32603924632877068</v>
          </cell>
          <cell r="Q563">
            <v>0.43082381588570373</v>
          </cell>
          <cell r="R563">
            <v>0.63076818438024118</v>
          </cell>
          <cell r="S563" t="e">
            <v>#VALUE!</v>
          </cell>
        </row>
        <row r="564">
          <cell r="B564" t="str">
            <v>FQ(3)</v>
          </cell>
          <cell r="D564">
            <v>0.39964077233947015</v>
          </cell>
          <cell r="E564">
            <v>4.9833887043189369E-2</v>
          </cell>
          <cell r="F564">
            <v>0.16099356025758968</v>
          </cell>
          <cell r="G564">
            <v>3.4057137898869821E-3</v>
          </cell>
          <cell r="H564">
            <v>0.11035523529597675</v>
          </cell>
          <cell r="I564">
            <v>0.10516028328060806</v>
          </cell>
          <cell r="M564">
            <v>0.17489765898491394</v>
          </cell>
          <cell r="N564">
            <v>0</v>
          </cell>
          <cell r="O564">
            <v>9.9567746977605814E-2</v>
          </cell>
          <cell r="P564">
            <v>0</v>
          </cell>
          <cell r="Q564">
            <v>8.4648493543758974E-2</v>
          </cell>
          <cell r="R564">
            <v>0.14847580308396616</v>
          </cell>
          <cell r="S564" t="e">
            <v>#VALUE!</v>
          </cell>
        </row>
        <row r="565">
          <cell r="B565" t="str">
            <v>FQ(2)</v>
          </cell>
          <cell r="D565">
            <v>0</v>
          </cell>
          <cell r="E565">
            <v>4.9751243781094523E-2</v>
          </cell>
          <cell r="F565">
            <v>0.15539305301645337</v>
          </cell>
          <cell r="G565">
            <v>5.0605458160130209E-4</v>
          </cell>
          <cell r="H565">
            <v>0.11028346782536727</v>
          </cell>
          <cell r="I565">
            <v>0.11892587576343992</v>
          </cell>
          <cell r="M565">
            <v>0.17494708573249279</v>
          </cell>
          <cell r="N565">
            <v>0</v>
          </cell>
          <cell r="O565">
            <v>9.9136425615386464E-2</v>
          </cell>
          <cell r="P565">
            <v>0</v>
          </cell>
          <cell r="Q565">
            <v>8.4285714285714283E-2</v>
          </cell>
          <cell r="R565">
            <v>0.14737624233566782</v>
          </cell>
          <cell r="S565" t="e">
            <v>#VALUE!</v>
          </cell>
        </row>
        <row r="566">
          <cell r="B566" t="str">
            <v>FQ(1)</v>
          </cell>
          <cell r="D566">
            <v>0.19781144781144783</v>
          </cell>
          <cell r="E566">
            <v>4.9786628733997154E-2</v>
          </cell>
          <cell r="F566">
            <v>0.15858631626642503</v>
          </cell>
          <cell r="G566">
            <v>1.5742246943380386E-3</v>
          </cell>
          <cell r="H566">
            <v>0.11019029587317887</v>
          </cell>
          <cell r="I566">
            <v>0.1186730889621857</v>
          </cell>
          <cell r="M566">
            <v>0.17347007776400314</v>
          </cell>
          <cell r="N566">
            <v>0</v>
          </cell>
          <cell r="O566">
            <v>9.9129388279455388E-2</v>
          </cell>
          <cell r="P566">
            <v>7.4250657864005101E-2</v>
          </cell>
          <cell r="Q566">
            <v>8.5227272727272721E-2</v>
          </cell>
          <cell r="R566">
            <v>0.14927237333934484</v>
          </cell>
          <cell r="S566" t="e">
            <v>#VALUE!</v>
          </cell>
        </row>
        <row r="567">
          <cell r="B567" t="str">
            <v>Last Reported Q</v>
          </cell>
          <cell r="D567">
            <v>0.78591367833369119</v>
          </cell>
          <cell r="E567">
            <v>0.19888717888007576</v>
          </cell>
          <cell r="F567">
            <v>0.63282494878215345</v>
          </cell>
          <cell r="G567">
            <v>5.3185512566013707E-3</v>
          </cell>
          <cell r="H567">
            <v>0.44141736218701583</v>
          </cell>
          <cell r="I567">
            <v>0.46258436549078513</v>
          </cell>
          <cell r="M567">
            <v>0.69605765394616592</v>
          </cell>
          <cell r="N567">
            <v>0</v>
          </cell>
          <cell r="O567">
            <v>0.39687511956230631</v>
          </cell>
          <cell r="P567">
            <v>7.4313665089099853E-2</v>
          </cell>
          <cell r="Q567">
            <v>0.33500357909806727</v>
          </cell>
          <cell r="R567">
            <v>0.59063853227854879</v>
          </cell>
          <cell r="S567" t="e">
            <v>#VALUE!</v>
          </cell>
        </row>
        <row r="568">
          <cell r="A568" t="str">
            <v>Modelware DuPont (Lease Adjusted)ROE</v>
          </cell>
          <cell r="B568" t="str">
            <v>LTM</v>
          </cell>
          <cell r="C568">
            <v>0</v>
          </cell>
          <cell r="D568">
            <v>1.3765575273747235</v>
          </cell>
          <cell r="E568">
            <v>0.34841347435783482</v>
          </cell>
          <cell r="F568">
            <v>1.1088928184359135</v>
          </cell>
          <cell r="G568">
            <v>1.0848681897303892E-2</v>
          </cell>
          <cell r="H568">
            <v>0.77112524001285054</v>
          </cell>
          <cell r="I568">
            <v>0.80362828847117218</v>
          </cell>
          <cell r="M568">
            <v>1.22048518437389</v>
          </cell>
          <cell r="N568">
            <v>0</v>
          </cell>
          <cell r="O568">
            <v>0.69527426059248443</v>
          </cell>
          <cell r="P568">
            <v>0.14863710648780759</v>
          </cell>
          <cell r="Q568">
            <v>0.58867654938381853</v>
          </cell>
          <cell r="R568">
            <v>1.0368050453755582</v>
          </cell>
          <cell r="S568">
            <v>0</v>
          </cell>
        </row>
        <row r="569">
          <cell r="B569" t="str">
            <v>FY0</v>
          </cell>
        </row>
        <row r="570">
          <cell r="A570" t="str">
            <v>mstag:fundsUsedToRepurchaseCommonStock</v>
          </cell>
          <cell r="B570" t="str">
            <v>Repurchases</v>
          </cell>
        </row>
        <row r="571">
          <cell r="B571" t="str">
            <v>FY(2)</v>
          </cell>
          <cell r="C571" t="str">
            <v>NA</v>
          </cell>
          <cell r="D571" t="str">
            <v>NA</v>
          </cell>
          <cell r="E571">
            <v>3322</v>
          </cell>
          <cell r="F571">
            <v>1702</v>
          </cell>
          <cell r="G571" t="str">
            <v>NA</v>
          </cell>
          <cell r="H571">
            <v>200</v>
          </cell>
          <cell r="I571">
            <v>940.20799999999997</v>
          </cell>
          <cell r="J571">
            <v>1541.0519999999999</v>
          </cell>
          <cell r="K571">
            <v>6164.2079999999996</v>
          </cell>
          <cell r="M571">
            <v>287.916</v>
          </cell>
          <cell r="N571">
            <v>266.69200000000001</v>
          </cell>
          <cell r="O571">
            <v>450.601</v>
          </cell>
          <cell r="P571" t="str">
            <v>NA</v>
          </cell>
          <cell r="Q571">
            <v>1700</v>
          </cell>
          <cell r="R571" t="str">
            <v>NA</v>
          </cell>
          <cell r="S571">
            <v>0</v>
          </cell>
          <cell r="T571">
            <v>541.04179999999997</v>
          </cell>
          <cell r="U571">
            <v>2705.2089999999998</v>
          </cell>
        </row>
        <row r="572">
          <cell r="B572" t="str">
            <v>FY(1)</v>
          </cell>
          <cell r="C572" t="str">
            <v>NA</v>
          </cell>
          <cell r="D572" t="str">
            <v>NA</v>
          </cell>
          <cell r="E572">
            <v>1</v>
          </cell>
          <cell r="F572">
            <v>264</v>
          </cell>
          <cell r="G572" t="str">
            <v>NA</v>
          </cell>
          <cell r="H572">
            <v>300</v>
          </cell>
          <cell r="I572">
            <v>751.09699999999998</v>
          </cell>
          <cell r="J572">
            <v>329.02424999999999</v>
          </cell>
          <cell r="K572">
            <v>1316.097</v>
          </cell>
          <cell r="M572">
            <v>50</v>
          </cell>
          <cell r="N572">
            <v>6.681</v>
          </cell>
          <cell r="O572">
            <v>3.4319999999999999</v>
          </cell>
          <cell r="P572" t="str">
            <v>NA</v>
          </cell>
          <cell r="Q572">
            <v>705</v>
          </cell>
          <cell r="R572" t="str">
            <v>NA</v>
          </cell>
          <cell r="S572">
            <v>0</v>
          </cell>
          <cell r="T572">
            <v>153.02260000000001</v>
          </cell>
          <cell r="U572">
            <v>765.11300000000006</v>
          </cell>
        </row>
        <row r="573">
          <cell r="B573" t="str">
            <v>FY0</v>
          </cell>
          <cell r="C573" t="str">
            <v>NA</v>
          </cell>
          <cell r="D573" t="str">
            <v>NA</v>
          </cell>
          <cell r="E573">
            <v>1</v>
          </cell>
          <cell r="F573">
            <v>0</v>
          </cell>
          <cell r="G573" t="str">
            <v>NA</v>
          </cell>
          <cell r="H573">
            <v>300</v>
          </cell>
          <cell r="I573">
            <v>944.8</v>
          </cell>
          <cell r="J573">
            <v>311.45</v>
          </cell>
          <cell r="K573">
            <v>1245.8</v>
          </cell>
          <cell r="M573">
            <v>0</v>
          </cell>
          <cell r="N573">
            <v>174.25700000000001</v>
          </cell>
          <cell r="O573">
            <v>0.247</v>
          </cell>
          <cell r="P573" t="str">
            <v>NA</v>
          </cell>
          <cell r="Q573">
            <v>547</v>
          </cell>
          <cell r="R573" t="str">
            <v>NA</v>
          </cell>
          <cell r="S573">
            <v>0</v>
          </cell>
          <cell r="T573">
            <v>144.30080000000001</v>
          </cell>
          <cell r="U573">
            <v>721.50400000000002</v>
          </cell>
        </row>
        <row r="574">
          <cell r="B574" t="str">
            <v>FY1</v>
          </cell>
          <cell r="C574" t="str">
            <v>NA</v>
          </cell>
          <cell r="D574" t="str">
            <v>NA</v>
          </cell>
          <cell r="E574">
            <v>0</v>
          </cell>
          <cell r="F574">
            <v>0</v>
          </cell>
          <cell r="G574" t="str">
            <v>NA</v>
          </cell>
          <cell r="H574">
            <v>380</v>
          </cell>
          <cell r="I574">
            <v>700</v>
          </cell>
          <cell r="J574">
            <v>270</v>
          </cell>
          <cell r="K574">
            <v>1080</v>
          </cell>
          <cell r="M574">
            <v>200</v>
          </cell>
          <cell r="N574">
            <v>175</v>
          </cell>
          <cell r="O574">
            <v>54</v>
          </cell>
          <cell r="P574" t="str">
            <v>NA</v>
          </cell>
          <cell r="Q574">
            <v>1000</v>
          </cell>
          <cell r="R574" t="str">
            <v>NA</v>
          </cell>
          <cell r="S574">
            <v>0</v>
          </cell>
          <cell r="T574">
            <v>285.8</v>
          </cell>
          <cell r="U574">
            <v>1429</v>
          </cell>
        </row>
        <row r="575">
          <cell r="B575" t="str">
            <v>FY2</v>
          </cell>
          <cell r="C575" t="str">
            <v>NA</v>
          </cell>
          <cell r="D575" t="str">
            <v>NA</v>
          </cell>
          <cell r="E575">
            <v>0</v>
          </cell>
          <cell r="F575">
            <v>200</v>
          </cell>
          <cell r="G575" t="str">
            <v>NA</v>
          </cell>
          <cell r="H575">
            <v>380</v>
          </cell>
          <cell r="I575">
            <v>700</v>
          </cell>
          <cell r="J575">
            <v>320</v>
          </cell>
          <cell r="K575">
            <v>1280</v>
          </cell>
          <cell r="M575">
            <v>186.99280696096599</v>
          </cell>
          <cell r="N575">
            <v>204.936656106768</v>
          </cell>
          <cell r="O575">
            <v>88.082124465709697</v>
          </cell>
          <cell r="P575" t="str">
            <v>NA</v>
          </cell>
          <cell r="Q575">
            <v>1134.53939702649</v>
          </cell>
          <cell r="R575" t="str">
            <v>NA</v>
          </cell>
          <cell r="S575">
            <v>33.456420596740301</v>
          </cell>
          <cell r="T575">
            <v>329.6014810313348</v>
          </cell>
          <cell r="U575">
            <v>1648.0074051566739</v>
          </cell>
        </row>
        <row r="576">
          <cell r="B576" t="str">
            <v>FQ(3)</v>
          </cell>
          <cell r="C576" t="str">
            <v>NA</v>
          </cell>
          <cell r="D576" t="str">
            <v>NA</v>
          </cell>
          <cell r="E576">
            <v>0</v>
          </cell>
          <cell r="F576">
            <v>0</v>
          </cell>
          <cell r="G576" t="str">
            <v>NA</v>
          </cell>
          <cell r="H576">
            <v>77.171000000000006</v>
          </cell>
          <cell r="I576">
            <v>32.423999999999999</v>
          </cell>
          <cell r="J576">
            <v>27.39875</v>
          </cell>
          <cell r="K576">
            <v>109.595</v>
          </cell>
          <cell r="M576">
            <v>0</v>
          </cell>
          <cell r="N576">
            <v>0</v>
          </cell>
          <cell r="O576">
            <v>0</v>
          </cell>
          <cell r="P576" t="str">
            <v>NA</v>
          </cell>
          <cell r="Q576">
            <v>45</v>
          </cell>
          <cell r="R576" t="str">
            <v>NA</v>
          </cell>
          <cell r="S576">
            <v>0</v>
          </cell>
          <cell r="T576">
            <v>9</v>
          </cell>
          <cell r="U576">
            <v>45</v>
          </cell>
        </row>
        <row r="577">
          <cell r="B577" t="str">
            <v>FQ(2)</v>
          </cell>
          <cell r="C577" t="str">
            <v>NA</v>
          </cell>
          <cell r="D577" t="str">
            <v>NA</v>
          </cell>
          <cell r="E577">
            <v>1</v>
          </cell>
          <cell r="F577">
            <v>0</v>
          </cell>
          <cell r="G577" t="str">
            <v>NA</v>
          </cell>
          <cell r="H577">
            <v>77.2</v>
          </cell>
          <cell r="I577">
            <v>204.27600000000001</v>
          </cell>
          <cell r="J577">
            <v>70.619</v>
          </cell>
          <cell r="K577">
            <v>282.476</v>
          </cell>
          <cell r="M577">
            <v>0</v>
          </cell>
          <cell r="N577">
            <v>13.473000000000001</v>
          </cell>
          <cell r="O577">
            <v>0.19500000000000001</v>
          </cell>
          <cell r="P577" t="str">
            <v>NA</v>
          </cell>
          <cell r="Q577">
            <v>0</v>
          </cell>
          <cell r="R577" t="str">
            <v>NA</v>
          </cell>
          <cell r="S577">
            <v>0</v>
          </cell>
          <cell r="T577">
            <v>2.7336</v>
          </cell>
          <cell r="U577">
            <v>13.668000000000001</v>
          </cell>
        </row>
        <row r="578">
          <cell r="B578" t="str">
            <v>FQ(1)</v>
          </cell>
          <cell r="C578" t="str">
            <v>NA</v>
          </cell>
          <cell r="D578" t="str">
            <v>NA</v>
          </cell>
          <cell r="E578">
            <v>0</v>
          </cell>
          <cell r="F578">
            <v>0</v>
          </cell>
          <cell r="G578" t="str">
            <v>NA</v>
          </cell>
          <cell r="H578">
            <v>75.445999999999998</v>
          </cell>
          <cell r="I578">
            <v>293.80099999999999</v>
          </cell>
          <cell r="J578">
            <v>92.311749999999989</v>
          </cell>
          <cell r="K578">
            <v>369.24699999999996</v>
          </cell>
          <cell r="M578">
            <v>0</v>
          </cell>
          <cell r="N578">
            <v>49.567999999999998</v>
          </cell>
          <cell r="O578">
            <v>3.5000000000000003E-2</v>
          </cell>
          <cell r="P578" t="str">
            <v>NA</v>
          </cell>
          <cell r="Q578">
            <v>61</v>
          </cell>
          <cell r="R578" t="str">
            <v>NA</v>
          </cell>
          <cell r="S578">
            <v>0</v>
          </cell>
          <cell r="T578">
            <v>22.1206</v>
          </cell>
          <cell r="U578">
            <v>110.60299999999999</v>
          </cell>
        </row>
        <row r="579">
          <cell r="B579" t="str">
            <v>Last Reported Q</v>
          </cell>
          <cell r="C579" t="str">
            <v>NA</v>
          </cell>
          <cell r="D579" t="str">
            <v>NA</v>
          </cell>
          <cell r="E579">
            <v>1</v>
          </cell>
          <cell r="F579">
            <v>0</v>
          </cell>
          <cell r="G579" t="str">
            <v>NA</v>
          </cell>
          <cell r="H579">
            <v>300</v>
          </cell>
          <cell r="I579">
            <v>944.8</v>
          </cell>
          <cell r="J579">
            <v>311.45</v>
          </cell>
          <cell r="K579">
            <v>1245.8</v>
          </cell>
          <cell r="M579">
            <v>0</v>
          </cell>
          <cell r="N579">
            <v>174.25700000000001</v>
          </cell>
          <cell r="O579">
            <v>0.247</v>
          </cell>
          <cell r="P579" t="str">
            <v>NA</v>
          </cell>
          <cell r="Q579">
            <v>547</v>
          </cell>
          <cell r="R579" t="str">
            <v>NA</v>
          </cell>
          <cell r="S579">
            <v>0</v>
          </cell>
          <cell r="T579">
            <v>144.30080000000001</v>
          </cell>
          <cell r="U579">
            <v>721.50400000000002</v>
          </cell>
        </row>
        <row r="580">
          <cell r="B580" t="str">
            <v>LTM</v>
          </cell>
          <cell r="C580">
            <v>0</v>
          </cell>
          <cell r="D580">
            <v>0</v>
          </cell>
          <cell r="E580">
            <v>2</v>
          </cell>
          <cell r="F580">
            <v>0</v>
          </cell>
          <cell r="G580">
            <v>0</v>
          </cell>
          <cell r="H580">
            <v>529.81700000000001</v>
          </cell>
          <cell r="I580">
            <v>1475.3009999999999</v>
          </cell>
          <cell r="J580">
            <v>286.73114285714286</v>
          </cell>
          <cell r="K580">
            <v>2007.1179999999999</v>
          </cell>
          <cell r="M580">
            <v>0</v>
          </cell>
          <cell r="N580">
            <v>237.298</v>
          </cell>
          <cell r="O580">
            <v>0.47699999999999998</v>
          </cell>
          <cell r="P580">
            <v>0</v>
          </cell>
          <cell r="Q580">
            <v>653</v>
          </cell>
          <cell r="R580">
            <v>0</v>
          </cell>
          <cell r="S580">
            <v>0</v>
          </cell>
          <cell r="T580">
            <v>127.25357142857142</v>
          </cell>
          <cell r="U580">
            <v>890.77499999999998</v>
          </cell>
        </row>
        <row r="581">
          <cell r="B581" t="str">
            <v>EV/EBITDA</v>
          </cell>
        </row>
        <row r="582">
          <cell r="B582" t="str">
            <v>Repurchases &amp; Dividends</v>
          </cell>
          <cell r="C582" t="e">
            <v>#VALUE!</v>
          </cell>
          <cell r="D582" t="e">
            <v>#VALUE!</v>
          </cell>
          <cell r="E582" t="e">
            <v>#VALUE!</v>
          </cell>
          <cell r="F582" t="e">
            <v>#VALUE!</v>
          </cell>
          <cell r="G582" t="e">
            <v>#VALUE!</v>
          </cell>
          <cell r="H582" t="e">
            <v>#VALUE!</v>
          </cell>
          <cell r="I582" t="e">
            <v>#VALUE!</v>
          </cell>
          <cell r="J582" t="e">
            <v>#VALUE!</v>
          </cell>
          <cell r="M582" t="e">
            <v>#VALUE!</v>
          </cell>
          <cell r="N582" t="e">
            <v>#VALUE!</v>
          </cell>
          <cell r="O582" t="e">
            <v>#VALUE!</v>
          </cell>
          <cell r="P582" t="e">
            <v>#VALUE!</v>
          </cell>
          <cell r="Q582" t="e">
            <v>#VALUE!</v>
          </cell>
          <cell r="R582" t="e">
            <v>#VALUE!</v>
          </cell>
          <cell r="S582" t="e">
            <v>#VALUE!</v>
          </cell>
          <cell r="T582" t="e">
            <v>#VALUE!</v>
          </cell>
        </row>
        <row r="583">
          <cell r="B583" t="str">
            <v>FY(2)</v>
          </cell>
          <cell r="C583">
            <v>0</v>
          </cell>
          <cell r="D583">
            <v>174</v>
          </cell>
          <cell r="E583">
            <v>3552</v>
          </cell>
          <cell r="F583">
            <v>1836</v>
          </cell>
          <cell r="G583">
            <v>7.43</v>
          </cell>
          <cell r="H583">
            <v>240.63800000000001</v>
          </cell>
          <cell r="I583">
            <v>1091.7</v>
          </cell>
          <cell r="J583">
            <v>985.96685714285718</v>
          </cell>
          <cell r="K583">
            <v>6901.768</v>
          </cell>
          <cell r="M583">
            <v>349.24599999999998</v>
          </cell>
          <cell r="N583">
            <v>266.69200000000001</v>
          </cell>
          <cell r="O583">
            <v>531.39700000000005</v>
          </cell>
          <cell r="P583">
            <v>0</v>
          </cell>
          <cell r="Q583">
            <v>1952</v>
          </cell>
          <cell r="R583">
            <v>227</v>
          </cell>
          <cell r="S583">
            <v>0</v>
          </cell>
          <cell r="T583">
            <v>475.19071428571431</v>
          </cell>
          <cell r="U583">
            <v>3326.335</v>
          </cell>
        </row>
        <row r="584">
          <cell r="B584" t="str">
            <v>FY(1)</v>
          </cell>
          <cell r="C584">
            <v>0</v>
          </cell>
          <cell r="D584">
            <v>178</v>
          </cell>
          <cell r="E584">
            <v>222</v>
          </cell>
          <cell r="F584">
            <v>402</v>
          </cell>
          <cell r="G584">
            <v>1.1830000000000001</v>
          </cell>
          <cell r="H584">
            <v>349.83800000000002</v>
          </cell>
          <cell r="I584">
            <v>927.846</v>
          </cell>
          <cell r="J584">
            <v>297.26671428571433</v>
          </cell>
          <cell r="K584">
            <v>2080.8670000000002</v>
          </cell>
          <cell r="M584">
            <v>110.76900000000001</v>
          </cell>
          <cell r="N584">
            <v>6.681</v>
          </cell>
          <cell r="O584">
            <v>85.826000000000008</v>
          </cell>
          <cell r="P584">
            <v>0</v>
          </cell>
          <cell r="Q584">
            <v>948</v>
          </cell>
          <cell r="R584">
            <v>201</v>
          </cell>
          <cell r="S584">
            <v>0</v>
          </cell>
          <cell r="T584">
            <v>193.18228571428571</v>
          </cell>
          <cell r="U584">
            <v>1352.2760000000001</v>
          </cell>
        </row>
        <row r="585">
          <cell r="B585" t="str">
            <v>FY0</v>
          </cell>
          <cell r="C585">
            <v>0</v>
          </cell>
          <cell r="D585">
            <v>183</v>
          </cell>
          <cell r="E585">
            <v>85</v>
          </cell>
          <cell r="F585">
            <v>139</v>
          </cell>
          <cell r="G585">
            <v>0.78100000000000003</v>
          </cell>
          <cell r="H585">
            <v>355.202</v>
          </cell>
          <cell r="I585">
            <v>1142.5</v>
          </cell>
          <cell r="J585">
            <v>272.21185714285713</v>
          </cell>
          <cell r="K585">
            <v>1905.4829999999999</v>
          </cell>
          <cell r="M585">
            <v>61.5</v>
          </cell>
          <cell r="N585">
            <v>174.25700000000001</v>
          </cell>
          <cell r="O585">
            <v>83.231999999999999</v>
          </cell>
          <cell r="P585">
            <v>0</v>
          </cell>
          <cell r="Q585">
            <v>781</v>
          </cell>
          <cell r="R585">
            <v>193</v>
          </cell>
          <cell r="S585">
            <v>0</v>
          </cell>
          <cell r="T585">
            <v>184.7127142857143</v>
          </cell>
          <cell r="U585">
            <v>1292.989</v>
          </cell>
        </row>
        <row r="586">
          <cell r="B586" t="str">
            <v>FY1</v>
          </cell>
          <cell r="C586">
            <v>0</v>
          </cell>
          <cell r="D586">
            <v>188.775411841813</v>
          </cell>
          <cell r="E586">
            <v>85.186000000000007</v>
          </cell>
          <cell r="F586">
            <v>142.09321152000001</v>
          </cell>
          <cell r="G586">
            <v>0</v>
          </cell>
          <cell r="H586">
            <v>457.70708450909092</v>
          </cell>
          <cell r="I586">
            <v>897.28933818181804</v>
          </cell>
          <cell r="J586">
            <v>253.00729229324602</v>
          </cell>
          <cell r="K586">
            <v>1771.0510460527221</v>
          </cell>
          <cell r="M586">
            <v>264.34389702127658</v>
          </cell>
          <cell r="N586">
            <v>175</v>
          </cell>
          <cell r="O586">
            <v>144.0630963866667</v>
          </cell>
          <cell r="P586">
            <v>94.252655263445405</v>
          </cell>
          <cell r="Q586">
            <v>1262.495314327273</v>
          </cell>
          <cell r="R586">
            <v>518.07900254814797</v>
          </cell>
          <cell r="S586">
            <v>0</v>
          </cell>
          <cell r="T586">
            <v>351.17628079240137</v>
          </cell>
          <cell r="U586">
            <v>2458.2339655468095</v>
          </cell>
        </row>
        <row r="587">
          <cell r="B587" t="str">
            <v>FY2</v>
          </cell>
          <cell r="C587">
            <v>0</v>
          </cell>
          <cell r="D587">
            <v>207.70836687078599</v>
          </cell>
          <cell r="E587">
            <v>96.910411835832903</v>
          </cell>
          <cell r="F587">
            <v>351.06358340229599</v>
          </cell>
          <cell r="G587">
            <v>0</v>
          </cell>
          <cell r="H587">
            <v>461.59243873454551</v>
          </cell>
          <cell r="I587">
            <v>913.29758054177</v>
          </cell>
          <cell r="J587">
            <v>290.08176876931867</v>
          </cell>
          <cell r="K587">
            <v>2030.5723813852305</v>
          </cell>
          <cell r="M587">
            <v>255.18091389960301</v>
          </cell>
          <cell r="N587">
            <v>204.936656106768</v>
          </cell>
          <cell r="O587">
            <v>186.48300026498819</v>
          </cell>
          <cell r="P587">
            <v>99.137817779386296</v>
          </cell>
          <cell r="Q587">
            <v>1396.8875397541649</v>
          </cell>
          <cell r="R587">
            <v>200</v>
          </cell>
          <cell r="S587">
            <v>33.456420596740301</v>
          </cell>
          <cell r="T587">
            <v>339.44033548595007</v>
          </cell>
          <cell r="U587">
            <v>2376.0823484016505</v>
          </cell>
        </row>
        <row r="588">
          <cell r="B588" t="str">
            <v>FQ(3)</v>
          </cell>
          <cell r="C588">
            <v>0</v>
          </cell>
          <cell r="D588">
            <v>89</v>
          </cell>
          <cell r="E588">
            <v>21</v>
          </cell>
          <cell r="F588">
            <v>35</v>
          </cell>
          <cell r="G588">
            <v>0.47099999999999997</v>
          </cell>
          <cell r="H588">
            <v>91.138000000000005</v>
          </cell>
          <cell r="I588">
            <v>77.831999999999994</v>
          </cell>
          <cell r="J588">
            <v>44.920142857142864</v>
          </cell>
          <cell r="K588">
            <v>314.44100000000003</v>
          </cell>
          <cell r="M588">
            <v>15.337999999999999</v>
          </cell>
          <cell r="N588">
            <v>0</v>
          </cell>
          <cell r="O588">
            <v>20.638999999999999</v>
          </cell>
          <cell r="P588">
            <v>0</v>
          </cell>
          <cell r="Q588">
            <v>104</v>
          </cell>
          <cell r="R588">
            <v>48</v>
          </cell>
          <cell r="S588">
            <v>0</v>
          </cell>
          <cell r="T588">
            <v>26.853857142857144</v>
          </cell>
          <cell r="U588">
            <v>187.977</v>
          </cell>
        </row>
        <row r="589">
          <cell r="B589" t="str">
            <v>FQ(2)</v>
          </cell>
          <cell r="C589">
            <v>0</v>
          </cell>
          <cell r="D589">
            <v>0</v>
          </cell>
          <cell r="E589">
            <v>22</v>
          </cell>
          <cell r="F589">
            <v>34</v>
          </cell>
          <cell r="G589">
            <v>7.0000000000000104E-2</v>
          </cell>
          <cell r="H589">
            <v>91.058000000000007</v>
          </cell>
          <cell r="I589">
            <v>255.46800000000002</v>
          </cell>
          <cell r="J589">
            <v>57.513714285714286</v>
          </cell>
          <cell r="K589">
            <v>402.596</v>
          </cell>
          <cell r="M589">
            <v>15.374000000000001</v>
          </cell>
          <cell r="N589">
            <v>13.473000000000001</v>
          </cell>
          <cell r="O589">
            <v>20.916</v>
          </cell>
          <cell r="P589">
            <v>0</v>
          </cell>
          <cell r="Q589">
            <v>59</v>
          </cell>
          <cell r="R589">
            <v>48</v>
          </cell>
          <cell r="S589">
            <v>0</v>
          </cell>
          <cell r="T589">
            <v>22.394714285714286</v>
          </cell>
          <cell r="U589">
            <v>156.76300000000001</v>
          </cell>
        </row>
        <row r="590">
          <cell r="B590" t="str">
            <v>FQ(1)</v>
          </cell>
          <cell r="C590">
            <v>0</v>
          </cell>
          <cell r="D590">
            <v>47</v>
          </cell>
          <cell r="E590">
            <v>21</v>
          </cell>
          <cell r="F590">
            <v>35</v>
          </cell>
          <cell r="G590">
            <v>0.24</v>
          </cell>
          <cell r="H590">
            <v>89.180999999999997</v>
          </cell>
          <cell r="I590">
            <v>344.60399999999998</v>
          </cell>
          <cell r="J590">
            <v>76.717857142857142</v>
          </cell>
          <cell r="K590">
            <v>537.02499999999998</v>
          </cell>
          <cell r="M590">
            <v>15.391999999999999</v>
          </cell>
          <cell r="N590">
            <v>49.567999999999998</v>
          </cell>
          <cell r="O590">
            <v>20.792000000000002</v>
          </cell>
          <cell r="P590">
            <v>23.843</v>
          </cell>
          <cell r="Q590">
            <v>121</v>
          </cell>
          <cell r="R590">
            <v>49</v>
          </cell>
          <cell r="S590">
            <v>0</v>
          </cell>
          <cell r="T590">
            <v>39.942142857142862</v>
          </cell>
          <cell r="U590">
            <v>279.59500000000003</v>
          </cell>
        </row>
        <row r="591">
          <cell r="B591" t="str">
            <v>Last Reported Q</v>
          </cell>
          <cell r="C591">
            <v>0</v>
          </cell>
          <cell r="D591">
            <v>183</v>
          </cell>
          <cell r="E591">
            <v>85</v>
          </cell>
          <cell r="F591">
            <v>139</v>
          </cell>
          <cell r="G591">
            <v>0.78100000000000003</v>
          </cell>
          <cell r="H591">
            <v>355.202</v>
          </cell>
          <cell r="I591">
            <v>1142.5</v>
          </cell>
          <cell r="J591">
            <v>272.21185714285713</v>
          </cell>
          <cell r="K591">
            <v>1905.4829999999999</v>
          </cell>
          <cell r="M591">
            <v>61.5</v>
          </cell>
          <cell r="N591">
            <v>174.25700000000001</v>
          </cell>
          <cell r="O591">
            <v>83.231999999999999</v>
          </cell>
          <cell r="P591">
            <v>23.882999999999999</v>
          </cell>
          <cell r="Q591">
            <v>781</v>
          </cell>
          <cell r="R591">
            <v>193</v>
          </cell>
          <cell r="S591">
            <v>0</v>
          </cell>
          <cell r="T591">
            <v>188.12457142857144</v>
          </cell>
          <cell r="U591">
            <v>1316.8720000000001</v>
          </cell>
        </row>
        <row r="592">
          <cell r="B592" t="str">
            <v>LTM</v>
          </cell>
          <cell r="C592">
            <v>0</v>
          </cell>
          <cell r="D592">
            <v>319</v>
          </cell>
          <cell r="E592">
            <v>149</v>
          </cell>
          <cell r="F592">
            <v>243</v>
          </cell>
          <cell r="G592">
            <v>1.5620000000000001</v>
          </cell>
          <cell r="H592">
            <v>626.57899999999995</v>
          </cell>
          <cell r="I592">
            <v>1820.404</v>
          </cell>
          <cell r="J592">
            <v>451.36357142857145</v>
          </cell>
          <cell r="K592">
            <v>3159.5450000000001</v>
          </cell>
          <cell r="M592">
            <v>107.604</v>
          </cell>
          <cell r="N592">
            <v>237.298</v>
          </cell>
          <cell r="O592">
            <v>145.57900000000001</v>
          </cell>
          <cell r="P592">
            <v>47.725999999999999</v>
          </cell>
          <cell r="Q592">
            <v>1065</v>
          </cell>
          <cell r="R592">
            <v>338</v>
          </cell>
          <cell r="S592">
            <v>0</v>
          </cell>
          <cell r="T592">
            <v>277.31528571428572</v>
          </cell>
          <cell r="U592">
            <v>1941.2069999999999</v>
          </cell>
        </row>
        <row r="593">
          <cell r="B593" t="str">
            <v>FY1</v>
          </cell>
          <cell r="C593" t="str">
            <v/>
          </cell>
          <cell r="D593" t="str">
            <v/>
          </cell>
          <cell r="E593" t="str">
            <v/>
          </cell>
          <cell r="F593" t="str">
            <v/>
          </cell>
          <cell r="G593" t="str">
            <v/>
          </cell>
          <cell r="H593" t="str">
            <v/>
          </cell>
          <cell r="I593" t="str">
            <v/>
          </cell>
          <cell r="J593" t="e">
            <v>#NUM!</v>
          </cell>
          <cell r="M593" t="str">
            <v/>
          </cell>
          <cell r="N593" t="str">
            <v/>
          </cell>
          <cell r="O593" t="str">
            <v/>
          </cell>
          <cell r="P593" t="str">
            <v/>
          </cell>
          <cell r="Q593" t="str">
            <v/>
          </cell>
          <cell r="R593" t="str">
            <v/>
          </cell>
          <cell r="S593" t="str">
            <v/>
          </cell>
          <cell r="T593" t="e">
            <v>#NUM!</v>
          </cell>
        </row>
        <row r="594">
          <cell r="B594" t="str">
            <v>Total Payout Ratio</v>
          </cell>
          <cell r="C594" t="str">
            <v/>
          </cell>
          <cell r="D594" t="str">
            <v/>
          </cell>
          <cell r="E594" t="str">
            <v/>
          </cell>
          <cell r="F594" t="str">
            <v/>
          </cell>
          <cell r="G594" t="str">
            <v/>
          </cell>
          <cell r="H594" t="str">
            <v/>
          </cell>
          <cell r="I594" t="str">
            <v/>
          </cell>
          <cell r="J594" t="e">
            <v>#NUM!</v>
          </cell>
          <cell r="M594" t="str">
            <v/>
          </cell>
          <cell r="N594" t="str">
            <v/>
          </cell>
          <cell r="O594" t="str">
            <v/>
          </cell>
          <cell r="P594" t="str">
            <v/>
          </cell>
          <cell r="Q594" t="str">
            <v/>
          </cell>
          <cell r="R594" t="str">
            <v/>
          </cell>
          <cell r="S594" t="str">
            <v/>
          </cell>
          <cell r="T594" t="e">
            <v>#NUM!</v>
          </cell>
        </row>
        <row r="595">
          <cell r="B595" t="str">
            <v>FY(2)</v>
          </cell>
          <cell r="C595">
            <v>0</v>
          </cell>
          <cell r="D595">
            <v>0.16216216216216217</v>
          </cell>
          <cell r="E595">
            <v>3.6661247985587697</v>
          </cell>
          <cell r="F595">
            <v>2.6454340327307624</v>
          </cell>
          <cell r="G595">
            <v>0.11723994317024553</v>
          </cell>
          <cell r="H595">
            <v>0.92180455160102825</v>
          </cell>
          <cell r="I595">
            <v>1.2096020253757214</v>
          </cell>
          <cell r="J595">
            <v>1.2460525019426698</v>
          </cell>
          <cell r="K595">
            <v>1.3675882547173104</v>
          </cell>
          <cell r="M595">
            <v>0.69971370012041023</v>
          </cell>
          <cell r="N595">
            <v>2.1272224039052094</v>
          </cell>
          <cell r="O595">
            <v>1.328429399603519</v>
          </cell>
          <cell r="P595">
            <v>0</v>
          </cell>
          <cell r="Q595">
            <v>2.1977264654447031</v>
          </cell>
          <cell r="R595">
            <v>0.49192140793886452</v>
          </cell>
          <cell r="S595">
            <v>0</v>
          </cell>
          <cell r="T595">
            <v>0.97785905385895788</v>
          </cell>
          <cell r="U595">
            <v>1.051565317099219</v>
          </cell>
        </row>
        <row r="596">
          <cell r="B596" t="str">
            <v>FY(1)</v>
          </cell>
          <cell r="C596">
            <v>0</v>
          </cell>
          <cell r="D596">
            <v>0.31642285419859939</v>
          </cell>
          <cell r="E596">
            <v>0.40733944954128443</v>
          </cell>
          <cell r="F596">
            <v>1.0188796885573728</v>
          </cell>
          <cell r="G596">
            <v>-1.0778540196118701E-2</v>
          </cell>
          <cell r="H596">
            <v>1.1554399257639285</v>
          </cell>
          <cell r="I596">
            <v>1.0497673417532609</v>
          </cell>
          <cell r="J596">
            <v>0.56243867423118965</v>
          </cell>
          <cell r="K596">
            <v>0.60060872654977804</v>
          </cell>
          <cell r="M596">
            <v>0.34727063277060433</v>
          </cell>
          <cell r="N596">
            <v>4.4712291362717677E-2</v>
          </cell>
          <cell r="O596">
            <v>0.41889227285150915</v>
          </cell>
          <cell r="P596">
            <v>0</v>
          </cell>
          <cell r="Q596">
            <v>0.98035160289555323</v>
          </cell>
          <cell r="R596">
            <v>0.56878958181231642</v>
          </cell>
          <cell r="S596">
            <v>0</v>
          </cell>
          <cell r="T596">
            <v>0.33714519738467158</v>
          </cell>
          <cell r="U596">
            <v>0.46073696249193502</v>
          </cell>
        </row>
        <row r="597">
          <cell r="B597" t="str">
            <v>FY0</v>
          </cell>
          <cell r="C597">
            <v>0</v>
          </cell>
          <cell r="D597">
            <v>0.73322595379474487</v>
          </cell>
          <cell r="E597">
            <v>0.14756944444444445</v>
          </cell>
          <cell r="F597">
            <v>0.32491818606825618</v>
          </cell>
          <cell r="G597">
            <v>-1.6362232382747848E-2</v>
          </cell>
          <cell r="H597">
            <v>0.80225044437467952</v>
          </cell>
          <cell r="I597">
            <v>0.94143569561591744</v>
          </cell>
          <cell r="J597">
            <v>0.41900535598789918</v>
          </cell>
          <cell r="K597">
            <v>0.49466351475021214</v>
          </cell>
          <cell r="M597">
            <v>0.6411004160272602</v>
          </cell>
          <cell r="N597">
            <v>0.75328644484694962</v>
          </cell>
          <cell r="O597">
            <v>0.52325453102828579</v>
          </cell>
          <cell r="P597">
            <v>0</v>
          </cell>
          <cell r="Q597">
            <v>0.7101291143844336</v>
          </cell>
          <cell r="R597">
            <v>0.47634326332156873</v>
          </cell>
          <cell r="S597">
            <v>0</v>
          </cell>
          <cell r="T597">
            <v>0.44344482422978537</v>
          </cell>
          <cell r="U597">
            <v>0.45635204390278128</v>
          </cell>
        </row>
        <row r="598">
          <cell r="B598" t="str">
            <v>FY1</v>
          </cell>
          <cell r="C598">
            <v>0</v>
          </cell>
          <cell r="D598">
            <v>0.50753937868714571</v>
          </cell>
          <cell r="E598">
            <v>0.10909301206497163</v>
          </cell>
          <cell r="F598">
            <v>0.24746240936388547</v>
          </cell>
          <cell r="G598">
            <v>0</v>
          </cell>
          <cell r="H598">
            <v>0.87878285220050112</v>
          </cell>
          <cell r="I598">
            <v>0.63479295131495372</v>
          </cell>
          <cell r="J598">
            <v>0.33966722909020824</v>
          </cell>
          <cell r="K598">
            <v>0.36616541991203905</v>
          </cell>
          <cell r="M598">
            <v>1.7009033921522962</v>
          </cell>
          <cell r="N598">
            <v>0.67981251994719039</v>
          </cell>
          <cell r="O598">
            <v>0.57942808192479767</v>
          </cell>
          <cell r="P598">
            <v>0.13620642135194008</v>
          </cell>
          <cell r="Q598">
            <v>1.1647794572958605</v>
          </cell>
          <cell r="R598">
            <v>0.94883089374659302</v>
          </cell>
          <cell r="S598">
            <v>0</v>
          </cell>
          <cell r="T598">
            <v>0.74428010948838252</v>
          </cell>
          <cell r="U598">
            <v>0.75346194903587538</v>
          </cell>
        </row>
        <row r="599">
          <cell r="B599" t="str">
            <v>FY2</v>
          </cell>
          <cell r="C599">
            <v>0</v>
          </cell>
          <cell r="D599">
            <v>0.45040175903104468</v>
          </cell>
          <cell r="E599">
            <v>0.10909301206497171</v>
          </cell>
          <cell r="F599">
            <v>0.55559423355219895</v>
          </cell>
          <cell r="G599">
            <v>0</v>
          </cell>
          <cell r="H599">
            <v>0.82303887166694112</v>
          </cell>
          <cell r="I599">
            <v>0.59762613597557279</v>
          </cell>
          <cell r="J599">
            <v>0.36225057318438986</v>
          </cell>
          <cell r="K599">
            <v>0.37125601240434875</v>
          </cell>
          <cell r="M599">
            <v>1.2500000000000455</v>
          </cell>
          <cell r="N599">
            <v>0.80000000000000626</v>
          </cell>
          <cell r="O599">
            <v>0.60942808192479714</v>
          </cell>
          <cell r="P599">
            <v>0.13454396508448954</v>
          </cell>
          <cell r="Q599">
            <v>1.300000000000052</v>
          </cell>
          <cell r="R599">
            <v>0.31730075807378577</v>
          </cell>
          <cell r="S599">
            <v>9.9999999999998201E-2</v>
          </cell>
          <cell r="T599">
            <v>0.64446754358331049</v>
          </cell>
          <cell r="U599">
            <v>0.6707236257254281</v>
          </cell>
        </row>
        <row r="600">
          <cell r="B600" t="str">
            <v>FQ(3)</v>
          </cell>
          <cell r="C600">
            <v>0</v>
          </cell>
          <cell r="D600">
            <v>3.56</v>
          </cell>
          <cell r="E600">
            <v>-0.30882352941176472</v>
          </cell>
          <cell r="F600">
            <v>0.51470588235294112</v>
          </cell>
          <cell r="G600">
            <v>-9.8247809762202751E-2</v>
          </cell>
          <cell r="H600">
            <v>0.99727532362371019</v>
          </cell>
          <cell r="I600">
            <v>0.37202099285898649</v>
          </cell>
          <cell r="J600">
            <v>0.71956155138023858</v>
          </cell>
          <cell r="K600">
            <v>0.68684183509644903</v>
          </cell>
          <cell r="M600">
            <v>-0.66383899588833584</v>
          </cell>
          <cell r="N600">
            <v>0</v>
          </cell>
          <cell r="O600">
            <v>1.3161788151265863</v>
          </cell>
          <cell r="P600">
            <v>0</v>
          </cell>
          <cell r="Q600">
            <v>0.48372093023255813</v>
          </cell>
          <cell r="R600">
            <v>18.45444059976932</v>
          </cell>
          <cell r="S600">
            <v>0</v>
          </cell>
          <cell r="T600">
            <v>2.7986430498914467</v>
          </cell>
          <cell r="U600">
            <v>0.47313378739598599</v>
          </cell>
        </row>
        <row r="601">
          <cell r="B601" t="str">
            <v>FQ(2)</v>
          </cell>
          <cell r="C601">
            <v>0</v>
          </cell>
          <cell r="D601">
            <v>0</v>
          </cell>
          <cell r="E601">
            <v>0.26190476190476192</v>
          </cell>
          <cell r="F601">
            <v>0.32380952380952382</v>
          </cell>
          <cell r="G601">
            <v>-1.2749758665282426E-3</v>
          </cell>
          <cell r="H601">
            <v>0.88057868422834051</v>
          </cell>
          <cell r="I601">
            <v>0.97670524275408044</v>
          </cell>
          <cell r="J601">
            <v>0.34881760526145406</v>
          </cell>
          <cell r="K601">
            <v>0.55336081380309454</v>
          </cell>
          <cell r="M601">
            <v>2.2314825700803707</v>
          </cell>
          <cell r="N601">
            <v>0.34580734580734585</v>
          </cell>
          <cell r="O601">
            <v>0.7320453590928182</v>
          </cell>
          <cell r="P601">
            <v>0</v>
          </cell>
          <cell r="Q601">
            <v>0.25877192982456143</v>
          </cell>
          <cell r="R601">
            <v>0.79650863714053399</v>
          </cell>
          <cell r="S601">
            <v>0</v>
          </cell>
          <cell r="T601">
            <v>0.6235165488493758</v>
          </cell>
          <cell r="U601">
            <v>0.28607817774243055</v>
          </cell>
        </row>
        <row r="602">
          <cell r="B602" t="str">
            <v>FQ(1)</v>
          </cell>
          <cell r="C602">
            <v>0</v>
          </cell>
          <cell r="D602">
            <v>1.7407407407407407</v>
          </cell>
          <cell r="E602">
            <v>-1.75</v>
          </cell>
          <cell r="F602">
            <v>0.42168674698795183</v>
          </cell>
          <cell r="G602">
            <v>0.12727187703110288</v>
          </cell>
          <cell r="H602">
            <v>0.84869623144271034</v>
          </cell>
          <cell r="I602">
            <v>0.99081365961374246</v>
          </cell>
          <cell r="J602">
            <v>0.33988703654517832</v>
          </cell>
          <cell r="K602">
            <v>0.72009975886680333</v>
          </cell>
          <cell r="M602">
            <v>0.50262874310159023</v>
          </cell>
          <cell r="N602">
            <v>0.79145443803988569</v>
          </cell>
          <cell r="O602">
            <v>0.4672203110502593</v>
          </cell>
          <cell r="P602">
            <v>0.16930702209093426</v>
          </cell>
          <cell r="Q602">
            <v>0.39413680781758959</v>
          </cell>
          <cell r="R602">
            <v>8.0341039514674542</v>
          </cell>
          <cell r="S602">
            <v>0</v>
          </cell>
          <cell r="T602">
            <v>1.4798358962239591</v>
          </cell>
          <cell r="U602">
            <v>0.42746856310768105</v>
          </cell>
        </row>
        <row r="603">
          <cell r="B603" t="str">
            <v>Last Reported Q</v>
          </cell>
          <cell r="C603">
            <v>0</v>
          </cell>
          <cell r="D603">
            <v>0.73322595379474487</v>
          </cell>
          <cell r="E603">
            <v>0.14756944444444445</v>
          </cell>
          <cell r="F603">
            <v>0.32491818606825618</v>
          </cell>
          <cell r="G603">
            <v>-1.6362232382747848E-2</v>
          </cell>
          <cell r="H603">
            <v>0.80225044437467952</v>
          </cell>
          <cell r="I603">
            <v>0.94143569561591744</v>
          </cell>
          <cell r="J603">
            <v>0.41900535598789918</v>
          </cell>
          <cell r="K603">
            <v>0.49466351475021214</v>
          </cell>
          <cell r="M603">
            <v>0.6411004160272602</v>
          </cell>
          <cell r="N603">
            <v>0.75328644484694962</v>
          </cell>
          <cell r="O603">
            <v>0.52325453102828579</v>
          </cell>
          <cell r="P603">
            <v>9.9120149408590999E-2</v>
          </cell>
          <cell r="Q603">
            <v>0.7101291143844336</v>
          </cell>
          <cell r="R603">
            <v>0.47634326332156873</v>
          </cell>
          <cell r="S603">
            <v>0</v>
          </cell>
          <cell r="T603">
            <v>0.45760484557386988</v>
          </cell>
          <cell r="U603">
            <v>0.53703039732530433</v>
          </cell>
        </row>
        <row r="604">
          <cell r="B604" t="str">
            <v>LTM</v>
          </cell>
          <cell r="C604">
            <v>0</v>
          </cell>
          <cell r="D604">
            <v>1.0599274331813773</v>
          </cell>
          <cell r="E604">
            <v>0.25689655172413794</v>
          </cell>
          <cell r="F604">
            <v>0.35536706639368237</v>
          </cell>
          <cell r="G604">
            <v>-1.4799634611464611E-2</v>
          </cell>
          <cell r="H604">
            <v>0.84372858122001371</v>
          </cell>
          <cell r="I604">
            <v>0.89580374638436422</v>
          </cell>
          <cell r="J604">
            <v>0.48527482061315869</v>
          </cell>
          <cell r="K604">
            <v>0.54633181846653156</v>
          </cell>
          <cell r="M604">
            <v>0.97523573362915594</v>
          </cell>
          <cell r="N604">
            <v>0.64818871655913513</v>
          </cell>
          <cell r="O604">
            <v>0.58743732559956308</v>
          </cell>
          <cell r="P604">
            <v>7.4433707430581988E-2</v>
          </cell>
          <cell r="Q604">
            <v>0.57573791761271487</v>
          </cell>
          <cell r="R604">
            <v>0.71288014122619592</v>
          </cell>
          <cell r="S604">
            <v>0</v>
          </cell>
          <cell r="T604">
            <v>0.51055907743676376</v>
          </cell>
          <cell r="U604">
            <v>0.47913493836607302</v>
          </cell>
        </row>
        <row r="606">
          <cell r="A606" t="str">
            <v>Modelware DuPont (Non-lease Adjusted)ROIC</v>
          </cell>
          <cell r="B606" t="str">
            <v>Unadjusted ROIC</v>
          </cell>
        </row>
        <row r="607">
          <cell r="B607" t="str">
            <v>FY0</v>
          </cell>
        </row>
        <row r="608">
          <cell r="B608" t="str">
            <v>FY1</v>
          </cell>
          <cell r="C608">
            <v>1606.99</v>
          </cell>
          <cell r="D608">
            <v>3135</v>
          </cell>
          <cell r="E608">
            <v>3215</v>
          </cell>
          <cell r="F608">
            <v>901.32299999999998</v>
          </cell>
          <cell r="G608">
            <v>1438.452</v>
          </cell>
          <cell r="H608">
            <v>841.49099999999999</v>
          </cell>
          <cell r="I608">
            <v>1941.6980000000001</v>
          </cell>
          <cell r="M608">
            <v>170.703</v>
          </cell>
          <cell r="N608">
            <v>61.807000000000002</v>
          </cell>
          <cell r="O608">
            <v>134.40100000000001</v>
          </cell>
          <cell r="P608">
            <v>161.91300000000001</v>
          </cell>
          <cell r="Q608">
            <v>1703.855</v>
          </cell>
          <cell r="R608">
            <v>943.42600000000004</v>
          </cell>
          <cell r="S608">
            <v>63.247</v>
          </cell>
        </row>
        <row r="609">
          <cell r="B609" t="str">
            <v>FY2</v>
          </cell>
          <cell r="C609">
            <v>1946.9770000000001</v>
          </cell>
          <cell r="D609">
            <v>3142</v>
          </cell>
          <cell r="E609">
            <v>3120</v>
          </cell>
          <cell r="F609">
            <v>917.18200000000002</v>
          </cell>
          <cell r="G609">
            <v>1516.271</v>
          </cell>
          <cell r="H609">
            <v>853.11199999999997</v>
          </cell>
          <cell r="I609">
            <v>2352.0320000000002</v>
          </cell>
          <cell r="M609">
            <v>211.19800000000001</v>
          </cell>
          <cell r="N609">
            <v>81.238</v>
          </cell>
          <cell r="O609">
            <v>170.57599999999999</v>
          </cell>
          <cell r="P609">
            <v>184.41900000000001</v>
          </cell>
          <cell r="Q609">
            <v>1814</v>
          </cell>
          <cell r="R609">
            <v>1142</v>
          </cell>
          <cell r="S609">
            <v>98.995999999999995</v>
          </cell>
        </row>
        <row r="610">
          <cell r="B610" t="str">
            <v>FY(3)</v>
          </cell>
          <cell r="C610">
            <v>2237.5680000000002</v>
          </cell>
          <cell r="D610">
            <v>3210</v>
          </cell>
          <cell r="E610">
            <v>5459</v>
          </cell>
          <cell r="F610">
            <v>955.97799999999995</v>
          </cell>
          <cell r="G610">
            <v>807.21100000000001</v>
          </cell>
          <cell r="H610">
            <v>938.09100000000001</v>
          </cell>
          <cell r="I610">
            <v>2365.8609999999999</v>
          </cell>
          <cell r="M610">
            <v>362.536</v>
          </cell>
          <cell r="N610">
            <v>91.908000000000001</v>
          </cell>
          <cell r="O610">
            <v>210.739</v>
          </cell>
          <cell r="P610">
            <v>233.494</v>
          </cell>
          <cell r="Q610">
            <v>1696</v>
          </cell>
          <cell r="R610">
            <v>1159.69</v>
          </cell>
          <cell r="S610">
            <v>140.37700000000001</v>
          </cell>
        </row>
        <row r="611">
          <cell r="A611" t="str">
            <v>Modelware DuPont (Non-lease Adjusted)ROE</v>
          </cell>
          <cell r="B611" t="str">
            <v>Unadjusted ROE</v>
          </cell>
          <cell r="C611">
            <v>2578.3780000000002</v>
          </cell>
          <cell r="D611">
            <v>3400</v>
          </cell>
          <cell r="E611">
            <v>5317</v>
          </cell>
          <cell r="F611">
            <v>997.28899999999999</v>
          </cell>
          <cell r="G611">
            <v>785.30200000000002</v>
          </cell>
          <cell r="H611">
            <v>1051.729</v>
          </cell>
          <cell r="I611">
            <v>2581.9690000000001</v>
          </cell>
          <cell r="M611">
            <v>427.447</v>
          </cell>
          <cell r="N611">
            <v>101.476</v>
          </cell>
          <cell r="O611">
            <v>263.64400000000001</v>
          </cell>
          <cell r="P611">
            <v>291.19200000000001</v>
          </cell>
          <cell r="Q611">
            <v>1796</v>
          </cell>
          <cell r="R611">
            <v>1770</v>
          </cell>
          <cell r="S611">
            <v>154.387</v>
          </cell>
        </row>
        <row r="612">
          <cell r="B612" t="str">
            <v>FY0</v>
          </cell>
          <cell r="C612">
            <v>2855.7330000000002</v>
          </cell>
          <cell r="D612">
            <v>3641</v>
          </cell>
          <cell r="E612">
            <v>5060</v>
          </cell>
          <cell r="F612">
            <v>956</v>
          </cell>
          <cell r="G612">
            <v>857.173</v>
          </cell>
          <cell r="H612">
            <v>1025.2950000000001</v>
          </cell>
          <cell r="I612">
            <v>2737.3780000000002</v>
          </cell>
          <cell r="M612">
            <v>333.15300000000002</v>
          </cell>
          <cell r="N612">
            <v>136.488</v>
          </cell>
          <cell r="O612">
            <v>286.48500000000001</v>
          </cell>
          <cell r="P612">
            <v>318.49</v>
          </cell>
          <cell r="Q612">
            <v>1575</v>
          </cell>
          <cell r="R612">
            <v>1250.625</v>
          </cell>
          <cell r="S612">
            <v>171.92500000000001</v>
          </cell>
        </row>
        <row r="613">
          <cell r="B613" t="str">
            <v>FY1</v>
          </cell>
          <cell r="C613">
            <v>2799</v>
          </cell>
          <cell r="D613">
            <v>3259</v>
          </cell>
          <cell r="E613">
            <v>4769</v>
          </cell>
          <cell r="F613">
            <v>900</v>
          </cell>
          <cell r="G613">
            <v>728.84100000000001</v>
          </cell>
          <cell r="H613">
            <v>881.05799999999999</v>
          </cell>
          <cell r="I613">
            <v>2619.3359999999998</v>
          </cell>
          <cell r="M613">
            <v>372.42200000000003</v>
          </cell>
          <cell r="N613">
            <v>126.36</v>
          </cell>
          <cell r="O613">
            <v>294.928</v>
          </cell>
          <cell r="P613">
            <v>326.14800000000002</v>
          </cell>
          <cell r="Q613">
            <v>1506</v>
          </cell>
          <cell r="R613">
            <v>1181.865</v>
          </cell>
          <cell r="S613">
            <v>169.69800000000001</v>
          </cell>
        </row>
        <row r="614">
          <cell r="B614" t="str">
            <v>FY2</v>
          </cell>
          <cell r="C614">
            <v>2940.0436170483199</v>
          </cell>
          <cell r="D614">
            <v>2918.8564274536802</v>
          </cell>
          <cell r="E614">
            <v>4731.2153421261601</v>
          </cell>
          <cell r="F614">
            <v>839.35617027476405</v>
          </cell>
          <cell r="G614">
            <v>585.00673201635198</v>
          </cell>
          <cell r="H614">
            <v>864.04781667707402</v>
          </cell>
          <cell r="I614">
            <v>2616.37292347927</v>
          </cell>
          <cell r="M614">
            <v>287.47271947598</v>
          </cell>
          <cell r="N614">
            <v>124.497120668248</v>
          </cell>
          <cell r="O614">
            <v>314.06161596097701</v>
          </cell>
          <cell r="P614">
            <v>346.15462013569299</v>
          </cell>
          <cell r="Q614">
            <v>1484.11506380842</v>
          </cell>
          <cell r="R614">
            <v>1032.0259323569901</v>
          </cell>
          <cell r="S614">
            <v>173.71380577112001</v>
          </cell>
        </row>
        <row r="615">
          <cell r="B615" t="str">
            <v>FY2</v>
          </cell>
          <cell r="C615">
            <v>3047.8533847793501</v>
          </cell>
          <cell r="D615">
            <v>2899.7434629710201</v>
          </cell>
          <cell r="E615">
            <v>4616.6879030365199</v>
          </cell>
          <cell r="F615">
            <v>859.99964804245894</v>
          </cell>
          <cell r="G615">
            <v>574.46682556849896</v>
          </cell>
          <cell r="H615">
            <v>905.12218771622202</v>
          </cell>
          <cell r="I615">
            <v>2755.9473532789998</v>
          </cell>
          <cell r="M615">
            <v>306.71986794402397</v>
          </cell>
          <cell r="N615">
            <v>137.961510175505</v>
          </cell>
          <cell r="O615">
            <v>324.52754417494299</v>
          </cell>
          <cell r="P615">
            <v>370.54645784883797</v>
          </cell>
          <cell r="Q615">
            <v>1426.10530468362</v>
          </cell>
          <cell r="R615">
            <v>1008.9558266789099</v>
          </cell>
          <cell r="S615">
            <v>180.024105564092</v>
          </cell>
        </row>
        <row r="616">
          <cell r="A616" t="str">
            <v>Modelware DuPont (Lease Adjusted)ROIC</v>
          </cell>
          <cell r="B616" t="str">
            <v>Lease Adjusted ROIC</v>
          </cell>
          <cell r="C616">
            <v>2799</v>
          </cell>
          <cell r="D616">
            <v>3259</v>
          </cell>
          <cell r="E616">
            <v>4769</v>
          </cell>
          <cell r="F616">
            <v>900</v>
          </cell>
          <cell r="G616">
            <v>728.84100000000001</v>
          </cell>
          <cell r="H616">
            <v>881.05799999999999</v>
          </cell>
          <cell r="I616">
            <v>2619.3359999999998</v>
          </cell>
          <cell r="M616">
            <v>372.42200000000003</v>
          </cell>
          <cell r="N616">
            <v>126.36</v>
          </cell>
          <cell r="O616">
            <v>294.928</v>
          </cell>
          <cell r="P616">
            <v>401.79700000000003</v>
          </cell>
          <cell r="Q616">
            <v>1506</v>
          </cell>
          <cell r="R616">
            <v>1181.865</v>
          </cell>
          <cell r="S616">
            <v>169.69800000000001</v>
          </cell>
        </row>
        <row r="617">
          <cell r="B617" t="str">
            <v>FY0</v>
          </cell>
          <cell r="C617">
            <v>2804</v>
          </cell>
          <cell r="D617">
            <v>3237</v>
          </cell>
          <cell r="E617">
            <v>5026</v>
          </cell>
          <cell r="F617">
            <v>1004</v>
          </cell>
          <cell r="G617">
            <v>779.47400000000005</v>
          </cell>
          <cell r="H617">
            <v>917.66099999999994</v>
          </cell>
          <cell r="I617">
            <v>2817.7</v>
          </cell>
          <cell r="M617">
            <v>274.74200000000002</v>
          </cell>
          <cell r="N617">
            <v>128.929</v>
          </cell>
          <cell r="O617">
            <v>279.233</v>
          </cell>
          <cell r="P617">
            <v>383.08100000000002</v>
          </cell>
          <cell r="Q617">
            <v>1393</v>
          </cell>
          <cell r="R617">
            <v>1213.425</v>
          </cell>
          <cell r="S617">
            <v>189.881</v>
          </cell>
        </row>
        <row r="618">
          <cell r="B618" t="str">
            <v>FY1</v>
          </cell>
          <cell r="C618">
            <v>2724</v>
          </cell>
          <cell r="D618">
            <v>3258</v>
          </cell>
          <cell r="E618">
            <v>4634</v>
          </cell>
          <cell r="F618">
            <v>929</v>
          </cell>
          <cell r="G618">
            <v>670.26300000000003</v>
          </cell>
          <cell r="H618">
            <v>926.24400000000003</v>
          </cell>
          <cell r="I618">
            <v>3100.1750000000002</v>
          </cell>
          <cell r="M618">
            <v>325.596</v>
          </cell>
          <cell r="N618">
            <v>200.99299999999999</v>
          </cell>
          <cell r="O618">
            <v>352.81900000000002</v>
          </cell>
          <cell r="P618">
            <v>357.67</v>
          </cell>
          <cell r="Q618">
            <v>1473</v>
          </cell>
          <cell r="R618">
            <v>1091.412</v>
          </cell>
          <cell r="S618">
            <v>217.05</v>
          </cell>
        </row>
        <row r="619">
          <cell r="B619" t="str">
            <v>FY2</v>
          </cell>
          <cell r="C619">
            <v>3807</v>
          </cell>
          <cell r="D619">
            <v>4018</v>
          </cell>
          <cell r="E619">
            <v>6406</v>
          </cell>
          <cell r="F619">
            <v>1193</v>
          </cell>
          <cell r="G619">
            <v>799.11</v>
          </cell>
          <cell r="H619">
            <v>1014.638</v>
          </cell>
          <cell r="I619">
            <v>3267.7</v>
          </cell>
          <cell r="M619">
            <v>347.18</v>
          </cell>
          <cell r="N619">
            <v>221.51599999999999</v>
          </cell>
          <cell r="O619">
            <v>425.41500000000002</v>
          </cell>
          <cell r="P619">
            <v>326.14800000000002</v>
          </cell>
          <cell r="Q619">
            <v>1999</v>
          </cell>
          <cell r="R619">
            <v>1426.4559999999999</v>
          </cell>
          <cell r="S619">
            <v>234.52099999999999</v>
          </cell>
        </row>
        <row r="621">
          <cell r="A621" t="str">
            <v>Modelware DuPont (Lease Adjusted)ROE</v>
          </cell>
          <cell r="B621" t="str">
            <v>Lease Adjusted ROE</v>
          </cell>
        </row>
        <row r="622">
          <cell r="B622" t="str">
            <v>FY0</v>
          </cell>
          <cell r="C622">
            <v>3.5163894967177245</v>
          </cell>
          <cell r="D622">
            <v>3.1008902077151335E-2</v>
          </cell>
          <cell r="E622">
            <v>3.8273809523809522E-2</v>
          </cell>
          <cell r="F622">
            <v>4.7891764080765141E-2</v>
          </cell>
          <cell r="G622">
            <v>4.1769775016315805E-2</v>
          </cell>
          <cell r="H622">
            <v>6.3170257488176562E-2</v>
          </cell>
          <cell r="I622">
            <v>3.2099487518598119E-2</v>
          </cell>
          <cell r="M622">
            <v>3.4031698564593302E-2</v>
          </cell>
          <cell r="N622">
            <v>3.8349685946680118E-2</v>
          </cell>
          <cell r="O622">
            <v>3.1702109943703226E-2</v>
          </cell>
          <cell r="P622">
            <v>0.20698026111422885</v>
          </cell>
          <cell r="Q622">
            <v>4.6680958904109587E-2</v>
          </cell>
          <cell r="R622">
            <v>5.8824417009602198E-2</v>
          </cell>
          <cell r="S622">
            <v>4.3658244310008247E-2</v>
          </cell>
        </row>
        <row r="623">
          <cell r="B623" t="str">
            <v>FY1</v>
          </cell>
          <cell r="C623">
            <v>3.5922084870848709</v>
          </cell>
          <cell r="D623">
            <v>3.1016781836130308E-2</v>
          </cell>
          <cell r="E623">
            <v>3.7454981992797121E-2</v>
          </cell>
          <cell r="F623">
            <v>4.7511305654122094E-2</v>
          </cell>
          <cell r="G623">
            <v>4.4652013683553426E-2</v>
          </cell>
          <cell r="H623">
            <v>5.5930767717825999E-2</v>
          </cell>
          <cell r="I623">
            <v>3.5904500213714365E-2</v>
          </cell>
          <cell r="M623">
            <v>3.7781395348837211E-2</v>
          </cell>
          <cell r="N623">
            <v>4.1062350195056017E-2</v>
          </cell>
          <cell r="O623">
            <v>3.7571019989669815E-2</v>
          </cell>
          <cell r="P623">
            <v>0.20381483495351646</v>
          </cell>
          <cell r="Q623">
            <v>4.9562841530054642E-2</v>
          </cell>
          <cell r="R623">
            <v>7.2273906714764885E-2</v>
          </cell>
          <cell r="S623">
            <v>5.6573701081058525E-2</v>
          </cell>
        </row>
        <row r="624">
          <cell r="B624" t="str">
            <v>FY2</v>
          </cell>
          <cell r="C624">
            <v>3.5126656200941917</v>
          </cell>
          <cell r="D624">
            <v>3.1656804733727811E-2</v>
          </cell>
          <cell r="E624">
            <v>3.4441640378548896E-2</v>
          </cell>
          <cell r="F624">
            <v>4.8353759388988643E-2</v>
          </cell>
          <cell r="G624">
            <v>0.10639396335837617</v>
          </cell>
          <cell r="H624">
            <v>5.4165425255499743E-2</v>
          </cell>
          <cell r="I624">
            <v>3.3522649663478565E-2</v>
          </cell>
          <cell r="M624">
            <v>6.0171950207468877E-2</v>
          </cell>
          <cell r="N624">
            <v>3.872296948566975E-2</v>
          </cell>
          <cell r="O624">
            <v>4.4157061087856289E-2</v>
          </cell>
          <cell r="P624">
            <v>0.22479120836803163</v>
          </cell>
          <cell r="Q624">
            <v>4.4867724867724869E-2</v>
          </cell>
          <cell r="R624">
            <v>7.5638533785546566E-2</v>
          </cell>
          <cell r="S624">
            <v>6.6417827118810877E-2</v>
          </cell>
        </row>
        <row r="625">
          <cell r="B625" t="str">
            <v>FY(2)</v>
          </cell>
          <cell r="C625">
            <v>3.5223743169398909</v>
          </cell>
          <cell r="D625">
            <v>3.2977691561590687E-2</v>
          </cell>
          <cell r="E625">
            <v>3.3996163682864448E-2</v>
          </cell>
          <cell r="F625">
            <v>4.9567047713717692E-2</v>
          </cell>
          <cell r="G625">
            <v>0.10470693333333334</v>
          </cell>
          <cell r="H625">
            <v>5.6417176268640706E-2</v>
          </cell>
          <cell r="I625">
            <v>3.4897603633070678E-2</v>
          </cell>
          <cell r="M625">
            <v>6.3864784102793962E-2</v>
          </cell>
          <cell r="N625">
            <v>3.8642802741812643E-2</v>
          </cell>
          <cell r="O625">
            <v>5.0964756870443342E-2</v>
          </cell>
          <cell r="P625">
            <v>0.23790759748392731</v>
          </cell>
          <cell r="Q625">
            <v>4.6051282051282054E-2</v>
          </cell>
          <cell r="R625">
            <v>0.11363440844751772</v>
          </cell>
          <cell r="S625">
            <v>6.1813201112411009E-2</v>
          </cell>
        </row>
        <row r="626">
          <cell r="B626" t="str">
            <v>Valuation</v>
          </cell>
          <cell r="C626">
            <v>3.495389228886169</v>
          </cell>
          <cell r="D626">
            <v>3.4155722326454037E-2</v>
          </cell>
          <cell r="E626">
            <v>3.2653377301385511E-2</v>
          </cell>
          <cell r="F626">
            <v>4.7010228166797799E-2</v>
          </cell>
          <cell r="G626">
            <v>0.11369850112747049</v>
          </cell>
          <cell r="H626">
            <v>4.8592180094786733E-2</v>
          </cell>
          <cell r="I626">
            <v>3.5820177963883801E-2</v>
          </cell>
          <cell r="M626">
            <v>4.5407250919994549E-2</v>
          </cell>
          <cell r="N626">
            <v>4.6500187039173288E-2</v>
          </cell>
          <cell r="O626">
            <v>5.0173101886327197E-2</v>
          </cell>
          <cell r="P626">
            <v>0.21723459014982835</v>
          </cell>
          <cell r="Q626">
            <v>3.9772727272727272E-2</v>
          </cell>
          <cell r="R626">
            <v>0.12129036950829211</v>
          </cell>
          <cell r="S626">
            <v>5.9560927615761435E-2</v>
          </cell>
        </row>
        <row r="627">
          <cell r="B627" t="str">
            <v>FY0</v>
          </cell>
          <cell r="C627">
            <v>3.0129171151776104</v>
          </cell>
          <cell r="D627">
            <v>2.9844988318980185E-2</v>
          </cell>
          <cell r="E627">
            <v>3.0949244277731991E-2</v>
          </cell>
          <cell r="F627">
            <v>4.247486903582047E-2</v>
          </cell>
          <cell r="G627">
            <v>9.6932003937825792E-2</v>
          </cell>
          <cell r="H627">
            <v>3.9158133333333331E-2</v>
          </cell>
          <cell r="I627">
            <v>3.3125257655656222E-2</v>
          </cell>
          <cell r="M627">
            <v>4.6425081027175269E-2</v>
          </cell>
          <cell r="N627">
            <v>3.8470273828218472E-2</v>
          </cell>
          <cell r="O627">
            <v>4.6605596849767082E-2</v>
          </cell>
          <cell r="P627">
            <v>0.19290833500424975</v>
          </cell>
          <cell r="Q627">
            <v>3.8126582278481015E-2</v>
          </cell>
          <cell r="R627">
            <v>0.10844489507537872</v>
          </cell>
          <cell r="S627">
            <v>5.0495503885011242E-2</v>
          </cell>
        </row>
        <row r="628">
          <cell r="B628" t="str">
            <v>P/E</v>
          </cell>
          <cell r="C628">
            <v>2.9283302958648605</v>
          </cell>
          <cell r="D628">
            <v>2.6344405470617231E-2</v>
          </cell>
          <cell r="E628">
            <v>3.0595667073588382E-2</v>
          </cell>
          <cell r="F628">
            <v>3.7598825043664401E-2</v>
          </cell>
          <cell r="G628">
            <v>7.7172013017913738E-2</v>
          </cell>
          <cell r="H628">
            <v>3.6531643939030634E-2</v>
          </cell>
          <cell r="I628">
            <v>3.1966778372598967E-2</v>
          </cell>
          <cell r="M628">
            <v>3.6368491137515113E-2</v>
          </cell>
          <cell r="N628">
            <v>3.6506160063337061E-2</v>
          </cell>
          <cell r="O628">
            <v>4.8375056091979202E-2</v>
          </cell>
          <cell r="P628">
            <v>0.18771998345874799</v>
          </cell>
          <cell r="Q628">
            <v>3.8166062114152112E-2</v>
          </cell>
          <cell r="R628">
            <v>9.5052702931567076E-2</v>
          </cell>
          <cell r="S628">
            <v>4.6624074602340408E-2</v>
          </cell>
        </row>
        <row r="629">
          <cell r="B629" t="str">
            <v>Price/ Peak EPS</v>
          </cell>
          <cell r="C629" t="e">
            <v>#VALUE!</v>
          </cell>
          <cell r="D629" t="e">
            <v>#VALUE!</v>
          </cell>
          <cell r="E629" t="e">
            <v>#VALUE!</v>
          </cell>
          <cell r="F629" t="e">
            <v>#VALUE!</v>
          </cell>
          <cell r="G629" t="e">
            <v>#VALUE!</v>
          </cell>
          <cell r="H629" t="e">
            <v>#VALUE!</v>
          </cell>
          <cell r="I629" t="e">
            <v>#VALUE!</v>
          </cell>
          <cell r="J629" t="e">
            <v>#VALUE!</v>
          </cell>
          <cell r="M629" t="e">
            <v>#VALUE!</v>
          </cell>
          <cell r="N629" t="e">
            <v>#VALUE!</v>
          </cell>
          <cell r="O629" t="e">
            <v>#VALUE!</v>
          </cell>
          <cell r="P629" t="e">
            <v>#VALUE!</v>
          </cell>
          <cell r="Q629" t="e">
            <v>#VALUE!</v>
          </cell>
          <cell r="R629" t="e">
            <v>#VALUE!</v>
          </cell>
          <cell r="S629" t="e">
            <v>#VALUE!</v>
          </cell>
          <cell r="T629" t="e">
            <v>#VALUE!</v>
          </cell>
        </row>
        <row r="630">
          <cell r="B630" t="str">
            <v>LTM</v>
          </cell>
          <cell r="C630" t="e">
            <v>#VALUE!</v>
          </cell>
          <cell r="D630" t="e">
            <v>#VALUE!</v>
          </cell>
          <cell r="E630" t="e">
            <v>#VALUE!</v>
          </cell>
          <cell r="F630" t="e">
            <v>#VALUE!</v>
          </cell>
          <cell r="G630" t="e">
            <v>#VALUE!</v>
          </cell>
          <cell r="H630" t="e">
            <v>#VALUE!</v>
          </cell>
          <cell r="I630" t="e">
            <v>#VALUE!</v>
          </cell>
          <cell r="J630" t="e">
            <v>#VALUE!</v>
          </cell>
          <cell r="M630" t="e">
            <v>#VALUE!</v>
          </cell>
          <cell r="N630" t="e">
            <v>#VALUE!</v>
          </cell>
          <cell r="O630" t="e">
            <v>#VALUE!</v>
          </cell>
          <cell r="P630" t="e">
            <v>#VALUE!</v>
          </cell>
          <cell r="Q630" t="e">
            <v>#VALUE!</v>
          </cell>
          <cell r="R630" t="e">
            <v>#VALUE!</v>
          </cell>
          <cell r="S630" t="e">
            <v>#VALUE!</v>
          </cell>
          <cell r="T630" t="e">
            <v>#VALUE!</v>
          </cell>
        </row>
        <row r="631">
          <cell r="B631" t="str">
            <v>FY1</v>
          </cell>
          <cell r="C631" t="e">
            <v>#VALUE!</v>
          </cell>
          <cell r="D631" t="e">
            <v>#VALUE!</v>
          </cell>
          <cell r="E631" t="e">
            <v>#VALUE!</v>
          </cell>
          <cell r="F631" t="e">
            <v>#VALUE!</v>
          </cell>
          <cell r="G631" t="e">
            <v>#VALUE!</v>
          </cell>
          <cell r="H631" t="e">
            <v>#VALUE!</v>
          </cell>
          <cell r="I631" t="e">
            <v>#VALUE!</v>
          </cell>
          <cell r="J631" t="e">
            <v>#VALUE!</v>
          </cell>
          <cell r="M631" t="e">
            <v>#VALUE!</v>
          </cell>
          <cell r="N631" t="e">
            <v>#VALUE!</v>
          </cell>
          <cell r="O631" t="e">
            <v>#VALUE!</v>
          </cell>
          <cell r="P631" t="e">
            <v>#VALUE!</v>
          </cell>
          <cell r="Q631" t="e">
            <v>#VALUE!</v>
          </cell>
          <cell r="R631" t="e">
            <v>#VALUE!</v>
          </cell>
          <cell r="S631" t="e">
            <v>#VALUE!</v>
          </cell>
          <cell r="T631" t="e">
            <v>#VALUE!</v>
          </cell>
        </row>
        <row r="632">
          <cell r="B632" t="str">
            <v>FY2</v>
          </cell>
          <cell r="C632" t="e">
            <v>#VALUE!</v>
          </cell>
          <cell r="D632" t="e">
            <v>#VALUE!</v>
          </cell>
          <cell r="E632" t="e">
            <v>#VALUE!</v>
          </cell>
          <cell r="F632" t="e">
            <v>#VALUE!</v>
          </cell>
          <cell r="G632" t="e">
            <v>#VALUE!</v>
          </cell>
          <cell r="H632" t="e">
            <v>#VALUE!</v>
          </cell>
          <cell r="I632" t="e">
            <v>#VALUE!</v>
          </cell>
          <cell r="J632" t="e">
            <v>#VALUE!</v>
          </cell>
          <cell r="M632" t="e">
            <v>#VALUE!</v>
          </cell>
          <cell r="N632" t="e">
            <v>#VALUE!</v>
          </cell>
          <cell r="O632" t="e">
            <v>#VALUE!</v>
          </cell>
          <cell r="P632" t="e">
            <v>#VALUE!</v>
          </cell>
          <cell r="Q632" t="e">
            <v>#VALUE!</v>
          </cell>
          <cell r="R632" t="e">
            <v>#VALUE!</v>
          </cell>
          <cell r="S632" t="e">
            <v>#VALUE!</v>
          </cell>
          <cell r="T632" t="e">
            <v>#VALUE!</v>
          </cell>
        </row>
        <row r="633">
          <cell r="B633" t="str">
            <v>FY(4)</v>
          </cell>
          <cell r="C633">
            <v>2.1561601875422998E-2</v>
          </cell>
          <cell r="D633">
            <v>2.5411280152276561E-4</v>
          </cell>
          <cell r="E633">
            <v>-2.1393938601879214E-2</v>
          </cell>
          <cell r="F633">
            <v>-7.9441305607669266E-3</v>
          </cell>
          <cell r="G633">
            <v>6.900297322912996E-2</v>
          </cell>
          <cell r="H633">
            <v>-0.11460282193254578</v>
          </cell>
          <cell r="I633">
            <v>0.11853811351074239</v>
          </cell>
          <cell r="J633">
            <v>9.3451300459465991E-3</v>
          </cell>
          <cell r="M633">
            <v>0.11018247523340219</v>
          </cell>
          <cell r="N633">
            <v>7.0734979476689386E-2</v>
          </cell>
          <cell r="O633">
            <v>0.18512679617819217</v>
          </cell>
          <cell r="P633">
            <v>-1.5293372148977302E-2</v>
          </cell>
          <cell r="Q633">
            <v>6.1735720379371806E-2</v>
          </cell>
          <cell r="R633">
            <v>0.22863787503354716</v>
          </cell>
          <cell r="S633">
            <v>0.29583087856992751</v>
          </cell>
          <cell r="T633">
            <v>0.13385076467459328</v>
          </cell>
        </row>
        <row r="634">
          <cell r="B634" t="str">
            <v>EV/EBITDA</v>
          </cell>
          <cell r="C634">
            <v>-2.2143165486263161E-2</v>
          </cell>
          <cell r="D634">
            <v>2.0634729321014289E-2</v>
          </cell>
          <cell r="E634">
            <v>-8.0452357841947819E-2</v>
          </cell>
          <cell r="F634">
            <v>1.7731647726112465E-2</v>
          </cell>
          <cell r="G634">
            <v>1.3827360645453717</v>
          </cell>
          <cell r="H634">
            <v>-3.1562993578642007E-2</v>
          </cell>
          <cell r="I634">
            <v>-6.6338496178983353E-2</v>
          </cell>
          <cell r="J634">
            <v>0.1743722040723803</v>
          </cell>
          <cell r="M634">
            <v>0.59263440780571308</v>
          </cell>
          <cell r="N634">
            <v>-5.697142755525797E-2</v>
          </cell>
          <cell r="O634">
            <v>0.17529577583992428</v>
          </cell>
          <cell r="P634">
            <v>0.10291877634569246</v>
          </cell>
          <cell r="Q634">
            <v>-9.473057874380908E-2</v>
          </cell>
          <cell r="R634">
            <v>4.655382867374902E-2</v>
          </cell>
          <cell r="S634">
            <v>0.17400533904698468</v>
          </cell>
          <cell r="T634">
            <v>0.13424373163042808</v>
          </cell>
        </row>
        <row r="635">
          <cell r="B635" t="str">
            <v>LTM</v>
          </cell>
          <cell r="C635" t="e">
            <v>#VALUE!</v>
          </cell>
          <cell r="D635" t="e">
            <v>#VALUE!</v>
          </cell>
          <cell r="E635" t="e">
            <v>#VALUE!</v>
          </cell>
          <cell r="F635" t="e">
            <v>#VALUE!</v>
          </cell>
          <cell r="G635" t="e">
            <v>#VALUE!</v>
          </cell>
          <cell r="H635" t="e">
            <v>#VALUE!</v>
          </cell>
          <cell r="I635" t="e">
            <v>#VALUE!</v>
          </cell>
          <cell r="J635" t="e">
            <v>#VALUE!</v>
          </cell>
          <cell r="M635" t="e">
            <v>#VALUE!</v>
          </cell>
          <cell r="N635" t="e">
            <v>#VALUE!</v>
          </cell>
          <cell r="O635" t="e">
            <v>#VALUE!</v>
          </cell>
          <cell r="P635" t="e">
            <v>#VALUE!</v>
          </cell>
          <cell r="Q635" t="e">
            <v>#VALUE!</v>
          </cell>
          <cell r="R635" t="e">
            <v>#VALUE!</v>
          </cell>
          <cell r="S635" t="e">
            <v>#VALUE!</v>
          </cell>
          <cell r="T635" t="e">
            <v>#VALUE!</v>
          </cell>
        </row>
        <row r="636">
          <cell r="B636" t="str">
            <v>FY1</v>
          </cell>
          <cell r="C636" t="e">
            <v>#VALUE!</v>
          </cell>
          <cell r="D636" t="e">
            <v>#VALUE!</v>
          </cell>
          <cell r="E636" t="e">
            <v>#VALUE!</v>
          </cell>
          <cell r="F636" t="e">
            <v>#VALUE!</v>
          </cell>
          <cell r="G636" t="e">
            <v>#VALUE!</v>
          </cell>
          <cell r="H636" t="e">
            <v>#VALUE!</v>
          </cell>
          <cell r="I636" t="e">
            <v>#VALUE!</v>
          </cell>
          <cell r="J636" t="e">
            <v>#VALUE!</v>
          </cell>
          <cell r="M636" t="e">
            <v>#VALUE!</v>
          </cell>
          <cell r="N636" t="e">
            <v>#VALUE!</v>
          </cell>
          <cell r="O636" t="e">
            <v>#VALUE!</v>
          </cell>
          <cell r="P636" t="e">
            <v>#VALUE!</v>
          </cell>
          <cell r="Q636" t="e">
            <v>#VALUE!</v>
          </cell>
          <cell r="R636" t="e">
            <v>#VALUE!</v>
          </cell>
          <cell r="S636" t="e">
            <v>#VALUE!</v>
          </cell>
          <cell r="T636" t="e">
            <v>#VALUE!</v>
          </cell>
        </row>
        <row r="637">
          <cell r="B637" t="str">
            <v>FY2</v>
          </cell>
          <cell r="C637" t="e">
            <v>#VALUE!</v>
          </cell>
          <cell r="D637" t="e">
            <v>#VALUE!</v>
          </cell>
          <cell r="E637" t="e">
            <v>#VALUE!</v>
          </cell>
          <cell r="F637" t="e">
            <v>#VALUE!</v>
          </cell>
          <cell r="G637" t="e">
            <v>#VALUE!</v>
          </cell>
          <cell r="H637" t="e">
            <v>#VALUE!</v>
          </cell>
          <cell r="I637" t="e">
            <v>#VALUE!</v>
          </cell>
          <cell r="J637" t="e">
            <v>#VALUE!</v>
          </cell>
          <cell r="M637" t="e">
            <v>#VALUE!</v>
          </cell>
          <cell r="N637" t="e">
            <v>#VALUE!</v>
          </cell>
          <cell r="O637" t="e">
            <v>#VALUE!</v>
          </cell>
          <cell r="P637" t="e">
            <v>#VALUE!</v>
          </cell>
          <cell r="Q637" t="e">
            <v>#VALUE!</v>
          </cell>
          <cell r="R637" t="e">
            <v>#VALUE!</v>
          </cell>
          <cell r="S637" t="e">
            <v>#VALUE!</v>
          </cell>
          <cell r="T637" t="e">
            <v>#VALUE!</v>
          </cell>
        </row>
        <row r="638">
          <cell r="B638" t="str">
            <v>FY1</v>
          </cell>
          <cell r="C638">
            <v>-2.8074724952320329E-2</v>
          </cell>
          <cell r="D638">
            <v>-0.11729215005712457</v>
          </cell>
          <cell r="E638">
            <v>-1.1424421254705996E-2</v>
          </cell>
          <cell r="F638">
            <v>-0.11479832905532772</v>
          </cell>
          <cell r="G638">
            <v>-0.20385414638272126</v>
          </cell>
          <cell r="H638">
            <v>-6.7073917235653813E-2</v>
          </cell>
          <cell r="I638">
            <v>-3.4972687461026997E-2</v>
          </cell>
          <cell r="J638">
            <v>-8.2498625199840095E-2</v>
          </cell>
          <cell r="M638">
            <v>-0.21661975955999857</v>
          </cell>
          <cell r="N638">
            <v>-5.1055362216858136E-2</v>
          </cell>
          <cell r="O638">
            <v>3.7966668422163119E-2</v>
          </cell>
          <cell r="P638">
            <v>-2.6895424427293202E-2</v>
          </cell>
          <cell r="Q638">
            <v>1.0354936978806961E-3</v>
          </cell>
          <cell r="R638">
            <v>-0.12349306193254084</v>
          </cell>
          <cell r="S638">
            <v>-7.666879196783305E-2</v>
          </cell>
          <cell r="T638">
            <v>-6.5104319712068565E-2</v>
          </cell>
        </row>
        <row r="639">
          <cell r="B639" t="str">
            <v>FCF Yield</v>
          </cell>
          <cell r="C639">
            <v>-1.717080001305693E-2</v>
          </cell>
          <cell r="D639">
            <v>-8.3364925020563696E-3</v>
          </cell>
          <cell r="E639">
            <v>-2.6487959627819579E-2</v>
          </cell>
          <cell r="F639">
            <v>-1.6931885456709206E-2</v>
          </cell>
          <cell r="G639">
            <v>-5.6563156961221495E-2</v>
          </cell>
          <cell r="H639">
            <v>-2.0621464663999056E-3</v>
          </cell>
          <cell r="I639">
            <v>7.9871148560513028E-3</v>
          </cell>
          <cell r="J639">
            <v>-1.708076088160174E-2</v>
          </cell>
          <cell r="M639">
            <v>-2.6007948492032806E-2</v>
          </cell>
          <cell r="N639">
            <v>3.5756463590146836E-2</v>
          </cell>
          <cell r="O639">
            <v>-3.1064536814966459E-2</v>
          </cell>
          <cell r="P639">
            <v>1.2895585404308463E-2</v>
          </cell>
          <cell r="Q639">
            <v>-1.0981203497142378E-3</v>
          </cell>
          <cell r="R639">
            <v>-3.4797680849844359E-2</v>
          </cell>
          <cell r="S639">
            <v>-8.0801684127954743E-2</v>
          </cell>
          <cell r="T639">
            <v>-1.7873988805722472E-2</v>
          </cell>
        </row>
        <row r="640">
          <cell r="B640" t="str">
            <v>FY0</v>
          </cell>
          <cell r="C640" t="e">
            <v>#VALUE!</v>
          </cell>
          <cell r="D640" t="e">
            <v>#VALUE!</v>
          </cell>
          <cell r="E640" t="e">
            <v>#VALUE!</v>
          </cell>
          <cell r="F640" t="e">
            <v>#VALUE!</v>
          </cell>
          <cell r="G640" t="e">
            <v>#VALUE!</v>
          </cell>
          <cell r="H640" t="e">
            <v>#VALUE!</v>
          </cell>
          <cell r="I640" t="e">
            <v>#VALUE!</v>
          </cell>
          <cell r="J640" t="e">
            <v>#VALUE!</v>
          </cell>
          <cell r="M640" t="e">
            <v>#VALUE!</v>
          </cell>
          <cell r="N640" t="e">
            <v>#VALUE!</v>
          </cell>
          <cell r="O640" t="e">
            <v>#VALUE!</v>
          </cell>
          <cell r="P640" t="e">
            <v>#VALUE!</v>
          </cell>
          <cell r="Q640" t="e">
            <v>#VALUE!</v>
          </cell>
          <cell r="R640" t="e">
            <v>#VALUE!</v>
          </cell>
          <cell r="S640" t="e">
            <v>#VALUE!</v>
          </cell>
          <cell r="T640" t="e">
            <v>#VALUE!</v>
          </cell>
        </row>
        <row r="641">
          <cell r="B641" t="str">
            <v>FY1</v>
          </cell>
          <cell r="C641" t="e">
            <v>#VALUE!</v>
          </cell>
          <cell r="D641" t="e">
            <v>#VALUE!</v>
          </cell>
          <cell r="E641" t="e">
            <v>#VALUE!</v>
          </cell>
          <cell r="F641" t="e">
            <v>#VALUE!</v>
          </cell>
          <cell r="G641" t="e">
            <v>#VALUE!</v>
          </cell>
          <cell r="H641" t="e">
            <v>#VALUE!</v>
          </cell>
          <cell r="I641" t="e">
            <v>#VALUE!</v>
          </cell>
          <cell r="J641" t="e">
            <v>#VALUE!</v>
          </cell>
          <cell r="M641" t="e">
            <v>#VALUE!</v>
          </cell>
          <cell r="N641" t="e">
            <v>#VALUE!</v>
          </cell>
          <cell r="O641" t="e">
            <v>#VALUE!</v>
          </cell>
          <cell r="P641" t="e">
            <v>#VALUE!</v>
          </cell>
          <cell r="Q641" t="e">
            <v>#VALUE!</v>
          </cell>
          <cell r="R641" t="e">
            <v>#VALUE!</v>
          </cell>
          <cell r="S641" t="e">
            <v>#VALUE!</v>
          </cell>
          <cell r="T641" t="e">
            <v>#VALUE!</v>
          </cell>
        </row>
        <row r="642">
          <cell r="B642" t="str">
            <v>FY2</v>
          </cell>
          <cell r="C642" t="e">
            <v>#VALUE!</v>
          </cell>
          <cell r="D642" t="e">
            <v>#VALUE!</v>
          </cell>
          <cell r="E642" t="e">
            <v>#VALUE!</v>
          </cell>
          <cell r="F642" t="e">
            <v>#VALUE!</v>
          </cell>
          <cell r="G642" t="e">
            <v>#VALUE!</v>
          </cell>
          <cell r="H642" t="e">
            <v>#VALUE!</v>
          </cell>
          <cell r="I642" t="e">
            <v>#VALUE!</v>
          </cell>
          <cell r="J642" t="e">
            <v>#VALUE!</v>
          </cell>
          <cell r="M642" t="e">
            <v>#VALUE!</v>
          </cell>
          <cell r="N642" t="e">
            <v>#VALUE!</v>
          </cell>
          <cell r="O642" t="e">
            <v>#VALUE!</v>
          </cell>
          <cell r="P642" t="e">
            <v>#VALUE!</v>
          </cell>
          <cell r="Q642" t="e">
            <v>#VALUE!</v>
          </cell>
          <cell r="R642" t="e">
            <v>#VALUE!</v>
          </cell>
          <cell r="S642" t="e">
            <v>#VALUE!</v>
          </cell>
          <cell r="T642" t="e">
            <v>#VALUE!</v>
          </cell>
        </row>
        <row r="643">
          <cell r="B643" t="str">
            <v>FY(4)</v>
          </cell>
          <cell r="C643">
            <v>-1.6104116425834508E-2</v>
          </cell>
          <cell r="D643">
            <v>4.8745887198477236E-2</v>
          </cell>
          <cell r="E643">
            <v>4.739393860187921E-2</v>
          </cell>
          <cell r="F643">
            <v>0.10414967075315233</v>
          </cell>
          <cell r="G643">
            <v>-1.6002973229129962E-2</v>
          </cell>
          <cell r="H643">
            <v>0.10460282193254579</v>
          </cell>
          <cell r="I643">
            <v>-6.8538113510742391E-2</v>
          </cell>
          <cell r="J643">
            <v>2.9178159331478239E-2</v>
          </cell>
          <cell r="M643">
            <v>-9.0182475233402185E-2</v>
          </cell>
          <cell r="N643">
            <v>1.6265020523310608E-2</v>
          </cell>
          <cell r="O643">
            <v>2.887320382180783E-2</v>
          </cell>
          <cell r="P643">
            <v>0.1972933721489773</v>
          </cell>
          <cell r="Q643">
            <v>-6.1735720379371806E-2</v>
          </cell>
          <cell r="R643">
            <v>-0.18863787503354715</v>
          </cell>
          <cell r="S643">
            <v>-7.9830878569927516E-2</v>
          </cell>
          <cell r="T643">
            <v>-2.5422193246021844E-2</v>
          </cell>
        </row>
        <row r="644">
          <cell r="B644" t="str">
            <v>Dividend Yield</v>
          </cell>
          <cell r="C644">
            <v>5.9034041611078461E-2</v>
          </cell>
          <cell r="D644">
            <v>8.3652706789857124E-3</v>
          </cell>
          <cell r="E644">
            <v>9.3452357841947817E-2</v>
          </cell>
          <cell r="F644">
            <v>4.2432082369352635E-2</v>
          </cell>
          <cell r="G644">
            <v>-1.3427360645453716</v>
          </cell>
          <cell r="H644">
            <v>9.1562993578642005E-2</v>
          </cell>
          <cell r="I644">
            <v>8.6338496178983357E-2</v>
          </cell>
          <cell r="J644">
            <v>-0.1373644031837688</v>
          </cell>
          <cell r="M644">
            <v>-0.33263440780571307</v>
          </cell>
          <cell r="N644">
            <v>9.1971427555257973E-2</v>
          </cell>
          <cell r="O644">
            <v>-2.0295775839924285E-2</v>
          </cell>
          <cell r="P644">
            <v>0.10408122365430753</v>
          </cell>
          <cell r="Q644">
            <v>4.4730578743809077E-2</v>
          </cell>
          <cell r="R644">
            <v>-5.6553828673749022E-2</v>
          </cell>
          <cell r="S644">
            <v>-6.5005339046984675E-2</v>
          </cell>
          <cell r="T644">
            <v>-3.3386588773285208E-2</v>
          </cell>
        </row>
        <row r="645">
          <cell r="B645" t="str">
            <v>FY0</v>
          </cell>
          <cell r="C645" t="str">
            <v/>
          </cell>
          <cell r="D645" t="str">
            <v/>
          </cell>
          <cell r="E645" t="str">
            <v/>
          </cell>
          <cell r="F645" t="str">
            <v/>
          </cell>
          <cell r="G645" t="str">
            <v/>
          </cell>
          <cell r="H645" t="str">
            <v/>
          </cell>
          <cell r="I645" t="str">
            <v/>
          </cell>
          <cell r="J645" t="e">
            <v>#NUM!</v>
          </cell>
          <cell r="M645" t="str">
            <v/>
          </cell>
          <cell r="N645" t="str">
            <v/>
          </cell>
          <cell r="O645" t="str">
            <v/>
          </cell>
          <cell r="P645" t="str">
            <v/>
          </cell>
          <cell r="Q645" t="str">
            <v/>
          </cell>
          <cell r="R645" t="str">
            <v/>
          </cell>
          <cell r="S645" t="str">
            <v/>
          </cell>
          <cell r="T645" t="e">
            <v>#NUM!</v>
          </cell>
        </row>
        <row r="646">
          <cell r="B646" t="str">
            <v>FY1</v>
          </cell>
          <cell r="C646" t="str">
            <v/>
          </cell>
          <cell r="D646" t="str">
            <v/>
          </cell>
          <cell r="E646" t="str">
            <v/>
          </cell>
          <cell r="F646" t="str">
            <v/>
          </cell>
          <cell r="G646" t="str">
            <v/>
          </cell>
          <cell r="H646" t="str">
            <v/>
          </cell>
          <cell r="I646" t="str">
            <v/>
          </cell>
          <cell r="J646" t="e">
            <v>#NUM!</v>
          </cell>
          <cell r="M646" t="str">
            <v/>
          </cell>
          <cell r="N646" t="str">
            <v/>
          </cell>
          <cell r="O646" t="str">
            <v/>
          </cell>
          <cell r="P646" t="str">
            <v/>
          </cell>
          <cell r="Q646" t="str">
            <v/>
          </cell>
          <cell r="R646" t="str">
            <v/>
          </cell>
          <cell r="S646" t="str">
            <v/>
          </cell>
          <cell r="T646" t="e">
            <v>#NUM!</v>
          </cell>
        </row>
        <row r="647">
          <cell r="B647" t="str">
            <v>FY2</v>
          </cell>
          <cell r="C647" t="str">
            <v/>
          </cell>
          <cell r="D647" t="str">
            <v/>
          </cell>
          <cell r="E647" t="str">
            <v/>
          </cell>
          <cell r="F647" t="str">
            <v/>
          </cell>
          <cell r="G647" t="str">
            <v/>
          </cell>
          <cell r="H647" t="str">
            <v/>
          </cell>
          <cell r="I647" t="str">
            <v/>
          </cell>
          <cell r="J647" t="e">
            <v>#NUM!</v>
          </cell>
          <cell r="M647" t="str">
            <v/>
          </cell>
          <cell r="N647" t="str">
            <v/>
          </cell>
          <cell r="O647" t="str">
            <v/>
          </cell>
          <cell r="P647" t="str">
            <v/>
          </cell>
          <cell r="Q647" t="str">
            <v/>
          </cell>
          <cell r="R647" t="str">
            <v/>
          </cell>
          <cell r="S647" t="str">
            <v/>
          </cell>
          <cell r="T647" t="e">
            <v>#NUM!</v>
          </cell>
        </row>
        <row r="648">
          <cell r="B648" t="str">
            <v>FY1</v>
          </cell>
          <cell r="C648">
            <v>3.2045591556247421E-2</v>
          </cell>
          <cell r="D648">
            <v>5.1981526084222462E-2</v>
          </cell>
          <cell r="E648">
            <v>-4.4125390416967503E-2</v>
          </cell>
          <cell r="F648">
            <v>5.4178625789718916E-2</v>
          </cell>
          <cell r="G648">
            <v>5.2904749737220258E-2</v>
          </cell>
          <cell r="H648">
            <v>0.12167763905476112</v>
          </cell>
          <cell r="I648">
            <v>7.3259545141423105E-2</v>
          </cell>
          <cell r="J648">
            <v>4.8846040992375106E-2</v>
          </cell>
          <cell r="M648">
            <v>2.1177557729705754E-3</v>
          </cell>
          <cell r="N648">
            <v>0.14143994216824063</v>
          </cell>
          <cell r="O648">
            <v>-8.2462858476940015E-2</v>
          </cell>
          <cell r="P648">
            <v>6.3903958320594201E-2</v>
          </cell>
          <cell r="Q648">
            <v>-2.9552812927526595E-2</v>
          </cell>
          <cell r="R648">
            <v>8.4541000412301337E-2</v>
          </cell>
          <cell r="S648">
            <v>5.9908180705699046E-2</v>
          </cell>
          <cell r="T648">
            <v>3.4270737996477021E-2</v>
          </cell>
        </row>
        <row r="649">
          <cell r="B649" t="str">
            <v>P/Sales</v>
          </cell>
          <cell r="C649">
            <v>4.2170800013056932E-2</v>
          </cell>
          <cell r="D649">
            <v>-1.6635074979436306E-3</v>
          </cell>
          <cell r="E649">
            <v>1.6487959627819578E-2</v>
          </cell>
          <cell r="F649">
            <v>-3.0681145432907946E-3</v>
          </cell>
          <cell r="G649">
            <v>2.6563156961221496E-2</v>
          </cell>
          <cell r="H649">
            <v>2.2062146466399906E-2</v>
          </cell>
          <cell r="I649">
            <v>1.2012885143948698E-2</v>
          </cell>
          <cell r="J649">
            <v>1.6366475167316027E-2</v>
          </cell>
          <cell r="M649">
            <v>-4.4652141651022992E-2</v>
          </cell>
          <cell r="N649">
            <v>4.2435364098531644E-3</v>
          </cell>
          <cell r="O649">
            <v>4.1064536814966461E-2</v>
          </cell>
          <cell r="P649">
            <v>2.7104414595691538E-2</v>
          </cell>
          <cell r="Q649">
            <v>-9.9569220345095619E-3</v>
          </cell>
          <cell r="R649">
            <v>2.2843379017423959E-2</v>
          </cell>
          <cell r="S649">
            <v>0.13265176300151366</v>
          </cell>
          <cell r="T649">
            <v>2.4756938021988032E-2</v>
          </cell>
        </row>
        <row r="650">
          <cell r="B650" t="str">
            <v>FY0</v>
          </cell>
          <cell r="C650" t="e">
            <v>#VALUE!</v>
          </cell>
          <cell r="D650" t="e">
            <v>#VALUE!</v>
          </cell>
          <cell r="E650" t="e">
            <v>#VALUE!</v>
          </cell>
          <cell r="F650" t="e">
            <v>#VALUE!</v>
          </cell>
          <cell r="G650" t="e">
            <v>#VALUE!</v>
          </cell>
          <cell r="H650" t="e">
            <v>#VALUE!</v>
          </cell>
          <cell r="I650" t="e">
            <v>#VALUE!</v>
          </cell>
          <cell r="J650" t="e">
            <v>#VALUE!</v>
          </cell>
          <cell r="M650" t="e">
            <v>#VALUE!</v>
          </cell>
          <cell r="N650" t="e">
            <v>#VALUE!</v>
          </cell>
          <cell r="O650" t="e">
            <v>#VALUE!</v>
          </cell>
          <cell r="P650" t="e">
            <v>#VALUE!</v>
          </cell>
          <cell r="Q650" t="e">
            <v>#VALUE!</v>
          </cell>
          <cell r="R650" t="e">
            <v>#VALUE!</v>
          </cell>
          <cell r="S650" t="e">
            <v>#VALUE!</v>
          </cell>
          <cell r="T650" t="e">
            <v>#VALUE!</v>
          </cell>
        </row>
        <row r="651">
          <cell r="B651" t="str">
            <v>FY1</v>
          </cell>
          <cell r="C651" t="e">
            <v>#VALUE!</v>
          </cell>
          <cell r="D651" t="e">
            <v>#VALUE!</v>
          </cell>
          <cell r="E651" t="e">
            <v>#VALUE!</v>
          </cell>
          <cell r="F651" t="e">
            <v>#VALUE!</v>
          </cell>
          <cell r="G651" t="e">
            <v>#VALUE!</v>
          </cell>
          <cell r="H651" t="e">
            <v>#VALUE!</v>
          </cell>
          <cell r="I651" t="e">
            <v>#VALUE!</v>
          </cell>
          <cell r="J651" t="e">
            <v>#VALUE!</v>
          </cell>
          <cell r="M651" t="e">
            <v>#VALUE!</v>
          </cell>
          <cell r="N651" t="e">
            <v>#VALUE!</v>
          </cell>
          <cell r="O651" t="e">
            <v>#VALUE!</v>
          </cell>
          <cell r="P651" t="e">
            <v>#VALUE!</v>
          </cell>
          <cell r="Q651" t="e">
            <v>#VALUE!</v>
          </cell>
          <cell r="R651" t="e">
            <v>#VALUE!</v>
          </cell>
          <cell r="S651" t="e">
            <v>#VALUE!</v>
          </cell>
          <cell r="T651" t="e">
            <v>#VALUE!</v>
          </cell>
        </row>
        <row r="652">
          <cell r="B652" t="str">
            <v>FY2</v>
          </cell>
          <cell r="C652" t="e">
            <v>#VALUE!</v>
          </cell>
          <cell r="D652" t="e">
            <v>#VALUE!</v>
          </cell>
          <cell r="E652" t="e">
            <v>#VALUE!</v>
          </cell>
          <cell r="F652" t="e">
            <v>#VALUE!</v>
          </cell>
          <cell r="G652" t="e">
            <v>#VALUE!</v>
          </cell>
          <cell r="H652" t="e">
            <v>#VALUE!</v>
          </cell>
          <cell r="I652" t="e">
            <v>#VALUE!</v>
          </cell>
          <cell r="J652" t="e">
            <v>#VALUE!</v>
          </cell>
          <cell r="K652">
            <v>56.223660362650925</v>
          </cell>
          <cell r="M652" t="e">
            <v>#VALUE!</v>
          </cell>
          <cell r="N652" t="e">
            <v>#VALUE!</v>
          </cell>
          <cell r="O652" t="e">
            <v>#VALUE!</v>
          </cell>
          <cell r="P652" t="e">
            <v>#VALUE!</v>
          </cell>
          <cell r="Q652" t="e">
            <v>#VALUE!</v>
          </cell>
          <cell r="R652" t="e">
            <v>#VALUE!</v>
          </cell>
          <cell r="S652" t="e">
            <v>#VALUE!</v>
          </cell>
          <cell r="T652" t="e">
            <v>#VALUE!</v>
          </cell>
          <cell r="U652">
            <v>153.15566538025266</v>
          </cell>
        </row>
        <row r="653">
          <cell r="B653" t="str">
            <v>FY(1)</v>
          </cell>
          <cell r="C653">
            <v>52.896736253201503</v>
          </cell>
          <cell r="D653">
            <v>54.68105065666041</v>
          </cell>
          <cell r="E653">
            <v>55.200986054555663</v>
          </cell>
          <cell r="F653">
            <v>116.0395357985838</v>
          </cell>
          <cell r="G653">
            <v>107.16633806833863</v>
          </cell>
          <cell r="H653">
            <v>44.355497630331755</v>
          </cell>
          <cell r="I653">
            <v>39.693848600778857</v>
          </cell>
          <cell r="K653">
            <v>55.197959773596573</v>
          </cell>
          <cell r="M653">
            <v>242.96088319476624</v>
          </cell>
          <cell r="N653">
            <v>117.81253428199783</v>
          </cell>
          <cell r="O653">
            <v>125.25192944504418</v>
          </cell>
          <cell r="P653">
            <v>837.50417641254148</v>
          </cell>
          <cell r="Q653">
            <v>109.72222222222223</v>
          </cell>
          <cell r="R653">
            <v>252.39239646978953</v>
          </cell>
          <cell r="S653">
            <v>121.88537141352623</v>
          </cell>
          <cell r="U653">
            <v>161.87029690248212</v>
          </cell>
        </row>
        <row r="654">
          <cell r="B654" t="str">
            <v>Current Price/Book Value</v>
          </cell>
          <cell r="C654">
            <v>52.485891828461703</v>
          </cell>
          <cell r="D654">
            <v>53.160526907542184</v>
          </cell>
          <cell r="E654">
            <v>54.889643132953907</v>
          </cell>
          <cell r="F654">
            <v>112.69838123554675</v>
          </cell>
          <cell r="G654">
            <v>101.53403110118391</v>
          </cell>
          <cell r="H654">
            <v>46.163326249732442</v>
          </cell>
          <cell r="I654">
            <v>39.743768451555518</v>
          </cell>
          <cell r="K654">
            <v>54.489639577494366</v>
          </cell>
          <cell r="M654">
            <v>236.73855081325479</v>
          </cell>
          <cell r="N654">
            <v>123.57098885896485</v>
          </cell>
          <cell r="O654">
            <v>115.9958326004987</v>
          </cell>
          <cell r="P654">
            <v>782.12610361811073</v>
          </cell>
          <cell r="Q654">
            <v>98.708860759493675</v>
          </cell>
          <cell r="R654">
            <v>210.0189020305919</v>
          </cell>
          <cell r="S654">
            <v>123.20304255242671</v>
          </cell>
          <cell r="U654">
            <v>150.00822074468337</v>
          </cell>
        </row>
        <row r="655">
          <cell r="B655" t="str">
            <v>FY0</v>
          </cell>
          <cell r="C655" t="e">
            <v>#VALUE!</v>
          </cell>
          <cell r="D655" t="e">
            <v>#VALUE!</v>
          </cell>
          <cell r="E655" t="e">
            <v>#VALUE!</v>
          </cell>
          <cell r="F655" t="e">
            <v>#VALUE!</v>
          </cell>
          <cell r="G655" t="e">
            <v>#VALUE!</v>
          </cell>
          <cell r="H655" t="e">
            <v>#VALUE!</v>
          </cell>
          <cell r="I655" t="e">
            <v>#VALUE!</v>
          </cell>
          <cell r="J655" t="e">
            <v>#VALUE!</v>
          </cell>
          <cell r="K655">
            <v>54.172660862097118</v>
          </cell>
          <cell r="M655" t="e">
            <v>#VALUE!</v>
          </cell>
          <cell r="N655" t="e">
            <v>#VALUE!</v>
          </cell>
          <cell r="O655" t="e">
            <v>#VALUE!</v>
          </cell>
          <cell r="P655" t="e">
            <v>#VALUE!</v>
          </cell>
          <cell r="Q655" t="e">
            <v>#VALUE!</v>
          </cell>
          <cell r="R655" t="e">
            <v>#VALUE!</v>
          </cell>
          <cell r="S655" t="e">
            <v>#VALUE!</v>
          </cell>
          <cell r="T655" t="e">
            <v>#VALUE!</v>
          </cell>
          <cell r="U655">
            <v>149.72934531906631</v>
          </cell>
        </row>
        <row r="656">
          <cell r="B656" t="str">
            <v>FY1</v>
          </cell>
          <cell r="C656" t="e">
            <v>#VALUE!</v>
          </cell>
          <cell r="D656" t="e">
            <v>#VALUE!</v>
          </cell>
          <cell r="E656" t="e">
            <v>#VALUE!</v>
          </cell>
          <cell r="F656" t="e">
            <v>#VALUE!</v>
          </cell>
          <cell r="G656" t="e">
            <v>#VALUE!</v>
          </cell>
          <cell r="H656" t="e">
            <v>#VALUE!</v>
          </cell>
          <cell r="I656" t="e">
            <v>#VALUE!</v>
          </cell>
          <cell r="J656" t="e">
            <v>#VALUE!</v>
          </cell>
          <cell r="K656">
            <v>53.715653746568783</v>
          </cell>
          <cell r="M656" t="e">
            <v>#VALUE!</v>
          </cell>
          <cell r="N656" t="e">
            <v>#VALUE!</v>
          </cell>
          <cell r="O656" t="e">
            <v>#VALUE!</v>
          </cell>
          <cell r="P656" t="e">
            <v>#VALUE!</v>
          </cell>
          <cell r="Q656" t="e">
            <v>#VALUE!</v>
          </cell>
          <cell r="R656" t="e">
            <v>#VALUE!</v>
          </cell>
          <cell r="S656" t="e">
            <v>#VALUE!</v>
          </cell>
          <cell r="T656" t="e">
            <v>#VALUE!</v>
          </cell>
          <cell r="U656">
            <v>154.80379580954013</v>
          </cell>
        </row>
        <row r="657">
          <cell r="B657" t="str">
            <v>FY2</v>
          </cell>
          <cell r="C657" t="e">
            <v>#VALUE!</v>
          </cell>
          <cell r="D657" t="e">
            <v>#VALUE!</v>
          </cell>
          <cell r="E657" t="e">
            <v>#VALUE!</v>
          </cell>
          <cell r="F657" t="e">
            <v>#VALUE!</v>
          </cell>
          <cell r="G657" t="e">
            <v>#VALUE!</v>
          </cell>
          <cell r="H657" t="e">
            <v>#VALUE!</v>
          </cell>
          <cell r="I657" t="e">
            <v>#VALUE!</v>
          </cell>
          <cell r="J657" t="e">
            <v>#VALUE!</v>
          </cell>
          <cell r="M657" t="e">
            <v>#VALUE!</v>
          </cell>
          <cell r="N657" t="e">
            <v>#VALUE!</v>
          </cell>
          <cell r="O657" t="e">
            <v>#VALUE!</v>
          </cell>
          <cell r="P657" t="e">
            <v>#VALUE!</v>
          </cell>
          <cell r="Q657" t="e">
            <v>#VALUE!</v>
          </cell>
          <cell r="R657" t="e">
            <v>#VALUE!</v>
          </cell>
          <cell r="S657" t="e">
            <v>#VALUE!</v>
          </cell>
          <cell r="T657" t="e">
            <v>#VALUE!</v>
          </cell>
        </row>
        <row r="658">
          <cell r="B658" t="str">
            <v>FQ(2)</v>
          </cell>
          <cell r="C658">
            <v>12.814700234691701</v>
          </cell>
          <cell r="D658">
            <v>13.498469709167473</v>
          </cell>
          <cell r="E658">
            <v>12.693797820768248</v>
          </cell>
          <cell r="F658">
            <v>25.437727122563594</v>
          </cell>
          <cell r="G658">
            <v>20.671901141774427</v>
          </cell>
          <cell r="H658">
            <v>12.090222222222222</v>
          </cell>
          <cell r="I658">
            <v>9.2958492215560344</v>
          </cell>
          <cell r="M658">
            <v>53.777736225380202</v>
          </cell>
          <cell r="N658">
            <v>28.662728710283766</v>
          </cell>
          <cell r="O658">
            <v>25.077087883426593</v>
          </cell>
          <cell r="P658">
            <v>203.27393151549455</v>
          </cell>
          <cell r="Q658">
            <v>22.430379746835442</v>
          </cell>
          <cell r="R658">
            <v>44.332051787893519</v>
          </cell>
          <cell r="S658">
            <v>28.918464242741916</v>
          </cell>
        </row>
        <row r="659">
          <cell r="B659" t="str">
            <v>FQ(1)</v>
          </cell>
          <cell r="C659">
            <v>12.881374013228077</v>
          </cell>
          <cell r="D659">
            <v>13.370261720070904</v>
          </cell>
          <cell r="E659">
            <v>12.077279010454861</v>
          </cell>
          <cell r="F659">
            <v>28.694133748643164</v>
          </cell>
          <cell r="G659">
            <v>20.606334745343176</v>
          </cell>
          <cell r="H659">
            <v>12.718133333333334</v>
          </cell>
          <cell r="I659">
            <v>10.001760474286144</v>
          </cell>
          <cell r="M659">
            <v>53.785838942907006</v>
          </cell>
          <cell r="N659">
            <v>30.652612453091901</v>
          </cell>
          <cell r="O659">
            <v>26.417602443171933</v>
          </cell>
          <cell r="P659">
            <v>193.01066015097985</v>
          </cell>
          <cell r="Q659">
            <v>23.11392405063291</v>
          </cell>
          <cell r="R659">
            <v>47.655689419450738</v>
          </cell>
          <cell r="S659">
            <v>32.33000092580037</v>
          </cell>
        </row>
        <row r="660">
          <cell r="B660" t="str">
            <v>mstag:propertyPlantAndEquipmentNet</v>
          </cell>
          <cell r="C660">
            <v>13.694794111371881</v>
          </cell>
          <cell r="D660">
            <v>14.524133621940035</v>
          </cell>
          <cell r="E660">
            <v>13.193502540706465</v>
          </cell>
          <cell r="F660">
            <v>27.41988767756855</v>
          </cell>
          <cell r="G660">
            <v>21.618557551100253</v>
          </cell>
          <cell r="H660">
            <v>12.733822222222223</v>
          </cell>
          <cell r="I660">
            <v>10.927744956920218</v>
          </cell>
          <cell r="M660">
            <v>55.858015457491895</v>
          </cell>
          <cell r="N660">
            <v>35.692474062401246</v>
          </cell>
          <cell r="O660">
            <v>30.54107137185223</v>
          </cell>
          <cell r="P660">
            <v>782.12610361811073</v>
          </cell>
          <cell r="Q660">
            <v>25.924050632911392</v>
          </cell>
          <cell r="R660">
            <v>46.233173981263128</v>
          </cell>
          <cell r="S660">
            <v>34.019254632710343</v>
          </cell>
        </row>
        <row r="661">
          <cell r="B661" t="str">
            <v>Assets</v>
          </cell>
        </row>
        <row r="662">
          <cell r="B662" t="str">
            <v>FY(5)</v>
          </cell>
        </row>
        <row r="663">
          <cell r="B663" t="str">
            <v>FY(4)</v>
          </cell>
        </row>
        <row r="664">
          <cell r="B664" t="str">
            <v>FY(3)</v>
          </cell>
        </row>
        <row r="665">
          <cell r="B665" t="str">
            <v>FY(2)</v>
          </cell>
        </row>
        <row r="666">
          <cell r="B666" t="str">
            <v>FY(1)</v>
          </cell>
        </row>
        <row r="667">
          <cell r="B667" t="str">
            <v>FY0</v>
          </cell>
        </row>
        <row r="668">
          <cell r="B668" t="str">
            <v>FY1</v>
          </cell>
        </row>
        <row r="669">
          <cell r="B669" t="str">
            <v>FY2</v>
          </cell>
        </row>
        <row r="671">
          <cell r="A671" t="str">
            <v>mstag:inventories</v>
          </cell>
        </row>
        <row r="672">
          <cell r="B672" t="str">
            <v>Inventory</v>
          </cell>
        </row>
        <row r="673">
          <cell r="B673" t="str">
            <v>FY(5)</v>
          </cell>
          <cell r="C673">
            <v>1946.9770000000001</v>
          </cell>
          <cell r="D673">
            <v>3142</v>
          </cell>
          <cell r="E673">
            <v>3120</v>
          </cell>
          <cell r="F673">
            <v>917.18200000000002</v>
          </cell>
          <cell r="G673">
            <v>1516.271</v>
          </cell>
          <cell r="H673">
            <v>853.11199999999997</v>
          </cell>
          <cell r="I673">
            <v>2352.0320000000002</v>
          </cell>
          <cell r="M673">
            <v>211.19800000000001</v>
          </cell>
          <cell r="N673">
            <v>81.238</v>
          </cell>
          <cell r="O673">
            <v>170.57599999999999</v>
          </cell>
          <cell r="P673">
            <v>161.91300000000001</v>
          </cell>
          <cell r="Q673">
            <v>1814</v>
          </cell>
          <cell r="R673">
            <v>1142</v>
          </cell>
          <cell r="S673">
            <v>98.995999999999995</v>
          </cell>
        </row>
        <row r="674">
          <cell r="B674" t="str">
            <v>FY(4)</v>
          </cell>
          <cell r="C674">
            <v>2237.5680000000002</v>
          </cell>
          <cell r="D674">
            <v>3210</v>
          </cell>
          <cell r="E674">
            <v>5459</v>
          </cell>
          <cell r="F674">
            <v>955.97799999999995</v>
          </cell>
          <cell r="G674">
            <v>807.21100000000001</v>
          </cell>
          <cell r="H674">
            <v>938.09100000000001</v>
          </cell>
          <cell r="I674">
            <v>2365.8609999999999</v>
          </cell>
          <cell r="M674">
            <v>362.536</v>
          </cell>
          <cell r="N674">
            <v>91.908000000000001</v>
          </cell>
          <cell r="O674">
            <v>210.739</v>
          </cell>
          <cell r="P674">
            <v>184.41900000000001</v>
          </cell>
          <cell r="Q674">
            <v>1696</v>
          </cell>
          <cell r="R674">
            <v>1159.69</v>
          </cell>
          <cell r="S674">
            <v>140.37700000000001</v>
          </cell>
        </row>
        <row r="675">
          <cell r="B675" t="str">
            <v>FY(3)</v>
          </cell>
          <cell r="C675">
            <v>2578.3780000000002</v>
          </cell>
          <cell r="D675">
            <v>3400</v>
          </cell>
          <cell r="E675">
            <v>5317</v>
          </cell>
          <cell r="F675">
            <v>997.28899999999999</v>
          </cell>
          <cell r="G675">
            <v>785.30200000000002</v>
          </cell>
          <cell r="H675">
            <v>1051.729</v>
          </cell>
          <cell r="I675">
            <v>2581.9690000000001</v>
          </cell>
          <cell r="M675">
            <v>427.447</v>
          </cell>
          <cell r="N675">
            <v>101.476</v>
          </cell>
          <cell r="O675">
            <v>263.64400000000001</v>
          </cell>
          <cell r="P675">
            <v>233.494</v>
          </cell>
          <cell r="Q675">
            <v>1796</v>
          </cell>
          <cell r="R675">
            <v>1770</v>
          </cell>
          <cell r="S675">
            <v>154.387</v>
          </cell>
        </row>
        <row r="676">
          <cell r="B676" t="str">
            <v>FY(2)</v>
          </cell>
          <cell r="C676">
            <v>2855.7330000000002</v>
          </cell>
          <cell r="D676">
            <v>3641</v>
          </cell>
          <cell r="E676">
            <v>5060</v>
          </cell>
          <cell r="F676">
            <v>956</v>
          </cell>
          <cell r="G676">
            <v>857.173</v>
          </cell>
          <cell r="H676">
            <v>1025.2950000000001</v>
          </cell>
          <cell r="I676">
            <v>2737.3780000000002</v>
          </cell>
          <cell r="M676">
            <v>333.15300000000002</v>
          </cell>
          <cell r="N676">
            <v>136.488</v>
          </cell>
          <cell r="O676">
            <v>286.48500000000001</v>
          </cell>
          <cell r="P676">
            <v>291.19200000000001</v>
          </cell>
          <cell r="Q676">
            <v>1575</v>
          </cell>
          <cell r="R676">
            <v>1250.625</v>
          </cell>
          <cell r="S676">
            <v>171.92500000000001</v>
          </cell>
        </row>
        <row r="677">
          <cell r="B677" t="str">
            <v>FY(1)</v>
          </cell>
          <cell r="C677">
            <v>2799</v>
          </cell>
          <cell r="D677">
            <v>3259</v>
          </cell>
          <cell r="E677">
            <v>4769</v>
          </cell>
          <cell r="F677">
            <v>900</v>
          </cell>
          <cell r="G677">
            <v>728.84100000000001</v>
          </cell>
          <cell r="H677">
            <v>881.05799999999999</v>
          </cell>
          <cell r="I677">
            <v>2619.3359999999998</v>
          </cell>
          <cell r="M677">
            <v>372.42200000000003</v>
          </cell>
          <cell r="N677">
            <v>126.36</v>
          </cell>
          <cell r="O677">
            <v>294.928</v>
          </cell>
          <cell r="P677">
            <v>318.49</v>
          </cell>
          <cell r="Q677">
            <v>1506</v>
          </cell>
          <cell r="R677">
            <v>1181.865</v>
          </cell>
          <cell r="S677">
            <v>169.69800000000001</v>
          </cell>
        </row>
        <row r="678">
          <cell r="B678" t="str">
            <v>FY0</v>
          </cell>
          <cell r="C678">
            <v>2923</v>
          </cell>
          <cell r="D678">
            <v>3024</v>
          </cell>
          <cell r="E678">
            <v>4615</v>
          </cell>
          <cell r="F678">
            <v>898</v>
          </cell>
          <cell r="G678">
            <v>649.19600000000003</v>
          </cell>
          <cell r="H678">
            <v>872.49800000000005</v>
          </cell>
          <cell r="I678">
            <v>2532.3000000000002</v>
          </cell>
          <cell r="M678">
            <v>310.64499999999998</v>
          </cell>
          <cell r="N678">
            <v>132.91499999999999</v>
          </cell>
          <cell r="O678">
            <v>326.45400000000001</v>
          </cell>
          <cell r="P678">
            <v>326.14800000000002</v>
          </cell>
          <cell r="Q678">
            <v>1477</v>
          </cell>
          <cell r="R678">
            <v>1036.5530000000001</v>
          </cell>
          <cell r="S678">
            <v>186.13</v>
          </cell>
        </row>
        <row r="679">
          <cell r="B679" t="str">
            <v>FY1</v>
          </cell>
          <cell r="C679">
            <v>3123.9971107842498</v>
          </cell>
          <cell r="D679">
            <v>3252.61217088179</v>
          </cell>
          <cell r="E679">
            <v>4721.2360639694298</v>
          </cell>
          <cell r="F679">
            <v>914.11790804880604</v>
          </cell>
          <cell r="G679">
            <v>669.12691891221596</v>
          </cell>
          <cell r="H679">
            <v>834.78757252013304</v>
          </cell>
          <cell r="I679">
            <v>2625.2613280778201</v>
          </cell>
          <cell r="M679">
            <v>258.51078977779201</v>
          </cell>
          <cell r="N679">
            <v>145.12914927307301</v>
          </cell>
          <cell r="O679">
            <v>328.46417729998097</v>
          </cell>
          <cell r="P679">
            <v>343.01583673532502</v>
          </cell>
          <cell r="Q679">
            <v>1540.78859277573</v>
          </cell>
          <cell r="R679">
            <v>1056.0597821485901</v>
          </cell>
          <cell r="S679">
            <v>206.454753751087</v>
          </cell>
        </row>
        <row r="680">
          <cell r="B680" t="str">
            <v>FY2</v>
          </cell>
          <cell r="C680">
            <v>3334.1784300244799</v>
          </cell>
          <cell r="D680">
            <v>3343.2669776559701</v>
          </cell>
          <cell r="E680">
            <v>4712.7406133039703</v>
          </cell>
          <cell r="F680">
            <v>971.95523796844395</v>
          </cell>
          <cell r="G680">
            <v>697.66154527773404</v>
          </cell>
          <cell r="H680">
            <v>872.19591833105596</v>
          </cell>
          <cell r="I680">
            <v>2780.3311198893398</v>
          </cell>
          <cell r="M680">
            <v>269.88188642931402</v>
          </cell>
          <cell r="N680">
            <v>164.92922352314</v>
          </cell>
          <cell r="O680">
            <v>353.36622884730599</v>
          </cell>
          <cell r="P680">
            <v>366.82580611037599</v>
          </cell>
          <cell r="Q680">
            <v>1462.23084953795</v>
          </cell>
          <cell r="R680">
            <v>1070.8595931551099</v>
          </cell>
          <cell r="S680">
            <v>230.21031860692699</v>
          </cell>
        </row>
        <row r="681">
          <cell r="B681" t="str">
            <v>FQ(3)</v>
          </cell>
          <cell r="C681">
            <v>2804</v>
          </cell>
          <cell r="D681">
            <v>3237</v>
          </cell>
          <cell r="E681">
            <v>5026</v>
          </cell>
          <cell r="F681">
            <v>1004</v>
          </cell>
          <cell r="G681">
            <v>779.47400000000005</v>
          </cell>
          <cell r="H681">
            <v>917.66099999999994</v>
          </cell>
          <cell r="I681">
            <v>2817.7</v>
          </cell>
          <cell r="M681">
            <v>274.74200000000002</v>
          </cell>
          <cell r="N681">
            <v>128.929</v>
          </cell>
          <cell r="O681">
            <v>279.233</v>
          </cell>
          <cell r="P681">
            <v>357.67</v>
          </cell>
          <cell r="Q681">
            <v>1393</v>
          </cell>
          <cell r="R681">
            <v>1213.425</v>
          </cell>
          <cell r="S681">
            <v>189.881</v>
          </cell>
        </row>
        <row r="682">
          <cell r="B682" t="str">
            <v>FQ(2)</v>
          </cell>
          <cell r="C682">
            <v>2724</v>
          </cell>
          <cell r="D682">
            <v>3258</v>
          </cell>
          <cell r="E682">
            <v>4634</v>
          </cell>
          <cell r="F682">
            <v>929</v>
          </cell>
          <cell r="G682">
            <v>670.26300000000003</v>
          </cell>
          <cell r="H682">
            <v>926.24400000000003</v>
          </cell>
          <cell r="I682">
            <v>3100.1750000000002</v>
          </cell>
          <cell r="M682">
            <v>325.596</v>
          </cell>
          <cell r="N682">
            <v>200.99299999999999</v>
          </cell>
          <cell r="O682">
            <v>352.81900000000002</v>
          </cell>
          <cell r="P682">
            <v>326.14800000000002</v>
          </cell>
          <cell r="Q682">
            <v>1473</v>
          </cell>
          <cell r="R682">
            <v>1091</v>
          </cell>
          <cell r="S682">
            <v>217.05</v>
          </cell>
        </row>
        <row r="683">
          <cell r="B683" t="str">
            <v>FQ(1)</v>
          </cell>
          <cell r="C683">
            <v>3807</v>
          </cell>
          <cell r="D683">
            <v>4018</v>
          </cell>
          <cell r="E683">
            <v>6406</v>
          </cell>
          <cell r="F683">
            <v>1193</v>
          </cell>
          <cell r="G683">
            <v>799.11</v>
          </cell>
          <cell r="H683">
            <v>1014.638</v>
          </cell>
          <cell r="I683">
            <v>3267.6669999999999</v>
          </cell>
          <cell r="M683">
            <v>347.18</v>
          </cell>
          <cell r="N683">
            <v>221.51599999999999</v>
          </cell>
          <cell r="O683">
            <v>425.41500000000002</v>
          </cell>
          <cell r="P683">
            <v>337.54500000000002</v>
          </cell>
          <cell r="Q683">
            <v>1999</v>
          </cell>
          <cell r="R683">
            <v>1426.4559999999999</v>
          </cell>
          <cell r="S683">
            <v>234.52099999999999</v>
          </cell>
        </row>
        <row r="684">
          <cell r="B684" t="str">
            <v>Last Reported Q</v>
          </cell>
          <cell r="C684">
            <v>2923</v>
          </cell>
          <cell r="D684">
            <v>3024</v>
          </cell>
          <cell r="E684">
            <v>4615</v>
          </cell>
          <cell r="F684">
            <v>898</v>
          </cell>
          <cell r="G684">
            <v>649.19600000000003</v>
          </cell>
          <cell r="H684">
            <v>872.49800000000005</v>
          </cell>
          <cell r="I684">
            <v>2532.3000000000002</v>
          </cell>
          <cell r="M684">
            <v>310.64499999999998</v>
          </cell>
          <cell r="N684">
            <v>132.91499999999999</v>
          </cell>
          <cell r="O684">
            <v>326.45400000000001</v>
          </cell>
          <cell r="P684">
            <v>269.2</v>
          </cell>
          <cell r="Q684">
            <v>1477</v>
          </cell>
          <cell r="R684">
            <v>1036.5530000000001</v>
          </cell>
          <cell r="S684">
            <v>186.13</v>
          </cell>
        </row>
        <row r="686">
          <cell r="B686" t="str">
            <v>Inventory/Store</v>
          </cell>
        </row>
        <row r="687">
          <cell r="B687" t="str">
            <v>FY(5)</v>
          </cell>
          <cell r="C687">
            <v>3.5922084870848709</v>
          </cell>
          <cell r="D687">
            <v>3.1016781836130308E-2</v>
          </cell>
          <cell r="E687">
            <v>1.9948849104859334E-2</v>
          </cell>
          <cell r="F687">
            <v>4.7511305654122094E-2</v>
          </cell>
          <cell r="G687">
            <v>0.20216946666666666</v>
          </cell>
          <cell r="H687">
            <v>5.5930767717825999E-2</v>
          </cell>
          <cell r="I687">
            <v>3.5904500213714365E-2</v>
          </cell>
          <cell r="M687">
            <v>3.7781395348837211E-2</v>
          </cell>
          <cell r="N687">
            <v>4.1062350195056017E-2</v>
          </cell>
          <cell r="O687">
            <v>3.7571019989669815E-2</v>
          </cell>
          <cell r="P687">
            <v>0.20698026111422885</v>
          </cell>
          <cell r="Q687">
            <v>4.9562841530054642E-2</v>
          </cell>
          <cell r="R687">
            <v>0.11075550383086025</v>
          </cell>
          <cell r="S687">
            <v>5.6573701081058525E-2</v>
          </cell>
        </row>
        <row r="688">
          <cell r="B688" t="str">
            <v>FY(4)</v>
          </cell>
          <cell r="C688">
            <v>3.5126656200941917</v>
          </cell>
          <cell r="D688">
            <v>3.1656804733727811E-2</v>
          </cell>
          <cell r="E688">
            <v>3.4904092071611256E-2</v>
          </cell>
          <cell r="F688">
            <v>4.8353759388988643E-2</v>
          </cell>
          <cell r="G688">
            <v>0.10762813333333333</v>
          </cell>
          <cell r="H688">
            <v>5.4165425255499743E-2</v>
          </cell>
          <cell r="I688">
            <v>3.3522649663478565E-2</v>
          </cell>
          <cell r="M688">
            <v>6.0171950207468877E-2</v>
          </cell>
          <cell r="N688">
            <v>3.872296948566975E-2</v>
          </cell>
          <cell r="O688">
            <v>4.4157061087856289E-2</v>
          </cell>
          <cell r="P688">
            <v>0.20381483495351646</v>
          </cell>
          <cell r="Q688">
            <v>4.4867724867724869E-2</v>
          </cell>
          <cell r="R688">
            <v>0.11247114731839783</v>
          </cell>
          <cell r="S688">
            <v>6.6417827118810877E-2</v>
          </cell>
        </row>
        <row r="689">
          <cell r="B689" t="str">
            <v>FY(3)</v>
          </cell>
          <cell r="C689">
            <v>3.5223743169398909</v>
          </cell>
          <cell r="D689">
            <v>3.2977691561590687E-2</v>
          </cell>
          <cell r="E689">
            <v>3.3996163682864448E-2</v>
          </cell>
          <cell r="F689">
            <v>4.9567047713717692E-2</v>
          </cell>
          <cell r="G689">
            <v>0.10470693333333334</v>
          </cell>
          <cell r="H689">
            <v>5.6417176268640706E-2</v>
          </cell>
          <cell r="I689">
            <v>3.4897603633070678E-2</v>
          </cell>
          <cell r="M689">
            <v>6.3864784102793962E-2</v>
          </cell>
          <cell r="N689">
            <v>3.8642802741812643E-2</v>
          </cell>
          <cell r="O689">
            <v>5.0964756870443342E-2</v>
          </cell>
          <cell r="P689">
            <v>0.22479120836803163</v>
          </cell>
          <cell r="Q689">
            <v>4.6051282051282054E-2</v>
          </cell>
          <cell r="R689">
            <v>0.17166133255746291</v>
          </cell>
          <cell r="S689">
            <v>6.1813201112411009E-2</v>
          </cell>
        </row>
        <row r="690">
          <cell r="B690" t="str">
            <v>FY(2)</v>
          </cell>
          <cell r="C690">
            <v>3.495389228886169</v>
          </cell>
          <cell r="D690">
            <v>3.4155722326454037E-2</v>
          </cell>
          <cell r="E690">
            <v>3.2653377301385511E-2</v>
          </cell>
          <cell r="F690">
            <v>4.7010228166797799E-2</v>
          </cell>
          <cell r="G690">
            <v>0.11369850112747049</v>
          </cell>
          <cell r="H690">
            <v>4.8592180094786733E-2</v>
          </cell>
          <cell r="I690">
            <v>3.5820177963883801E-2</v>
          </cell>
          <cell r="M690">
            <v>4.5407250919994549E-2</v>
          </cell>
          <cell r="N690">
            <v>4.6500187039173288E-2</v>
          </cell>
          <cell r="O690">
            <v>5.0173101886327197E-2</v>
          </cell>
          <cell r="P690">
            <v>0.23790759748392731</v>
          </cell>
          <cell r="Q690">
            <v>3.9772727272727272E-2</v>
          </cell>
          <cell r="R690">
            <v>0.12129036950829211</v>
          </cell>
          <cell r="S690">
            <v>5.9560927615761435E-2</v>
          </cell>
        </row>
        <row r="691">
          <cell r="B691" t="str">
            <v>FY(1)</v>
          </cell>
          <cell r="C691">
            <v>3.0129171151776104</v>
          </cell>
          <cell r="D691">
            <v>2.9844988318980185E-2</v>
          </cell>
          <cell r="E691">
            <v>3.0949244277731991E-2</v>
          </cell>
          <cell r="F691">
            <v>4.247486903582047E-2</v>
          </cell>
          <cell r="G691">
            <v>9.6932003937825792E-2</v>
          </cell>
          <cell r="H691">
            <v>3.9158133333333331E-2</v>
          </cell>
          <cell r="I691">
            <v>3.3125257655656222E-2</v>
          </cell>
          <cell r="M691">
            <v>4.7992525773195877E-2</v>
          </cell>
          <cell r="N691">
            <v>3.8470273828218472E-2</v>
          </cell>
          <cell r="O691">
            <v>4.6605596849767082E-2</v>
          </cell>
          <cell r="P691">
            <v>0.21723459014982835</v>
          </cell>
          <cell r="Q691">
            <v>3.8126582278481015E-2</v>
          </cell>
          <cell r="R691">
            <v>0.10844489507537872</v>
          </cell>
          <cell r="S691">
            <v>5.0495503885011242E-2</v>
          </cell>
        </row>
        <row r="692">
          <cell r="B692" t="str">
            <v>FY0</v>
          </cell>
          <cell r="C692">
            <v>2.9113545816733066</v>
          </cell>
          <cell r="D692">
            <v>2.7318021416815018E-2</v>
          </cell>
          <cell r="E692">
            <v>2.9889896373056994E-2</v>
          </cell>
          <cell r="F692">
            <v>4.0224865058567941E-2</v>
          </cell>
          <cell r="G692">
            <v>8.6639688600556014E-2</v>
          </cell>
          <cell r="H692">
            <v>3.6814261603375531E-2</v>
          </cell>
          <cell r="I692">
            <v>3.0962136448200613E-2</v>
          </cell>
          <cell r="M692">
            <v>3.9587740537785139E-2</v>
          </cell>
          <cell r="N692">
            <v>3.8769084837835754E-2</v>
          </cell>
          <cell r="O692">
            <v>5.0977699540230355E-2</v>
          </cell>
          <cell r="P692">
            <v>0.19290833500424975</v>
          </cell>
          <cell r="Q692">
            <v>3.8067010309278351E-2</v>
          </cell>
          <cell r="R692">
            <v>9.4809567364858696E-2</v>
          </cell>
          <cell r="S692">
            <v>4.995653032417971E-2</v>
          </cell>
        </row>
        <row r="693">
          <cell r="B693" t="str">
            <v>FY1</v>
          </cell>
          <cell r="C693">
            <v>2.9527382899662098</v>
          </cell>
          <cell r="D693">
            <v>2.9330300917219145E-2</v>
          </cell>
          <cell r="E693">
            <v>3.0470411154580945E-2</v>
          </cell>
          <cell r="F693">
            <v>3.9293073303284999E-2</v>
          </cell>
          <cell r="G693">
            <v>8.8609781426668283E-2</v>
          </cell>
          <cell r="H693">
            <v>3.3681465125949293E-2</v>
          </cell>
          <cell r="I693">
            <v>3.0667679893737684E-2</v>
          </cell>
          <cell r="M693">
            <v>3.1708217119172578E-2</v>
          </cell>
          <cell r="N693">
            <v>4.0112064796655827E-2</v>
          </cell>
          <cell r="O693">
            <v>5.2295895435949875E-2</v>
          </cell>
          <cell r="P693">
            <v>0.18614099688799227</v>
          </cell>
          <cell r="Q693">
            <v>4.0743780641510838E-2</v>
          </cell>
          <cell r="R693">
            <v>9.7251438577294805E-2</v>
          </cell>
          <cell r="S693">
            <v>4.9148885064112975E-2</v>
          </cell>
        </row>
        <row r="694">
          <cell r="B694" t="str">
            <v>FY2</v>
          </cell>
          <cell r="C694">
            <v>3.0645022334783825</v>
          </cell>
          <cell r="D694">
            <v>3.0012585207337347E-2</v>
          </cell>
          <cell r="E694">
            <v>3.0433400395724029E-2</v>
          </cell>
          <cell r="F694">
            <v>4.0138235427392123E-2</v>
          </cell>
          <cell r="G694">
            <v>8.8748465123669365E-2</v>
          </cell>
          <cell r="H694">
            <v>3.3440798480200512E-2</v>
          </cell>
          <cell r="I694">
            <v>3.1080543928809247E-2</v>
          </cell>
          <cell r="M694">
            <v>3.0938014934536497E-2</v>
          </cell>
          <cell r="N694">
            <v>4.1486904049822193E-2</v>
          </cell>
          <cell r="O694">
            <v>5.2958724188948397E-2</v>
          </cell>
          <cell r="P694">
            <v>0.18836190825466373</v>
          </cell>
          <cell r="Q694">
            <v>4.0043346162256285E-2</v>
          </cell>
          <cell r="R694">
            <v>9.7349787106169941E-2</v>
          </cell>
          <cell r="S694">
            <v>4.9120105458739363E-2</v>
          </cell>
        </row>
        <row r="696">
          <cell r="B696" t="str">
            <v>Inventory/Store Y/Y ∆</v>
          </cell>
        </row>
        <row r="697">
          <cell r="B697" t="str">
            <v>FY(5)</v>
          </cell>
        </row>
        <row r="698">
          <cell r="B698" t="str">
            <v>FY(4)</v>
          </cell>
          <cell r="C698">
            <v>-2.2143165486263161E-2</v>
          </cell>
          <cell r="D698">
            <v>2.0634729321014289E-2</v>
          </cell>
          <cell r="E698">
            <v>0.7496794871794874</v>
          </cell>
          <cell r="F698">
            <v>1.7731647726112465E-2</v>
          </cell>
          <cell r="G698">
            <v>-0.46763408388078387</v>
          </cell>
          <cell r="H698">
            <v>-3.1562993578642007E-2</v>
          </cell>
          <cell r="I698">
            <v>-6.6338496178983353E-2</v>
          </cell>
          <cell r="J698">
            <v>2.8623875014563111E-2</v>
          </cell>
          <cell r="M698">
            <v>0.59263440780571308</v>
          </cell>
          <cell r="N698">
            <v>-5.697142755525797E-2</v>
          </cell>
          <cell r="O698">
            <v>0.17529577583992428</v>
          </cell>
          <cell r="P698">
            <v>-1.5293372148977302E-2</v>
          </cell>
          <cell r="Q698">
            <v>-9.473057874380908E-2</v>
          </cell>
          <cell r="R698">
            <v>1.5490367775831793E-2</v>
          </cell>
          <cell r="S698">
            <v>0.17400533904698468</v>
          </cell>
          <cell r="T698">
            <v>0.11291864457434421</v>
          </cell>
        </row>
        <row r="699">
          <cell r="B699" t="str">
            <v>FY(3)</v>
          </cell>
          <cell r="C699">
            <v>2.7639114836779388E-3</v>
          </cell>
          <cell r="D699">
            <v>4.1725210076416053E-2</v>
          </cell>
          <cell r="E699">
            <v>-2.6012090126396936E-2</v>
          </cell>
          <cell r="F699">
            <v>2.5091913018977063E-2</v>
          </cell>
          <cell r="G699">
            <v>-2.7141602381533403E-2</v>
          </cell>
          <cell r="H699">
            <v>4.1571740691029202E-2</v>
          </cell>
          <cell r="I699">
            <v>4.1015670998407527E-2</v>
          </cell>
          <cell r="J699">
            <v>1.4144964822939634E-2</v>
          </cell>
          <cell r="M699">
            <v>6.1371351312238254E-2</v>
          </cell>
          <cell r="N699">
            <v>-2.0702633326397102E-3</v>
          </cell>
          <cell r="O699">
            <v>0.15417003792535566</v>
          </cell>
          <cell r="P699">
            <v>0.10291877634569246</v>
          </cell>
          <cell r="Q699">
            <v>2.6378809869376019E-2</v>
          </cell>
          <cell r="R699">
            <v>0.52626995145254329</v>
          </cell>
          <cell r="S699">
            <v>-6.9328163930490017E-2</v>
          </cell>
          <cell r="T699">
            <v>0.11424435709172513</v>
          </cell>
        </row>
        <row r="700">
          <cell r="B700" t="str">
            <v>FY(2)</v>
          </cell>
          <cell r="C700">
            <v>-7.661050650961343E-3</v>
          </cell>
          <cell r="D700">
            <v>3.5722050546297401E-2</v>
          </cell>
          <cell r="E700">
            <v>-3.9498173794114355E-2</v>
          </cell>
          <cell r="F700">
            <v>-5.1583050935113395E-2</v>
          </cell>
          <cell r="G700">
            <v>8.5873661923729472E-2</v>
          </cell>
          <cell r="H700">
            <v>-0.13869882704858927</v>
          </cell>
          <cell r="I700">
            <v>2.643660981749596E-2</v>
          </cell>
          <cell r="J700">
            <v>-1.2772682877322219E-2</v>
          </cell>
          <cell r="M700">
            <v>-0.28900956046592086</v>
          </cell>
          <cell r="N700">
            <v>0.2033337061459759</v>
          </cell>
          <cell r="O700">
            <v>-1.5533380962232335E-2</v>
          </cell>
          <cell r="P700">
            <v>5.8349208632845428E-2</v>
          </cell>
          <cell r="Q700">
            <v>-0.13633832759667952</v>
          </cell>
          <cell r="R700">
            <v>-0.29343220338983056</v>
          </cell>
          <cell r="S700">
            <v>-3.6436771694668968E-2</v>
          </cell>
          <cell r="T700">
            <v>-7.2723904190072991E-2</v>
          </cell>
        </row>
        <row r="701">
          <cell r="B701" t="str">
            <v>FY(1)</v>
          </cell>
          <cell r="C701">
            <v>-0.13803101231799064</v>
          </cell>
          <cell r="D701">
            <v>-0.1262082519079134</v>
          </cell>
          <cell r="E701">
            <v>-5.2188568671615254E-2</v>
          </cell>
          <cell r="F701">
            <v>-9.6476007622965487E-2</v>
          </cell>
          <cell r="G701">
            <v>-0.14746454019518973</v>
          </cell>
          <cell r="H701">
            <v>-0.19414742748834901</v>
          </cell>
          <cell r="I701">
            <v>-7.5234699027591945E-2</v>
          </cell>
          <cell r="J701">
            <v>-0.11853578674737364</v>
          </cell>
          <cell r="M701">
            <v>5.6935286783964534E-2</v>
          </cell>
          <cell r="N701">
            <v>-0.17268561101034174</v>
          </cell>
          <cell r="O701">
            <v>-7.1103936221497688E-2</v>
          </cell>
          <cell r="P701">
            <v>-8.689511202136202E-2</v>
          </cell>
          <cell r="Q701">
            <v>-4.1388788426763079E-2</v>
          </cell>
          <cell r="R701">
            <v>-0.10590679610416398</v>
          </cell>
          <cell r="S701">
            <v>-0.15220420657705191</v>
          </cell>
          <cell r="T701">
            <v>-8.1892737653887979E-2</v>
          </cell>
        </row>
        <row r="702">
          <cell r="B702" t="str">
            <v>FY0</v>
          </cell>
          <cell r="C702">
            <v>-3.3709036665058312E-2</v>
          </cell>
          <cell r="D702">
            <v>-8.4669723276725839E-2</v>
          </cell>
          <cell r="E702">
            <v>-3.4228554828952595E-2</v>
          </cell>
          <cell r="F702">
            <v>-5.2972593637782062E-2</v>
          </cell>
          <cell r="G702">
            <v>-0.1061807753801467</v>
          </cell>
          <cell r="H702">
            <v>-5.9856574622840331E-2</v>
          </cell>
          <cell r="I702">
            <v>-6.5301264368769374E-2</v>
          </cell>
          <cell r="J702">
            <v>-6.2416931825753599E-2</v>
          </cell>
          <cell r="M702">
            <v>-0.17512696195924871</v>
          </cell>
          <cell r="N702">
            <v>7.767322139467181E-3</v>
          </cell>
          <cell r="O702">
            <v>9.3810679102699357E-2</v>
          </cell>
          <cell r="P702">
            <v>-0.1119814994877224</v>
          </cell>
          <cell r="Q702">
            <v>-1.5624786079051489E-3</v>
          </cell>
          <cell r="R702">
            <v>-0.12573508140740297</v>
          </cell>
          <cell r="S702">
            <v>-1.0673694078959683E-2</v>
          </cell>
          <cell r="T702">
            <v>-4.6214530614153197E-2</v>
          </cell>
        </row>
        <row r="703">
          <cell r="B703" t="str">
            <v>FY1</v>
          </cell>
          <cell r="C703">
            <v>1.4214588821783947E-2</v>
          </cell>
          <cell r="D703">
            <v>7.3661246167905592E-2</v>
          </cell>
          <cell r="E703">
            <v>1.9421772972328943E-2</v>
          </cell>
          <cell r="F703">
            <v>-2.3164571314937654E-2</v>
          </cell>
          <cell r="G703">
            <v>2.2738918594169766E-2</v>
          </cell>
          <cell r="H703">
            <v>-8.5097360125755972E-2</v>
          </cell>
          <cell r="I703">
            <v>-9.5102143534426808E-3</v>
          </cell>
          <cell r="J703">
            <v>1.7520543945788486E-3</v>
          </cell>
          <cell r="M703">
            <v>-0.19903948322314147</v>
          </cell>
          <cell r="N703">
            <v>3.464048647105078E-2</v>
          </cell>
          <cell r="O703">
            <v>2.5858285242535084E-2</v>
          </cell>
          <cell r="P703">
            <v>-3.5080589525115169E-2</v>
          </cell>
          <cell r="Q703">
            <v>7.0317324909018541E-2</v>
          </cell>
          <cell r="R703">
            <v>2.5755535863158041E-2</v>
          </cell>
          <cell r="S703">
            <v>-1.6166960652105655E-2</v>
          </cell>
          <cell r="T703">
            <v>-1.3387914416371407E-2</v>
          </cell>
        </row>
        <row r="704">
          <cell r="B704" t="str">
            <v>FY2</v>
          </cell>
          <cell r="C704">
            <v>3.7850948013903318E-2</v>
          </cell>
          <cell r="D704">
            <v>2.3262096493447348E-2</v>
          </cell>
          <cell r="E704">
            <v>-1.214645863134356E-3</v>
          </cell>
          <cell r="F704">
            <v>2.1509188593717532E-2</v>
          </cell>
          <cell r="G704">
            <v>1.5651059597281414E-3</v>
          </cell>
          <cell r="H704">
            <v>-7.1453734227067134E-3</v>
          </cell>
          <cell r="I704">
            <v>1.3462512863774423E-2</v>
          </cell>
          <cell r="J704">
            <v>1.2755690376961384E-2</v>
          </cell>
          <cell r="M704">
            <v>-2.4290302470849845E-2</v>
          </cell>
          <cell r="N704">
            <v>3.427495592999219E-2</v>
          </cell>
          <cell r="O704">
            <v>1.2674584639445152E-2</v>
          </cell>
          <cell r="P704">
            <v>1.1931339166555865E-2</v>
          </cell>
          <cell r="Q704">
            <v>-1.7191199938400681E-2</v>
          </cell>
          <cell r="R704">
            <v>1.0112809672935263E-3</v>
          </cell>
          <cell r="S704">
            <v>-5.8555967924944774E-4</v>
          </cell>
          <cell r="T704">
            <v>2.5464426592552514E-3</v>
          </cell>
        </row>
        <row r="706">
          <cell r="B706" t="str">
            <v>Sales Y/Y ∆ - Inventory Y/Y ∆</v>
          </cell>
        </row>
        <row r="707">
          <cell r="B707" t="str">
            <v>FY(5)</v>
          </cell>
        </row>
        <row r="708">
          <cell r="B708" t="str">
            <v>FY(4)</v>
          </cell>
          <cell r="C708">
            <v>1.4747710638552139E-2</v>
          </cell>
          <cell r="D708">
            <v>8.3652706789857124E-3</v>
          </cell>
          <cell r="E708">
            <v>-0.73667948717948739</v>
          </cell>
          <cell r="F708">
            <v>4.2432082369352635E-2</v>
          </cell>
          <cell r="G708">
            <v>0.5076340838807839</v>
          </cell>
          <cell r="H708">
            <v>9.1562993578642005E-2</v>
          </cell>
          <cell r="I708">
            <v>8.6338496178983357E-2</v>
          </cell>
          <cell r="J708">
            <v>2.0573071636874668E-3</v>
          </cell>
          <cell r="M708">
            <v>-0.33263440780571307</v>
          </cell>
          <cell r="N708">
            <v>9.1971427555257973E-2</v>
          </cell>
          <cell r="O708">
            <v>-2.0295775839924285E-2</v>
          </cell>
          <cell r="P708">
            <v>0.1972933721489773</v>
          </cell>
          <cell r="Q708">
            <v>4.4730578743809077E-2</v>
          </cell>
          <cell r="R708">
            <v>-2.5490367775831795E-2</v>
          </cell>
          <cell r="S708">
            <v>-6.5005339046984675E-2</v>
          </cell>
          <cell r="T708">
            <v>-1.5632930288629925E-2</v>
          </cell>
        </row>
        <row r="709">
          <cell r="B709" t="str">
            <v>FY(3)</v>
          </cell>
          <cell r="C709">
            <v>5.6236088516322058E-2</v>
          </cell>
          <cell r="D709">
            <v>-4.7252100764160546E-3</v>
          </cell>
          <cell r="E709">
            <v>7.0012090126396934E-2</v>
          </cell>
          <cell r="F709">
            <v>4.9908086981022934E-2</v>
          </cell>
          <cell r="G709">
            <v>7.6141602381533405E-2</v>
          </cell>
          <cell r="H709">
            <v>-1.5717406910292012E-3</v>
          </cell>
          <cell r="I709">
            <v>-1.0156709984075266E-3</v>
          </cell>
          <cell r="J709">
            <v>3.4997892319917505E-2</v>
          </cell>
          <cell r="M709">
            <v>-5.1371351312238252E-2</v>
          </cell>
          <cell r="N709">
            <v>2.2145462454071209E-2</v>
          </cell>
          <cell r="O709">
            <v>-3.4170037925355667E-2</v>
          </cell>
          <cell r="P709">
            <v>0.10408122365430753</v>
          </cell>
          <cell r="Q709">
            <v>-9.6378809869376025E-2</v>
          </cell>
          <cell r="R709">
            <v>-0.45626995145254329</v>
          </cell>
          <cell r="S709">
            <v>7.328163930490017E-3</v>
          </cell>
          <cell r="T709">
            <v>-7.209075721723493E-2</v>
          </cell>
        </row>
        <row r="710">
          <cell r="B710" t="str">
            <v>FY(2)</v>
          </cell>
          <cell r="C710">
            <v>-3.3775957382118672E-4</v>
          </cell>
          <cell r="D710">
            <v>-4.6722050546297397E-2</v>
          </cell>
          <cell r="E710">
            <v>2.6498173794114357E-2</v>
          </cell>
          <cell r="F710">
            <v>9.0583050935113402E-2</v>
          </cell>
          <cell r="G710">
            <v>3.2021143403546531E-2</v>
          </cell>
          <cell r="H710">
            <v>0.14869882704858928</v>
          </cell>
          <cell r="I710">
            <v>1.3563390182504041E-2</v>
          </cell>
          <cell r="J710">
            <v>3.7757825034821287E-2</v>
          </cell>
          <cell r="M710">
            <v>0.27900956046592085</v>
          </cell>
          <cell r="N710">
            <v>-0.1703337061459759</v>
          </cell>
          <cell r="O710">
            <v>2.5533380962232337E-2</v>
          </cell>
          <cell r="P710">
            <v>0.16465079136715458</v>
          </cell>
          <cell r="Q710">
            <v>9.6338327596679513E-2</v>
          </cell>
          <cell r="R710">
            <v>0.27343220338983054</v>
          </cell>
          <cell r="S710">
            <v>9.1436771694668961E-2</v>
          </cell>
          <cell r="T710">
            <v>0.10858104704721584</v>
          </cell>
        </row>
        <row r="711">
          <cell r="B711" t="str">
            <v>FY(1)</v>
          </cell>
          <cell r="C711">
            <v>6.9031012317990637E-2</v>
          </cell>
          <cell r="D711">
            <v>4.1208251907913399E-2</v>
          </cell>
          <cell r="E711">
            <v>7.1885686716152558E-3</v>
          </cell>
          <cell r="F711">
            <v>6.0835338562304914E-3</v>
          </cell>
          <cell r="G711">
            <v>8.6464540195189732E-2</v>
          </cell>
          <cell r="H711">
            <v>0.214147427488349</v>
          </cell>
          <cell r="I711">
            <v>6.8032782451344309E-2</v>
          </cell>
          <cell r="J711">
            <v>7.0308016698376122E-2</v>
          </cell>
          <cell r="M711">
            <v>-0.18693528678396454</v>
          </cell>
          <cell r="N711">
            <v>0.25268561101034176</v>
          </cell>
          <cell r="O711">
            <v>-2.8635683166373813E-2</v>
          </cell>
          <cell r="P711">
            <v>0.18489511202136202</v>
          </cell>
          <cell r="Q711">
            <v>-7.8611211573236917E-2</v>
          </cell>
          <cell r="R711">
            <v>2.1599926344653575E-2</v>
          </cell>
          <cell r="S711">
            <v>0.23020420657705193</v>
          </cell>
          <cell r="T711">
            <v>5.6457524918547719E-2</v>
          </cell>
        </row>
        <row r="712">
          <cell r="B712" t="str">
            <v>FY0</v>
          </cell>
          <cell r="C712">
            <v>4.0263149723217484E-2</v>
          </cell>
          <cell r="D712">
            <v>2.1590798269081543E-2</v>
          </cell>
          <cell r="E712">
            <v>-1.8771445171047403E-2</v>
          </cell>
          <cell r="F712">
            <v>1.8747962976605061E-2</v>
          </cell>
          <cell r="G712">
            <v>-4.0819224619853295E-2</v>
          </cell>
          <cell r="H712">
            <v>0.12128599911234253</v>
          </cell>
          <cell r="I712">
            <v>0.12204341768520897</v>
          </cell>
          <cell r="J712">
            <v>3.7762951139364988E-2</v>
          </cell>
          <cell r="M712">
            <v>-5.4873038040751304E-2</v>
          </cell>
          <cell r="N712">
            <v>9.4532305008133824E-2</v>
          </cell>
          <cell r="O712">
            <v>-0.13003070225556915</v>
          </cell>
          <cell r="P712">
            <v>4.3981499487722397E-2</v>
          </cell>
          <cell r="Q712">
            <v>-2.8376240839865553E-2</v>
          </cell>
          <cell r="R712">
            <v>8.7525402527508067E-2</v>
          </cell>
          <cell r="S712">
            <v>-1.2583025527034417E-2</v>
          </cell>
          <cell r="T712">
            <v>2.5171480020552993E-5</v>
          </cell>
        </row>
        <row r="713">
          <cell r="B713" t="str">
            <v>FY1</v>
          </cell>
          <cell r="C713">
            <v>3.8189580671070554E-2</v>
          </cell>
          <cell r="D713">
            <v>-5.5057896267013295E-2</v>
          </cell>
          <cell r="E713">
            <v>2.4258000180453758E-2</v>
          </cell>
          <cell r="F713">
            <v>6.2896131621855561E-2</v>
          </cell>
          <cell r="G713">
            <v>1.9853019004442134E-2</v>
          </cell>
          <cell r="H713">
            <v>0.13802114106915758</v>
          </cell>
          <cell r="I713">
            <v>4.8249392988002279E-2</v>
          </cell>
          <cell r="J713">
            <v>3.9487052752566934E-2</v>
          </cell>
          <cell r="M713">
            <v>0.15522199481682566</v>
          </cell>
          <cell r="N713">
            <v>1.6591947791695233E-3</v>
          </cell>
          <cell r="O713">
            <v>7.6484708422973127E-3</v>
          </cell>
          <cell r="P713">
            <v>5.6873403718557966E-2</v>
          </cell>
          <cell r="Q713">
            <v>-6.3855583503323071E-2</v>
          </cell>
          <cell r="R713">
            <v>4.4144378659531358E-2</v>
          </cell>
          <cell r="S713">
            <v>8.181051279234966E-2</v>
          </cell>
          <cell r="T713">
            <v>4.0500338872201204E-2</v>
          </cell>
        </row>
        <row r="714">
          <cell r="B714" t="str">
            <v>FY2</v>
          </cell>
          <cell r="C714">
            <v>2.1490519860966825E-3</v>
          </cell>
          <cell r="D714">
            <v>-3.262096493447348E-3</v>
          </cell>
          <cell r="E714">
            <v>1.1214645863134356E-2</v>
          </cell>
          <cell r="F714">
            <v>-1.5091885937175316E-3</v>
          </cell>
          <cell r="G714">
            <v>1.8434894040271859E-2</v>
          </cell>
          <cell r="H714">
            <v>2.7145373422706714E-2</v>
          </cell>
          <cell r="I714">
            <v>6.5374871362255775E-3</v>
          </cell>
          <cell r="J714">
            <v>8.6728810516100447E-3</v>
          </cell>
          <cell r="M714">
            <v>3.4740861372141343E-2</v>
          </cell>
          <cell r="N714">
            <v>-4.2749559299921913E-3</v>
          </cell>
          <cell r="O714">
            <v>2.7325415360554849E-2</v>
          </cell>
          <cell r="P714">
            <v>2.8068660833444135E-2</v>
          </cell>
          <cell r="Q714">
            <v>-1.3816588614358919E-2</v>
          </cell>
          <cell r="R714">
            <v>1.7198619622447973E-2</v>
          </cell>
          <cell r="S714">
            <v>5.1605746186286147E-2</v>
          </cell>
          <cell r="T714">
            <v>2.0121108404360481E-2</v>
          </cell>
        </row>
        <row r="716">
          <cell r="B716" t="str">
            <v>SG&amp;A per Sq Foot</v>
          </cell>
          <cell r="M716">
            <v>2008</v>
          </cell>
          <cell r="N716">
            <v>2009</v>
          </cell>
          <cell r="O716" t="str">
            <v>2010E</v>
          </cell>
          <cell r="Z716">
            <v>2008</v>
          </cell>
          <cell r="AA716">
            <v>2009</v>
          </cell>
          <cell r="AB716" t="str">
            <v>2010E</v>
          </cell>
        </row>
        <row r="717">
          <cell r="B717" t="str">
            <v>FY(2)</v>
          </cell>
          <cell r="C717">
            <v>52.896736253201503</v>
          </cell>
          <cell r="D717">
            <v>54.68105065666041</v>
          </cell>
          <cell r="E717">
            <v>55.200986054555663</v>
          </cell>
          <cell r="F717">
            <v>116.0395357985838</v>
          </cell>
          <cell r="G717">
            <v>107.16633806833863</v>
          </cell>
          <cell r="H717">
            <v>44.355497630331755</v>
          </cell>
          <cell r="I717">
            <v>39.693848600778857</v>
          </cell>
          <cell r="K717">
            <v>55.197959773596573</v>
          </cell>
          <cell r="M717">
            <v>234.55881150333923</v>
          </cell>
          <cell r="N717">
            <v>117.81253428199783</v>
          </cell>
          <cell r="O717">
            <v>125.25192944504418</v>
          </cell>
          <cell r="P717">
            <v>841.18741375408399</v>
          </cell>
          <cell r="Q717">
            <v>109.72222222222223</v>
          </cell>
          <cell r="R717">
            <v>252.39239646978953</v>
          </cell>
          <cell r="S717">
            <v>121.88537141352623</v>
          </cell>
          <cell r="U717">
            <v>158.71709387982401</v>
          </cell>
        </row>
        <row r="718">
          <cell r="B718" t="str">
            <v>FY(1)</v>
          </cell>
          <cell r="C718">
            <v>52.485891828461703</v>
          </cell>
          <cell r="D718">
            <v>53.160526907542184</v>
          </cell>
          <cell r="E718">
            <v>54.889643132953907</v>
          </cell>
          <cell r="F718">
            <v>112.69838123554675</v>
          </cell>
          <cell r="G718">
            <v>101.53403110118391</v>
          </cell>
          <cell r="H718">
            <v>46.163326249732442</v>
          </cell>
          <cell r="I718">
            <v>39.743768451555518</v>
          </cell>
          <cell r="K718">
            <v>54.489639577494366</v>
          </cell>
          <cell r="M718">
            <v>237.13353748243429</v>
          </cell>
          <cell r="N718">
            <v>123.57098885896485</v>
          </cell>
          <cell r="O718">
            <v>115.9958326004987</v>
          </cell>
          <cell r="P718">
            <v>837.50417641254148</v>
          </cell>
          <cell r="Q718">
            <v>98.708860759493675</v>
          </cell>
          <cell r="R718">
            <v>210.0189020305919</v>
          </cell>
          <cell r="S718">
            <v>123.20304255242671</v>
          </cell>
          <cell r="U718">
            <v>148.90036849942348</v>
          </cell>
        </row>
        <row r="719">
          <cell r="B719" t="str">
            <v>FY0</v>
          </cell>
          <cell r="C719">
            <v>52.859839787744271</v>
          </cell>
          <cell r="D719">
            <v>56.388587858386025</v>
          </cell>
          <cell r="E719">
            <v>52.215025906735754</v>
          </cell>
          <cell r="F719">
            <v>110.41680664740532</v>
          </cell>
          <cell r="G719">
            <v>88.533175162187149</v>
          </cell>
          <cell r="H719">
            <v>47.713628691983125</v>
          </cell>
          <cell r="I719">
            <v>40.702609626197031</v>
          </cell>
          <cell r="K719">
            <v>54.378279420653108</v>
          </cell>
          <cell r="M719">
            <v>222.50783739008537</v>
          </cell>
          <cell r="N719">
            <v>135.2132904908913</v>
          </cell>
          <cell r="O719">
            <v>118.09379313317174</v>
          </cell>
          <cell r="P719">
            <v>782.12610361811073</v>
          </cell>
          <cell r="Q719">
            <v>100.85051546391753</v>
          </cell>
          <cell r="R719">
            <v>198.15265709320406</v>
          </cell>
          <cell r="S719">
            <v>120.01618254064644</v>
          </cell>
          <cell r="U719">
            <v>148.49535433222312</v>
          </cell>
        </row>
        <row r="720">
          <cell r="B720" t="str">
            <v>FY1</v>
          </cell>
          <cell r="C720">
            <v>54.660697029543407</v>
          </cell>
          <cell r="D720">
            <v>56.330481381458142</v>
          </cell>
          <cell r="E720">
            <v>53.23223728048459</v>
          </cell>
          <cell r="F720">
            <v>111.3435621311129</v>
          </cell>
          <cell r="G720">
            <v>92.135174686125254</v>
          </cell>
          <cell r="H720">
            <v>48.868265359069312</v>
          </cell>
          <cell r="I720">
            <v>41.484965361504422</v>
          </cell>
          <cell r="K720">
            <v>55.26394523108582</v>
          </cell>
          <cell r="M720">
            <v>219.90137404078646</v>
          </cell>
          <cell r="N720">
            <v>139.38463296672333</v>
          </cell>
          <cell r="O720">
            <v>116.01069892276183</v>
          </cell>
          <cell r="P720">
            <v>771.48163062645665</v>
          </cell>
          <cell r="Q720">
            <v>105.38036877790195</v>
          </cell>
          <cell r="R720">
            <v>204.95568413596428</v>
          </cell>
          <cell r="S720">
            <v>120.49203233387102</v>
          </cell>
          <cell r="U720">
            <v>153.41770204011613</v>
          </cell>
        </row>
        <row r="721">
          <cell r="B721" t="str">
            <v>FY2</v>
          </cell>
          <cell r="C721">
            <v>56.368533000120259</v>
          </cell>
          <cell r="D721">
            <v>57.202401810027098</v>
          </cell>
          <cell r="E721">
            <v>53.550962635377644</v>
          </cell>
          <cell r="F721">
            <v>110.53303481797337</v>
          </cell>
          <cell r="G721">
            <v>93.691852969544541</v>
          </cell>
          <cell r="H721">
            <v>48.564815386543323</v>
          </cell>
          <cell r="I721">
            <v>42.183260739804915</v>
          </cell>
          <cell r="K721">
            <v>55.944695325662821</v>
          </cell>
          <cell r="M721">
            <v>218.51730193407133</v>
          </cell>
          <cell r="N721">
            <v>149.42657176224444</v>
          </cell>
          <cell r="O721">
            <v>118.29002202803564</v>
          </cell>
          <cell r="P721">
            <v>776.86874480702522</v>
          </cell>
          <cell r="Q721">
            <v>104.50149290532764</v>
          </cell>
          <cell r="R721">
            <v>208.31603147252716</v>
          </cell>
          <cell r="S721">
            <v>120.40219193875612</v>
          </cell>
          <cell r="U721">
            <v>156.06577308599788</v>
          </cell>
        </row>
        <row r="722">
          <cell r="B722" t="str">
            <v>FQ(3)</v>
          </cell>
          <cell r="C722">
            <v>12.258278483596103</v>
          </cell>
          <cell r="D722">
            <v>13.315728693249119</v>
          </cell>
          <cell r="E722">
            <v>12.66839378238342</v>
          </cell>
          <cell r="F722">
            <v>24.143877802414387</v>
          </cell>
          <cell r="G722">
            <v>20.743740500463378</v>
          </cell>
          <cell r="H722">
            <v>11.478059071729957</v>
          </cell>
          <cell r="I722">
            <v>8.9874561194191038</v>
          </cell>
          <cell r="M722">
            <v>53.097362049190771</v>
          </cell>
          <cell r="N722">
            <v>27.460815266470188</v>
          </cell>
          <cell r="O722">
            <v>24.780683022533758</v>
          </cell>
          <cell r="P722">
            <v>193.01066015097985</v>
          </cell>
          <cell r="Q722">
            <v>22.835051546391753</v>
          </cell>
          <cell r="R722">
            <v>44.191347297173692</v>
          </cell>
          <cell r="S722">
            <v>26.084056302344624</v>
          </cell>
        </row>
        <row r="723">
          <cell r="B723" t="str">
            <v>FQ(2)</v>
          </cell>
          <cell r="C723">
            <v>12.322057247818766</v>
          </cell>
          <cell r="D723">
            <v>13.189256371874976</v>
          </cell>
          <cell r="E723">
            <v>12.053108808290155</v>
          </cell>
          <cell r="F723">
            <v>27.234652511814375</v>
          </cell>
          <cell r="G723">
            <v>20.677946246524549</v>
          </cell>
          <cell r="H723">
            <v>12.074177215189874</v>
          </cell>
          <cell r="I723">
            <v>9.6699485154235703</v>
          </cell>
          <cell r="M723">
            <v>53.391359755320508</v>
          </cell>
          <cell r="N723">
            <v>29.367257266997552</v>
          </cell>
          <cell r="O723">
            <v>26.105353037910426</v>
          </cell>
          <cell r="P723">
            <v>193.78549218691313</v>
          </cell>
          <cell r="Q723">
            <v>23.530927835051546</v>
          </cell>
          <cell r="R723">
            <v>47.504436110857036</v>
          </cell>
          <cell r="S723">
            <v>29.161215385602134</v>
          </cell>
        </row>
        <row r="724">
          <cell r="B724" t="str">
            <v>FQ(1)</v>
          </cell>
          <cell r="C724">
            <v>13.100158171335272</v>
          </cell>
          <cell r="D724">
            <v>14.327507264242268</v>
          </cell>
          <cell r="E724">
            <v>13.167098445595855</v>
          </cell>
          <cell r="F724">
            <v>26.025218929875248</v>
          </cell>
          <cell r="G724">
            <v>21.69368674698794</v>
          </cell>
          <cell r="H724">
            <v>12.089071729957807</v>
          </cell>
          <cell r="I724">
            <v>10.565213133704855</v>
          </cell>
          <cell r="M724">
            <v>55.719255766534978</v>
          </cell>
          <cell r="N724">
            <v>34.195782492935429</v>
          </cell>
          <cell r="O724">
            <v>30.180083602715179</v>
          </cell>
          <cell r="P724">
            <v>193.37145980129992</v>
          </cell>
          <cell r="Q724">
            <v>26.391752577319586</v>
          </cell>
          <cell r="R724">
            <v>46.086435562059819</v>
          </cell>
          <cell r="S724">
            <v>30.684898954346391</v>
          </cell>
        </row>
        <row r="725">
          <cell r="B725" t="str">
            <v>Last Reported Q</v>
          </cell>
          <cell r="C725">
            <v>52.859839787744271</v>
          </cell>
          <cell r="D725">
            <v>56.388587858386025</v>
          </cell>
          <cell r="E725">
            <v>52.215025906735754</v>
          </cell>
          <cell r="F725">
            <v>110.41680664740532</v>
          </cell>
          <cell r="G725">
            <v>88.533175162187149</v>
          </cell>
          <cell r="H725">
            <v>47.713628691983125</v>
          </cell>
          <cell r="I725">
            <v>40.702609626197031</v>
          </cell>
          <cell r="M725">
            <v>222.50783739008537</v>
          </cell>
          <cell r="N725">
            <v>135.2132904908913</v>
          </cell>
          <cell r="O725">
            <v>118.09379313317174</v>
          </cell>
          <cell r="P725">
            <v>230.7355167035451</v>
          </cell>
          <cell r="Q725">
            <v>100.85051546391753</v>
          </cell>
          <cell r="R725">
            <v>198.15265709320406</v>
          </cell>
          <cell r="S725">
            <v>120.01618254064644</v>
          </cell>
        </row>
        <row r="727">
          <cell r="A727" t="str">
            <v>mstag:tradeAndOtherPayables</v>
          </cell>
        </row>
        <row r="728">
          <cell r="A728" t="str">
            <v>mstag:tradePayablesCurrent</v>
          </cell>
        </row>
        <row r="729">
          <cell r="B729" t="str">
            <v>Accounts Payable</v>
          </cell>
        </row>
        <row r="730">
          <cell r="B730" t="str">
            <v>FY(5)</v>
          </cell>
          <cell r="C730">
            <v>704.65499999999997</v>
          </cell>
          <cell r="D730">
            <v>2770</v>
          </cell>
          <cell r="E730">
            <v>2707</v>
          </cell>
          <cell r="F730">
            <v>482.39400000000001</v>
          </cell>
          <cell r="G730">
            <v>378.39400000000001</v>
          </cell>
          <cell r="H730">
            <v>711.56100000000004</v>
          </cell>
          <cell r="I730">
            <v>1276.0350000000001</v>
          </cell>
          <cell r="J730">
            <v>1290.0055714285716</v>
          </cell>
          <cell r="M730">
            <v>137.33699999999999</v>
          </cell>
          <cell r="N730">
            <v>44.857999999999997</v>
          </cell>
          <cell r="O730">
            <v>108.929</v>
          </cell>
          <cell r="P730">
            <v>44.771000000000001</v>
          </cell>
          <cell r="Q730">
            <v>1240</v>
          </cell>
          <cell r="R730">
            <v>496</v>
          </cell>
          <cell r="S730">
            <v>39.101999999999997</v>
          </cell>
          <cell r="T730">
            <v>301.57099999999997</v>
          </cell>
        </row>
        <row r="731">
          <cell r="B731" t="str">
            <v>FY(4)</v>
          </cell>
          <cell r="C731">
            <v>829.971</v>
          </cell>
          <cell r="D731">
            <v>2733</v>
          </cell>
          <cell r="E731">
            <v>5246</v>
          </cell>
          <cell r="F731">
            <v>540.01900000000001</v>
          </cell>
          <cell r="G731">
            <v>190.06399999999999</v>
          </cell>
          <cell r="H731">
            <v>803.39700000000005</v>
          </cell>
          <cell r="I731">
            <v>1313.472</v>
          </cell>
          <cell r="J731">
            <v>1665.1318571428571</v>
          </cell>
          <cell r="M731">
            <v>145.31299999999999</v>
          </cell>
          <cell r="N731">
            <v>57.164999999999999</v>
          </cell>
          <cell r="O731">
            <v>139.197</v>
          </cell>
          <cell r="P731">
            <v>64.984999999999999</v>
          </cell>
          <cell r="Q731">
            <v>1132</v>
          </cell>
          <cell r="R731">
            <v>534.96</v>
          </cell>
          <cell r="S731">
            <v>41.290999999999997</v>
          </cell>
          <cell r="T731">
            <v>302.13014285714286</v>
          </cell>
        </row>
        <row r="732">
          <cell r="B732" t="str">
            <v>FY(3)</v>
          </cell>
          <cell r="C732">
            <v>934.37599999999998</v>
          </cell>
          <cell r="D732">
            <v>3058</v>
          </cell>
          <cell r="E732">
            <v>4604</v>
          </cell>
          <cell r="F732">
            <v>576.79600000000005</v>
          </cell>
          <cell r="G732">
            <v>231.03800000000001</v>
          </cell>
          <cell r="H732">
            <v>1049.68</v>
          </cell>
          <cell r="I732">
            <v>1372.3520000000001</v>
          </cell>
          <cell r="J732">
            <v>1689.4631428571431</v>
          </cell>
          <cell r="M732">
            <v>128.31</v>
          </cell>
          <cell r="N732">
            <v>63.917999999999999</v>
          </cell>
          <cell r="O732">
            <v>171.15</v>
          </cell>
          <cell r="P732">
            <v>79.819000000000003</v>
          </cell>
          <cell r="Q732">
            <v>1109</v>
          </cell>
          <cell r="R732">
            <v>593</v>
          </cell>
          <cell r="S732">
            <v>58</v>
          </cell>
          <cell r="T732">
            <v>314.7424285714286</v>
          </cell>
        </row>
        <row r="733">
          <cell r="B733" t="str">
            <v>FY(2)</v>
          </cell>
          <cell r="C733">
            <v>835.98500000000001</v>
          </cell>
          <cell r="D733">
            <v>3135</v>
          </cell>
          <cell r="E733">
            <v>4127</v>
          </cell>
          <cell r="F733">
            <v>556</v>
          </cell>
          <cell r="G733">
            <v>176.84399999999999</v>
          </cell>
          <cell r="H733">
            <v>988.78700000000003</v>
          </cell>
          <cell r="I733">
            <v>1516.7539999999999</v>
          </cell>
          <cell r="J733">
            <v>1619.4814285714285</v>
          </cell>
          <cell r="M733">
            <v>151.798</v>
          </cell>
          <cell r="N733">
            <v>99.369</v>
          </cell>
          <cell r="O733">
            <v>157.928</v>
          </cell>
          <cell r="P733">
            <v>109.309</v>
          </cell>
          <cell r="Q733">
            <v>1006</v>
          </cell>
          <cell r="R733">
            <v>516.76099999999997</v>
          </cell>
          <cell r="S733">
            <v>74.02</v>
          </cell>
          <cell r="T733">
            <v>302.16928571428571</v>
          </cell>
        </row>
        <row r="734">
          <cell r="B734" t="str">
            <v>FY(1)</v>
          </cell>
          <cell r="C734">
            <v>881</v>
          </cell>
          <cell r="D734">
            <v>2794</v>
          </cell>
          <cell r="E734">
            <v>3910</v>
          </cell>
          <cell r="F734">
            <v>563</v>
          </cell>
          <cell r="G734">
            <v>90.207999999999998</v>
          </cell>
          <cell r="H734">
            <v>946.13900000000001</v>
          </cell>
          <cell r="I734">
            <v>1276.098</v>
          </cell>
          <cell r="J734">
            <v>1494.3492857142858</v>
          </cell>
          <cell r="M734">
            <v>149.75299999999999</v>
          </cell>
          <cell r="N734">
            <v>77.247</v>
          </cell>
          <cell r="O734">
            <v>152.06800000000001</v>
          </cell>
          <cell r="P734">
            <v>134.726</v>
          </cell>
          <cell r="Q734">
            <v>975</v>
          </cell>
          <cell r="R734">
            <v>493.90300000000002</v>
          </cell>
          <cell r="S734">
            <v>62.954999999999998</v>
          </cell>
          <cell r="T734">
            <v>292.23599999999999</v>
          </cell>
        </row>
        <row r="735">
          <cell r="B735" t="str">
            <v>FY0</v>
          </cell>
          <cell r="C735">
            <v>1188</v>
          </cell>
          <cell r="D735">
            <v>2856</v>
          </cell>
          <cell r="E735">
            <v>3938</v>
          </cell>
          <cell r="F735">
            <v>726</v>
          </cell>
          <cell r="G735">
            <v>101.739</v>
          </cell>
          <cell r="H735">
            <v>1136.115</v>
          </cell>
          <cell r="I735">
            <v>1507.9</v>
          </cell>
          <cell r="J735">
            <v>1636.2505714285712</v>
          </cell>
          <cell r="M735">
            <v>150.13399999999999</v>
          </cell>
          <cell r="N735">
            <v>90.85</v>
          </cell>
          <cell r="O735">
            <v>158.52600000000001</v>
          </cell>
          <cell r="P735">
            <v>103.029</v>
          </cell>
          <cell r="Q735">
            <v>1027</v>
          </cell>
          <cell r="R735">
            <v>488.45499999999998</v>
          </cell>
          <cell r="S735">
            <v>78.040999999999997</v>
          </cell>
          <cell r="T735">
            <v>299.43357142857138</v>
          </cell>
        </row>
        <row r="736">
          <cell r="B736" t="str">
            <v>FY1</v>
          </cell>
          <cell r="C736">
            <v>1269.6916071199801</v>
          </cell>
          <cell r="D736">
            <v>2892.1602847367799</v>
          </cell>
          <cell r="E736">
            <v>4118.1697470886402</v>
          </cell>
          <cell r="F736">
            <v>753.68267523087604</v>
          </cell>
          <cell r="G736">
            <v>108.63976761920701</v>
          </cell>
          <cell r="H736">
            <v>1173.2217283637401</v>
          </cell>
          <cell r="I736">
            <v>1593.30915259626</v>
          </cell>
          <cell r="J736">
            <v>1701.2678518222117</v>
          </cell>
          <cell r="M736">
            <v>141.50169895792101</v>
          </cell>
          <cell r="N736">
            <v>99.821948445322505</v>
          </cell>
          <cell r="O736">
            <v>135.073519008745</v>
          </cell>
          <cell r="P736">
            <v>104.31901523977101</v>
          </cell>
          <cell r="Q736">
            <v>1024.01699386411</v>
          </cell>
          <cell r="R736">
            <v>549.30521832310706</v>
          </cell>
          <cell r="S736">
            <v>107.28236147298099</v>
          </cell>
          <cell r="T736">
            <v>308.76010790170818</v>
          </cell>
        </row>
        <row r="737">
          <cell r="B737" t="str">
            <v>FY2</v>
          </cell>
          <cell r="C737">
            <v>1402.4585315177301</v>
          </cell>
          <cell r="D737">
            <v>2916.0701545976799</v>
          </cell>
          <cell r="E737">
            <v>4185.8680136579596</v>
          </cell>
          <cell r="F737">
            <v>796.08710155634799</v>
          </cell>
          <cell r="G737">
            <v>111.626232365036</v>
          </cell>
          <cell r="H737">
            <v>1227.77340097977</v>
          </cell>
          <cell r="I737">
            <v>1701.7828263164299</v>
          </cell>
          <cell r="J737">
            <v>1763.0951801415647</v>
          </cell>
          <cell r="M737">
            <v>146.245428790235</v>
          </cell>
          <cell r="N737">
            <v>110.33197556911</v>
          </cell>
          <cell r="O737">
            <v>142.28219595082501</v>
          </cell>
          <cell r="P737">
            <v>111.560175244902</v>
          </cell>
          <cell r="Q737">
            <v>989.89255577830295</v>
          </cell>
          <cell r="R737">
            <v>566.37945329844604</v>
          </cell>
          <cell r="S737">
            <v>125.897043188971</v>
          </cell>
          <cell r="T737">
            <v>313.22697540297031</v>
          </cell>
        </row>
        <row r="740">
          <cell r="A740" t="str">
            <v>Productivity Ratios</v>
          </cell>
        </row>
        <row r="741">
          <cell r="B741" t="str">
            <v>Sales/Ave. Sq. Ft.</v>
          </cell>
        </row>
        <row r="742">
          <cell r="B742" t="str">
            <v>FY(5)</v>
          </cell>
        </row>
        <row r="743">
          <cell r="B743" t="str">
            <v>FY(4)</v>
          </cell>
          <cell r="C743">
            <v>253.2875245433593</v>
          </cell>
          <cell r="D743">
            <v>185.30833744449927</v>
          </cell>
          <cell r="E743">
            <v>143.15856777493607</v>
          </cell>
          <cell r="F743">
            <v>395.27124760076777</v>
          </cell>
          <cell r="H743">
            <v>303.58461255065697</v>
          </cell>
          <cell r="I743">
            <v>234.50310472285295</v>
          </cell>
          <cell r="J743">
            <v>252.51889910617868</v>
          </cell>
          <cell r="M743">
            <v>476.65329315540254</v>
          </cell>
          <cell r="N743">
            <v>553.48342475357208</v>
          </cell>
          <cell r="O743">
            <v>498.67201169342724</v>
          </cell>
          <cell r="P743">
            <v>1958.0403995260501</v>
          </cell>
          <cell r="Q743">
            <v>430.72580645161293</v>
          </cell>
          <cell r="R743">
            <v>937.78488992338282</v>
          </cell>
          <cell r="S743">
            <v>565.36012422209126</v>
          </cell>
          <cell r="T743">
            <v>774.38856424650555</v>
          </cell>
          <cell r="V743">
            <v>577.11325836658148</v>
          </cell>
        </row>
        <row r="744">
          <cell r="B744" t="str">
            <v>FY(3)</v>
          </cell>
          <cell r="C744">
            <v>261.97745877527694</v>
          </cell>
          <cell r="D744">
            <v>194.6512273838631</v>
          </cell>
          <cell r="E744">
            <v>172.44245524296676</v>
          </cell>
          <cell r="F744">
            <v>429.20986199721739</v>
          </cell>
          <cell r="G744">
            <v>392.00040000000001</v>
          </cell>
          <cell r="H744">
            <v>309.79171880648482</v>
          </cell>
          <cell r="I744">
            <v>240.79131445331413</v>
          </cell>
          <cell r="J744">
            <v>285.83777666558899</v>
          </cell>
          <cell r="M744">
            <v>516.46107878597263</v>
          </cell>
          <cell r="N744">
            <v>565.34256096890169</v>
          </cell>
          <cell r="O744">
            <v>561.94145885517469</v>
          </cell>
          <cell r="P744">
            <v>2094.1925372681239</v>
          </cell>
          <cell r="Q744">
            <v>414.66145833333337</v>
          </cell>
          <cell r="R744">
            <v>1034.880418970032</v>
          </cell>
          <cell r="S744">
            <v>531.19438790314507</v>
          </cell>
          <cell r="T744">
            <v>816.95341444066901</v>
          </cell>
          <cell r="V744">
            <v>604.08022730275991</v>
          </cell>
        </row>
        <row r="745">
          <cell r="B745" t="str">
            <v>FY(2)</v>
          </cell>
          <cell r="C745">
            <v>249.13721398000695</v>
          </cell>
          <cell r="D745">
            <v>189.42231759656653</v>
          </cell>
          <cell r="E745">
            <v>169.01924133080252</v>
          </cell>
          <cell r="F745">
            <v>436.41556258651377</v>
          </cell>
          <cell r="G745">
            <v>434.15559545182526</v>
          </cell>
          <cell r="H745">
            <v>300.70011574656536</v>
          </cell>
          <cell r="I745">
            <v>243.82809310736866</v>
          </cell>
          <cell r="J745">
            <v>288.95401997137844</v>
          </cell>
          <cell r="K745">
            <v>1.0902139465754468E-2</v>
          </cell>
          <cell r="M745">
            <v>527.39215965787605</v>
          </cell>
          <cell r="N745">
            <v>569.36596937287436</v>
          </cell>
          <cell r="O745">
            <v>561.50323297893033</v>
          </cell>
          <cell r="P745">
            <v>2309.1635339591971</v>
          </cell>
          <cell r="Q745">
            <v>401.09414758269719</v>
          </cell>
          <cell r="R745">
            <v>978.20706042090967</v>
          </cell>
          <cell r="S745">
            <v>560.0572640800508</v>
          </cell>
          <cell r="T745">
            <v>843.82619543607655</v>
          </cell>
          <cell r="V745">
            <v>599.60330568222309</v>
          </cell>
          <cell r="W745">
            <v>-7.4111374916646655E-3</v>
          </cell>
        </row>
        <row r="746">
          <cell r="B746" t="str">
            <v>FY(1)</v>
          </cell>
          <cell r="C746">
            <v>226.23946549236962</v>
          </cell>
          <cell r="D746">
            <v>171.33161931310519</v>
          </cell>
          <cell r="E746">
            <v>161.08616025782069</v>
          </cell>
          <cell r="F746">
            <v>399.32570740517758</v>
          </cell>
          <cell r="G746">
            <v>403.35618655037223</v>
          </cell>
          <cell r="H746">
            <v>297.52931192660554</v>
          </cell>
          <cell r="I746">
            <v>244.3765571400719</v>
          </cell>
          <cell r="J746">
            <v>271.89214401221756</v>
          </cell>
          <cell r="K746">
            <v>-5.9047027485033432E-2</v>
          </cell>
          <cell r="M746">
            <v>461.55620321918263</v>
          </cell>
          <cell r="N746">
            <v>606.29683007311451</v>
          </cell>
          <cell r="O746">
            <v>496.5596312175204</v>
          </cell>
          <cell r="P746">
            <v>2364.8030958382346</v>
          </cell>
          <cell r="Q746">
            <v>367.28192161820476</v>
          </cell>
          <cell r="R746">
            <v>852.71093341128631</v>
          </cell>
          <cell r="S746">
            <v>587.34129849293402</v>
          </cell>
          <cell r="T746">
            <v>819.50713055292533</v>
          </cell>
          <cell r="V746">
            <v>561.95780300537376</v>
          </cell>
          <cell r="W746">
            <v>-6.2784014564457147E-2</v>
          </cell>
        </row>
        <row r="747">
          <cell r="B747" t="str">
            <v>FY0</v>
          </cell>
          <cell r="C747">
            <v>223.96797663441728</v>
          </cell>
          <cell r="D747">
            <v>159.69059484575871</v>
          </cell>
          <cell r="E747">
            <v>152.28321085542203</v>
          </cell>
          <cell r="F747">
            <v>379.56036632309514</v>
          </cell>
          <cell r="G747">
            <v>349.81129360689715</v>
          </cell>
          <cell r="H747">
            <v>311.00489177489175</v>
          </cell>
          <cell r="I747">
            <v>252.24865546942056</v>
          </cell>
          <cell r="J747">
            <v>261.22385564427179</v>
          </cell>
          <cell r="K747">
            <v>-3.923720711646006E-2</v>
          </cell>
          <cell r="M747">
            <v>375.29634138527587</v>
          </cell>
          <cell r="N747">
            <v>664.41481366723326</v>
          </cell>
          <cell r="O747">
            <v>469.76938312881236</v>
          </cell>
          <cell r="P747">
            <v>2046.6726460811669</v>
          </cell>
          <cell r="Q747">
            <v>362.6309067688378</v>
          </cell>
          <cell r="R747">
            <v>790.84035307104932</v>
          </cell>
          <cell r="S747">
            <v>546.90366330753955</v>
          </cell>
          <cell r="T747">
            <v>750.93258677284496</v>
          </cell>
          <cell r="V747">
            <v>534.97591022145798</v>
          </cell>
          <cell r="W747">
            <v>-4.801409045237115E-2</v>
          </cell>
        </row>
        <row r="748">
          <cell r="B748" t="str">
            <v>FY1</v>
          </cell>
          <cell r="C748">
            <v>232.98788437346485</v>
          </cell>
          <cell r="D748">
            <v>160.71132410829935</v>
          </cell>
          <cell r="E748">
            <v>158.68741877190834</v>
          </cell>
          <cell r="F748">
            <v>391.8289687419649</v>
          </cell>
          <cell r="G748">
            <v>363.92077385737963</v>
          </cell>
          <cell r="H748">
            <v>321.90975401001765</v>
          </cell>
          <cell r="I748">
            <v>263.52932791049108</v>
          </cell>
          <cell r="J748">
            <v>270.51077882478938</v>
          </cell>
          <cell r="K748">
            <v>3.5551589105875081E-2</v>
          </cell>
          <cell r="M748">
            <v>395.34836284270295</v>
          </cell>
          <cell r="N748">
            <v>689.78224411268457</v>
          </cell>
          <cell r="O748">
            <v>471.26119763265149</v>
          </cell>
          <cell r="P748">
            <v>1967.531611892407</v>
          </cell>
          <cell r="Q748">
            <v>366.96280945963935</v>
          </cell>
          <cell r="R748">
            <v>836.15261274183558</v>
          </cell>
          <cell r="S748">
            <v>570.6246939212491</v>
          </cell>
          <cell r="T748">
            <v>756.80907608616712</v>
          </cell>
          <cell r="V748">
            <v>555.02198678512718</v>
          </cell>
          <cell r="W748">
            <v>3.7470989217759376E-2</v>
          </cell>
        </row>
        <row r="749">
          <cell r="B749" t="str">
            <v>FY2</v>
          </cell>
          <cell r="C749">
            <v>244.17915207720719</v>
          </cell>
          <cell r="D749">
            <v>163.73484708508263</v>
          </cell>
          <cell r="E749">
            <v>159.78565538973211</v>
          </cell>
          <cell r="F749">
            <v>393.94969944487127</v>
          </cell>
          <cell r="G749">
            <v>380.50669178144102</v>
          </cell>
          <cell r="H749">
            <v>320.88863145898</v>
          </cell>
          <cell r="I749">
            <v>268.59091585605967</v>
          </cell>
          <cell r="J749">
            <v>275.94794187048194</v>
          </cell>
          <cell r="K749">
            <v>2.0099616988697555E-2</v>
          </cell>
          <cell r="M749">
            <v>404.94502377164315</v>
          </cell>
          <cell r="N749">
            <v>724.47485977030351</v>
          </cell>
          <cell r="O749">
            <v>510.34132156188548</v>
          </cell>
          <cell r="P749">
            <v>1961.5656721886198</v>
          </cell>
          <cell r="Q749">
            <v>363.46766466263972</v>
          </cell>
          <cell r="R749">
            <v>865.00671660501121</v>
          </cell>
          <cell r="S749">
            <v>580.63219499255422</v>
          </cell>
          <cell r="T749">
            <v>772.91906479323666</v>
          </cell>
          <cell r="V749">
            <v>574.8112968940062</v>
          </cell>
          <cell r="W749">
            <v>3.5655002108124334E-2</v>
          </cell>
        </row>
        <row r="751">
          <cell r="B751" t="str">
            <v>Gross Profit/Ave. Sq. Ft.</v>
          </cell>
        </row>
        <row r="752">
          <cell r="B752" t="str">
            <v>FY(5)</v>
          </cell>
        </row>
        <row r="753">
          <cell r="B753" t="str">
            <v>FY(4)</v>
          </cell>
          <cell r="C753">
            <v>89.970347356487451</v>
          </cell>
          <cell r="D753">
            <v>70.94227923038973</v>
          </cell>
          <cell r="E753">
            <v>58.29923273657289</v>
          </cell>
          <cell r="F753">
            <v>145.08452975047985</v>
          </cell>
          <cell r="G753">
            <v>136.46666666666664</v>
          </cell>
          <cell r="H753">
            <v>67.026157435834463</v>
          </cell>
          <cell r="I753">
            <v>55.088027159895049</v>
          </cell>
          <cell r="J753">
            <v>88.98246290518945</v>
          </cell>
          <cell r="M753">
            <v>319.27421437795954</v>
          </cell>
          <cell r="N753">
            <v>166.58313956654604</v>
          </cell>
          <cell r="O753">
            <v>231.0768377663681</v>
          </cell>
          <cell r="P753">
            <v>1502.6397383911672</v>
          </cell>
          <cell r="Q753">
            <v>157.7956989247312</v>
          </cell>
          <cell r="R753">
            <v>334.6084763844438</v>
          </cell>
          <cell r="S753">
            <v>232.23360338023238</v>
          </cell>
          <cell r="T753">
            <v>420.60167268449266</v>
          </cell>
        </row>
        <row r="754">
          <cell r="B754" t="str">
            <v>FY(3)</v>
          </cell>
          <cell r="C754">
            <v>95.267906069825671</v>
          </cell>
          <cell r="D754">
            <v>76.371638141809285</v>
          </cell>
          <cell r="E754">
            <v>70.019181585677757</v>
          </cell>
          <cell r="F754">
            <v>160.77757862147632</v>
          </cell>
          <cell r="G754">
            <v>151.42786666666669</v>
          </cell>
          <cell r="H754">
            <v>69.66897472261617</v>
          </cell>
          <cell r="I754">
            <v>57.98112920407852</v>
          </cell>
          <cell r="J754">
            <v>97.359182144592936</v>
          </cell>
          <cell r="M754">
            <v>346.07123761597734</v>
          </cell>
          <cell r="N754">
            <v>179.22561868996246</v>
          </cell>
          <cell r="O754">
            <v>269.55346470462376</v>
          </cell>
          <cell r="P754">
            <v>1627.5069833991522</v>
          </cell>
          <cell r="Q754">
            <v>147.31770833333331</v>
          </cell>
          <cell r="R754">
            <v>389.24565997478419</v>
          </cell>
          <cell r="S754">
            <v>196.01091433823262</v>
          </cell>
          <cell r="T754">
            <v>450.70451243658084</v>
          </cell>
        </row>
        <row r="755">
          <cell r="B755" t="str">
            <v>FY(2)</v>
          </cell>
          <cell r="C755">
            <v>90.953223537951999</v>
          </cell>
          <cell r="D755">
            <v>73.104434907010017</v>
          </cell>
          <cell r="E755">
            <v>68.319410587710081</v>
          </cell>
          <cell r="F755">
            <v>163.22107969151674</v>
          </cell>
          <cell r="G755">
            <v>169.377219230002</v>
          </cell>
          <cell r="H755">
            <v>68.290070957677031</v>
          </cell>
          <cell r="I755">
            <v>59.719483750821425</v>
          </cell>
          <cell r="J755">
            <v>98.997846094669882</v>
          </cell>
          <cell r="M755">
            <v>354.69223093371352</v>
          </cell>
          <cell r="N755">
            <v>196.18126545750619</v>
          </cell>
          <cell r="O755">
            <v>261.53420790247395</v>
          </cell>
          <cell r="P755">
            <v>1788.1279152299524</v>
          </cell>
          <cell r="Q755">
            <v>144.88549618320613</v>
          </cell>
          <cell r="R755">
            <v>335.9071864998545</v>
          </cell>
          <cell r="S755">
            <v>214.24700297798475</v>
          </cell>
          <cell r="T755">
            <v>470.79647216924167</v>
          </cell>
        </row>
        <row r="756">
          <cell r="B756" t="str">
            <v>FY(1)</v>
          </cell>
          <cell r="C756">
            <v>83.589801285192706</v>
          </cell>
          <cell r="D756">
            <v>64.097109304426311</v>
          </cell>
          <cell r="E756">
            <v>63.956874571269559</v>
          </cell>
          <cell r="F756">
            <v>137.8214087898856</v>
          </cell>
          <cell r="G756">
            <v>129.41795944979313</v>
          </cell>
          <cell r="H756">
            <v>70.163440366972495</v>
          </cell>
          <cell r="I756">
            <v>58.875923717719836</v>
          </cell>
          <cell r="J756">
            <v>86.846073926465664</v>
          </cell>
          <cell r="M756">
            <v>308.81565874014706</v>
          </cell>
          <cell r="N756">
            <v>210.35372682331408</v>
          </cell>
          <cell r="O756">
            <v>195.05588050073356</v>
          </cell>
          <cell r="P756">
            <v>1789.6131727137602</v>
          </cell>
          <cell r="Q756">
            <v>137.724399494311</v>
          </cell>
          <cell r="R756">
            <v>283.49789950634846</v>
          </cell>
          <cell r="S756">
            <v>228.41544941025407</v>
          </cell>
          <cell r="T756">
            <v>450.49659816983831</v>
          </cell>
        </row>
        <row r="757">
          <cell r="B757" t="str">
            <v>FY0</v>
          </cell>
          <cell r="C757">
            <v>84.713276136334002</v>
          </cell>
          <cell r="D757">
            <v>62.848543174558898</v>
          </cell>
          <cell r="E757">
            <v>61.69385816766129</v>
          </cell>
          <cell r="F757">
            <v>134.67084927666127</v>
          </cell>
          <cell r="G757">
            <v>127.57838539091584</v>
          </cell>
          <cell r="H757">
            <v>80.386796536796524</v>
          </cell>
          <cell r="I757">
            <v>66.144384006341227</v>
          </cell>
          <cell r="J757">
            <v>88.290870384181289</v>
          </cell>
          <cell r="M757">
            <v>241.37835586595756</v>
          </cell>
          <cell r="N757">
            <v>253.1053971479177</v>
          </cell>
          <cell r="O757">
            <v>181.91715913869484</v>
          </cell>
          <cell r="P757">
            <v>1471.4964997376783</v>
          </cell>
          <cell r="Q757">
            <v>146.20689655172413</v>
          </cell>
          <cell r="R757">
            <v>277.40821664307668</v>
          </cell>
          <cell r="S757">
            <v>221.87132434773477</v>
          </cell>
          <cell r="T757">
            <v>399.05483563325481</v>
          </cell>
        </row>
        <row r="758">
          <cell r="B758" t="str">
            <v>FY1</v>
          </cell>
          <cell r="C758">
            <v>89.441866664750805</v>
          </cell>
          <cell r="D758">
            <v>63.650239246080858</v>
          </cell>
          <cell r="E758">
            <v>64.649536084434075</v>
          </cell>
          <cell r="F758">
            <v>142.51297101066149</v>
          </cell>
          <cell r="G758">
            <v>138.56135541811679</v>
          </cell>
          <cell r="H758">
            <v>85.196708669039481</v>
          </cell>
          <cell r="I758">
            <v>70.318331251795755</v>
          </cell>
          <cell r="J758">
            <v>93.475858334982746</v>
          </cell>
          <cell r="M758">
            <v>254.11165435640649</v>
          </cell>
          <cell r="N758">
            <v>263.95313541078667</v>
          </cell>
          <cell r="O758">
            <v>199.76427781995659</v>
          </cell>
          <cell r="P758">
            <v>1423.9245515610419</v>
          </cell>
          <cell r="Q758">
            <v>150.411207625456</v>
          </cell>
          <cell r="R758">
            <v>301.09415930361337</v>
          </cell>
          <cell r="S758">
            <v>235.83035087439166</v>
          </cell>
          <cell r="T758">
            <v>404.15561956452171</v>
          </cell>
        </row>
        <row r="759">
          <cell r="B759" t="str">
            <v>FY2</v>
          </cell>
          <cell r="C759">
            <v>94.470626975915735</v>
          </cell>
          <cell r="D759">
            <v>65.17518498561455</v>
          </cell>
          <cell r="E759">
            <v>65.256745287340706</v>
          </cell>
          <cell r="F759">
            <v>143.6782563113386</v>
          </cell>
          <cell r="G759">
            <v>149.54497462907122</v>
          </cell>
          <cell r="H759">
            <v>84.926458142572343</v>
          </cell>
          <cell r="I759">
            <v>71.266043768232706</v>
          </cell>
          <cell r="J759">
            <v>96.331184300012268</v>
          </cell>
          <cell r="M759">
            <v>263.45795421699074</v>
          </cell>
          <cell r="N759">
            <v>268.96338053982186</v>
          </cell>
          <cell r="O759">
            <v>220.15043447163885</v>
          </cell>
          <cell r="P759">
            <v>1419.6069345194633</v>
          </cell>
          <cell r="Q759">
            <v>150.06901599080251</v>
          </cell>
          <cell r="R759">
            <v>315.80940397101631</v>
          </cell>
          <cell r="S759">
            <v>241.70819270352629</v>
          </cell>
          <cell r="T759">
            <v>411.39504520189433</v>
          </cell>
        </row>
        <row r="760">
          <cell r="L760">
            <v>2006</v>
          </cell>
          <cell r="M760">
            <v>2007</v>
          </cell>
          <cell r="N760">
            <v>2008</v>
          </cell>
          <cell r="O760">
            <v>2009</v>
          </cell>
          <cell r="P760" t="str">
            <v>2010E</v>
          </cell>
          <cell r="Q760" t="str">
            <v>2011E</v>
          </cell>
          <cell r="Y760">
            <v>2006</v>
          </cell>
          <cell r="Z760">
            <v>2007</v>
          </cell>
          <cell r="AA760">
            <v>2008</v>
          </cell>
          <cell r="AB760">
            <v>2009</v>
          </cell>
          <cell r="AC760" t="str">
            <v>2010E</v>
          </cell>
          <cell r="AD760" t="str">
            <v>2011E</v>
          </cell>
        </row>
        <row r="761">
          <cell r="B761" t="str">
            <v>SG&amp;A/Ave. Sq. Ft.</v>
          </cell>
        </row>
        <row r="762">
          <cell r="B762" t="str">
            <v>FY(5)</v>
          </cell>
        </row>
        <row r="763">
          <cell r="B763" t="str">
            <v>FY(4)</v>
          </cell>
          <cell r="C763">
            <v>56.00704205162176</v>
          </cell>
          <cell r="D763">
            <v>55.392205229403061</v>
          </cell>
          <cell r="E763">
            <v>44.629156010230183</v>
          </cell>
          <cell r="F763">
            <v>107.51969289827257</v>
          </cell>
          <cell r="G763">
            <v>106.87679102827374</v>
          </cell>
          <cell r="H763">
            <v>47.043104506938469</v>
          </cell>
          <cell r="I763">
            <v>39.524716547395336</v>
          </cell>
          <cell r="J763">
            <v>65.284672610305023</v>
          </cell>
          <cell r="M763">
            <v>218.41256995264743</v>
          </cell>
          <cell r="N763">
            <v>104.34292665631251</v>
          </cell>
          <cell r="O763">
            <v>116.46501475101104</v>
          </cell>
          <cell r="P763">
            <v>867.63254557082882</v>
          </cell>
          <cell r="Q763">
            <v>112.5</v>
          </cell>
          <cell r="R763">
            <v>241.87285423334305</v>
          </cell>
          <cell r="S763">
            <v>125.54061794744167</v>
          </cell>
          <cell r="T763">
            <v>255.25236130165493</v>
          </cell>
        </row>
        <row r="764">
          <cell r="B764" t="str">
            <v>FY(3)</v>
          </cell>
          <cell r="C764">
            <v>57.411944663898744</v>
          </cell>
          <cell r="D764">
            <v>58.063569682151588</v>
          </cell>
          <cell r="E764">
            <v>55.485933503836314</v>
          </cell>
          <cell r="F764">
            <v>115.15839610934933</v>
          </cell>
          <cell r="G764">
            <v>99.98234510535373</v>
          </cell>
          <cell r="H764">
            <v>47.998275910013625</v>
          </cell>
          <cell r="I764">
            <v>40.350299525463122</v>
          </cell>
          <cell r="J764">
            <v>67.778680642866632</v>
          </cell>
          <cell r="M764">
            <v>237.877181946847</v>
          </cell>
          <cell r="N764">
            <v>115.90657018986992</v>
          </cell>
          <cell r="O764">
            <v>133.85018750090495</v>
          </cell>
          <cell r="P764">
            <v>892.04303236676367</v>
          </cell>
          <cell r="Q764">
            <v>116.58854166666667</v>
          </cell>
          <cell r="R764">
            <v>275.18446319464653</v>
          </cell>
          <cell r="S764">
            <v>124.8842487674527</v>
          </cell>
          <cell r="T764">
            <v>270.90488937616448</v>
          </cell>
        </row>
        <row r="765">
          <cell r="B765" t="str">
            <v>FY(2)</v>
          </cell>
          <cell r="C765">
            <v>55.909441495394944</v>
          </cell>
          <cell r="D765">
            <v>55.593705293276109</v>
          </cell>
          <cell r="E765">
            <v>54.945866694929677</v>
          </cell>
          <cell r="F765">
            <v>116.65908641487049</v>
          </cell>
          <cell r="G765">
            <v>107.44424798154198</v>
          </cell>
          <cell r="H765">
            <v>47.098837501887168</v>
          </cell>
          <cell r="I765">
            <v>40.335940615417101</v>
          </cell>
          <cell r="J765">
            <v>68.283875142473917</v>
          </cell>
          <cell r="M765">
            <v>245.32544547398433</v>
          </cell>
          <cell r="N765">
            <v>124.36313366110349</v>
          </cell>
          <cell r="O765">
            <v>131.4307079198864</v>
          </cell>
          <cell r="P765">
            <v>910.05910674304778</v>
          </cell>
          <cell r="Q765">
            <v>110.55979643765903</v>
          </cell>
          <cell r="R765">
            <v>252.39239646978956</v>
          </cell>
          <cell r="S765">
            <v>130.68921569829229</v>
          </cell>
          <cell r="T765">
            <v>272.11711462910898</v>
          </cell>
        </row>
        <row r="766">
          <cell r="B766" t="str">
            <v>FY(1)</v>
          </cell>
          <cell r="C766">
            <v>54.334550424141192</v>
          </cell>
          <cell r="D766">
            <v>53.800422138836723</v>
          </cell>
          <cell r="E766">
            <v>54.735125480501665</v>
          </cell>
          <cell r="F766">
            <v>115.01341360626128</v>
          </cell>
          <cell r="G766">
            <v>101.39981901082912</v>
          </cell>
          <cell r="H766">
            <v>47.645634890778894</v>
          </cell>
          <cell r="I766">
            <v>40.422041776999137</v>
          </cell>
          <cell r="J766">
            <v>66.764429618335427</v>
          </cell>
          <cell r="M766">
            <v>243.77773741321985</v>
          </cell>
          <cell r="N766">
            <v>130.51261224586915</v>
          </cell>
          <cell r="O766">
            <v>121.95297613020131</v>
          </cell>
          <cell r="P766">
            <v>912.8896789346926</v>
          </cell>
          <cell r="Q766">
            <v>98.584070796460168</v>
          </cell>
          <cell r="R766">
            <v>215.83446884149876</v>
          </cell>
          <cell r="S766">
            <v>132.55323628783208</v>
          </cell>
          <cell r="T766">
            <v>265.15782580711056</v>
          </cell>
        </row>
        <row r="767">
          <cell r="B767" t="str">
            <v>FY0</v>
          </cell>
          <cell r="C767">
            <v>54.032910005997856</v>
          </cell>
          <cell r="D767">
            <v>56.772880824254223</v>
          </cell>
          <cell r="E767">
            <v>52.267327085717248</v>
          </cell>
          <cell r="F767">
            <v>113.29817183173039</v>
          </cell>
          <cell r="G767">
            <v>88.379605972524715</v>
          </cell>
          <cell r="H767">
            <v>48.952943722943722</v>
          </cell>
          <cell r="I767">
            <v>41.389159668084687</v>
          </cell>
          <cell r="J767">
            <v>65.013285587321832</v>
          </cell>
          <cell r="M767">
            <v>223.74818991478182</v>
          </cell>
          <cell r="N767">
            <v>138.10894996119467</v>
          </cell>
          <cell r="O767">
            <v>118.79586171124691</v>
          </cell>
          <cell r="P767">
            <v>837.76738647087723</v>
          </cell>
          <cell r="Q767">
            <v>99.94891443167306</v>
          </cell>
          <cell r="R767">
            <v>198.46761301434174</v>
          </cell>
          <cell r="S767">
            <v>126.20089584829444</v>
          </cell>
          <cell r="T767">
            <v>249.00540162177285</v>
          </cell>
        </row>
        <row r="768">
          <cell r="B768" t="str">
            <v>FY1</v>
          </cell>
          <cell r="C768">
            <v>55.348580166865275</v>
          </cell>
          <cell r="D768">
            <v>56.381275323190636</v>
          </cell>
          <cell r="E768">
            <v>53.326011039639944</v>
          </cell>
          <cell r="F768">
            <v>113.63839445500386</v>
          </cell>
          <cell r="G768">
            <v>92.492419639671866</v>
          </cell>
          <cell r="H768">
            <v>49.961621490643836</v>
          </cell>
          <cell r="I768">
            <v>42.430828483391224</v>
          </cell>
          <cell r="J768">
            <v>66.225590085486672</v>
          </cell>
          <cell r="M768">
            <v>224.104307425526</v>
          </cell>
          <cell r="N768">
            <v>143.13736750927575</v>
          </cell>
          <cell r="O768">
            <v>114.88595930240508</v>
          </cell>
          <cell r="P768">
            <v>804.68729077882745</v>
          </cell>
          <cell r="Q768">
            <v>104.02768504250595</v>
          </cell>
          <cell r="R768">
            <v>204.26032967175414</v>
          </cell>
          <cell r="S768">
            <v>127.70898912929687</v>
          </cell>
          <cell r="T768">
            <v>246.11598983708447</v>
          </cell>
        </row>
        <row r="769">
          <cell r="B769" t="str">
            <v>FY2</v>
          </cell>
          <cell r="C769">
            <v>57.518818378727502</v>
          </cell>
          <cell r="D769">
            <v>57.330946533195807</v>
          </cell>
          <cell r="E769">
            <v>53.535281598406499</v>
          </cell>
          <cell r="F769">
            <v>112.74721576913295</v>
          </cell>
          <cell r="G769">
            <v>95.574639597660976</v>
          </cell>
          <cell r="H769">
            <v>49.803139376464415</v>
          </cell>
          <cell r="I769">
            <v>43.111498751194262</v>
          </cell>
          <cell r="J769">
            <v>67.088791429254613</v>
          </cell>
          <cell r="M769">
            <v>225.90442975327224</v>
          </cell>
          <cell r="N769">
            <v>156.45874830429116</v>
          </cell>
          <cell r="O769">
            <v>121.86615690934654</v>
          </cell>
          <cell r="P769">
            <v>798.32419057795209</v>
          </cell>
          <cell r="Q769">
            <v>102.67340356034649</v>
          </cell>
          <cell r="R769">
            <v>209.66028850840351</v>
          </cell>
          <cell r="S769">
            <v>126.98749949091251</v>
          </cell>
          <cell r="T769">
            <v>248.83924530064638</v>
          </cell>
        </row>
        <row r="771">
          <cell r="B771" t="str">
            <v>Capex/Ave. Sq. Ft.</v>
          </cell>
        </row>
        <row r="772">
          <cell r="B772" t="str">
            <v>FY(5)</v>
          </cell>
        </row>
        <row r="773">
          <cell r="B773" t="str">
            <v>FY(4)</v>
          </cell>
          <cell r="C773">
            <v>15.650127041585197</v>
          </cell>
          <cell r="D773">
            <v>5.2787370498273312</v>
          </cell>
          <cell r="E773">
            <v>4.1943734015345262</v>
          </cell>
          <cell r="F773">
            <v>13.904491362763915</v>
          </cell>
          <cell r="G773">
            <v>17.349866666666664</v>
          </cell>
          <cell r="H773">
            <v>10.797678988087929</v>
          </cell>
          <cell r="I773">
            <v>7.2889045655959963</v>
          </cell>
          <cell r="J773">
            <v>10.637739868008794</v>
          </cell>
          <cell r="M773">
            <v>44.15359448988378</v>
          </cell>
          <cell r="N773">
            <v>26.787956747898207</v>
          </cell>
          <cell r="O773">
            <v>17.51286592697922</v>
          </cell>
          <cell r="P773">
            <v>112.13568379804623</v>
          </cell>
          <cell r="Q773">
            <v>16.129032258064516</v>
          </cell>
          <cell r="R773">
            <v>46.552225778295025</v>
          </cell>
          <cell r="S773">
            <v>66.123052655909831</v>
          </cell>
          <cell r="T773">
            <v>47.056344522153829</v>
          </cell>
        </row>
        <row r="774">
          <cell r="B774" t="str">
            <v>FY(3)</v>
          </cell>
          <cell r="C774">
            <v>19.550721957943221</v>
          </cell>
          <cell r="D774">
            <v>7.5501222493887532</v>
          </cell>
          <cell r="E774">
            <v>8.9002557544757028</v>
          </cell>
          <cell r="F774">
            <v>13.258144169664458</v>
          </cell>
          <cell r="G774">
            <v>16.490533333333335</v>
          </cell>
          <cell r="H774">
            <v>12.45543783543283</v>
          </cell>
          <cell r="I774">
            <v>5.2297422559178761</v>
          </cell>
          <cell r="J774">
            <v>11.919279650879451</v>
          </cell>
          <cell r="M774">
            <v>63.449598993552442</v>
          </cell>
          <cell r="N774">
            <v>17.981488056245905</v>
          </cell>
          <cell r="O774">
            <v>45.435185497999505</v>
          </cell>
          <cell r="P774">
            <v>137.7643293126859</v>
          </cell>
          <cell r="Q774">
            <v>14.895833333333334</v>
          </cell>
          <cell r="R774">
            <v>53.147124430220153</v>
          </cell>
          <cell r="S774">
            <v>91.962971749976475</v>
          </cell>
          <cell r="T774">
            <v>60.662361624859102</v>
          </cell>
        </row>
        <row r="775">
          <cell r="B775" t="str">
            <v>FY(2)</v>
          </cell>
          <cell r="C775">
            <v>23.315381939718403</v>
          </cell>
          <cell r="D775">
            <v>11.855030996661897</v>
          </cell>
          <cell r="E775">
            <v>7.0978703177340767</v>
          </cell>
          <cell r="F775">
            <v>24.767648803638519</v>
          </cell>
          <cell r="G775">
            <v>18.18285790278609</v>
          </cell>
          <cell r="H775">
            <v>11.882693372251019</v>
          </cell>
          <cell r="I775">
            <v>7.0074797050669178</v>
          </cell>
          <cell r="J775">
            <v>14.872709005408135</v>
          </cell>
          <cell r="M775">
            <v>57.497505345687813</v>
          </cell>
          <cell r="N775">
            <v>29.600011795985552</v>
          </cell>
          <cell r="O775">
            <v>46.018022425256582</v>
          </cell>
          <cell r="P775">
            <v>124.51749822997978</v>
          </cell>
          <cell r="Q775">
            <v>17.353689567430024</v>
          </cell>
          <cell r="R775">
            <v>72.640868974881201</v>
          </cell>
          <cell r="S775">
            <v>42.855195352011023</v>
          </cell>
          <cell r="T775">
            <v>55.783255955890283</v>
          </cell>
        </row>
        <row r="776">
          <cell r="B776" t="str">
            <v>FY(1)</v>
          </cell>
          <cell r="C776">
            <v>13.997694659755247</v>
          </cell>
          <cell r="D776">
            <v>8.980638941004786</v>
          </cell>
          <cell r="E776">
            <v>5.8048483750307396</v>
          </cell>
          <cell r="F776">
            <v>27.116195063214931</v>
          </cell>
          <cell r="G776">
            <v>16.908512704055976</v>
          </cell>
          <cell r="H776">
            <v>10.294403669724771</v>
          </cell>
          <cell r="I776">
            <v>7.4978224541521676</v>
          </cell>
          <cell r="J776">
            <v>12.942873695276946</v>
          </cell>
          <cell r="M776">
            <v>48.698681857322647</v>
          </cell>
          <cell r="N776">
            <v>26.700095243791303</v>
          </cell>
          <cell r="O776">
            <v>44.082541603952585</v>
          </cell>
          <cell r="P776">
            <v>129.89939090124025</v>
          </cell>
          <cell r="Q776">
            <v>10.897597977243993</v>
          </cell>
          <cell r="R776">
            <v>45.168864601849187</v>
          </cell>
          <cell r="S776">
            <v>36.033127969569257</v>
          </cell>
          <cell r="T776">
            <v>48.782900022138456</v>
          </cell>
        </row>
        <row r="777">
          <cell r="B777" t="str">
            <v>FY0</v>
          </cell>
          <cell r="C777">
            <v>8.6838605366782282</v>
          </cell>
          <cell r="D777">
            <v>5.4571817517706718</v>
          </cell>
          <cell r="E777">
            <v>2.9822588017154472</v>
          </cell>
          <cell r="F777">
            <v>16.54658898962391</v>
          </cell>
          <cell r="G777">
            <v>9.9355514673446681</v>
          </cell>
          <cell r="H777">
            <v>6.8609090909090904</v>
          </cell>
          <cell r="I777">
            <v>5.3375383441441961</v>
          </cell>
          <cell r="J777">
            <v>7.9719841403123155</v>
          </cell>
          <cell r="M777">
            <v>22.486320240917536</v>
          </cell>
          <cell r="N777">
            <v>16.053353274770263</v>
          </cell>
          <cell r="O777">
            <v>20.015510492988312</v>
          </cell>
          <cell r="P777">
            <v>86.815132055125204</v>
          </cell>
          <cell r="Q777">
            <v>8.5312899106002558</v>
          </cell>
          <cell r="R777">
            <v>18.505540210615035</v>
          </cell>
          <cell r="S777">
            <v>33.63074150631536</v>
          </cell>
          <cell r="T777">
            <v>29.433983955904569</v>
          </cell>
        </row>
        <row r="778">
          <cell r="B778" t="str">
            <v>FY1</v>
          </cell>
          <cell r="C778">
            <v>11.431281531312116</v>
          </cell>
          <cell r="D778">
            <v>4.6606283991406849</v>
          </cell>
          <cell r="E778">
            <v>3.6536938616378576</v>
          </cell>
          <cell r="F778">
            <v>19.971528510839402</v>
          </cell>
          <cell r="G778">
            <v>10.337560270578901</v>
          </cell>
          <cell r="H778">
            <v>8.9375148013948102</v>
          </cell>
          <cell r="I778">
            <v>5.631509653744514</v>
          </cell>
          <cell r="J778">
            <v>9.2319595755211843</v>
          </cell>
          <cell r="M778">
            <v>31.581589973941607</v>
          </cell>
          <cell r="N778">
            <v>22.536174951703867</v>
          </cell>
          <cell r="O778">
            <v>16.494141917142809</v>
          </cell>
          <cell r="P778">
            <v>61.969777790835089</v>
          </cell>
          <cell r="Q778">
            <v>15.358166476343248</v>
          </cell>
          <cell r="R778">
            <v>25.08457838225512</v>
          </cell>
          <cell r="S778">
            <v>37.499583215737189</v>
          </cell>
          <cell r="T778">
            <v>30.074858958279851</v>
          </cell>
        </row>
        <row r="779">
          <cell r="B779" t="str">
            <v>FY2</v>
          </cell>
          <cell r="C779">
            <v>13.201263919776572</v>
          </cell>
          <cell r="D779">
            <v>4.9120454125524784</v>
          </cell>
          <cell r="E779">
            <v>4.5538911786073388</v>
          </cell>
          <cell r="F779">
            <v>22.455132868357687</v>
          </cell>
          <cell r="G779">
            <v>4.7563336472679971</v>
          </cell>
          <cell r="H779">
            <v>9.2300529470413881</v>
          </cell>
          <cell r="I779">
            <v>6.0082645512141291</v>
          </cell>
          <cell r="J779">
            <v>9.3024263606882265</v>
          </cell>
          <cell r="M779">
            <v>31.943254449694578</v>
          </cell>
          <cell r="N779">
            <v>23.669632448856579</v>
          </cell>
          <cell r="O779">
            <v>16.841263611542193</v>
          </cell>
          <cell r="P779">
            <v>73.551267367681376</v>
          </cell>
          <cell r="Q779">
            <v>13.81177125718035</v>
          </cell>
          <cell r="R779">
            <v>29.323727692909848</v>
          </cell>
          <cell r="S779">
            <v>38.157243361192954</v>
          </cell>
          <cell r="T779">
            <v>32.47116574129398</v>
          </cell>
        </row>
        <row r="781">
          <cell r="B781" t="str">
            <v>Inventories/Ave. Sq. Ft.</v>
          </cell>
        </row>
        <row r="782">
          <cell r="B782" t="str">
            <v>FY(5)</v>
          </cell>
        </row>
        <row r="783">
          <cell r="B783" t="str">
            <v>FY(4)</v>
          </cell>
          <cell r="C783">
            <v>42.287688567357257</v>
          </cell>
          <cell r="D783">
            <v>31.672422298963983</v>
          </cell>
          <cell r="E783">
            <v>34.904092071611259</v>
          </cell>
          <cell r="F783">
            <v>48.93041586692258</v>
          </cell>
          <cell r="G783">
            <v>107.62813333333334</v>
          </cell>
          <cell r="H783">
            <v>57.601068402308734</v>
          </cell>
          <cell r="I783">
            <v>34.770853082310062</v>
          </cell>
          <cell r="J783">
            <v>51.113524803258166</v>
          </cell>
          <cell r="M783">
            <v>62.425484287559186</v>
          </cell>
          <cell r="N783">
            <v>42.238287306109697</v>
          </cell>
          <cell r="O783">
            <v>45.258984028274867</v>
          </cell>
          <cell r="P783">
            <v>218.62261787838176</v>
          </cell>
          <cell r="Q783">
            <v>45.591397849462368</v>
          </cell>
          <cell r="R783">
            <v>112.47114731839783</v>
          </cell>
          <cell r="S783">
            <v>72.670130452349909</v>
          </cell>
          <cell r="T783">
            <v>85.611149874362226</v>
          </cell>
        </row>
        <row r="784">
          <cell r="B784" t="str">
            <v>FY(3)</v>
          </cell>
          <cell r="C784">
            <v>43.340639760636066</v>
          </cell>
          <cell r="D784">
            <v>33.251833740831295</v>
          </cell>
          <cell r="E784">
            <v>33.996163682864449</v>
          </cell>
          <cell r="F784">
            <v>50.001328637144184</v>
          </cell>
          <cell r="G784">
            <v>104.70693333333334</v>
          </cell>
          <cell r="H784">
            <v>58.492756041266929</v>
          </cell>
          <cell r="I784">
            <v>35.721268383115891</v>
          </cell>
          <cell r="J784">
            <v>51.358703368456027</v>
          </cell>
          <cell r="M784">
            <v>67.219216857996543</v>
          </cell>
          <cell r="N784">
            <v>40.594662439556153</v>
          </cell>
          <cell r="O784">
            <v>53.017469518031781</v>
          </cell>
          <cell r="P784">
            <v>240.27566037629057</v>
          </cell>
          <cell r="Q784">
            <v>46.770833333333329</v>
          </cell>
          <cell r="R784">
            <v>171.66133255746291</v>
          </cell>
          <cell r="S784">
            <v>66.962006704571621</v>
          </cell>
          <cell r="T784">
            <v>98.071597398177559</v>
          </cell>
        </row>
        <row r="785">
          <cell r="B785" t="str">
            <v>FY(2)</v>
          </cell>
          <cell r="C785">
            <v>43.188194728006899</v>
          </cell>
          <cell r="D785">
            <v>34.725798760133522</v>
          </cell>
          <cell r="E785">
            <v>32.502464984375045</v>
          </cell>
          <cell r="F785">
            <v>47.261222068420011</v>
          </cell>
          <cell r="G785">
            <v>113.99335062171687</v>
          </cell>
          <cell r="H785">
            <v>51.597554224749636</v>
          </cell>
          <cell r="I785">
            <v>36.399609060748503</v>
          </cell>
          <cell r="J785">
            <v>51.381170635450069</v>
          </cell>
          <cell r="M785">
            <v>47.49151817533857</v>
          </cell>
          <cell r="N785">
            <v>49.085685247861349</v>
          </cell>
          <cell r="O785">
            <v>52.648181378713971</v>
          </cell>
          <cell r="P785">
            <v>257.38613311789618</v>
          </cell>
          <cell r="Q785">
            <v>40.07633587786259</v>
          </cell>
          <cell r="R785">
            <v>121.29036950829212</v>
          </cell>
          <cell r="S785">
            <v>63.863044646740875</v>
          </cell>
          <cell r="T785">
            <v>90.26303827895795</v>
          </cell>
        </row>
        <row r="786">
          <cell r="B786" t="str">
            <v>FY(1)</v>
          </cell>
          <cell r="C786">
            <v>38.638606856661674</v>
          </cell>
          <cell r="D786">
            <v>30.204233548745712</v>
          </cell>
          <cell r="E786">
            <v>30.862120290436561</v>
          </cell>
          <cell r="F786">
            <v>43.347381095725467</v>
          </cell>
          <cell r="G786">
            <v>96.803875006770056</v>
          </cell>
          <cell r="H786">
            <v>40.415504587155958</v>
          </cell>
          <cell r="I786">
            <v>33.690578447862052</v>
          </cell>
          <cell r="J786">
            <v>44.851757119051065</v>
          </cell>
          <cell r="M786">
            <v>49.337219315095716</v>
          </cell>
          <cell r="N786">
            <v>40.631348648226286</v>
          </cell>
          <cell r="O786">
            <v>48.999098611832324</v>
          </cell>
          <cell r="P786">
            <v>236.7883299458334</v>
          </cell>
          <cell r="Q786">
            <v>38.078381795195952</v>
          </cell>
          <cell r="R786">
            <v>111.44780827278598</v>
          </cell>
          <cell r="S786">
            <v>54.327736712304102</v>
          </cell>
          <cell r="T786">
            <v>82.801417614467681</v>
          </cell>
        </row>
        <row r="787">
          <cell r="B787" t="str">
            <v>FY0</v>
          </cell>
          <cell r="C787">
            <v>38.112499022087775</v>
          </cell>
          <cell r="D787">
            <v>27.504196028924184</v>
          </cell>
          <cell r="E787">
            <v>29.919835586775626</v>
          </cell>
          <cell r="F787">
            <v>41.274546979672976</v>
          </cell>
          <cell r="G787">
            <v>86.489403842931324</v>
          </cell>
          <cell r="H787">
            <v>37.770476190476195</v>
          </cell>
          <cell r="I787">
            <v>31.484389352146167</v>
          </cell>
          <cell r="J787">
            <v>41.793621000430612</v>
          </cell>
          <cell r="M787">
            <v>39.808419299032487</v>
          </cell>
          <cell r="N787">
            <v>39.599343958504335</v>
          </cell>
          <cell r="O787">
            <v>51.280762386127712</v>
          </cell>
          <cell r="P787">
            <v>206.63203912686348</v>
          </cell>
          <cell r="Q787">
            <v>37.726692209450832</v>
          </cell>
          <cell r="R787">
            <v>94.960263474919032</v>
          </cell>
          <cell r="S787">
            <v>52.530906640433855</v>
          </cell>
          <cell r="T787">
            <v>74.648346727904524</v>
          </cell>
        </row>
        <row r="788">
          <cell r="B788" t="str">
            <v>FY1</v>
          </cell>
          <cell r="C788">
            <v>39.347452029995708</v>
          </cell>
          <cell r="D788">
            <v>29.356748438334701</v>
          </cell>
          <cell r="E788">
            <v>30.52408774498835</v>
          </cell>
          <cell r="F788">
            <v>40.102918192343012</v>
          </cell>
          <cell r="G788">
            <v>88.953357019349212</v>
          </cell>
          <cell r="H788">
            <v>34.435038762035724</v>
          </cell>
          <cell r="I788">
            <v>31.366907365486593</v>
          </cell>
          <cell r="J788">
            <v>42.012358507504757</v>
          </cell>
          <cell r="M788">
            <v>32.314250277819518</v>
          </cell>
          <cell r="N788">
            <v>41.192025535021067</v>
          </cell>
          <cell r="O788">
            <v>51.788879564784338</v>
          </cell>
          <cell r="P788">
            <v>194.15276857213092</v>
          </cell>
          <cell r="Q788">
            <v>40.220785229448175</v>
          </cell>
          <cell r="R788">
            <v>96.921492997836197</v>
          </cell>
          <cell r="S788">
            <v>52.092692826174805</v>
          </cell>
          <cell r="T788">
            <v>72.668985000459287</v>
          </cell>
        </row>
        <row r="789">
          <cell r="B789" t="str">
            <v>FY2</v>
          </cell>
          <cell r="C789">
            <v>40.626498868924216</v>
          </cell>
          <cell r="D789">
            <v>30.080029219039286</v>
          </cell>
          <cell r="E789">
            <v>30.424488748700757</v>
          </cell>
          <cell r="F789">
            <v>40.942278457992401</v>
          </cell>
          <cell r="G789">
            <v>90.531911795975219</v>
          </cell>
          <cell r="H789">
            <v>34.293484579602911</v>
          </cell>
          <cell r="I789">
            <v>31.764467878342945</v>
          </cell>
          <cell r="J789">
            <v>42.666165649796817</v>
          </cell>
          <cell r="M789">
            <v>31.98389582712926</v>
          </cell>
          <cell r="N789">
            <v>43.439322753006394</v>
          </cell>
          <cell r="O789">
            <v>54.5597682803675</v>
          </cell>
          <cell r="P789">
            <v>193.56405949949226</v>
          </cell>
          <cell r="Q789">
            <v>39.34285076815766</v>
          </cell>
          <cell r="R789">
            <v>97.977982331153342</v>
          </cell>
          <cell r="S789">
            <v>51.806692772736874</v>
          </cell>
          <cell r="T789">
            <v>73.239224604577615</v>
          </cell>
        </row>
        <row r="791">
          <cell r="A791" t="str">
            <v>Turnover Ratios</v>
          </cell>
        </row>
        <row r="792">
          <cell r="B792" t="str">
            <v>Inventory Turnover</v>
          </cell>
          <cell r="C792" t="str">
            <v>COGS/ Average Inventory</v>
          </cell>
        </row>
        <row r="793">
          <cell r="B793" t="str">
            <v>FY(5)</v>
          </cell>
        </row>
        <row r="794">
          <cell r="B794" t="str">
            <v>FY(4)</v>
          </cell>
          <cell r="C794">
            <v>3.5887445581823387</v>
          </cell>
          <cell r="D794">
            <v>3.5071104387291983</v>
          </cell>
          <cell r="E794">
            <v>2.4632516703786194</v>
          </cell>
          <cell r="F794">
            <v>5.0049716705396659</v>
          </cell>
          <cell r="G794">
            <v>2.2038539088848883</v>
          </cell>
          <cell r="H794">
            <v>3.8723010121518526</v>
          </cell>
          <cell r="I794">
            <v>4.9345555526362066</v>
          </cell>
          <cell r="J794">
            <v>3.65354125878611</v>
          </cell>
          <cell r="M794">
            <v>2.3139206793057574</v>
          </cell>
          <cell r="N794">
            <v>8.706738923592436</v>
          </cell>
          <cell r="O794">
            <v>5.2531435569993015</v>
          </cell>
          <cell r="P794">
            <v>1.8384352724131579</v>
          </cell>
          <cell r="Q794">
            <v>5.8150057273768612</v>
          </cell>
          <cell r="R794">
            <v>4.2457406756346234</v>
          </cell>
          <cell r="S794">
            <v>4.366211613358483</v>
          </cell>
          <cell r="T794">
            <v>4.648456635525803</v>
          </cell>
        </row>
        <row r="795">
          <cell r="B795" t="str">
            <v>FY(3)</v>
          </cell>
          <cell r="C795">
            <v>3.6501712975682681</v>
          </cell>
          <cell r="D795">
            <v>3.4353324811816504</v>
          </cell>
          <cell r="E795">
            <v>3.0874048376216634</v>
          </cell>
          <cell r="F795">
            <v>5.4819834648124264</v>
          </cell>
          <cell r="G795">
            <v>2.1970428773649524</v>
          </cell>
          <cell r="H795">
            <v>4.1574165729428252</v>
          </cell>
          <cell r="I795">
            <v>4.9681673333211762</v>
          </cell>
          <cell r="J795">
            <v>3.8539312664018519</v>
          </cell>
          <cell r="M795">
            <v>2.8490901919537208</v>
          </cell>
          <cell r="N795">
            <v>8.1120757761678242</v>
          </cell>
          <cell r="O795">
            <v>5.2859602020616983</v>
          </cell>
          <cell r="P795">
            <v>1.7287047394205184</v>
          </cell>
          <cell r="Q795">
            <v>6.0907742509641052</v>
          </cell>
          <cell r="R795">
            <v>4.4077897786054212</v>
          </cell>
          <cell r="S795">
            <v>4.736546617960725</v>
          </cell>
          <cell r="T795">
            <v>4.7444202224477161</v>
          </cell>
        </row>
        <row r="796">
          <cell r="B796" t="str">
            <v>FY(2)</v>
          </cell>
          <cell r="C796">
            <v>3.6994142782691952</v>
          </cell>
          <cell r="D796">
            <v>3.5350521739130434</v>
          </cell>
          <cell r="E796">
            <v>3.1899481127276426</v>
          </cell>
          <cell r="F796">
            <v>5.954933189655172</v>
          </cell>
          <cell r="G796">
            <v>2.5106978879127166</v>
          </cell>
          <cell r="H796">
            <v>4.8450837803911453</v>
          </cell>
          <cell r="I796">
            <v>5.1694422378141152</v>
          </cell>
          <cell r="J796">
            <v>4.1292245229547193</v>
          </cell>
          <cell r="M796">
            <v>3.4340502427098456</v>
          </cell>
          <cell r="N796">
            <v>7.8956659362064769</v>
          </cell>
          <cell r="O796">
            <v>5.6148761723594065</v>
          </cell>
          <cell r="P796">
            <v>1.9336965828087429</v>
          </cell>
          <cell r="Q796">
            <v>6.5361895488477764</v>
          </cell>
          <cell r="R796">
            <v>5.4452466402739583</v>
          </cell>
          <cell r="S796">
            <v>5.4501716804781868</v>
          </cell>
          <cell r="T796">
            <v>5.1871281148120563</v>
          </cell>
        </row>
        <row r="797">
          <cell r="B797" t="str">
            <v>FY(1)</v>
          </cell>
          <cell r="C797">
            <v>3.6118885005242918</v>
          </cell>
          <cell r="D797">
            <v>3.6831045611032631</v>
          </cell>
          <cell r="E797">
            <v>3.198849104859335</v>
          </cell>
          <cell r="F797">
            <v>6.0394694104560624</v>
          </cell>
          <cell r="G797">
            <v>2.9933797133168416</v>
          </cell>
          <cell r="H797">
            <v>5.6531710421566235</v>
          </cell>
          <cell r="I797">
            <v>5.5990322297615744</v>
          </cell>
          <cell r="J797">
            <v>4.3969849374539987</v>
          </cell>
          <cell r="M797">
            <v>3.3758386805393905</v>
          </cell>
          <cell r="N797">
            <v>9.4984013113489549</v>
          </cell>
          <cell r="O797">
            <v>5.8410639509995459</v>
          </cell>
          <cell r="P797">
            <v>2.4002742624542766</v>
          </cell>
          <cell r="Q797">
            <v>6.0871605766007377</v>
          </cell>
          <cell r="R797">
            <v>5.4419906437830923</v>
          </cell>
          <cell r="S797">
            <v>6.3015839113279464</v>
          </cell>
          <cell r="T797">
            <v>5.5637590481505637</v>
          </cell>
        </row>
        <row r="798">
          <cell r="B798" t="str">
            <v>FY0</v>
          </cell>
          <cell r="C798">
            <v>3.5323317687561731</v>
          </cell>
          <cell r="D798">
            <v>3.392747310751735</v>
          </cell>
          <cell r="E798">
            <v>2.9932833540756003</v>
          </cell>
          <cell r="F798">
            <v>5.8804120596511433</v>
          </cell>
          <cell r="G798">
            <v>2.5306349090500406</v>
          </cell>
          <cell r="H798">
            <v>6.2406407993436952</v>
          </cell>
          <cell r="I798">
            <v>5.8044599173301963</v>
          </cell>
          <cell r="J798">
            <v>4.3392157312797979</v>
          </cell>
          <cell r="M798">
            <v>3.6722072190744006</v>
          </cell>
          <cell r="N798">
            <v>9.9304948772299113</v>
          </cell>
          <cell r="O798">
            <v>5.5960303546763486</v>
          </cell>
          <cell r="P798">
            <v>2.7134102297852838</v>
          </cell>
          <cell r="Q798">
            <v>5.615370155671922</v>
          </cell>
          <cell r="R798">
            <v>5.3564095066318336</v>
          </cell>
          <cell r="S798">
            <v>5.8671152610791442</v>
          </cell>
          <cell r="T798">
            <v>5.5358625148784055</v>
          </cell>
        </row>
        <row r="799">
          <cell r="B799" t="str">
            <v>FY1</v>
          </cell>
          <cell r="C799">
            <v>3.5294359731233071</v>
          </cell>
          <cell r="D799">
            <v>3.2608196426672098</v>
          </cell>
          <cell r="E799">
            <v>3.0835504775409524</v>
          </cell>
          <cell r="F799">
            <v>6.0262598083973495</v>
          </cell>
          <cell r="G799">
            <v>2.4805647249526515</v>
          </cell>
          <cell r="H799">
            <v>6.7235442342658001</v>
          </cell>
          <cell r="I799">
            <v>5.9830051554892743</v>
          </cell>
          <cell r="J799">
            <v>4.4410257166337912</v>
          </cell>
          <cell r="M799">
            <v>4.276666494651332</v>
          </cell>
          <cell r="N799">
            <v>9.6775044370445986</v>
          </cell>
          <cell r="O799">
            <v>5.0509147014061533</v>
          </cell>
          <cell r="P799">
            <v>2.7059775822106986</v>
          </cell>
          <cell r="Q799">
            <v>5.5249170463734361</v>
          </cell>
          <cell r="R799">
            <v>5.4821208658836831</v>
          </cell>
          <cell r="S799">
            <v>6.0772587951321562</v>
          </cell>
          <cell r="T799">
            <v>5.542194274671723</v>
          </cell>
        </row>
        <row r="800">
          <cell r="B800" t="str">
            <v>FY2</v>
          </cell>
          <cell r="C800">
            <v>4.0032845383298508</v>
          </cell>
          <cell r="D800">
            <v>3.3294959588521795</v>
          </cell>
          <cell r="E800">
            <v>3.0070600124608067</v>
          </cell>
          <cell r="F800">
            <v>6.0136541557279175</v>
          </cell>
          <cell r="G800">
            <v>2.409865145409928</v>
          </cell>
          <cell r="H800">
            <v>6.7058911884400656</v>
          </cell>
          <cell r="I800">
            <v>6.1706576678799614</v>
          </cell>
          <cell r="J800">
            <v>4.5199869524429586</v>
          </cell>
          <cell r="M800">
            <v>4.3842209929167737</v>
          </cell>
          <cell r="N800">
            <v>11.770801651037218</v>
          </cell>
          <cell r="O800">
            <v>5.9420682003315219</v>
          </cell>
          <cell r="P800">
            <v>2.8352770417443303</v>
          </cell>
          <cell r="Q800">
            <v>5.5555946367844902</v>
          </cell>
          <cell r="R800">
            <v>5.2554780722033101</v>
          </cell>
          <cell r="S800">
            <v>7.170138296630852</v>
          </cell>
          <cell r="T800">
            <v>6.1305112702355</v>
          </cell>
        </row>
        <row r="802">
          <cell r="B802" t="str">
            <v>Receivables Turnover</v>
          </cell>
        </row>
        <row r="803">
          <cell r="B803" t="str">
            <v>FY(5)</v>
          </cell>
        </row>
        <row r="804">
          <cell r="B804" t="str">
            <v>FY(4)</v>
          </cell>
        </row>
        <row r="805">
          <cell r="B805" t="str">
            <v>FY(3)</v>
          </cell>
        </row>
        <row r="806">
          <cell r="B806" t="str">
            <v>FY(2)</v>
          </cell>
        </row>
        <row r="807">
          <cell r="B807" t="str">
            <v>FY(1)</v>
          </cell>
        </row>
        <row r="808">
          <cell r="B808" t="str">
            <v>FY0</v>
          </cell>
        </row>
        <row r="809">
          <cell r="B809" t="str">
            <v>FY1</v>
          </cell>
        </row>
        <row r="810">
          <cell r="B810" t="str">
            <v>FY2</v>
          </cell>
        </row>
        <row r="812">
          <cell r="B812" t="str">
            <v>A/P Turnover</v>
          </cell>
          <cell r="C812" t="str">
            <v>COGS/ Average Accounts Payable</v>
          </cell>
        </row>
        <row r="813">
          <cell r="B813" t="str">
            <v>FY(5)</v>
          </cell>
        </row>
        <row r="814">
          <cell r="B814" t="str">
            <v>FY(4)</v>
          </cell>
          <cell r="C814">
            <v>9.7958054736398239</v>
          </cell>
          <cell r="D814">
            <v>4.0031082714557069</v>
          </cell>
          <cell r="E814">
            <v>2.6948223350253806</v>
          </cell>
          <cell r="F814">
            <v>8.753505280641825</v>
          </cell>
          <cell r="G814">
            <v>8.3344795322748411</v>
          </cell>
          <cell r="H814">
            <v>4.1580473990017675</v>
          </cell>
          <cell r="I814">
            <v>9.0904474753371769</v>
          </cell>
          <cell r="J814">
            <v>6.6900308239109316</v>
          </cell>
          <cell r="M814">
            <v>6.6805714431900833</v>
          </cell>
          <cell r="N814">
            <v>13.905701048041426</v>
          </cell>
          <cell r="O814">
            <v>8.0297280141261229</v>
          </cell>
          <cell r="P814">
            <v>5.3058340929808567</v>
          </cell>
          <cell r="Q814">
            <v>9.0611334225792053</v>
          </cell>
          <cell r="R814">
            <v>11.027610908188233</v>
          </cell>
          <cell r="S814">
            <v>12.961920012891399</v>
          </cell>
          <cell r="T814">
            <v>9.5674998488567606</v>
          </cell>
        </row>
        <row r="815">
          <cell r="B815" t="str">
            <v>FY(3)</v>
          </cell>
          <cell r="C815">
            <v>11.204175871474803</v>
          </cell>
          <cell r="D815">
            <v>3.9057284030356856</v>
          </cell>
          <cell r="E815">
            <v>3.669453670828084</v>
          </cell>
          <cell r="F815">
            <v>9.4526269513663532</v>
          </cell>
          <cell r="G815">
            <v>8.8471371622184858</v>
          </cell>
          <cell r="H815">
            <v>4.2360528769904047</v>
          </cell>
          <cell r="I815">
            <v>9.1472607789399216</v>
          </cell>
          <cell r="J815">
            <v>7.2089193878362483</v>
          </cell>
          <cell r="M815">
            <v>7.7363659731246521</v>
          </cell>
          <cell r="N815">
            <v>11.822018899238763</v>
          </cell>
          <cell r="O815">
            <v>8.8366891739952234</v>
          </cell>
          <cell r="P815">
            <v>4.7958376068461268</v>
          </cell>
          <cell r="Q815">
            <v>9.7078014184397166</v>
          </cell>
          <cell r="R815">
            <v>11.997430077286912</v>
          </cell>
          <cell r="S815">
            <v>11.707256476291473</v>
          </cell>
          <cell r="T815">
            <v>9.5147713750318381</v>
          </cell>
        </row>
        <row r="816">
          <cell r="B816" t="str">
            <v>FY(2)</v>
          </cell>
          <cell r="C816">
            <v>12.183682443352737</v>
          </cell>
          <cell r="D816">
            <v>4.1139922415247092</v>
          </cell>
          <cell r="E816">
            <v>3.9012069180042306</v>
          </cell>
          <cell r="F816">
            <v>9.8769937444146549</v>
          </cell>
          <cell r="G816">
            <v>14.910961161122177</v>
          </cell>
          <cell r="H816">
            <v>4.7735365590208625</v>
          </cell>
          <cell r="I816">
            <v>9.9150343833078871</v>
          </cell>
          <cell r="J816">
            <v>8.5250582072496091</v>
          </cell>
          <cell r="M816">
            <v>8.035058746281722</v>
          </cell>
          <cell r="N816">
            <v>11.75069076414368</v>
          </cell>
          <cell r="O816">
            <v>10.530981044916709</v>
          </cell>
          <cell r="P816">
            <v>4.8310283360993305</v>
          </cell>
          <cell r="Q816">
            <v>10.165572942958102</v>
          </cell>
          <cell r="R816">
            <v>13.105748300127441</v>
          </cell>
          <cell r="S816">
            <v>13.593020624201497</v>
          </cell>
          <cell r="T816">
            <v>10.287442965532639</v>
          </cell>
        </row>
        <row r="817">
          <cell r="B817" t="str">
            <v>FY(1)</v>
          </cell>
          <cell r="C817">
            <v>9.9889927501208309</v>
          </cell>
          <cell r="D817">
            <v>4.095742647329522</v>
          </cell>
          <cell r="E817">
            <v>3.8249235474006116</v>
          </cell>
          <cell r="F817">
            <v>8.424333591931731</v>
          </cell>
          <cell r="G817">
            <v>21.490244702964883</v>
          </cell>
          <cell r="H817">
            <v>4.7607794246042996</v>
          </cell>
          <cell r="I817">
            <v>10.360702845332504</v>
          </cell>
          <cell r="J817">
            <v>8.9922456442406258</v>
          </cell>
          <cell r="M817">
            <v>7.6893096399643879</v>
          </cell>
          <cell r="N817">
            <v>14.650457771405796</v>
          </cell>
          <cell r="O817">
            <v>11.685776286728011</v>
          </cell>
          <cell r="P817">
            <v>6.5079935227440009</v>
          </cell>
          <cell r="Q817">
            <v>9.06993006993007</v>
          </cell>
          <cell r="R817">
            <v>12.289419946699677</v>
          </cell>
          <cell r="S817">
            <v>15.90314618854436</v>
          </cell>
          <cell r="T817">
            <v>11.11371906085947</v>
          </cell>
        </row>
        <row r="818">
          <cell r="B818" t="str">
            <v>FY0</v>
          </cell>
          <cell r="C818">
            <v>8.691082289624811</v>
          </cell>
          <cell r="D818">
            <v>3.7046564480701401</v>
          </cell>
          <cell r="E818">
            <v>3.4688941367079806</v>
          </cell>
          <cell r="F818">
            <v>7.2015440731826743</v>
          </cell>
          <cell r="G818">
            <v>15.85803566469516</v>
          </cell>
          <cell r="H818">
            <v>4.6136866352743597</v>
          </cell>
          <cell r="I818">
            <v>9.6532857111354655</v>
          </cell>
          <cell r="J818">
            <v>7.598740708384371</v>
          </cell>
          <cell r="M818">
            <v>7.1666740644860711</v>
          </cell>
          <cell r="N818">
            <v>14.480976475633927</v>
          </cell>
          <cell r="O818">
            <v>12.482792929544404</v>
          </cell>
          <cell r="P818">
            <v>8.7568525693402997</v>
          </cell>
          <cell r="Q818">
            <v>8.2622426097376138</v>
          </cell>
          <cell r="R818">
            <v>10.801041321580231</v>
          </cell>
          <cell r="S818">
            <v>12.428762254756602</v>
          </cell>
          <cell r="T818">
            <v>10.625620317868449</v>
          </cell>
        </row>
        <row r="819">
          <cell r="B819" t="str">
            <v>FY1</v>
          </cell>
          <cell r="C819">
            <v>8.5301034342688062</v>
          </cell>
          <cell r="D819">
            <v>3.703016351168654</v>
          </cell>
          <cell r="E819">
            <v>3.503132346751415</v>
          </cell>
          <cell r="F819">
            <v>7.3339711264105985</v>
          </cell>
          <cell r="G819">
            <v>15.392331322057588</v>
          </cell>
          <cell r="H819">
            <v>4.7800925822942011</v>
          </cell>
          <cell r="I819">
            <v>9.8151091658853993</v>
          </cell>
          <cell r="J819">
            <v>7.5796794755480947</v>
          </cell>
          <cell r="M819">
            <v>7.8532817061926741</v>
          </cell>
          <cell r="N819">
            <v>14.27806448321237</v>
          </cell>
          <cell r="O819">
            <v>12.416788393118456</v>
          </cell>
          <cell r="P819">
            <v>8.897641167486471</v>
          </cell>
          <cell r="Q819">
            <v>8.2384202956759669</v>
          </cell>
          <cell r="R819">
            <v>10.451007694188212</v>
          </cell>
          <cell r="S819">
            <v>11.380621952277288</v>
          </cell>
          <cell r="T819">
            <v>10.502260813164492</v>
          </cell>
        </row>
        <row r="820">
          <cell r="B820" t="str">
            <v>FY2</v>
          </cell>
          <cell r="C820">
            <v>8.7606422044558485</v>
          </cell>
          <cell r="D820">
            <v>3.7565921169164573</v>
          </cell>
          <cell r="E820">
            <v>3.4980770266096792</v>
          </cell>
          <cell r="F820">
            <v>7.4631980628191394</v>
          </cell>
          <cell r="G820">
            <v>15.944717429726143</v>
          </cell>
          <cell r="H820">
            <v>4.8879482678263715</v>
          </cell>
          <cell r="I820">
            <v>10.14921913677626</v>
          </cell>
          <cell r="J820">
            <v>7.7800563207328421</v>
          </cell>
          <cell r="M820">
            <v>8.1635080695484721</v>
          </cell>
          <cell r="N820">
            <v>15.675178681317171</v>
          </cell>
          <cell r="O820">
            <v>13.209480413793205</v>
          </cell>
          <cell r="P820">
            <v>9.2064498885710986</v>
          </cell>
          <cell r="Q820">
            <v>8.0122358239186706</v>
          </cell>
          <cell r="R820">
            <v>10.598025334503671</v>
          </cell>
          <cell r="S820">
            <v>11.962603629636121</v>
          </cell>
          <cell r="T820">
            <v>10.975354548755488</v>
          </cell>
        </row>
        <row r="823">
          <cell r="A823" t="str">
            <v>DuPont Analysis: ROE</v>
          </cell>
        </row>
        <row r="825">
          <cell r="B825" t="str">
            <v>Net Profit/ Sales</v>
          </cell>
        </row>
        <row r="826">
          <cell r="B826" t="str">
            <v>FY(5)</v>
          </cell>
          <cell r="C826">
            <v>6.0125709402001584E-2</v>
          </cell>
        </row>
        <row r="827">
          <cell r="B827" t="str">
            <v>FY(4)</v>
          </cell>
        </row>
        <row r="828">
          <cell r="B828" t="str">
            <v>FY(3)</v>
          </cell>
        </row>
        <row r="829">
          <cell r="B829" t="str">
            <v>FY(2)</v>
          </cell>
        </row>
        <row r="830">
          <cell r="B830" t="str">
            <v>FY(1)</v>
          </cell>
        </row>
        <row r="831">
          <cell r="B831" t="str">
            <v>FY0</v>
          </cell>
        </row>
        <row r="832">
          <cell r="B832" t="str">
            <v>FY1</v>
          </cell>
        </row>
        <row r="833">
          <cell r="B833" t="str">
            <v>FY2</v>
          </cell>
        </row>
        <row r="835">
          <cell r="B835" t="str">
            <v>Sales/ Assets</v>
          </cell>
        </row>
        <row r="836">
          <cell r="B836" t="str">
            <v>FY(5)</v>
          </cell>
        </row>
        <row r="837">
          <cell r="B837" t="str">
            <v>FY(4)</v>
          </cell>
        </row>
        <row r="838">
          <cell r="B838" t="str">
            <v>FY(3)</v>
          </cell>
        </row>
        <row r="839">
          <cell r="B839" t="str">
            <v>FY(2)</v>
          </cell>
        </row>
        <row r="840">
          <cell r="B840" t="str">
            <v>FY(1)</v>
          </cell>
        </row>
        <row r="841">
          <cell r="B841" t="str">
            <v>FY0</v>
          </cell>
        </row>
        <row r="842">
          <cell r="B842" t="str">
            <v>FY1</v>
          </cell>
        </row>
        <row r="843">
          <cell r="B843" t="str">
            <v>FY2</v>
          </cell>
        </row>
        <row r="845">
          <cell r="B845" t="str">
            <v>Assets/ Equity</v>
          </cell>
        </row>
        <row r="846">
          <cell r="B846" t="str">
            <v>FY(5)</v>
          </cell>
        </row>
        <row r="847">
          <cell r="B847" t="str">
            <v>FY(4)</v>
          </cell>
        </row>
        <row r="848">
          <cell r="B848" t="str">
            <v>FY(3)</v>
          </cell>
        </row>
        <row r="849">
          <cell r="B849" t="str">
            <v>FY(2)</v>
          </cell>
        </row>
        <row r="850">
          <cell r="B850" t="str">
            <v>FY(1)</v>
          </cell>
        </row>
        <row r="851">
          <cell r="B851" t="str">
            <v>FY0</v>
          </cell>
        </row>
        <row r="852">
          <cell r="B852" t="str">
            <v>FY1</v>
          </cell>
        </row>
        <row r="853">
          <cell r="B853" t="str">
            <v>FY2</v>
          </cell>
        </row>
      </sheetData>
      <sheetData sheetId="5"/>
      <sheetData sheetId="6"/>
      <sheetData sheetId="7"/>
      <sheetData sheetId="8" refreshError="1"/>
      <sheetData sheetId="9" refreshError="1"/>
      <sheetData sheetId="10" refreshError="1"/>
      <sheetData sheetId="11" refreshError="1"/>
      <sheetData sheetId="12">
        <row r="1">
          <cell r="R1" t="str">
            <v>SmartCharts</v>
          </cell>
          <cell r="AO1" t="str">
            <v>SmartCharts</v>
          </cell>
          <cell r="CA1" t="str">
            <v>.</v>
          </cell>
        </row>
        <row r="2">
          <cell r="CA2" t="str">
            <v>.</v>
          </cell>
        </row>
        <row r="3">
          <cell r="CA3" t="str">
            <v>.</v>
          </cell>
        </row>
        <row r="4">
          <cell r="CA4" t="str">
            <v>.</v>
          </cell>
        </row>
        <row r="10">
          <cell r="B10" t="str">
            <v>Input your data here:</v>
          </cell>
          <cell r="C10">
            <v>40286</v>
          </cell>
          <cell r="AG10" t="str">
            <v>Base</v>
          </cell>
          <cell r="AJ10" t="str">
            <v>up</v>
          </cell>
          <cell r="AK10" t="str">
            <v>dn</v>
          </cell>
          <cell r="AO10" t="str">
            <v>PT</v>
          </cell>
          <cell r="AP10" t="str">
            <v>BEAR</v>
          </cell>
          <cell r="AQ10" t="str">
            <v>BASE</v>
          </cell>
          <cell r="AR10" t="str">
            <v>BULL</v>
          </cell>
          <cell r="CA10" t="str">
            <v>.</v>
          </cell>
        </row>
        <row r="11">
          <cell r="C11" t="str">
            <v>current
price</v>
          </cell>
          <cell r="D11" t="str">
            <v>Bear</v>
          </cell>
          <cell r="E11" t="str">
            <v>Base</v>
          </cell>
          <cell r="F11" t="str">
            <v>Bull</v>
          </cell>
          <cell r="G11" t="str">
            <v>price
target</v>
          </cell>
          <cell r="I11" t="str">
            <v>sortPT</v>
          </cell>
          <cell r="AC11" t="str">
            <v>Ticker</v>
          </cell>
          <cell r="AD11" t="str">
            <v>BearNeg</v>
          </cell>
          <cell r="AE11" t="str">
            <v>BearPos</v>
          </cell>
          <cell r="AF11" t="str">
            <v>BaseNeg</v>
          </cell>
          <cell r="AG11" t="str">
            <v>BasePos</v>
          </cell>
          <cell r="AH11" t="str">
            <v>BullPos</v>
          </cell>
          <cell r="AI11" t="str">
            <v>BullNeg</v>
          </cell>
          <cell r="AJ11" t="str">
            <v>PTPos</v>
          </cell>
          <cell r="AK11" t="str">
            <v>PTNeg</v>
          </cell>
          <cell r="AL11" t="str">
            <v>current
price</v>
          </cell>
          <cell r="AM11" t="str">
            <v>Legend+</v>
          </cell>
          <cell r="AN11" t="str">
            <v>Legend-</v>
          </cell>
          <cell r="AO11" t="str">
            <v>PT_label</v>
          </cell>
          <cell r="AP11" t="str">
            <v>Bear_label</v>
          </cell>
          <cell r="AQ11" t="str">
            <v>Base_label</v>
          </cell>
          <cell r="AR11" t="str">
            <v>Bull_label</v>
          </cell>
          <cell r="CA11" t="str">
            <v>.</v>
          </cell>
        </row>
        <row r="12">
          <cell r="B12" t="str">
            <v>PVH</v>
          </cell>
          <cell r="C12" t="str">
            <v>#Calc</v>
          </cell>
          <cell r="D12">
            <v>42</v>
          </cell>
          <cell r="E12">
            <v>65</v>
          </cell>
          <cell r="F12">
            <v>81</v>
          </cell>
          <cell r="G12">
            <v>65</v>
          </cell>
          <cell r="I12" t="e">
            <v>#VALUE!</v>
          </cell>
          <cell r="AC12" t="str">
            <v>PVH</v>
          </cell>
          <cell r="AD12" t="e">
            <v>#VALUE!</v>
          </cell>
          <cell r="AE12" t="e">
            <v>#VALUE!</v>
          </cell>
          <cell r="AF12" t="e">
            <v>#VALUE!</v>
          </cell>
          <cell r="AG12" t="e">
            <v>#VALUE!</v>
          </cell>
          <cell r="AH12" t="e">
            <v>#VALUE!</v>
          </cell>
          <cell r="AI12" t="e">
            <v>#VALUE!</v>
          </cell>
          <cell r="AJ12" t="e">
            <v>#VALUE!</v>
          </cell>
          <cell r="AK12" t="e">
            <v>#VALUE!</v>
          </cell>
          <cell r="AL12">
            <v>0</v>
          </cell>
          <cell r="AM12" t="e">
            <v>#N/A</v>
          </cell>
          <cell r="AN12" t="e">
            <v>#N/A</v>
          </cell>
          <cell r="AO12" t="e">
            <v>#N/A</v>
          </cell>
          <cell r="AP12" t="e">
            <v>#N/A</v>
          </cell>
          <cell r="AQ12" t="e">
            <v>#N/A</v>
          </cell>
          <cell r="AR12" t="e">
            <v>#N/A</v>
          </cell>
          <cell r="CA12" t="str">
            <v>.</v>
          </cell>
        </row>
        <row r="13">
          <cell r="B13" t="str">
            <v>JNY</v>
          </cell>
          <cell r="C13" t="str">
            <v>#Calc</v>
          </cell>
          <cell r="D13">
            <v>13</v>
          </cell>
          <cell r="E13">
            <v>21</v>
          </cell>
          <cell r="F13">
            <v>25</v>
          </cell>
          <cell r="G13">
            <v>21</v>
          </cell>
          <cell r="I13" t="e">
            <v>#VALUE!</v>
          </cell>
          <cell r="AC13" t="str">
            <v>JNY</v>
          </cell>
          <cell r="AD13" t="e">
            <v>#VALUE!</v>
          </cell>
          <cell r="AE13" t="e">
            <v>#VALUE!</v>
          </cell>
          <cell r="AF13" t="e">
            <v>#VALUE!</v>
          </cell>
          <cell r="AG13" t="e">
            <v>#VALUE!</v>
          </cell>
          <cell r="AH13" t="e">
            <v>#VALUE!</v>
          </cell>
          <cell r="AI13" t="e">
            <v>#VALUE!</v>
          </cell>
          <cell r="AJ13" t="e">
            <v>#VALUE!</v>
          </cell>
          <cell r="AK13" t="e">
            <v>#VALUE!</v>
          </cell>
          <cell r="AM13" t="e">
            <v>#N/A</v>
          </cell>
          <cell r="AN13" t="e">
            <v>#N/A</v>
          </cell>
          <cell r="AO13" t="e">
            <v>#N/A</v>
          </cell>
          <cell r="AP13" t="e">
            <v>#N/A</v>
          </cell>
          <cell r="AQ13" t="e">
            <v>#N/A</v>
          </cell>
          <cell r="AR13" t="e">
            <v>#N/A</v>
          </cell>
          <cell r="CA13" t="str">
            <v>.</v>
          </cell>
        </row>
        <row r="14">
          <cell r="B14" t="str">
            <v>WRC</v>
          </cell>
          <cell r="C14" t="str">
            <v>#Calc</v>
          </cell>
          <cell r="D14">
            <v>37</v>
          </cell>
          <cell r="E14">
            <v>48</v>
          </cell>
          <cell r="F14">
            <v>63</v>
          </cell>
          <cell r="G14">
            <v>48</v>
          </cell>
          <cell r="I14" t="e">
            <v>#VALUE!</v>
          </cell>
          <cell r="AC14" t="str">
            <v>WRC</v>
          </cell>
          <cell r="AD14" t="e">
            <v>#VALUE!</v>
          </cell>
          <cell r="AE14" t="e">
            <v>#VALUE!</v>
          </cell>
          <cell r="AF14" t="e">
            <v>#VALUE!</v>
          </cell>
          <cell r="AG14" t="e">
            <v>#VALUE!</v>
          </cell>
          <cell r="AH14" t="e">
            <v>#VALUE!</v>
          </cell>
          <cell r="AI14" t="e">
            <v>#VALUE!</v>
          </cell>
          <cell r="AJ14" t="e">
            <v>#VALUE!</v>
          </cell>
          <cell r="AK14" t="e">
            <v>#VALUE!</v>
          </cell>
          <cell r="AM14" t="e">
            <v>#N/A</v>
          </cell>
          <cell r="AN14" t="e">
            <v>#N/A</v>
          </cell>
          <cell r="AO14" t="e">
            <v>#N/A</v>
          </cell>
          <cell r="AP14" t="e">
            <v>#N/A</v>
          </cell>
          <cell r="AQ14" t="e">
            <v>#N/A</v>
          </cell>
          <cell r="AR14" t="e">
            <v>#N/A</v>
          </cell>
          <cell r="CA14" t="str">
            <v>.</v>
          </cell>
        </row>
        <row r="15">
          <cell r="B15" t="str">
            <v>GES</v>
          </cell>
          <cell r="C15" t="str">
            <v>#Calc</v>
          </cell>
          <cell r="D15">
            <v>39</v>
          </cell>
          <cell r="E15">
            <v>48</v>
          </cell>
          <cell r="F15">
            <v>52</v>
          </cell>
          <cell r="G15">
            <v>48</v>
          </cell>
          <cell r="I15" t="e">
            <v>#VALUE!</v>
          </cell>
          <cell r="AC15" t="str">
            <v>GES</v>
          </cell>
          <cell r="AD15" t="e">
            <v>#VALUE!</v>
          </cell>
          <cell r="AE15" t="e">
            <v>#VALUE!</v>
          </cell>
          <cell r="AF15" t="e">
            <v>#VALUE!</v>
          </cell>
          <cell r="AG15" t="e">
            <v>#VALUE!</v>
          </cell>
          <cell r="AH15" t="e">
            <v>#VALUE!</v>
          </cell>
          <cell r="AI15" t="e">
            <v>#VALUE!</v>
          </cell>
          <cell r="AJ15" t="e">
            <v>#VALUE!</v>
          </cell>
          <cell r="AK15" t="e">
            <v>#VALUE!</v>
          </cell>
          <cell r="AM15" t="e">
            <v>#N/A</v>
          </cell>
          <cell r="AN15" t="e">
            <v>#N/A</v>
          </cell>
          <cell r="AO15" t="e">
            <v>#N/A</v>
          </cell>
          <cell r="AP15" t="e">
            <v>#N/A</v>
          </cell>
          <cell r="AQ15" t="e">
            <v>#N/A</v>
          </cell>
          <cell r="AR15" t="e">
            <v>#N/A</v>
          </cell>
          <cell r="CA15" t="str">
            <v>.</v>
          </cell>
        </row>
        <row r="16">
          <cell r="B16" t="str">
            <v>RL</v>
          </cell>
          <cell r="C16" t="str">
            <v>#Calc</v>
          </cell>
          <cell r="D16">
            <v>60</v>
          </cell>
          <cell r="E16">
            <v>80</v>
          </cell>
          <cell r="F16">
            <v>107</v>
          </cell>
          <cell r="G16">
            <v>80</v>
          </cell>
          <cell r="I16" t="e">
            <v>#VALUE!</v>
          </cell>
          <cell r="AC16" t="str">
            <v>RL</v>
          </cell>
          <cell r="AD16" t="e">
            <v>#VALUE!</v>
          </cell>
          <cell r="AE16" t="e">
            <v>#VALUE!</v>
          </cell>
          <cell r="AF16" t="e">
            <v>#VALUE!</v>
          </cell>
          <cell r="AG16" t="e">
            <v>#VALUE!</v>
          </cell>
          <cell r="AH16" t="e">
            <v>#VALUE!</v>
          </cell>
          <cell r="AI16" t="e">
            <v>#VALUE!</v>
          </cell>
          <cell r="AJ16" t="e">
            <v>#VALUE!</v>
          </cell>
          <cell r="AK16" t="e">
            <v>#VALUE!</v>
          </cell>
          <cell r="AM16" t="e">
            <v>#N/A</v>
          </cell>
          <cell r="AN16" t="e">
            <v>#N/A</v>
          </cell>
          <cell r="AO16" t="e">
            <v>#N/A</v>
          </cell>
          <cell r="AP16" t="e">
            <v>#N/A</v>
          </cell>
          <cell r="AQ16" t="e">
            <v>#N/A</v>
          </cell>
          <cell r="AR16" t="e">
            <v>#N/A</v>
          </cell>
          <cell r="CA16" t="str">
            <v>.</v>
          </cell>
        </row>
        <row r="17">
          <cell r="B17" t="str">
            <v>UA</v>
          </cell>
          <cell r="C17" t="str">
            <v>#Calc</v>
          </cell>
          <cell r="D17">
            <v>21</v>
          </cell>
          <cell r="E17">
            <v>27</v>
          </cell>
          <cell r="F17">
            <v>35</v>
          </cell>
          <cell r="G17">
            <v>27</v>
          </cell>
          <cell r="I17" t="e">
            <v>#VALUE!</v>
          </cell>
          <cell r="AC17" t="str">
            <v>UA</v>
          </cell>
          <cell r="AD17" t="e">
            <v>#VALUE!</v>
          </cell>
          <cell r="AE17" t="e">
            <v>#VALUE!</v>
          </cell>
          <cell r="AF17" t="e">
            <v>#VALUE!</v>
          </cell>
          <cell r="AG17" t="e">
            <v>#VALUE!</v>
          </cell>
          <cell r="AH17" t="e">
            <v>#VALUE!</v>
          </cell>
          <cell r="AI17" t="e">
            <v>#VALUE!</v>
          </cell>
          <cell r="AJ17" t="e">
            <v>#VALUE!</v>
          </cell>
          <cell r="AK17" t="e">
            <v>#VALUE!</v>
          </cell>
          <cell r="AM17" t="e">
            <v>#N/A</v>
          </cell>
          <cell r="AN17" t="e">
            <v>#N/A</v>
          </cell>
          <cell r="AO17" t="e">
            <v>#N/A</v>
          </cell>
          <cell r="AP17" t="e">
            <v>#N/A</v>
          </cell>
          <cell r="AQ17" t="e">
            <v>#N/A</v>
          </cell>
          <cell r="AR17" t="e">
            <v>#N/A</v>
          </cell>
          <cell r="CA17" t="str">
            <v>.</v>
          </cell>
        </row>
        <row r="18">
          <cell r="B18" t="str">
            <v>LIZ</v>
          </cell>
          <cell r="C18" t="str">
            <v>#Calc</v>
          </cell>
          <cell r="D18">
            <v>2.5</v>
          </cell>
          <cell r="E18">
            <v>6</v>
          </cell>
          <cell r="F18">
            <v>12</v>
          </cell>
          <cell r="G18">
            <v>6</v>
          </cell>
          <cell r="I18" t="e">
            <v>#VALUE!</v>
          </cell>
          <cell r="AC18" t="str">
            <v>LIZ</v>
          </cell>
          <cell r="AD18" t="e">
            <v>#VALUE!</v>
          </cell>
          <cell r="AE18" t="e">
            <v>#VALUE!</v>
          </cell>
          <cell r="AF18" t="e">
            <v>#VALUE!</v>
          </cell>
          <cell r="AG18" t="e">
            <v>#VALUE!</v>
          </cell>
          <cell r="AH18" t="e">
            <v>#VALUE!</v>
          </cell>
          <cell r="AI18" t="e">
            <v>#VALUE!</v>
          </cell>
          <cell r="AJ18" t="e">
            <v>#VALUE!</v>
          </cell>
          <cell r="AK18" t="e">
            <v>#VALUE!</v>
          </cell>
          <cell r="AM18" t="e">
            <v>#N/A</v>
          </cell>
          <cell r="AN18" t="e">
            <v>#N/A</v>
          </cell>
          <cell r="AO18" t="e">
            <v>#N/A</v>
          </cell>
          <cell r="AP18" t="e">
            <v>#N/A</v>
          </cell>
          <cell r="AQ18" t="e">
            <v>#N/A</v>
          </cell>
          <cell r="AR18" t="e">
            <v>#N/A</v>
          </cell>
          <cell r="CA18" t="str">
            <v>.</v>
          </cell>
        </row>
        <row r="19">
          <cell r="I19" t="e">
            <v>#DIV/0!</v>
          </cell>
          <cell r="AC19">
            <v>0</v>
          </cell>
          <cell r="AD19" t="e">
            <v>#VALUE!</v>
          </cell>
          <cell r="AE19">
            <v>0</v>
          </cell>
          <cell r="AF19">
            <v>0</v>
          </cell>
          <cell r="AG19" t="e">
            <v>#VALUE!</v>
          </cell>
          <cell r="AH19" t="e">
            <v>#VALUE!</v>
          </cell>
          <cell r="AI19">
            <v>0</v>
          </cell>
          <cell r="AJ19" t="e">
            <v>#N/A</v>
          </cell>
          <cell r="AK19" t="e">
            <v>#N/A</v>
          </cell>
          <cell r="AM19">
            <v>1</v>
          </cell>
          <cell r="AN19">
            <v>-1</v>
          </cell>
          <cell r="AO19" t="e">
            <v>#VALUE!</v>
          </cell>
          <cell r="AP19" t="e">
            <v>#VALUE!</v>
          </cell>
          <cell r="AQ19" t="e">
            <v>#VALUE!</v>
          </cell>
          <cell r="AR19" t="e">
            <v>#VALUE!</v>
          </cell>
        </row>
        <row r="20">
          <cell r="I20" t="e">
            <v>#DIV/0!</v>
          </cell>
          <cell r="AC20" t="e">
            <v>#N/A</v>
          </cell>
          <cell r="AD20" t="e">
            <v>#VALUE!</v>
          </cell>
          <cell r="AE20">
            <v>0</v>
          </cell>
          <cell r="AF20">
            <v>0</v>
          </cell>
          <cell r="AG20" t="e">
            <v>#VALUE!</v>
          </cell>
          <cell r="AH20" t="e">
            <v>#VALUE!</v>
          </cell>
          <cell r="AI20">
            <v>0</v>
          </cell>
          <cell r="AJ20" t="e">
            <v>#N/A</v>
          </cell>
          <cell r="AK20" t="e">
            <v>#N/A</v>
          </cell>
          <cell r="AM20">
            <v>1</v>
          </cell>
          <cell r="AN20">
            <v>-1</v>
          </cell>
          <cell r="AO20" t="e">
            <v>#VALUE!</v>
          </cell>
          <cell r="AP20" t="e">
            <v>#VALUE!</v>
          </cell>
          <cell r="AQ20" t="e">
            <v>#VALUE!</v>
          </cell>
          <cell r="AR20" t="e">
            <v>#VALUE!</v>
          </cell>
          <cell r="CA20" t="str">
            <v>.</v>
          </cell>
        </row>
        <row r="21">
          <cell r="AD21" t="e">
            <v>#VALUE!</v>
          </cell>
          <cell r="AE21">
            <v>0</v>
          </cell>
          <cell r="AF21">
            <v>0</v>
          </cell>
          <cell r="AG21" t="e">
            <v>#VALUE!</v>
          </cell>
          <cell r="AH21" t="e">
            <v>#VALUE!</v>
          </cell>
          <cell r="AI21">
            <v>0</v>
          </cell>
          <cell r="AJ21" t="e">
            <v>#N/A</v>
          </cell>
          <cell r="AK21" t="e">
            <v>#N/A</v>
          </cell>
          <cell r="AM21">
            <v>2</v>
          </cell>
          <cell r="AN21">
            <v>-2</v>
          </cell>
          <cell r="AO21" t="e">
            <v>#VALUE!</v>
          </cell>
          <cell r="AP21" t="e">
            <v>#VALUE!</v>
          </cell>
          <cell r="AQ21" t="e">
            <v>#VALUE!</v>
          </cell>
          <cell r="AR21" t="e">
            <v>#VALUE!</v>
          </cell>
          <cell r="CA21" t="str">
            <v>.</v>
          </cell>
        </row>
        <row r="22">
          <cell r="B22" t="str">
            <v>GES</v>
          </cell>
          <cell r="C22" t="str">
            <v>#Calc</v>
          </cell>
          <cell r="D22">
            <v>39</v>
          </cell>
          <cell r="E22">
            <v>48</v>
          </cell>
          <cell r="F22">
            <v>52</v>
          </cell>
          <cell r="G22">
            <v>48</v>
          </cell>
          <cell r="CA22" t="str">
            <v>.</v>
          </cell>
        </row>
        <row r="23">
          <cell r="B23" t="str">
            <v>JNY</v>
          </cell>
          <cell r="C23" t="str">
            <v>#Calc</v>
          </cell>
          <cell r="D23">
            <v>13</v>
          </cell>
          <cell r="E23">
            <v>21</v>
          </cell>
          <cell r="F23">
            <v>25</v>
          </cell>
          <cell r="G23">
            <v>21</v>
          </cell>
          <cell r="AD23" t="e">
            <v>#VALUE!</v>
          </cell>
          <cell r="AE23" t="e">
            <v>#VALUE!</v>
          </cell>
          <cell r="AF23" t="e">
            <v>#VALUE!</v>
          </cell>
          <cell r="AG23" t="e">
            <v>#VALUE!</v>
          </cell>
          <cell r="CA23" t="str">
            <v>.</v>
          </cell>
        </row>
        <row r="24">
          <cell r="B24" t="str">
            <v>LIZ</v>
          </cell>
          <cell r="C24" t="str">
            <v>#Calc</v>
          </cell>
          <cell r="D24">
            <v>2.5</v>
          </cell>
          <cell r="E24">
            <v>6</v>
          </cell>
          <cell r="F24">
            <v>12</v>
          </cell>
          <cell r="G24">
            <v>6</v>
          </cell>
          <cell r="AD24" t="e">
            <v>#VALUE!</v>
          </cell>
          <cell r="AE24" t="e">
            <v>#VALUE!</v>
          </cell>
          <cell r="AF24" t="e">
            <v>#VALUE!</v>
          </cell>
          <cell r="AG24" t="e">
            <v>#VALUE!</v>
          </cell>
          <cell r="CA24" t="str">
            <v>.</v>
          </cell>
        </row>
        <row r="25">
          <cell r="B25" t="str">
            <v>PVH</v>
          </cell>
          <cell r="C25" t="str">
            <v>#Calc</v>
          </cell>
          <cell r="D25">
            <v>42</v>
          </cell>
          <cell r="E25">
            <v>65</v>
          </cell>
          <cell r="F25">
            <v>81</v>
          </cell>
          <cell r="G25">
            <v>65</v>
          </cell>
          <cell r="AD25" t="e">
            <v>#VALUE!</v>
          </cell>
          <cell r="AE25" t="e">
            <v>#VALUE!</v>
          </cell>
          <cell r="AF25" t="e">
            <v>#VALUE!</v>
          </cell>
          <cell r="AG25" t="e">
            <v>#VALUE!</v>
          </cell>
          <cell r="CA25" t="str">
            <v>.</v>
          </cell>
        </row>
        <row r="26">
          <cell r="B26" t="str">
            <v>RL</v>
          </cell>
          <cell r="C26" t="str">
            <v>#Calc</v>
          </cell>
          <cell r="D26">
            <v>60</v>
          </cell>
          <cell r="E26">
            <v>80</v>
          </cell>
          <cell r="F26">
            <v>107</v>
          </cell>
          <cell r="G26">
            <v>80</v>
          </cell>
          <cell r="AD26" t="e">
            <v>#VALUE!</v>
          </cell>
          <cell r="AE26" t="e">
            <v>#VALUE!</v>
          </cell>
          <cell r="AF26" t="e">
            <v>#VALUE!</v>
          </cell>
          <cell r="AG26" t="e">
            <v>#VALUE!</v>
          </cell>
          <cell r="CA26" t="str">
            <v>.</v>
          </cell>
        </row>
        <row r="27">
          <cell r="B27" t="str">
            <v>UA</v>
          </cell>
          <cell r="C27" t="str">
            <v>#Calc</v>
          </cell>
          <cell r="D27">
            <v>21</v>
          </cell>
          <cell r="E27">
            <v>27</v>
          </cell>
          <cell r="F27">
            <v>35</v>
          </cell>
          <cell r="G27">
            <v>27</v>
          </cell>
          <cell r="AD27" t="e">
            <v>#VALUE!</v>
          </cell>
          <cell r="AE27" t="e">
            <v>#VALUE!</v>
          </cell>
          <cell r="AF27" t="e">
            <v>#VALUE!</v>
          </cell>
          <cell r="AG27" t="e">
            <v>#VALUE!</v>
          </cell>
          <cell r="CA27" t="str">
            <v>.</v>
          </cell>
        </row>
        <row r="28">
          <cell r="B28" t="str">
            <v>WRC</v>
          </cell>
          <cell r="C28" t="str">
            <v>#Calc</v>
          </cell>
          <cell r="D28">
            <v>37</v>
          </cell>
          <cell r="E28">
            <v>48</v>
          </cell>
          <cell r="F28">
            <v>63</v>
          </cell>
          <cell r="G28">
            <v>48</v>
          </cell>
          <cell r="AD28" t="e">
            <v>#VALUE!</v>
          </cell>
          <cell r="AE28" t="e">
            <v>#VALUE!</v>
          </cell>
          <cell r="AF28" t="e">
            <v>#VALUE!</v>
          </cell>
          <cell r="AG28" t="e">
            <v>#VALUE!</v>
          </cell>
          <cell r="CA28" t="str">
            <v>.</v>
          </cell>
        </row>
        <row r="29">
          <cell r="AD29" t="e">
            <v>#VALUE!</v>
          </cell>
          <cell r="AE29" t="e">
            <v>#VALUE!</v>
          </cell>
          <cell r="AF29" t="e">
            <v>#VALUE!</v>
          </cell>
          <cell r="AG29" t="e">
            <v>#VALUE!</v>
          </cell>
          <cell r="CA29" t="str">
            <v>.</v>
          </cell>
        </row>
        <row r="30">
          <cell r="AD30" t="e">
            <v>#DIV/0!</v>
          </cell>
          <cell r="AE30" t="e">
            <v>#DIV/0!</v>
          </cell>
          <cell r="AF30" t="e">
            <v>#DIV/0!</v>
          </cell>
          <cell r="AG30" t="e">
            <v>#DIV/0!</v>
          </cell>
          <cell r="CA30" t="str">
            <v>.</v>
          </cell>
        </row>
        <row r="31">
          <cell r="B31" t="str">
            <v>GES</v>
          </cell>
          <cell r="D31" t="e">
            <v>#VALUE!</v>
          </cell>
          <cell r="E31" t="e">
            <v>#VALUE!</v>
          </cell>
          <cell r="F31" t="e">
            <v>#VALUE!</v>
          </cell>
          <cell r="G31" t="e">
            <v>#VALUE!</v>
          </cell>
          <cell r="AD31" t="e">
            <v>#DIV/0!</v>
          </cell>
          <cell r="AE31" t="e">
            <v>#DIV/0!</v>
          </cell>
          <cell r="AF31" t="e">
            <v>#DIV/0!</v>
          </cell>
          <cell r="AG31" t="e">
            <v>#DIV/0!</v>
          </cell>
          <cell r="CA31" t="str">
            <v>.</v>
          </cell>
        </row>
        <row r="32">
          <cell r="B32" t="str">
            <v>JNY</v>
          </cell>
          <cell r="D32" t="e">
            <v>#VALUE!</v>
          </cell>
          <cell r="E32" t="e">
            <v>#VALUE!</v>
          </cell>
          <cell r="F32" t="e">
            <v>#VALUE!</v>
          </cell>
          <cell r="G32" t="e">
            <v>#VALUE!</v>
          </cell>
          <cell r="CA32" t="str">
            <v>.</v>
          </cell>
        </row>
        <row r="33">
          <cell r="B33" t="str">
            <v>LIZ</v>
          </cell>
          <cell r="D33" t="e">
            <v>#VALUE!</v>
          </cell>
          <cell r="E33" t="e">
            <v>#VALUE!</v>
          </cell>
          <cell r="F33" t="e">
            <v>#VALUE!</v>
          </cell>
          <cell r="G33" t="e">
            <v>#VALUE!</v>
          </cell>
          <cell r="CA33" t="str">
            <v>.</v>
          </cell>
        </row>
        <row r="34">
          <cell r="B34" t="str">
            <v>PVH</v>
          </cell>
          <cell r="D34" t="e">
            <v>#VALUE!</v>
          </cell>
          <cell r="E34" t="e">
            <v>#VALUE!</v>
          </cell>
          <cell r="F34" t="e">
            <v>#VALUE!</v>
          </cell>
          <cell r="G34" t="e">
            <v>#VALUE!</v>
          </cell>
          <cell r="CA34" t="str">
            <v>.</v>
          </cell>
        </row>
        <row r="35">
          <cell r="B35" t="str">
            <v>RL</v>
          </cell>
          <cell r="D35" t="e">
            <v>#VALUE!</v>
          </cell>
          <cell r="E35" t="e">
            <v>#VALUE!</v>
          </cell>
          <cell r="F35" t="e">
            <v>#VALUE!</v>
          </cell>
          <cell r="G35" t="e">
            <v>#VALUE!</v>
          </cell>
        </row>
        <row r="36">
          <cell r="B36" t="str">
            <v>UA</v>
          </cell>
          <cell r="D36" t="e">
            <v>#VALUE!</v>
          </cell>
          <cell r="E36" t="e">
            <v>#VALUE!</v>
          </cell>
          <cell r="F36" t="e">
            <v>#VALUE!</v>
          </cell>
          <cell r="G36" t="e">
            <v>#VALUE!</v>
          </cell>
        </row>
        <row r="37">
          <cell r="B37" t="str">
            <v>WRC</v>
          </cell>
          <cell r="D37" t="e">
            <v>#VALUE!</v>
          </cell>
          <cell r="E37" t="e">
            <v>#VALUE!</v>
          </cell>
          <cell r="F37" t="e">
            <v>#VALUE!</v>
          </cell>
          <cell r="G37" t="e">
            <v>#VALUE!</v>
          </cell>
          <cell r="CA37" t="str">
            <v>.</v>
          </cell>
        </row>
        <row r="38">
          <cell r="D38" t="e">
            <v>#VALUE!</v>
          </cell>
          <cell r="E38" t="e">
            <v>#VALUE!</v>
          </cell>
          <cell r="F38" t="e">
            <v>#VALUE!</v>
          </cell>
          <cell r="G38" t="e">
            <v>#VALUE!</v>
          </cell>
          <cell r="I38" t="str">
            <v>click here for link to SmartChart FAQ</v>
          </cell>
          <cell r="CA38" t="str">
            <v>.</v>
          </cell>
        </row>
        <row r="39">
          <cell r="CA39" t="str">
            <v>.</v>
          </cell>
        </row>
        <row r="40">
          <cell r="I40" t="str">
            <v>Do not change the width of the exhibit or font sizes (they are optimized for export to Word).</v>
          </cell>
          <cell r="CA40" t="str">
            <v>.</v>
          </cell>
        </row>
        <row r="41">
          <cell r="CA41" t="str">
            <v>.</v>
          </cell>
        </row>
        <row r="42">
          <cell r="I42" t="str">
            <v>Do not delete any rows or columns (some gray cells are used for calculations).</v>
          </cell>
          <cell r="CA42" t="str">
            <v>.</v>
          </cell>
        </row>
        <row r="43">
          <cell r="B43" t="str">
            <v>Company Name</v>
          </cell>
          <cell r="C43" t="str">
            <v>Ticker</v>
          </cell>
          <cell r="D43" t="str">
            <v>Price</v>
          </cell>
          <cell r="E43" t="str">
            <v>Rating</v>
          </cell>
          <cell r="F43" t="str">
            <v>Price Target</v>
          </cell>
          <cell r="G43" t="str">
            <v>% to Price Target</v>
          </cell>
          <cell r="CA43" t="str">
            <v>.</v>
          </cell>
        </row>
        <row r="44">
          <cell r="B44" t="str">
            <v>Liz Claiborne</v>
          </cell>
          <cell r="C44" t="str">
            <v>PVH</v>
          </cell>
          <cell r="D44" t="str">
            <v>#Calc</v>
          </cell>
          <cell r="E44" t="str">
            <v>Underweight</v>
          </cell>
          <cell r="F44">
            <v>65</v>
          </cell>
          <cell r="G44" t="e">
            <v>#VALUE!</v>
          </cell>
          <cell r="I44" t="str">
            <v>You can move the worksheet into another workbook (please use MOVE; do not COPY)</v>
          </cell>
          <cell r="CA44" t="str">
            <v>.</v>
          </cell>
        </row>
        <row r="45">
          <cell r="B45" t="str">
            <v>Jones Apparel Group</v>
          </cell>
          <cell r="C45" t="str">
            <v>JNY</v>
          </cell>
          <cell r="D45" t="str">
            <v>#Calc</v>
          </cell>
          <cell r="E45" t="str">
            <v>Equal-Weight</v>
          </cell>
          <cell r="F45">
            <v>21</v>
          </cell>
          <cell r="G45" t="e">
            <v>#VALUE!</v>
          </cell>
          <cell r="CA45" t="str">
            <v>.</v>
          </cell>
        </row>
        <row r="46">
          <cell r="B46" t="str">
            <v>Under Armour</v>
          </cell>
          <cell r="C46" t="str">
            <v>WRC</v>
          </cell>
          <cell r="D46" t="str">
            <v>#Calc</v>
          </cell>
          <cell r="E46" t="str">
            <v>Underweight</v>
          </cell>
          <cell r="F46">
            <v>48</v>
          </cell>
          <cell r="G46" t="e">
            <v>#VALUE!</v>
          </cell>
          <cell r="I46" t="str">
            <v>Color palette may be affected after moving the worksheet to another workbook. See instructions in FAQ on the intranet</v>
          </cell>
          <cell r="CA46" t="str">
            <v>.</v>
          </cell>
        </row>
        <row r="47">
          <cell r="B47" t="str">
            <v>Polo Ralph Lauren</v>
          </cell>
          <cell r="C47" t="str">
            <v>GES</v>
          </cell>
          <cell r="D47" t="str">
            <v>#Calc</v>
          </cell>
          <cell r="E47" t="str">
            <v>Equal-Weight</v>
          </cell>
          <cell r="F47">
            <v>48</v>
          </cell>
          <cell r="G47" t="e">
            <v>#VALUE!</v>
          </cell>
          <cell r="CA47" t="str">
            <v>.</v>
          </cell>
        </row>
        <row r="48">
          <cell r="B48" t="str">
            <v>Phillips-Van Heusen</v>
          </cell>
          <cell r="C48" t="str">
            <v>RL</v>
          </cell>
          <cell r="D48" t="str">
            <v>#Calc</v>
          </cell>
          <cell r="E48" t="str">
            <v>Overweight</v>
          </cell>
          <cell r="F48">
            <v>80</v>
          </cell>
          <cell r="G48" t="e">
            <v>#VALUE!</v>
          </cell>
          <cell r="CA48" t="str">
            <v>.</v>
          </cell>
        </row>
        <row r="49">
          <cell r="B49" t="str">
            <v>Guess?</v>
          </cell>
          <cell r="C49" t="str">
            <v>UA</v>
          </cell>
          <cell r="D49" t="str">
            <v>#Calc</v>
          </cell>
          <cell r="E49" t="str">
            <v>Equal-Weight</v>
          </cell>
          <cell r="F49">
            <v>27</v>
          </cell>
          <cell r="G49" t="e">
            <v>#VALUE!</v>
          </cell>
          <cell r="CA49" t="str">
            <v>.</v>
          </cell>
        </row>
        <row r="50">
          <cell r="B50" t="str">
            <v>Warnaco</v>
          </cell>
          <cell r="C50" t="str">
            <v>LIZ</v>
          </cell>
          <cell r="D50" t="str">
            <v>#Calc</v>
          </cell>
          <cell r="E50" t="str">
            <v>Equal-Weight</v>
          </cell>
          <cell r="F50">
            <v>6</v>
          </cell>
          <cell r="G50" t="e">
            <v>#VALUE!</v>
          </cell>
          <cell r="CA50" t="str">
            <v>.</v>
          </cell>
        </row>
        <row r="51">
          <cell r="CA51" t="str">
            <v>.</v>
          </cell>
        </row>
        <row r="52">
          <cell r="CA52" t="str">
            <v>.</v>
          </cell>
        </row>
        <row r="53">
          <cell r="CA53" t="str">
            <v>.</v>
          </cell>
        </row>
        <row r="54">
          <cell r="CA54" t="str">
            <v>.</v>
          </cell>
        </row>
        <row r="55">
          <cell r="CA55" t="str">
            <v>.</v>
          </cell>
        </row>
        <row r="56">
          <cell r="CA56" t="str">
            <v>.</v>
          </cell>
        </row>
        <row r="57">
          <cell r="CA57" t="str">
            <v>.</v>
          </cell>
        </row>
        <row r="58">
          <cell r="CA58" t="str">
            <v>.</v>
          </cell>
        </row>
        <row r="59">
          <cell r="CA59" t="str">
            <v>.</v>
          </cell>
        </row>
        <row r="60">
          <cell r="CA60" t="str">
            <v>.</v>
          </cell>
        </row>
        <row r="61">
          <cell r="CA61" t="str">
            <v>.</v>
          </cell>
        </row>
        <row r="62">
          <cell r="CA62" t="str">
            <v>.</v>
          </cell>
        </row>
        <row r="63">
          <cell r="CA63" t="str">
            <v>.</v>
          </cell>
        </row>
        <row r="64">
          <cell r="CA64" t="str">
            <v>.</v>
          </cell>
        </row>
        <row r="65">
          <cell r="CA65" t="str">
            <v>.</v>
          </cell>
        </row>
        <row r="66">
          <cell r="CA66" t="str">
            <v>.</v>
          </cell>
        </row>
        <row r="67">
          <cell r="CA67" t="str">
            <v>.</v>
          </cell>
        </row>
        <row r="68">
          <cell r="CA68" t="str">
            <v>.</v>
          </cell>
        </row>
        <row r="69">
          <cell r="CA69" t="str">
            <v>.</v>
          </cell>
        </row>
        <row r="70">
          <cell r="CA70" t="str">
            <v>.</v>
          </cell>
        </row>
        <row r="71">
          <cell r="CA71" t="str">
            <v>.</v>
          </cell>
        </row>
        <row r="72">
          <cell r="CA72" t="str">
            <v>.</v>
          </cell>
        </row>
        <row r="73">
          <cell r="CA73" t="str">
            <v>.</v>
          </cell>
        </row>
        <row r="74">
          <cell r="CA74" t="str">
            <v>.</v>
          </cell>
        </row>
        <row r="75">
          <cell r="CA75" t="str">
            <v>.</v>
          </cell>
        </row>
        <row r="76">
          <cell r="CA76" t="str">
            <v>.</v>
          </cell>
        </row>
        <row r="77">
          <cell r="CA77" t="str">
            <v>.</v>
          </cell>
        </row>
        <row r="78">
          <cell r="CA78" t="str">
            <v>.</v>
          </cell>
        </row>
        <row r="79">
          <cell r="CA79" t="str">
            <v>.</v>
          </cell>
        </row>
        <row r="80">
          <cell r="CA80" t="str">
            <v>.</v>
          </cell>
        </row>
        <row r="81">
          <cell r="CA81" t="str">
            <v>.</v>
          </cell>
        </row>
        <row r="82">
          <cell r="CA82" t="str">
            <v>.</v>
          </cell>
        </row>
        <row r="83">
          <cell r="CA83" t="str">
            <v>.</v>
          </cell>
        </row>
        <row r="84">
          <cell r="CA84" t="str">
            <v>.</v>
          </cell>
        </row>
        <row r="85">
          <cell r="CA85" t="str">
            <v>.</v>
          </cell>
        </row>
        <row r="86">
          <cell r="CA86" t="str">
            <v>.</v>
          </cell>
        </row>
        <row r="87">
          <cell r="CA87" t="str">
            <v>.</v>
          </cell>
        </row>
        <row r="88">
          <cell r="CA88" t="str">
            <v>.</v>
          </cell>
        </row>
        <row r="89">
          <cell r="CA89" t="str">
            <v>.</v>
          </cell>
        </row>
        <row r="90">
          <cell r="CA90" t="str">
            <v>.</v>
          </cell>
        </row>
        <row r="91">
          <cell r="CA91" t="str">
            <v>.</v>
          </cell>
        </row>
        <row r="92">
          <cell r="CA92" t="str">
            <v>.</v>
          </cell>
        </row>
        <row r="93">
          <cell r="CA93" t="str">
            <v>.</v>
          </cell>
        </row>
        <row r="94">
          <cell r="CA94" t="str">
            <v>.</v>
          </cell>
        </row>
        <row r="95">
          <cell r="CA95" t="str">
            <v>.</v>
          </cell>
        </row>
        <row r="96">
          <cell r="CA96" t="str">
            <v>.</v>
          </cell>
        </row>
        <row r="97">
          <cell r="CA97" t="str">
            <v>.</v>
          </cell>
        </row>
        <row r="98">
          <cell r="CA98" t="str">
            <v>.</v>
          </cell>
        </row>
        <row r="99">
          <cell r="CA99" t="str">
            <v>.</v>
          </cell>
        </row>
        <row r="100">
          <cell r="CA100" t="str">
            <v>.</v>
          </cell>
        </row>
        <row r="101">
          <cell r="CA101" t="str">
            <v>.</v>
          </cell>
        </row>
        <row r="102">
          <cell r="CA102" t="str">
            <v>.</v>
          </cell>
        </row>
        <row r="103">
          <cell r="CA103" t="str">
            <v>.</v>
          </cell>
        </row>
        <row r="104">
          <cell r="CA104" t="str">
            <v>.</v>
          </cell>
        </row>
        <row r="105">
          <cell r="CA105" t="str">
            <v>.</v>
          </cell>
        </row>
        <row r="106">
          <cell r="CA106" t="str">
            <v>.</v>
          </cell>
        </row>
        <row r="107">
          <cell r="CA107" t="str">
            <v>.</v>
          </cell>
        </row>
        <row r="108">
          <cell r="CA108" t="str">
            <v>.</v>
          </cell>
        </row>
        <row r="109">
          <cell r="CA109" t="str">
            <v>.</v>
          </cell>
        </row>
        <row r="110">
          <cell r="CA110" t="str">
            <v>.</v>
          </cell>
        </row>
        <row r="111">
          <cell r="CA111" t="str">
            <v>.</v>
          </cell>
        </row>
        <row r="112">
          <cell r="CA112" t="str">
            <v>.</v>
          </cell>
        </row>
        <row r="113">
          <cell r="CA113" t="str">
            <v>.</v>
          </cell>
        </row>
        <row r="114">
          <cell r="CA114" t="str">
            <v>.</v>
          </cell>
        </row>
        <row r="115">
          <cell r="CA115" t="str">
            <v>.</v>
          </cell>
        </row>
        <row r="116">
          <cell r="CA116" t="str">
            <v>.</v>
          </cell>
        </row>
        <row r="117">
          <cell r="CA117" t="str">
            <v>.</v>
          </cell>
        </row>
        <row r="118">
          <cell r="CA118" t="str">
            <v>.</v>
          </cell>
        </row>
        <row r="119">
          <cell r="CA119" t="str">
            <v>.</v>
          </cell>
        </row>
        <row r="120">
          <cell r="CA120" t="str">
            <v>.</v>
          </cell>
        </row>
        <row r="121">
          <cell r="CA121" t="str">
            <v>.</v>
          </cell>
        </row>
        <row r="122">
          <cell r="CA122" t="str">
            <v>.</v>
          </cell>
        </row>
        <row r="123">
          <cell r="CA123" t="str">
            <v>.</v>
          </cell>
        </row>
        <row r="124">
          <cell r="CA124" t="str">
            <v>.</v>
          </cell>
        </row>
        <row r="125">
          <cell r="CA125" t="str">
            <v>.</v>
          </cell>
        </row>
        <row r="126">
          <cell r="CA126" t="str">
            <v>.</v>
          </cell>
        </row>
        <row r="127">
          <cell r="CA127" t="str">
            <v>.</v>
          </cell>
        </row>
        <row r="128">
          <cell r="CA128" t="str">
            <v>.</v>
          </cell>
        </row>
        <row r="129">
          <cell r="CA129" t="str">
            <v>.</v>
          </cell>
        </row>
        <row r="130">
          <cell r="CA130" t="str">
            <v>.</v>
          </cell>
        </row>
        <row r="131">
          <cell r="CA131" t="str">
            <v>.</v>
          </cell>
        </row>
        <row r="132">
          <cell r="CA132" t="str">
            <v>.</v>
          </cell>
        </row>
        <row r="133">
          <cell r="CA133" t="str">
            <v>.</v>
          </cell>
        </row>
        <row r="134">
          <cell r="CA134" t="str">
            <v>.</v>
          </cell>
        </row>
        <row r="135">
          <cell r="CA135" t="str">
            <v>.</v>
          </cell>
        </row>
        <row r="136">
          <cell r="CA136" t="str">
            <v>.</v>
          </cell>
        </row>
        <row r="137">
          <cell r="CA137" t="str">
            <v>.</v>
          </cell>
        </row>
        <row r="138">
          <cell r="CA138" t="str">
            <v>.</v>
          </cell>
        </row>
        <row r="139">
          <cell r="CA139" t="str">
            <v>.</v>
          </cell>
        </row>
        <row r="140">
          <cell r="CA140" t="str">
            <v>.</v>
          </cell>
        </row>
        <row r="141">
          <cell r="CA141" t="str">
            <v>.</v>
          </cell>
        </row>
        <row r="142">
          <cell r="CA142" t="str">
            <v>.</v>
          </cell>
        </row>
        <row r="143">
          <cell r="CA143" t="str">
            <v>.</v>
          </cell>
        </row>
        <row r="144">
          <cell r="CA144" t="str">
            <v>.</v>
          </cell>
        </row>
        <row r="145">
          <cell r="CA145" t="str">
            <v>.</v>
          </cell>
        </row>
        <row r="146">
          <cell r="CA146" t="str">
            <v>.</v>
          </cell>
        </row>
        <row r="147">
          <cell r="CA147" t="str">
            <v>.</v>
          </cell>
        </row>
        <row r="148">
          <cell r="CA148" t="str">
            <v>.</v>
          </cell>
        </row>
        <row r="149">
          <cell r="CA149" t="str">
            <v>.</v>
          </cell>
        </row>
        <row r="150">
          <cell r="CA150" t="str">
            <v>.</v>
          </cell>
        </row>
        <row r="151">
          <cell r="CA151" t="str">
            <v>.</v>
          </cell>
        </row>
        <row r="152">
          <cell r="CA152" t="str">
            <v>.</v>
          </cell>
        </row>
        <row r="153">
          <cell r="CA153" t="str">
            <v>.</v>
          </cell>
        </row>
        <row r="154">
          <cell r="CA154" t="str">
            <v>.</v>
          </cell>
        </row>
        <row r="155">
          <cell r="CA155" t="str">
            <v>.</v>
          </cell>
        </row>
        <row r="156">
          <cell r="CA156" t="str">
            <v>.</v>
          </cell>
        </row>
        <row r="157">
          <cell r="CA157" t="str">
            <v>.</v>
          </cell>
        </row>
        <row r="158">
          <cell r="CA158" t="str">
            <v>.</v>
          </cell>
        </row>
        <row r="159">
          <cell r="CA159" t="str">
            <v>.</v>
          </cell>
        </row>
        <row r="160">
          <cell r="CA160" t="str">
            <v>.</v>
          </cell>
        </row>
        <row r="161">
          <cell r="CA161" t="str">
            <v>.</v>
          </cell>
        </row>
        <row r="162">
          <cell r="CA162" t="str">
            <v>.</v>
          </cell>
        </row>
        <row r="163">
          <cell r="CA163" t="str">
            <v>.</v>
          </cell>
        </row>
        <row r="164">
          <cell r="CA164" t="str">
            <v>.</v>
          </cell>
        </row>
        <row r="165">
          <cell r="CA165" t="str">
            <v>.</v>
          </cell>
        </row>
        <row r="166">
          <cell r="CA166" t="str">
            <v>.</v>
          </cell>
        </row>
        <row r="167">
          <cell r="CA167" t="str">
            <v>.</v>
          </cell>
        </row>
        <row r="168">
          <cell r="CA168" t="str">
            <v>.</v>
          </cell>
        </row>
        <row r="169">
          <cell r="CA169" t="str">
            <v>.</v>
          </cell>
        </row>
        <row r="170">
          <cell r="CA170" t="str">
            <v>.</v>
          </cell>
        </row>
        <row r="171">
          <cell r="CA171" t="str">
            <v>.</v>
          </cell>
        </row>
        <row r="172">
          <cell r="CA172" t="str">
            <v>.</v>
          </cell>
        </row>
        <row r="173">
          <cell r="CA173" t="str">
            <v>.</v>
          </cell>
        </row>
        <row r="174">
          <cell r="CA174" t="str">
            <v>.</v>
          </cell>
        </row>
        <row r="175">
          <cell r="CA175" t="str">
            <v>.</v>
          </cell>
        </row>
        <row r="176">
          <cell r="CA176" t="str">
            <v>.</v>
          </cell>
        </row>
        <row r="177">
          <cell r="CA177" t="str">
            <v>.</v>
          </cell>
        </row>
        <row r="178">
          <cell r="CA178" t="str">
            <v>.</v>
          </cell>
        </row>
        <row r="179">
          <cell r="CA179" t="str">
            <v>.</v>
          </cell>
        </row>
        <row r="180">
          <cell r="CA180" t="str">
            <v>.</v>
          </cell>
        </row>
        <row r="181">
          <cell r="CA181" t="str">
            <v>.</v>
          </cell>
        </row>
        <row r="182">
          <cell r="CA182" t="str">
            <v>.</v>
          </cell>
        </row>
        <row r="183">
          <cell r="CA183" t="str">
            <v>.</v>
          </cell>
        </row>
        <row r="184">
          <cell r="CA184" t="str">
            <v>.</v>
          </cell>
        </row>
        <row r="185">
          <cell r="CA185" t="str">
            <v>.</v>
          </cell>
        </row>
        <row r="186">
          <cell r="CA186" t="str">
            <v>.</v>
          </cell>
        </row>
        <row r="187">
          <cell r="CA187" t="str">
            <v>.</v>
          </cell>
        </row>
        <row r="188">
          <cell r="CA188" t="str">
            <v>.</v>
          </cell>
        </row>
        <row r="189">
          <cell r="CA189" t="str">
            <v>.</v>
          </cell>
        </row>
        <row r="190">
          <cell r="CA190" t="str">
            <v>.</v>
          </cell>
        </row>
        <row r="191">
          <cell r="CA191" t="str">
            <v>.</v>
          </cell>
        </row>
        <row r="192">
          <cell r="CA192" t="str">
            <v>.</v>
          </cell>
        </row>
        <row r="193">
          <cell r="CA193" t="str">
            <v>.</v>
          </cell>
        </row>
        <row r="194">
          <cell r="CA194" t="str">
            <v>.</v>
          </cell>
        </row>
        <row r="195">
          <cell r="CA195" t="str">
            <v>.</v>
          </cell>
        </row>
        <row r="196">
          <cell r="CA196" t="str">
            <v>.</v>
          </cell>
        </row>
        <row r="197">
          <cell r="CA197" t="str">
            <v>.</v>
          </cell>
        </row>
        <row r="198">
          <cell r="CA198" t="str">
            <v>.</v>
          </cell>
        </row>
        <row r="199">
          <cell r="CA199" t="str">
            <v>.</v>
          </cell>
        </row>
        <row r="200">
          <cell r="CA200" t="str">
            <v>.</v>
          </cell>
        </row>
        <row r="201">
          <cell r="CA201" t="str">
            <v>.</v>
          </cell>
        </row>
        <row r="202">
          <cell r="CA202" t="str">
            <v>.</v>
          </cell>
        </row>
        <row r="203">
          <cell r="CA203" t="str">
            <v>.</v>
          </cell>
        </row>
        <row r="204">
          <cell r="CA204" t="str">
            <v>.</v>
          </cell>
        </row>
        <row r="205">
          <cell r="CA205" t="str">
            <v>.</v>
          </cell>
        </row>
        <row r="206">
          <cell r="CA206" t="str">
            <v>.</v>
          </cell>
        </row>
        <row r="207">
          <cell r="CA207" t="str">
            <v>.</v>
          </cell>
        </row>
        <row r="208">
          <cell r="CA208" t="str">
            <v>.</v>
          </cell>
        </row>
        <row r="209">
          <cell r="CA209" t="str">
            <v>.</v>
          </cell>
        </row>
        <row r="210">
          <cell r="CA210" t="str">
            <v>.</v>
          </cell>
        </row>
        <row r="211">
          <cell r="CA211" t="str">
            <v>.</v>
          </cell>
        </row>
        <row r="212">
          <cell r="CA212" t="str">
            <v>.</v>
          </cell>
        </row>
        <row r="213">
          <cell r="CA213" t="str">
            <v>.</v>
          </cell>
        </row>
        <row r="214">
          <cell r="CA214" t="str">
            <v>.</v>
          </cell>
        </row>
        <row r="215">
          <cell r="CA215" t="str">
            <v>.</v>
          </cell>
        </row>
        <row r="216">
          <cell r="CA216" t="str">
            <v>.</v>
          </cell>
        </row>
        <row r="217">
          <cell r="CA217" t="str">
            <v>.</v>
          </cell>
        </row>
        <row r="218">
          <cell r="CA218" t="str">
            <v>.</v>
          </cell>
        </row>
        <row r="219">
          <cell r="CA219" t="str">
            <v>.</v>
          </cell>
        </row>
        <row r="220">
          <cell r="CA220" t="str">
            <v>.</v>
          </cell>
        </row>
        <row r="221">
          <cell r="CA221" t="str">
            <v>.</v>
          </cell>
        </row>
        <row r="222">
          <cell r="CA222" t="str">
            <v>.</v>
          </cell>
        </row>
        <row r="223">
          <cell r="CA223" t="str">
            <v>.</v>
          </cell>
        </row>
        <row r="224">
          <cell r="CA224" t="str">
            <v>.</v>
          </cell>
        </row>
        <row r="225">
          <cell r="CA225" t="str">
            <v>.</v>
          </cell>
        </row>
        <row r="226">
          <cell r="CA226" t="str">
            <v>.</v>
          </cell>
        </row>
        <row r="227">
          <cell r="CA227" t="str">
            <v>.</v>
          </cell>
        </row>
        <row r="228">
          <cell r="CA228" t="str">
            <v>.</v>
          </cell>
        </row>
        <row r="229">
          <cell r="CA229" t="str">
            <v>.</v>
          </cell>
        </row>
        <row r="230">
          <cell r="CA230" t="str">
            <v>.</v>
          </cell>
        </row>
        <row r="231">
          <cell r="CA231" t="str">
            <v>.</v>
          </cell>
        </row>
        <row r="232">
          <cell r="CA232" t="str">
            <v>.</v>
          </cell>
        </row>
        <row r="233">
          <cell r="CA233" t="str">
            <v>.</v>
          </cell>
        </row>
        <row r="234">
          <cell r="CA234" t="str">
            <v>.</v>
          </cell>
        </row>
        <row r="235">
          <cell r="CA235" t="str">
            <v>.</v>
          </cell>
        </row>
        <row r="236">
          <cell r="CA236" t="str">
            <v>.</v>
          </cell>
        </row>
        <row r="237">
          <cell r="CA237" t="str">
            <v>.</v>
          </cell>
        </row>
        <row r="238">
          <cell r="CA238" t="str">
            <v>.</v>
          </cell>
        </row>
        <row r="239">
          <cell r="CA239" t="str">
            <v>.</v>
          </cell>
        </row>
        <row r="240">
          <cell r="CA240" t="str">
            <v>.</v>
          </cell>
        </row>
        <row r="241">
          <cell r="CA241" t="str">
            <v>.</v>
          </cell>
        </row>
        <row r="242">
          <cell r="CA242" t="str">
            <v>.</v>
          </cell>
        </row>
        <row r="243">
          <cell r="CA243" t="str">
            <v>.</v>
          </cell>
        </row>
        <row r="244">
          <cell r="CA244" t="str">
            <v>.</v>
          </cell>
        </row>
        <row r="245">
          <cell r="CA245" t="str">
            <v>.</v>
          </cell>
        </row>
        <row r="246">
          <cell r="CA246" t="str">
            <v>.</v>
          </cell>
        </row>
        <row r="247">
          <cell r="CA247" t="str">
            <v>.</v>
          </cell>
        </row>
        <row r="248">
          <cell r="CA248" t="str">
            <v>.</v>
          </cell>
        </row>
        <row r="249">
          <cell r="CA249" t="str">
            <v>.</v>
          </cell>
        </row>
        <row r="250">
          <cell r="CA250" t="str">
            <v>.</v>
          </cell>
        </row>
        <row r="251">
          <cell r="CA251" t="str">
            <v>.</v>
          </cell>
        </row>
        <row r="252">
          <cell r="CA252" t="str">
            <v>.</v>
          </cell>
        </row>
        <row r="253">
          <cell r="CA253" t="str">
            <v>.</v>
          </cell>
        </row>
        <row r="254">
          <cell r="CA254" t="str">
            <v>.</v>
          </cell>
        </row>
        <row r="255">
          <cell r="CA255" t="str">
            <v>.</v>
          </cell>
        </row>
        <row r="256">
          <cell r="CA256" t="str">
            <v>.</v>
          </cell>
        </row>
        <row r="257">
          <cell r="CA257" t="str">
            <v>.</v>
          </cell>
        </row>
        <row r="258">
          <cell r="CA258" t="str">
            <v>.</v>
          </cell>
        </row>
        <row r="259">
          <cell r="CA259" t="str">
            <v>.</v>
          </cell>
        </row>
        <row r="260">
          <cell r="CA260" t="str">
            <v>.</v>
          </cell>
        </row>
        <row r="261">
          <cell r="CA261" t="str">
            <v>.</v>
          </cell>
        </row>
        <row r="262">
          <cell r="CA262" t="str">
            <v>.</v>
          </cell>
        </row>
        <row r="263">
          <cell r="CA263" t="str">
            <v>.</v>
          </cell>
        </row>
        <row r="264">
          <cell r="CA264" t="str">
            <v>.</v>
          </cell>
        </row>
        <row r="265">
          <cell r="CA265" t="str">
            <v>.</v>
          </cell>
        </row>
        <row r="266">
          <cell r="CA266" t="str">
            <v>.</v>
          </cell>
        </row>
        <row r="267">
          <cell r="CA267" t="str">
            <v>.</v>
          </cell>
        </row>
        <row r="268">
          <cell r="CA268" t="str">
            <v>.</v>
          </cell>
        </row>
        <row r="269">
          <cell r="CA269" t="str">
            <v>.</v>
          </cell>
        </row>
        <row r="270">
          <cell r="CA270" t="str">
            <v>.</v>
          </cell>
        </row>
        <row r="271">
          <cell r="CA271" t="str">
            <v>.</v>
          </cell>
        </row>
        <row r="272">
          <cell r="CA272" t="str">
            <v>.</v>
          </cell>
        </row>
        <row r="273">
          <cell r="CA273" t="str">
            <v>.</v>
          </cell>
        </row>
        <row r="274">
          <cell r="CA274" t="str">
            <v>.</v>
          </cell>
        </row>
        <row r="275">
          <cell r="CA275" t="str">
            <v>.</v>
          </cell>
        </row>
        <row r="276">
          <cell r="CA276" t="str">
            <v>.</v>
          </cell>
        </row>
        <row r="277">
          <cell r="CA277" t="str">
            <v>.</v>
          </cell>
        </row>
        <row r="278">
          <cell r="CA278" t="str">
            <v>.</v>
          </cell>
        </row>
        <row r="279">
          <cell r="CA279" t="str">
            <v>.</v>
          </cell>
        </row>
        <row r="280">
          <cell r="CA280" t="str">
            <v>.</v>
          </cell>
        </row>
        <row r="281">
          <cell r="CA281" t="str">
            <v>.</v>
          </cell>
        </row>
        <row r="282">
          <cell r="CA282" t="str">
            <v>.</v>
          </cell>
        </row>
        <row r="283">
          <cell r="CA283" t="str">
            <v>.</v>
          </cell>
        </row>
        <row r="284">
          <cell r="CA284" t="str">
            <v>.</v>
          </cell>
        </row>
        <row r="285">
          <cell r="CA285" t="str">
            <v>.</v>
          </cell>
        </row>
        <row r="286">
          <cell r="CA286" t="str">
            <v>.</v>
          </cell>
        </row>
        <row r="287">
          <cell r="CA287" t="str">
            <v>.</v>
          </cell>
        </row>
        <row r="288">
          <cell r="CA288" t="str">
            <v>.</v>
          </cell>
        </row>
        <row r="289">
          <cell r="CA289" t="str">
            <v>.</v>
          </cell>
        </row>
        <row r="290">
          <cell r="CA290" t="str">
            <v>.</v>
          </cell>
        </row>
        <row r="291">
          <cell r="CA291" t="str">
            <v>.</v>
          </cell>
        </row>
        <row r="292">
          <cell r="CA292" t="str">
            <v>.</v>
          </cell>
        </row>
        <row r="293">
          <cell r="CA293" t="str">
            <v>.</v>
          </cell>
        </row>
        <row r="294">
          <cell r="CA294" t="str">
            <v>.</v>
          </cell>
        </row>
        <row r="295">
          <cell r="CA295" t="str">
            <v>.</v>
          </cell>
        </row>
        <row r="296">
          <cell r="CA296" t="str">
            <v>.</v>
          </cell>
        </row>
        <row r="297">
          <cell r="CA297" t="str">
            <v>.</v>
          </cell>
        </row>
        <row r="298">
          <cell r="CA298" t="str">
            <v>.</v>
          </cell>
        </row>
        <row r="299">
          <cell r="CA299" t="str">
            <v>.</v>
          </cell>
        </row>
        <row r="300">
          <cell r="CA300" t="str">
            <v>.</v>
          </cell>
        </row>
        <row r="301">
          <cell r="CA301" t="str">
            <v>.</v>
          </cell>
        </row>
        <row r="302">
          <cell r="CA302" t="str">
            <v>.</v>
          </cell>
        </row>
        <row r="303">
          <cell r="CA303" t="str">
            <v>.</v>
          </cell>
        </row>
        <row r="304">
          <cell r="CA304" t="str">
            <v>.</v>
          </cell>
        </row>
        <row r="305">
          <cell r="CA305" t="str">
            <v>.</v>
          </cell>
        </row>
        <row r="306">
          <cell r="CA306" t="str">
            <v>.</v>
          </cell>
        </row>
        <row r="307">
          <cell r="CA307" t="str">
            <v>.</v>
          </cell>
        </row>
        <row r="308">
          <cell r="CA308" t="str">
            <v>.</v>
          </cell>
        </row>
        <row r="309">
          <cell r="CA309" t="str">
            <v>.</v>
          </cell>
        </row>
        <row r="310">
          <cell r="CA310" t="str">
            <v>.</v>
          </cell>
        </row>
        <row r="311">
          <cell r="CA311" t="str">
            <v>.</v>
          </cell>
        </row>
        <row r="312">
          <cell r="CA312" t="str">
            <v>.</v>
          </cell>
        </row>
        <row r="313">
          <cell r="CA313" t="str">
            <v>.</v>
          </cell>
        </row>
        <row r="314">
          <cell r="CA314" t="str">
            <v>.</v>
          </cell>
        </row>
        <row r="315">
          <cell r="CA315" t="str">
            <v>.</v>
          </cell>
        </row>
        <row r="316">
          <cell r="CA316" t="str">
            <v>.</v>
          </cell>
        </row>
        <row r="317">
          <cell r="CA317" t="str">
            <v>.</v>
          </cell>
        </row>
        <row r="318">
          <cell r="CA318" t="str">
            <v>.</v>
          </cell>
        </row>
        <row r="319">
          <cell r="CA319" t="str">
            <v>.</v>
          </cell>
        </row>
        <row r="320">
          <cell r="CA320" t="str">
            <v>.</v>
          </cell>
        </row>
        <row r="321">
          <cell r="CA321" t="str">
            <v>.</v>
          </cell>
        </row>
        <row r="322">
          <cell r="CA322" t="str">
            <v>.</v>
          </cell>
        </row>
        <row r="323">
          <cell r="CA323" t="str">
            <v>.</v>
          </cell>
        </row>
        <row r="324">
          <cell r="CA324" t="str">
            <v>.</v>
          </cell>
        </row>
        <row r="325">
          <cell r="CA325" t="str">
            <v>.</v>
          </cell>
        </row>
        <row r="326">
          <cell r="CA326" t="str">
            <v>.</v>
          </cell>
        </row>
        <row r="327">
          <cell r="CA327" t="str">
            <v>.</v>
          </cell>
        </row>
        <row r="328">
          <cell r="CA328" t="str">
            <v>.</v>
          </cell>
        </row>
        <row r="329">
          <cell r="CA329" t="str">
            <v>.</v>
          </cell>
        </row>
        <row r="330">
          <cell r="CA330" t="str">
            <v>.</v>
          </cell>
        </row>
        <row r="331">
          <cell r="CA331" t="str">
            <v>.</v>
          </cell>
        </row>
        <row r="332">
          <cell r="CA332" t="str">
            <v>.</v>
          </cell>
        </row>
        <row r="333">
          <cell r="CA333" t="str">
            <v>.</v>
          </cell>
        </row>
        <row r="334">
          <cell r="CA334" t="str">
            <v>.</v>
          </cell>
        </row>
        <row r="335">
          <cell r="CA335" t="str">
            <v>.</v>
          </cell>
        </row>
        <row r="336">
          <cell r="CA336" t="str">
            <v>.</v>
          </cell>
        </row>
        <row r="337">
          <cell r="CA337" t="str">
            <v>.</v>
          </cell>
        </row>
        <row r="338">
          <cell r="CA338" t="str">
            <v>.</v>
          </cell>
        </row>
        <row r="339">
          <cell r="CA339" t="str">
            <v>.</v>
          </cell>
        </row>
        <row r="340">
          <cell r="CA340" t="str">
            <v>.</v>
          </cell>
        </row>
        <row r="341">
          <cell r="CA341" t="str">
            <v>.</v>
          </cell>
        </row>
        <row r="342">
          <cell r="CA342" t="str">
            <v>.</v>
          </cell>
        </row>
        <row r="343">
          <cell r="CA343" t="str">
            <v>.</v>
          </cell>
        </row>
        <row r="344">
          <cell r="CA344" t="str">
            <v>.</v>
          </cell>
        </row>
        <row r="345">
          <cell r="CA345" t="str">
            <v>.</v>
          </cell>
        </row>
        <row r="346">
          <cell r="CA346" t="str">
            <v>.</v>
          </cell>
        </row>
        <row r="347">
          <cell r="CA347" t="str">
            <v>.</v>
          </cell>
        </row>
        <row r="348">
          <cell r="CA348" t="str">
            <v>.</v>
          </cell>
        </row>
        <row r="349">
          <cell r="CA349" t="str">
            <v>.</v>
          </cell>
        </row>
        <row r="350">
          <cell r="CA350" t="str">
            <v>.</v>
          </cell>
        </row>
        <row r="351">
          <cell r="CA351" t="str">
            <v>.</v>
          </cell>
        </row>
        <row r="352">
          <cell r="CA352" t="str">
            <v>.</v>
          </cell>
        </row>
        <row r="353">
          <cell r="CA353" t="str">
            <v>.</v>
          </cell>
        </row>
        <row r="354">
          <cell r="CA354" t="str">
            <v>.</v>
          </cell>
        </row>
        <row r="355">
          <cell r="CA355" t="str">
            <v>.</v>
          </cell>
        </row>
        <row r="356">
          <cell r="CA356" t="str">
            <v>.</v>
          </cell>
        </row>
        <row r="357">
          <cell r="CA357" t="str">
            <v>.</v>
          </cell>
        </row>
        <row r="358">
          <cell r="CA358" t="str">
            <v>.</v>
          </cell>
        </row>
        <row r="359">
          <cell r="CA359" t="str">
            <v>.</v>
          </cell>
        </row>
        <row r="360">
          <cell r="CA360" t="str">
            <v>.</v>
          </cell>
        </row>
        <row r="361">
          <cell r="CA361" t="str">
            <v>.</v>
          </cell>
        </row>
        <row r="362">
          <cell r="CA362" t="str">
            <v>.</v>
          </cell>
        </row>
        <row r="363">
          <cell r="CA363" t="str">
            <v>.</v>
          </cell>
        </row>
        <row r="364">
          <cell r="CA364" t="str">
            <v>.</v>
          </cell>
        </row>
        <row r="365">
          <cell r="CA365" t="str">
            <v>.</v>
          </cell>
        </row>
        <row r="366">
          <cell r="CA366" t="str">
            <v>.</v>
          </cell>
        </row>
        <row r="367">
          <cell r="CA367" t="str">
            <v>.</v>
          </cell>
        </row>
        <row r="368">
          <cell r="CA368" t="str">
            <v>.</v>
          </cell>
        </row>
        <row r="369">
          <cell r="CA369" t="str">
            <v>.</v>
          </cell>
        </row>
        <row r="370">
          <cell r="CA370" t="str">
            <v>.</v>
          </cell>
        </row>
        <row r="371">
          <cell r="CA371" t="str">
            <v>.</v>
          </cell>
        </row>
        <row r="372">
          <cell r="CA372" t="str">
            <v>.</v>
          </cell>
        </row>
        <row r="373">
          <cell r="CA373" t="str">
            <v>.</v>
          </cell>
        </row>
        <row r="374">
          <cell r="CA374" t="str">
            <v>.</v>
          </cell>
        </row>
        <row r="375">
          <cell r="CA375" t="str">
            <v>.</v>
          </cell>
        </row>
        <row r="376">
          <cell r="CA376" t="str">
            <v>.</v>
          </cell>
        </row>
        <row r="377">
          <cell r="CA377" t="str">
            <v>.</v>
          </cell>
        </row>
        <row r="378">
          <cell r="CA378" t="str">
            <v>.</v>
          </cell>
        </row>
        <row r="379">
          <cell r="CA379" t="str">
            <v>.</v>
          </cell>
        </row>
        <row r="380">
          <cell r="CA380" t="str">
            <v>.</v>
          </cell>
        </row>
        <row r="381">
          <cell r="CA381" t="str">
            <v>.</v>
          </cell>
        </row>
        <row r="382">
          <cell r="CA382" t="str">
            <v>.</v>
          </cell>
        </row>
        <row r="383">
          <cell r="CA383" t="str">
            <v>.</v>
          </cell>
        </row>
        <row r="384">
          <cell r="CA384" t="str">
            <v>.</v>
          </cell>
        </row>
        <row r="385">
          <cell r="CA385" t="str">
            <v>.</v>
          </cell>
        </row>
        <row r="386">
          <cell r="CA386" t="str">
            <v>.</v>
          </cell>
        </row>
        <row r="387">
          <cell r="CA387" t="str">
            <v>.</v>
          </cell>
        </row>
        <row r="388">
          <cell r="CA388" t="str">
            <v>.</v>
          </cell>
        </row>
        <row r="389">
          <cell r="CA389" t="str">
            <v>.</v>
          </cell>
        </row>
        <row r="390">
          <cell r="CA390" t="str">
            <v>.</v>
          </cell>
        </row>
        <row r="391">
          <cell r="CA391" t="str">
            <v>.</v>
          </cell>
        </row>
        <row r="392">
          <cell r="CA392" t="str">
            <v>.</v>
          </cell>
        </row>
        <row r="393">
          <cell r="CA393" t="str">
            <v>.</v>
          </cell>
        </row>
        <row r="394">
          <cell r="CA394" t="str">
            <v>.</v>
          </cell>
        </row>
        <row r="395">
          <cell r="CA395" t="str">
            <v>.</v>
          </cell>
        </row>
        <row r="396">
          <cell r="CA396" t="str">
            <v>.</v>
          </cell>
        </row>
        <row r="397">
          <cell r="CA397" t="str">
            <v>.</v>
          </cell>
        </row>
        <row r="398">
          <cell r="CA398" t="str">
            <v>.</v>
          </cell>
        </row>
        <row r="399">
          <cell r="CA399" t="str">
            <v>.</v>
          </cell>
        </row>
        <row r="400">
          <cell r="CA400" t="str">
            <v>.</v>
          </cell>
        </row>
        <row r="401">
          <cell r="CA401" t="str">
            <v>.</v>
          </cell>
        </row>
        <row r="402">
          <cell r="CA402" t="str">
            <v>.</v>
          </cell>
        </row>
        <row r="403">
          <cell r="CA403" t="str">
            <v>.</v>
          </cell>
        </row>
        <row r="404">
          <cell r="CA404" t="str">
            <v>.</v>
          </cell>
        </row>
        <row r="405">
          <cell r="CA405" t="str">
            <v>.</v>
          </cell>
        </row>
        <row r="406">
          <cell r="CA406" t="str">
            <v>.</v>
          </cell>
        </row>
        <row r="407">
          <cell r="CA407" t="str">
            <v>.</v>
          </cell>
        </row>
        <row r="408">
          <cell r="CA408" t="str">
            <v>.</v>
          </cell>
        </row>
        <row r="409">
          <cell r="CA409" t="str">
            <v>.</v>
          </cell>
        </row>
        <row r="410">
          <cell r="CA410" t="str">
            <v>.</v>
          </cell>
        </row>
        <row r="411">
          <cell r="CA411" t="str">
            <v>.</v>
          </cell>
        </row>
        <row r="412">
          <cell r="CA412" t="str">
            <v>.</v>
          </cell>
        </row>
        <row r="413">
          <cell r="CA413" t="str">
            <v>.</v>
          </cell>
        </row>
        <row r="414">
          <cell r="CA414" t="str">
            <v>.</v>
          </cell>
        </row>
        <row r="415">
          <cell r="CA415" t="str">
            <v>.</v>
          </cell>
        </row>
        <row r="416">
          <cell r="CA416" t="str">
            <v>.</v>
          </cell>
        </row>
        <row r="417">
          <cell r="CA417" t="str">
            <v>.</v>
          </cell>
        </row>
        <row r="418">
          <cell r="CA418" t="str">
            <v>.</v>
          </cell>
        </row>
        <row r="419">
          <cell r="CA419" t="str">
            <v>.</v>
          </cell>
        </row>
        <row r="420">
          <cell r="CA420" t="str">
            <v>.</v>
          </cell>
        </row>
        <row r="421">
          <cell r="CA421" t="str">
            <v>.</v>
          </cell>
        </row>
        <row r="422">
          <cell r="CA422" t="str">
            <v>.</v>
          </cell>
        </row>
        <row r="423">
          <cell r="CA423" t="str">
            <v>.</v>
          </cell>
        </row>
        <row r="424">
          <cell r="CA424" t="str">
            <v>.</v>
          </cell>
        </row>
        <row r="425">
          <cell r="CA425" t="str">
            <v>.</v>
          </cell>
        </row>
        <row r="426">
          <cell r="CA426" t="str">
            <v>.</v>
          </cell>
        </row>
        <row r="427">
          <cell r="CA427" t="str">
            <v>.</v>
          </cell>
        </row>
        <row r="428">
          <cell r="CA428" t="str">
            <v>.</v>
          </cell>
        </row>
        <row r="429">
          <cell r="CA429" t="str">
            <v>.</v>
          </cell>
        </row>
        <row r="430">
          <cell r="CA430" t="str">
            <v>.</v>
          </cell>
        </row>
        <row r="431">
          <cell r="CA431" t="str">
            <v>.</v>
          </cell>
        </row>
        <row r="432">
          <cell r="CA432" t="str">
            <v>.</v>
          </cell>
        </row>
        <row r="433">
          <cell r="CA433" t="str">
            <v>.</v>
          </cell>
        </row>
        <row r="434">
          <cell r="CA434" t="str">
            <v>.</v>
          </cell>
        </row>
        <row r="435">
          <cell r="CA435" t="str">
            <v>.</v>
          </cell>
        </row>
        <row r="436">
          <cell r="CA436" t="str">
            <v>.</v>
          </cell>
        </row>
        <row r="437">
          <cell r="CA437" t="str">
            <v>.</v>
          </cell>
        </row>
        <row r="438">
          <cell r="CA438" t="str">
            <v>.</v>
          </cell>
        </row>
        <row r="439">
          <cell r="CA439" t="str">
            <v>.</v>
          </cell>
        </row>
        <row r="440">
          <cell r="CA440" t="str">
            <v>.</v>
          </cell>
        </row>
        <row r="441">
          <cell r="CA441" t="str">
            <v>.</v>
          </cell>
        </row>
        <row r="442">
          <cell r="CA442" t="str">
            <v>.</v>
          </cell>
        </row>
        <row r="443">
          <cell r="CA443" t="str">
            <v>.</v>
          </cell>
        </row>
        <row r="444">
          <cell r="CA444" t="str">
            <v>.</v>
          </cell>
        </row>
        <row r="445">
          <cell r="CA445" t="str">
            <v>.</v>
          </cell>
        </row>
        <row r="446">
          <cell r="CA446" t="str">
            <v>.</v>
          </cell>
        </row>
        <row r="447">
          <cell r="CA447" t="str">
            <v>.</v>
          </cell>
        </row>
        <row r="448">
          <cell r="CA448" t="str">
            <v>.</v>
          </cell>
        </row>
        <row r="449">
          <cell r="CA449" t="str">
            <v>.</v>
          </cell>
        </row>
        <row r="450">
          <cell r="CA450" t="str">
            <v>.</v>
          </cell>
        </row>
        <row r="451">
          <cell r="CA451" t="str">
            <v>.</v>
          </cell>
        </row>
        <row r="452">
          <cell r="CA452" t="str">
            <v>.</v>
          </cell>
        </row>
        <row r="453">
          <cell r="CA453" t="str">
            <v>.</v>
          </cell>
        </row>
        <row r="454">
          <cell r="CA454" t="str">
            <v>.</v>
          </cell>
        </row>
        <row r="455">
          <cell r="CA455" t="str">
            <v>.</v>
          </cell>
        </row>
        <row r="456">
          <cell r="CA456" t="str">
            <v>.</v>
          </cell>
        </row>
        <row r="457">
          <cell r="CA457" t="str">
            <v>.</v>
          </cell>
        </row>
        <row r="458">
          <cell r="CA458" t="str">
            <v>.</v>
          </cell>
        </row>
        <row r="459">
          <cell r="CA459" t="str">
            <v>.</v>
          </cell>
        </row>
        <row r="460">
          <cell r="CA460" t="str">
            <v>.</v>
          </cell>
        </row>
        <row r="461">
          <cell r="CA461" t="str">
            <v>.</v>
          </cell>
        </row>
        <row r="462">
          <cell r="CA462" t="str">
            <v>.</v>
          </cell>
        </row>
        <row r="463">
          <cell r="CA463" t="str">
            <v>.</v>
          </cell>
        </row>
        <row r="464">
          <cell r="CA464" t="str">
            <v>.</v>
          </cell>
        </row>
        <row r="465">
          <cell r="CA465" t="str">
            <v>.</v>
          </cell>
        </row>
        <row r="466">
          <cell r="CA466" t="str">
            <v>.</v>
          </cell>
        </row>
        <row r="467">
          <cell r="CA467" t="str">
            <v>.</v>
          </cell>
        </row>
        <row r="468">
          <cell r="CA468" t="str">
            <v>.</v>
          </cell>
        </row>
        <row r="469">
          <cell r="CA469" t="str">
            <v>.</v>
          </cell>
        </row>
        <row r="470">
          <cell r="CA470" t="str">
            <v>.</v>
          </cell>
        </row>
        <row r="471">
          <cell r="CA471" t="str">
            <v>.</v>
          </cell>
        </row>
        <row r="472">
          <cell r="CA472" t="str">
            <v>.</v>
          </cell>
        </row>
        <row r="473">
          <cell r="CA473" t="str">
            <v>.</v>
          </cell>
        </row>
        <row r="474">
          <cell r="CA474" t="str">
            <v>.</v>
          </cell>
        </row>
        <row r="475">
          <cell r="CA475" t="str">
            <v>.</v>
          </cell>
        </row>
        <row r="476">
          <cell r="CA476" t="str">
            <v>.</v>
          </cell>
        </row>
        <row r="477">
          <cell r="CA477" t="str">
            <v>.</v>
          </cell>
        </row>
        <row r="478">
          <cell r="CA478" t="str">
            <v>.</v>
          </cell>
        </row>
        <row r="479">
          <cell r="CA479" t="str">
            <v>.</v>
          </cell>
        </row>
        <row r="480">
          <cell r="CA480" t="str">
            <v>.</v>
          </cell>
        </row>
        <row r="481">
          <cell r="CA481" t="str">
            <v>.</v>
          </cell>
        </row>
        <row r="482">
          <cell r="CA482" t="str">
            <v>.</v>
          </cell>
        </row>
        <row r="483">
          <cell r="CA483" t="str">
            <v>.</v>
          </cell>
        </row>
        <row r="484">
          <cell r="CA484" t="str">
            <v>.</v>
          </cell>
        </row>
        <row r="485">
          <cell r="CA485" t="str">
            <v>.</v>
          </cell>
        </row>
        <row r="486">
          <cell r="CA486" t="str">
            <v>.</v>
          </cell>
        </row>
        <row r="487">
          <cell r="CA487" t="str">
            <v>.</v>
          </cell>
        </row>
        <row r="488">
          <cell r="CA488" t="str">
            <v>.</v>
          </cell>
        </row>
        <row r="489">
          <cell r="CA489" t="str">
            <v>.</v>
          </cell>
        </row>
        <row r="490">
          <cell r="CA490" t="str">
            <v>.</v>
          </cell>
        </row>
        <row r="491">
          <cell r="CA491" t="str">
            <v>.</v>
          </cell>
        </row>
        <row r="492">
          <cell r="CA492" t="str">
            <v>.</v>
          </cell>
        </row>
        <row r="493">
          <cell r="CA493" t="str">
            <v>.</v>
          </cell>
        </row>
        <row r="494">
          <cell r="CA494" t="str">
            <v>.</v>
          </cell>
        </row>
        <row r="495">
          <cell r="CA495" t="str">
            <v>.</v>
          </cell>
        </row>
        <row r="496">
          <cell r="CA496" t="str">
            <v>.</v>
          </cell>
        </row>
        <row r="497">
          <cell r="CA497" t="str">
            <v>.</v>
          </cell>
        </row>
        <row r="498">
          <cell r="CA498" t="str">
            <v>.</v>
          </cell>
        </row>
        <row r="499">
          <cell r="CA499" t="str">
            <v>.</v>
          </cell>
        </row>
        <row r="500">
          <cell r="CA500" t="str">
            <v>.</v>
          </cell>
        </row>
        <row r="501">
          <cell r="CA501" t="str">
            <v>.</v>
          </cell>
        </row>
        <row r="502">
          <cell r="CA502" t="str">
            <v>.</v>
          </cell>
        </row>
        <row r="503">
          <cell r="CA503" t="str">
            <v>.</v>
          </cell>
        </row>
        <row r="504">
          <cell r="CA504" t="str">
            <v>.</v>
          </cell>
        </row>
        <row r="505">
          <cell r="CA505" t="str">
            <v>.</v>
          </cell>
        </row>
        <row r="506">
          <cell r="CA506" t="str">
            <v>.</v>
          </cell>
        </row>
        <row r="507">
          <cell r="CA507" t="str">
            <v>.</v>
          </cell>
        </row>
        <row r="508">
          <cell r="CA508" t="str">
            <v>.</v>
          </cell>
        </row>
        <row r="509">
          <cell r="CA509" t="str">
            <v>.</v>
          </cell>
        </row>
        <row r="510">
          <cell r="CA510" t="str">
            <v>.</v>
          </cell>
        </row>
        <row r="511">
          <cell r="CA511" t="str">
            <v>.</v>
          </cell>
        </row>
        <row r="512">
          <cell r="CA512" t="str">
            <v>.</v>
          </cell>
        </row>
        <row r="513">
          <cell r="CA513" t="str">
            <v>.</v>
          </cell>
        </row>
        <row r="514">
          <cell r="CA514" t="str">
            <v>.</v>
          </cell>
        </row>
        <row r="515">
          <cell r="CA515" t="str">
            <v>.</v>
          </cell>
        </row>
        <row r="516">
          <cell r="CA516" t="str">
            <v>.</v>
          </cell>
        </row>
        <row r="517">
          <cell r="CA517" t="str">
            <v>.</v>
          </cell>
        </row>
        <row r="518">
          <cell r="CA518" t="str">
            <v>.</v>
          </cell>
        </row>
        <row r="519">
          <cell r="CA519" t="str">
            <v>.</v>
          </cell>
        </row>
        <row r="520">
          <cell r="CA520" t="str">
            <v>.</v>
          </cell>
        </row>
        <row r="521">
          <cell r="CA521" t="str">
            <v>.</v>
          </cell>
        </row>
        <row r="522">
          <cell r="CA522" t="str">
            <v>.</v>
          </cell>
        </row>
        <row r="523">
          <cell r="CA523" t="str">
            <v>.</v>
          </cell>
        </row>
        <row r="524">
          <cell r="CA524" t="str">
            <v>.</v>
          </cell>
        </row>
        <row r="525">
          <cell r="CA525" t="str">
            <v>.</v>
          </cell>
        </row>
        <row r="526">
          <cell r="CA526" t="str">
            <v>.</v>
          </cell>
        </row>
        <row r="527">
          <cell r="CA527" t="str">
            <v>.</v>
          </cell>
        </row>
        <row r="528">
          <cell r="CA528" t="str">
            <v>.</v>
          </cell>
        </row>
        <row r="529">
          <cell r="CA529" t="str">
            <v>.</v>
          </cell>
        </row>
        <row r="530">
          <cell r="CA530" t="str">
            <v>.</v>
          </cell>
        </row>
        <row r="531">
          <cell r="CA531" t="str">
            <v>.</v>
          </cell>
        </row>
        <row r="532">
          <cell r="CA532" t="str">
            <v>.</v>
          </cell>
        </row>
        <row r="533">
          <cell r="CA533" t="str">
            <v>.</v>
          </cell>
        </row>
        <row r="534">
          <cell r="CA534" t="str">
            <v>.</v>
          </cell>
        </row>
        <row r="535">
          <cell r="CA535" t="str">
            <v>.</v>
          </cell>
        </row>
        <row r="536">
          <cell r="CA536" t="str">
            <v>.</v>
          </cell>
        </row>
        <row r="537">
          <cell r="CA537" t="str">
            <v>.</v>
          </cell>
        </row>
        <row r="538">
          <cell r="CA538" t="str">
            <v>.</v>
          </cell>
        </row>
        <row r="539">
          <cell r="CA539" t="str">
            <v>.</v>
          </cell>
        </row>
        <row r="540">
          <cell r="CA540" t="str">
            <v>.</v>
          </cell>
        </row>
        <row r="541">
          <cell r="CA541" t="str">
            <v>.</v>
          </cell>
        </row>
        <row r="542">
          <cell r="CA542" t="str">
            <v>.</v>
          </cell>
        </row>
        <row r="543">
          <cell r="CA543" t="str">
            <v>.</v>
          </cell>
        </row>
        <row r="544">
          <cell r="CA544" t="str">
            <v>.</v>
          </cell>
        </row>
        <row r="545">
          <cell r="CA545" t="str">
            <v>.</v>
          </cell>
        </row>
        <row r="546">
          <cell r="CA546" t="str">
            <v>.</v>
          </cell>
        </row>
        <row r="547">
          <cell r="CA547" t="str">
            <v>.</v>
          </cell>
        </row>
        <row r="548">
          <cell r="CA548" t="str">
            <v>.</v>
          </cell>
        </row>
        <row r="549">
          <cell r="CA549" t="str">
            <v>.</v>
          </cell>
        </row>
        <row r="550">
          <cell r="CA550" t="str">
            <v>.</v>
          </cell>
        </row>
        <row r="551">
          <cell r="CA551" t="str">
            <v>.</v>
          </cell>
        </row>
        <row r="552">
          <cell r="CA552" t="str">
            <v>.</v>
          </cell>
        </row>
        <row r="553">
          <cell r="CA553" t="str">
            <v>.</v>
          </cell>
        </row>
        <row r="554">
          <cell r="CA554" t="str">
            <v>.</v>
          </cell>
        </row>
        <row r="555">
          <cell r="CA555" t="str">
            <v>.</v>
          </cell>
        </row>
        <row r="556">
          <cell r="CA556" t="str">
            <v>.</v>
          </cell>
        </row>
        <row r="557">
          <cell r="CA557" t="str">
            <v>.</v>
          </cell>
        </row>
        <row r="558">
          <cell r="CA558" t="str">
            <v>.</v>
          </cell>
        </row>
        <row r="559">
          <cell r="CA559" t="str">
            <v>.</v>
          </cell>
        </row>
        <row r="560">
          <cell r="CA560" t="str">
            <v>.</v>
          </cell>
        </row>
        <row r="561">
          <cell r="CA561" t="str">
            <v>.</v>
          </cell>
        </row>
        <row r="562">
          <cell r="CA562" t="str">
            <v>.</v>
          </cell>
        </row>
        <row r="563">
          <cell r="CA563" t="str">
            <v>.</v>
          </cell>
        </row>
        <row r="564">
          <cell r="CA564" t="str">
            <v>.</v>
          </cell>
        </row>
        <row r="565">
          <cell r="CA565" t="str">
            <v>.</v>
          </cell>
        </row>
        <row r="566">
          <cell r="CA566" t="str">
            <v>.</v>
          </cell>
        </row>
        <row r="567">
          <cell r="CA567" t="str">
            <v>.</v>
          </cell>
        </row>
        <row r="568">
          <cell r="CA568" t="str">
            <v>.</v>
          </cell>
        </row>
        <row r="569">
          <cell r="CA569" t="str">
            <v>.</v>
          </cell>
        </row>
        <row r="570">
          <cell r="CA570" t="str">
            <v>.</v>
          </cell>
        </row>
        <row r="571">
          <cell r="CA571" t="str">
            <v>.</v>
          </cell>
        </row>
        <row r="572">
          <cell r="CA572" t="str">
            <v>.</v>
          </cell>
        </row>
        <row r="573">
          <cell r="CA573" t="str">
            <v>.</v>
          </cell>
        </row>
        <row r="574">
          <cell r="CA574" t="str">
            <v>.</v>
          </cell>
        </row>
        <row r="575">
          <cell r="CA575" t="str">
            <v>.</v>
          </cell>
        </row>
        <row r="576">
          <cell r="CA576" t="str">
            <v>.</v>
          </cell>
        </row>
        <row r="577">
          <cell r="CA577" t="str">
            <v>.</v>
          </cell>
        </row>
        <row r="578">
          <cell r="CA578" t="str">
            <v>.</v>
          </cell>
        </row>
        <row r="579">
          <cell r="CA579" t="str">
            <v>.</v>
          </cell>
        </row>
        <row r="580">
          <cell r="CA580" t="str">
            <v>.</v>
          </cell>
        </row>
        <row r="581">
          <cell r="CA581" t="str">
            <v>.</v>
          </cell>
        </row>
        <row r="582">
          <cell r="CA582" t="str">
            <v>.</v>
          </cell>
        </row>
        <row r="583">
          <cell r="CA583" t="str">
            <v>.</v>
          </cell>
        </row>
        <row r="584">
          <cell r="CA584" t="str">
            <v>.</v>
          </cell>
        </row>
        <row r="585">
          <cell r="CA585" t="str">
            <v>.</v>
          </cell>
        </row>
        <row r="586">
          <cell r="CA586" t="str">
            <v>.</v>
          </cell>
        </row>
        <row r="587">
          <cell r="CA587" t="str">
            <v>.</v>
          </cell>
        </row>
        <row r="588">
          <cell r="CA588" t="str">
            <v>.</v>
          </cell>
        </row>
        <row r="589">
          <cell r="CA589" t="str">
            <v>.</v>
          </cell>
        </row>
        <row r="590">
          <cell r="CA590" t="str">
            <v>.</v>
          </cell>
        </row>
        <row r="591">
          <cell r="CA591" t="str">
            <v>.</v>
          </cell>
        </row>
        <row r="592">
          <cell r="CA592" t="str">
            <v>.</v>
          </cell>
        </row>
        <row r="593">
          <cell r="CA593" t="str">
            <v>.</v>
          </cell>
        </row>
        <row r="594">
          <cell r="CA594" t="str">
            <v>.</v>
          </cell>
        </row>
        <row r="595">
          <cell r="CA595" t="str">
            <v>.</v>
          </cell>
        </row>
        <row r="596">
          <cell r="CA596" t="str">
            <v>.</v>
          </cell>
        </row>
        <row r="597">
          <cell r="CA597" t="str">
            <v>.</v>
          </cell>
        </row>
        <row r="598">
          <cell r="CA598" t="str">
            <v>.</v>
          </cell>
        </row>
        <row r="599">
          <cell r="CA599" t="str">
            <v>.</v>
          </cell>
        </row>
        <row r="600">
          <cell r="CA600" t="str">
            <v>.</v>
          </cell>
        </row>
        <row r="601">
          <cell r="CA601" t="str">
            <v>.</v>
          </cell>
        </row>
        <row r="602">
          <cell r="CA602" t="str">
            <v>.</v>
          </cell>
        </row>
        <row r="603">
          <cell r="CA603" t="str">
            <v>.</v>
          </cell>
        </row>
        <row r="604">
          <cell r="CA604" t="str">
            <v>.</v>
          </cell>
        </row>
        <row r="605">
          <cell r="CA605" t="str">
            <v>.</v>
          </cell>
        </row>
        <row r="606">
          <cell r="CA606" t="str">
            <v>.</v>
          </cell>
        </row>
        <row r="607">
          <cell r="CA607" t="str">
            <v>.</v>
          </cell>
        </row>
        <row r="608">
          <cell r="CA608" t="str">
            <v>.</v>
          </cell>
        </row>
        <row r="609">
          <cell r="CA609" t="str">
            <v>.</v>
          </cell>
        </row>
        <row r="610">
          <cell r="CA610" t="str">
            <v>.</v>
          </cell>
        </row>
        <row r="611">
          <cell r="CA611" t="str">
            <v>.</v>
          </cell>
        </row>
        <row r="612">
          <cell r="CA612" t="str">
            <v>.</v>
          </cell>
        </row>
        <row r="613">
          <cell r="CA613" t="str">
            <v>.</v>
          </cell>
        </row>
        <row r="614">
          <cell r="CA614" t="str">
            <v>.</v>
          </cell>
        </row>
        <row r="615">
          <cell r="CA615" t="str">
            <v>.</v>
          </cell>
        </row>
        <row r="616">
          <cell r="CA616" t="str">
            <v>.</v>
          </cell>
        </row>
        <row r="617">
          <cell r="CA617" t="str">
            <v>.</v>
          </cell>
        </row>
        <row r="618">
          <cell r="CA618" t="str">
            <v>.</v>
          </cell>
        </row>
        <row r="619">
          <cell r="CA619" t="str">
            <v>.</v>
          </cell>
        </row>
        <row r="620">
          <cell r="CA620" t="str">
            <v>.</v>
          </cell>
        </row>
        <row r="621">
          <cell r="CA621" t="str">
            <v>.</v>
          </cell>
        </row>
        <row r="622">
          <cell r="CA622" t="str">
            <v>.</v>
          </cell>
        </row>
        <row r="623">
          <cell r="CA623" t="str">
            <v>.</v>
          </cell>
        </row>
        <row r="624">
          <cell r="CA624" t="str">
            <v>.</v>
          </cell>
        </row>
        <row r="625">
          <cell r="CA625" t="str">
            <v>.</v>
          </cell>
        </row>
        <row r="626">
          <cell r="CA626" t="str">
            <v>.</v>
          </cell>
        </row>
        <row r="627">
          <cell r="CA627" t="str">
            <v>.</v>
          </cell>
        </row>
        <row r="628">
          <cell r="CA628" t="str">
            <v>.</v>
          </cell>
        </row>
        <row r="629">
          <cell r="CA629" t="str">
            <v>.</v>
          </cell>
        </row>
        <row r="630">
          <cell r="CA630" t="str">
            <v>.</v>
          </cell>
        </row>
        <row r="631">
          <cell r="CA631" t="str">
            <v>.</v>
          </cell>
        </row>
        <row r="632">
          <cell r="CA632" t="str">
            <v>.</v>
          </cell>
        </row>
        <row r="633">
          <cell r="CA633" t="str">
            <v>.</v>
          </cell>
        </row>
        <row r="634">
          <cell r="CA634" t="str">
            <v>.</v>
          </cell>
        </row>
        <row r="635">
          <cell r="CA635" t="str">
            <v>.</v>
          </cell>
        </row>
        <row r="636">
          <cell r="CA636" t="str">
            <v>.</v>
          </cell>
        </row>
        <row r="637">
          <cell r="CA637" t="str">
            <v>.</v>
          </cell>
        </row>
        <row r="638">
          <cell r="CA638" t="str">
            <v>.</v>
          </cell>
        </row>
        <row r="639">
          <cell r="CA639" t="str">
            <v>.</v>
          </cell>
        </row>
        <row r="640">
          <cell r="CA640" t="str">
            <v>.</v>
          </cell>
        </row>
        <row r="641">
          <cell r="CA641" t="str">
            <v>.</v>
          </cell>
        </row>
        <row r="642">
          <cell r="CA642" t="str">
            <v>.</v>
          </cell>
        </row>
        <row r="643">
          <cell r="CA643" t="str">
            <v>.</v>
          </cell>
        </row>
        <row r="644">
          <cell r="CA644" t="str">
            <v>.</v>
          </cell>
        </row>
        <row r="645">
          <cell r="CA645" t="str">
            <v>.</v>
          </cell>
        </row>
        <row r="646">
          <cell r="CA646" t="str">
            <v>.</v>
          </cell>
        </row>
        <row r="647">
          <cell r="CA647" t="str">
            <v>.</v>
          </cell>
        </row>
        <row r="648">
          <cell r="CA648" t="str">
            <v>.</v>
          </cell>
        </row>
        <row r="649">
          <cell r="CA649" t="str">
            <v>.</v>
          </cell>
        </row>
        <row r="650">
          <cell r="CA650" t="str">
            <v>.</v>
          </cell>
        </row>
        <row r="651">
          <cell r="CA651" t="str">
            <v>.</v>
          </cell>
        </row>
        <row r="652">
          <cell r="CA652" t="str">
            <v>.</v>
          </cell>
        </row>
        <row r="653">
          <cell r="CA653" t="str">
            <v>.</v>
          </cell>
        </row>
        <row r="654">
          <cell r="CA654" t="str">
            <v>.</v>
          </cell>
        </row>
        <row r="655">
          <cell r="CA655" t="str">
            <v>.</v>
          </cell>
        </row>
        <row r="656">
          <cell r="CA656" t="str">
            <v>.</v>
          </cell>
        </row>
        <row r="657">
          <cell r="CA657" t="str">
            <v>.</v>
          </cell>
        </row>
        <row r="658">
          <cell r="CA658" t="str">
            <v>.</v>
          </cell>
        </row>
        <row r="659">
          <cell r="CA659" t="str">
            <v>.</v>
          </cell>
        </row>
        <row r="660">
          <cell r="CA660" t="str">
            <v>.</v>
          </cell>
        </row>
        <row r="661">
          <cell r="CA661" t="str">
            <v>.</v>
          </cell>
        </row>
        <row r="662">
          <cell r="CA662" t="str">
            <v>.</v>
          </cell>
        </row>
        <row r="663">
          <cell r="CA663" t="str">
            <v>.</v>
          </cell>
        </row>
        <row r="664">
          <cell r="CA664" t="str">
            <v>.</v>
          </cell>
        </row>
        <row r="665">
          <cell r="CA665" t="str">
            <v>.</v>
          </cell>
        </row>
        <row r="666">
          <cell r="CA666" t="str">
            <v>.</v>
          </cell>
        </row>
        <row r="667">
          <cell r="CA667" t="str">
            <v>.</v>
          </cell>
        </row>
        <row r="668">
          <cell r="CA668" t="str">
            <v>.</v>
          </cell>
        </row>
        <row r="669">
          <cell r="CA669" t="str">
            <v>.</v>
          </cell>
        </row>
        <row r="670">
          <cell r="CA670" t="str">
            <v>.</v>
          </cell>
        </row>
        <row r="671">
          <cell r="CA671" t="str">
            <v>.</v>
          </cell>
        </row>
        <row r="672">
          <cell r="CA672" t="str">
            <v>.</v>
          </cell>
        </row>
        <row r="673">
          <cell r="CA673" t="str">
            <v>.</v>
          </cell>
        </row>
        <row r="674">
          <cell r="CA674" t="str">
            <v>.</v>
          </cell>
        </row>
        <row r="675">
          <cell r="CA675" t="str">
            <v>.</v>
          </cell>
        </row>
        <row r="676">
          <cell r="CA676" t="str">
            <v>.</v>
          </cell>
        </row>
        <row r="677">
          <cell r="CA677" t="str">
            <v>.</v>
          </cell>
        </row>
        <row r="678">
          <cell r="CA678" t="str">
            <v>.</v>
          </cell>
        </row>
        <row r="679">
          <cell r="CA679" t="str">
            <v>.</v>
          </cell>
        </row>
        <row r="680">
          <cell r="CA680" t="str">
            <v>.</v>
          </cell>
        </row>
        <row r="681">
          <cell r="CA681" t="str">
            <v>.</v>
          </cell>
        </row>
        <row r="682">
          <cell r="CA682" t="str">
            <v>.</v>
          </cell>
        </row>
        <row r="683">
          <cell r="CA683" t="str">
            <v>.</v>
          </cell>
        </row>
        <row r="684">
          <cell r="CA684" t="str">
            <v>.</v>
          </cell>
        </row>
        <row r="685">
          <cell r="CA685" t="str">
            <v>.</v>
          </cell>
        </row>
        <row r="686">
          <cell r="CA686" t="str">
            <v>.</v>
          </cell>
        </row>
        <row r="687">
          <cell r="CA687" t="str">
            <v>.</v>
          </cell>
        </row>
        <row r="688">
          <cell r="CA688" t="str">
            <v>.</v>
          </cell>
        </row>
        <row r="689">
          <cell r="CA689" t="str">
            <v>.</v>
          </cell>
        </row>
        <row r="690">
          <cell r="CA690" t="str">
            <v>.</v>
          </cell>
        </row>
        <row r="691">
          <cell r="CA691" t="str">
            <v>.</v>
          </cell>
        </row>
        <row r="692">
          <cell r="CA692" t="str">
            <v>.</v>
          </cell>
        </row>
        <row r="693">
          <cell r="CA693" t="str">
            <v>.</v>
          </cell>
        </row>
        <row r="694">
          <cell r="CA694" t="str">
            <v>.</v>
          </cell>
        </row>
        <row r="695">
          <cell r="CA695" t="str">
            <v>.</v>
          </cell>
        </row>
        <row r="696">
          <cell r="CA696" t="str">
            <v>.</v>
          </cell>
        </row>
        <row r="697">
          <cell r="CA697" t="str">
            <v>.</v>
          </cell>
        </row>
        <row r="698">
          <cell r="CA698" t="str">
            <v>.</v>
          </cell>
        </row>
        <row r="699">
          <cell r="CA699" t="str">
            <v>.</v>
          </cell>
        </row>
        <row r="700">
          <cell r="CA700" t="str">
            <v>.</v>
          </cell>
        </row>
        <row r="701">
          <cell r="CA701" t="str">
            <v>.</v>
          </cell>
        </row>
        <row r="702">
          <cell r="CA702" t="str">
            <v>.</v>
          </cell>
        </row>
        <row r="703">
          <cell r="CA703" t="str">
            <v>.</v>
          </cell>
        </row>
        <row r="704">
          <cell r="CA704" t="str">
            <v>.</v>
          </cell>
        </row>
        <row r="705">
          <cell r="CA705" t="str">
            <v>.</v>
          </cell>
        </row>
        <row r="706">
          <cell r="CA706" t="str">
            <v>.</v>
          </cell>
        </row>
        <row r="707">
          <cell r="CA707" t="str">
            <v>.</v>
          </cell>
        </row>
        <row r="708">
          <cell r="CA708" t="str">
            <v>.</v>
          </cell>
        </row>
        <row r="709">
          <cell r="CA709" t="str">
            <v>.</v>
          </cell>
        </row>
        <row r="710">
          <cell r="CA710" t="str">
            <v>.</v>
          </cell>
        </row>
        <row r="711">
          <cell r="CA711" t="str">
            <v>.</v>
          </cell>
        </row>
        <row r="712">
          <cell r="CA712" t="str">
            <v>.</v>
          </cell>
        </row>
        <row r="713">
          <cell r="CA713" t="str">
            <v>.</v>
          </cell>
        </row>
        <row r="714">
          <cell r="CA714" t="str">
            <v>.</v>
          </cell>
        </row>
        <row r="715">
          <cell r="CA715" t="str">
            <v>.</v>
          </cell>
        </row>
        <row r="716">
          <cell r="CA716" t="str">
            <v>.</v>
          </cell>
        </row>
        <row r="717">
          <cell r="CA717" t="str">
            <v>.</v>
          </cell>
        </row>
        <row r="718">
          <cell r="CA718" t="str">
            <v>.</v>
          </cell>
        </row>
        <row r="719">
          <cell r="CA719" t="str">
            <v>.</v>
          </cell>
        </row>
        <row r="720">
          <cell r="CA720" t="str">
            <v>.</v>
          </cell>
        </row>
        <row r="721">
          <cell r="CA721" t="str">
            <v>.</v>
          </cell>
        </row>
        <row r="722">
          <cell r="CA722" t="str">
            <v>.</v>
          </cell>
        </row>
        <row r="723">
          <cell r="CA723" t="str">
            <v>.</v>
          </cell>
        </row>
        <row r="724">
          <cell r="CA724" t="str">
            <v>.</v>
          </cell>
        </row>
        <row r="725">
          <cell r="CA725" t="str">
            <v>.</v>
          </cell>
        </row>
        <row r="726">
          <cell r="CA726" t="str">
            <v>.</v>
          </cell>
        </row>
        <row r="727">
          <cell r="CA727" t="str">
            <v>.</v>
          </cell>
        </row>
        <row r="728">
          <cell r="CA728" t="str">
            <v>.</v>
          </cell>
        </row>
        <row r="729">
          <cell r="CA729" t="str">
            <v>.</v>
          </cell>
        </row>
        <row r="730">
          <cell r="CA730" t="str">
            <v>.</v>
          </cell>
        </row>
        <row r="731">
          <cell r="CA731" t="str">
            <v>.</v>
          </cell>
        </row>
        <row r="732">
          <cell r="CA732" t="str">
            <v>.</v>
          </cell>
        </row>
        <row r="733">
          <cell r="CA733" t="str">
            <v>.</v>
          </cell>
        </row>
        <row r="734">
          <cell r="CA734" t="str">
            <v>.</v>
          </cell>
        </row>
        <row r="735">
          <cell r="CA735" t="str">
            <v>.</v>
          </cell>
        </row>
        <row r="736">
          <cell r="CA736" t="str">
            <v>.</v>
          </cell>
        </row>
        <row r="737">
          <cell r="CA737" t="str">
            <v>.</v>
          </cell>
        </row>
        <row r="738">
          <cell r="CA738" t="str">
            <v>.</v>
          </cell>
        </row>
        <row r="739">
          <cell r="CA739" t="str">
            <v>.</v>
          </cell>
        </row>
        <row r="740">
          <cell r="CA740" t="str">
            <v>.</v>
          </cell>
        </row>
        <row r="741">
          <cell r="CA741" t="str">
            <v>.</v>
          </cell>
        </row>
        <row r="742">
          <cell r="CA742" t="str">
            <v>.</v>
          </cell>
        </row>
        <row r="743">
          <cell r="CA743" t="str">
            <v>.</v>
          </cell>
        </row>
        <row r="744">
          <cell r="CA744" t="str">
            <v>.</v>
          </cell>
        </row>
        <row r="745">
          <cell r="CA745" t="str">
            <v>.</v>
          </cell>
        </row>
        <row r="746">
          <cell r="CA746" t="str">
            <v>.</v>
          </cell>
        </row>
        <row r="747">
          <cell r="CA747" t="str">
            <v>.</v>
          </cell>
        </row>
        <row r="748">
          <cell r="CA748" t="str">
            <v>.</v>
          </cell>
        </row>
        <row r="749">
          <cell r="CA749" t="str">
            <v>.</v>
          </cell>
        </row>
        <row r="750">
          <cell r="CA750" t="str">
            <v>.</v>
          </cell>
        </row>
        <row r="751">
          <cell r="CA751" t="str">
            <v>.</v>
          </cell>
        </row>
        <row r="752">
          <cell r="CA752" t="str">
            <v>.</v>
          </cell>
        </row>
        <row r="753">
          <cell r="CA753" t="str">
            <v>.</v>
          </cell>
        </row>
        <row r="754">
          <cell r="CA754" t="str">
            <v>.</v>
          </cell>
        </row>
        <row r="755">
          <cell r="CA755" t="str">
            <v>.</v>
          </cell>
        </row>
        <row r="756">
          <cell r="CA756" t="str">
            <v>.</v>
          </cell>
        </row>
        <row r="757">
          <cell r="CA757" t="str">
            <v>.</v>
          </cell>
        </row>
        <row r="758">
          <cell r="CA758" t="str">
            <v>.</v>
          </cell>
        </row>
        <row r="759">
          <cell r="CA759" t="str">
            <v>.</v>
          </cell>
        </row>
        <row r="760">
          <cell r="CA760" t="str">
            <v>.</v>
          </cell>
        </row>
        <row r="761">
          <cell r="CA761" t="str">
            <v>.</v>
          </cell>
        </row>
        <row r="762">
          <cell r="CA762" t="str">
            <v>.</v>
          </cell>
        </row>
        <row r="763">
          <cell r="CA763" t="str">
            <v>.</v>
          </cell>
        </row>
        <row r="764">
          <cell r="CA764" t="str">
            <v>.</v>
          </cell>
        </row>
        <row r="765">
          <cell r="CA765" t="str">
            <v>.</v>
          </cell>
        </row>
        <row r="766">
          <cell r="CA766" t="str">
            <v>.</v>
          </cell>
        </row>
        <row r="767">
          <cell r="CA767" t="str">
            <v>.</v>
          </cell>
        </row>
        <row r="768">
          <cell r="CA768" t="str">
            <v>.</v>
          </cell>
        </row>
        <row r="769">
          <cell r="CA769" t="str">
            <v>.</v>
          </cell>
        </row>
        <row r="770">
          <cell r="CA770" t="str">
            <v>.</v>
          </cell>
        </row>
        <row r="771">
          <cell r="CA771" t="str">
            <v>.</v>
          </cell>
        </row>
        <row r="772">
          <cell r="CA772" t="str">
            <v>.</v>
          </cell>
        </row>
        <row r="773">
          <cell r="CA773" t="str">
            <v>.</v>
          </cell>
        </row>
        <row r="774">
          <cell r="CA774" t="str">
            <v>.</v>
          </cell>
        </row>
        <row r="775">
          <cell r="CA775" t="str">
            <v>.</v>
          </cell>
        </row>
        <row r="776">
          <cell r="CA776" t="str">
            <v>.</v>
          </cell>
        </row>
        <row r="777">
          <cell r="CA777" t="str">
            <v>.</v>
          </cell>
        </row>
        <row r="778">
          <cell r="CA778" t="str">
            <v>.</v>
          </cell>
        </row>
        <row r="779">
          <cell r="CA779" t="str">
            <v>.</v>
          </cell>
        </row>
        <row r="780">
          <cell r="CA780" t="str">
            <v>.</v>
          </cell>
        </row>
        <row r="781">
          <cell r="CA781" t="str">
            <v>.</v>
          </cell>
        </row>
        <row r="782">
          <cell r="CA782" t="str">
            <v>.</v>
          </cell>
        </row>
        <row r="783">
          <cell r="CA783" t="str">
            <v>.</v>
          </cell>
        </row>
        <row r="784">
          <cell r="CA784" t="str">
            <v>.</v>
          </cell>
        </row>
        <row r="785">
          <cell r="CA785" t="str">
            <v>.</v>
          </cell>
        </row>
        <row r="786">
          <cell r="CA786" t="str">
            <v>.</v>
          </cell>
        </row>
        <row r="787">
          <cell r="CA787" t="str">
            <v>.</v>
          </cell>
        </row>
        <row r="788">
          <cell r="CA788" t="str">
            <v>.</v>
          </cell>
        </row>
        <row r="789">
          <cell r="CA789" t="str">
            <v>.</v>
          </cell>
        </row>
        <row r="790">
          <cell r="CA790" t="str">
            <v>.</v>
          </cell>
        </row>
        <row r="791">
          <cell r="CA791" t="str">
            <v>.</v>
          </cell>
        </row>
        <row r="792">
          <cell r="CA792" t="str">
            <v>.</v>
          </cell>
        </row>
        <row r="793">
          <cell r="CA793" t="str">
            <v>.</v>
          </cell>
        </row>
        <row r="794">
          <cell r="CA794" t="str">
            <v>.</v>
          </cell>
        </row>
        <row r="795">
          <cell r="CA795" t="str">
            <v>.</v>
          </cell>
        </row>
        <row r="796">
          <cell r="CA796" t="str">
            <v>.</v>
          </cell>
        </row>
        <row r="797">
          <cell r="CA797" t="str">
            <v>.</v>
          </cell>
        </row>
        <row r="798">
          <cell r="CA798" t="str">
            <v>.</v>
          </cell>
        </row>
        <row r="799">
          <cell r="CA799" t="str">
            <v>.</v>
          </cell>
        </row>
        <row r="800">
          <cell r="CA800" t="str">
            <v>.</v>
          </cell>
        </row>
        <row r="801">
          <cell r="CA801" t="str">
            <v>.</v>
          </cell>
        </row>
        <row r="802">
          <cell r="CA802" t="str">
            <v>.</v>
          </cell>
        </row>
        <row r="803">
          <cell r="CA803" t="str">
            <v>.</v>
          </cell>
        </row>
        <row r="804">
          <cell r="CA804" t="str">
            <v>.</v>
          </cell>
        </row>
        <row r="805">
          <cell r="CA805" t="str">
            <v>.</v>
          </cell>
        </row>
        <row r="806">
          <cell r="CA806" t="str">
            <v>.</v>
          </cell>
        </row>
        <row r="807">
          <cell r="CA807" t="str">
            <v>.</v>
          </cell>
        </row>
        <row r="808">
          <cell r="CA808" t="str">
            <v>.</v>
          </cell>
        </row>
        <row r="809">
          <cell r="CA809" t="str">
            <v>.</v>
          </cell>
        </row>
        <row r="810">
          <cell r="CA810" t="str">
            <v>.</v>
          </cell>
        </row>
        <row r="811">
          <cell r="CA811" t="str">
            <v>.</v>
          </cell>
        </row>
        <row r="812">
          <cell r="CA812" t="str">
            <v>.</v>
          </cell>
        </row>
        <row r="813">
          <cell r="CA813" t="str">
            <v>.</v>
          </cell>
        </row>
        <row r="814">
          <cell r="CA814" t="str">
            <v>.</v>
          </cell>
        </row>
        <row r="815">
          <cell r="CA815" t="str">
            <v>.</v>
          </cell>
        </row>
        <row r="816">
          <cell r="CA816" t="str">
            <v>.</v>
          </cell>
        </row>
        <row r="817">
          <cell r="CA817" t="str">
            <v>.</v>
          </cell>
        </row>
        <row r="818">
          <cell r="CA818" t="str">
            <v>.</v>
          </cell>
        </row>
        <row r="819">
          <cell r="CA819" t="str">
            <v>.</v>
          </cell>
        </row>
        <row r="820">
          <cell r="CA820" t="str">
            <v>.</v>
          </cell>
        </row>
        <row r="821">
          <cell r="CA821" t="str">
            <v>.</v>
          </cell>
        </row>
        <row r="822">
          <cell r="CA822" t="str">
            <v>.</v>
          </cell>
        </row>
        <row r="823">
          <cell r="CA823" t="str">
            <v>.</v>
          </cell>
        </row>
        <row r="824">
          <cell r="CA824" t="str">
            <v>.</v>
          </cell>
        </row>
        <row r="825">
          <cell r="CA825" t="str">
            <v>.</v>
          </cell>
        </row>
        <row r="826">
          <cell r="CA826" t="str">
            <v>.</v>
          </cell>
        </row>
        <row r="827">
          <cell r="CA827" t="str">
            <v>.</v>
          </cell>
        </row>
        <row r="828">
          <cell r="CA828" t="str">
            <v>.</v>
          </cell>
        </row>
        <row r="829">
          <cell r="CA829" t="str">
            <v>.</v>
          </cell>
        </row>
        <row r="830">
          <cell r="CA830" t="str">
            <v>.</v>
          </cell>
        </row>
        <row r="831">
          <cell r="CA831" t="str">
            <v>.</v>
          </cell>
        </row>
        <row r="832">
          <cell r="CA832" t="str">
            <v>.</v>
          </cell>
        </row>
        <row r="833">
          <cell r="CA833" t="str">
            <v>.</v>
          </cell>
        </row>
        <row r="834">
          <cell r="CA834" t="str">
            <v>.</v>
          </cell>
        </row>
        <row r="835">
          <cell r="CA835" t="str">
            <v>.</v>
          </cell>
        </row>
        <row r="836">
          <cell r="CA836" t="str">
            <v>.</v>
          </cell>
        </row>
        <row r="837">
          <cell r="CA837" t="str">
            <v>.</v>
          </cell>
        </row>
        <row r="838">
          <cell r="CA838" t="str">
            <v>.</v>
          </cell>
        </row>
        <row r="839">
          <cell r="CA839" t="str">
            <v>.</v>
          </cell>
        </row>
        <row r="840">
          <cell r="CA840" t="str">
            <v>.</v>
          </cell>
        </row>
        <row r="841">
          <cell r="CA841" t="str">
            <v>.</v>
          </cell>
        </row>
        <row r="842">
          <cell r="CA842" t="str">
            <v>.</v>
          </cell>
        </row>
        <row r="843">
          <cell r="CA843" t="str">
            <v>.</v>
          </cell>
        </row>
        <row r="844">
          <cell r="CA844" t="str">
            <v>.</v>
          </cell>
        </row>
        <row r="845">
          <cell r="CA845" t="str">
            <v>.</v>
          </cell>
        </row>
        <row r="846">
          <cell r="CA846" t="str">
            <v>.</v>
          </cell>
        </row>
        <row r="847">
          <cell r="CA847" t="str">
            <v>.</v>
          </cell>
        </row>
        <row r="848">
          <cell r="CA848" t="str">
            <v>.</v>
          </cell>
        </row>
        <row r="849">
          <cell r="CA849" t="str">
            <v>.</v>
          </cell>
        </row>
        <row r="850">
          <cell r="CA850" t="str">
            <v>.</v>
          </cell>
        </row>
        <row r="851">
          <cell r="CA851" t="str">
            <v>.</v>
          </cell>
        </row>
        <row r="852">
          <cell r="CA852" t="str">
            <v>.</v>
          </cell>
        </row>
        <row r="853">
          <cell r="CA853" t="str">
            <v>.</v>
          </cell>
        </row>
        <row r="854">
          <cell r="CA854" t="str">
            <v>.</v>
          </cell>
        </row>
        <row r="855">
          <cell r="CA855" t="str">
            <v>.</v>
          </cell>
        </row>
        <row r="856">
          <cell r="CA856" t="str">
            <v>.</v>
          </cell>
        </row>
        <row r="857">
          <cell r="CA857" t="str">
            <v>.</v>
          </cell>
        </row>
        <row r="858">
          <cell r="CA858" t="str">
            <v>.</v>
          </cell>
        </row>
        <row r="859">
          <cell r="CA859" t="str">
            <v>.</v>
          </cell>
        </row>
        <row r="860">
          <cell r="CA860" t="str">
            <v>.</v>
          </cell>
        </row>
        <row r="861">
          <cell r="CA861" t="str">
            <v>.</v>
          </cell>
        </row>
        <row r="862">
          <cell r="CA862" t="str">
            <v>.</v>
          </cell>
        </row>
        <row r="863">
          <cell r="CA863" t="str">
            <v>.</v>
          </cell>
        </row>
        <row r="864">
          <cell r="CA864" t="str">
            <v>.</v>
          </cell>
        </row>
        <row r="865">
          <cell r="CA865" t="str">
            <v>.</v>
          </cell>
        </row>
        <row r="866">
          <cell r="CA866" t="str">
            <v>.</v>
          </cell>
        </row>
        <row r="867">
          <cell r="CA867" t="str">
            <v>.</v>
          </cell>
        </row>
        <row r="868">
          <cell r="CA868" t="str">
            <v>.</v>
          </cell>
        </row>
        <row r="869">
          <cell r="CA869" t="str">
            <v>.</v>
          </cell>
        </row>
        <row r="870">
          <cell r="CA870" t="str">
            <v>.</v>
          </cell>
        </row>
        <row r="871">
          <cell r="CA871" t="str">
            <v>.</v>
          </cell>
        </row>
        <row r="872">
          <cell r="CA872" t="str">
            <v>.</v>
          </cell>
        </row>
        <row r="873">
          <cell r="CA873" t="str">
            <v>.</v>
          </cell>
        </row>
        <row r="874">
          <cell r="CA874" t="str">
            <v>.</v>
          </cell>
        </row>
        <row r="875">
          <cell r="CA875" t="str">
            <v>.</v>
          </cell>
        </row>
        <row r="876">
          <cell r="CA876" t="str">
            <v>.</v>
          </cell>
        </row>
        <row r="877">
          <cell r="CA877" t="str">
            <v>.</v>
          </cell>
        </row>
        <row r="878">
          <cell r="CA878" t="str">
            <v>.</v>
          </cell>
        </row>
        <row r="879">
          <cell r="CA879" t="str">
            <v>.</v>
          </cell>
        </row>
        <row r="880">
          <cell r="CA880" t="str">
            <v>.</v>
          </cell>
        </row>
        <row r="881">
          <cell r="CA881" t="str">
            <v>.</v>
          </cell>
        </row>
        <row r="882">
          <cell r="CA882" t="str">
            <v>.</v>
          </cell>
        </row>
        <row r="883">
          <cell r="CA883" t="str">
            <v>.</v>
          </cell>
        </row>
        <row r="884">
          <cell r="CA884" t="str">
            <v>.</v>
          </cell>
        </row>
        <row r="885">
          <cell r="CA885" t="str">
            <v>.</v>
          </cell>
        </row>
        <row r="886">
          <cell r="CA886" t="str">
            <v>.</v>
          </cell>
        </row>
        <row r="887">
          <cell r="CA887" t="str">
            <v>.</v>
          </cell>
        </row>
        <row r="888">
          <cell r="CA888" t="str">
            <v>.</v>
          </cell>
        </row>
        <row r="889">
          <cell r="CA889" t="str">
            <v>.</v>
          </cell>
        </row>
        <row r="890">
          <cell r="CA890" t="str">
            <v>.</v>
          </cell>
        </row>
        <row r="891">
          <cell r="CA891" t="str">
            <v>.</v>
          </cell>
        </row>
        <row r="892">
          <cell r="CA892" t="str">
            <v>.</v>
          </cell>
        </row>
        <row r="893">
          <cell r="CA893" t="str">
            <v>.</v>
          </cell>
        </row>
        <row r="894">
          <cell r="CA894" t="str">
            <v>.</v>
          </cell>
        </row>
        <row r="895">
          <cell r="CA895" t="str">
            <v>.</v>
          </cell>
        </row>
        <row r="896">
          <cell r="CA896" t="str">
            <v>.</v>
          </cell>
        </row>
        <row r="897">
          <cell r="CA897" t="str">
            <v>.</v>
          </cell>
        </row>
        <row r="898">
          <cell r="CA898" t="str">
            <v>.</v>
          </cell>
        </row>
        <row r="899">
          <cell r="CA899" t="str">
            <v>.</v>
          </cell>
        </row>
        <row r="900">
          <cell r="CA900" t="str">
            <v>.</v>
          </cell>
        </row>
        <row r="901">
          <cell r="CA901" t="str">
            <v>.</v>
          </cell>
        </row>
        <row r="902">
          <cell r="CA902" t="str">
            <v>.</v>
          </cell>
        </row>
        <row r="903">
          <cell r="CA903" t="str">
            <v>.</v>
          </cell>
        </row>
        <row r="904">
          <cell r="CA904" t="str">
            <v>.</v>
          </cell>
        </row>
        <row r="905">
          <cell r="CA905" t="str">
            <v>.</v>
          </cell>
        </row>
        <row r="906">
          <cell r="CA906" t="str">
            <v>.</v>
          </cell>
        </row>
        <row r="907">
          <cell r="CA907" t="str">
            <v>.</v>
          </cell>
        </row>
        <row r="908">
          <cell r="CA908" t="str">
            <v>.</v>
          </cell>
        </row>
        <row r="909">
          <cell r="CA909" t="str">
            <v>.</v>
          </cell>
        </row>
        <row r="910">
          <cell r="CA910" t="str">
            <v>.</v>
          </cell>
        </row>
        <row r="911">
          <cell r="CA911" t="str">
            <v>.</v>
          </cell>
        </row>
        <row r="912">
          <cell r="CA912" t="str">
            <v>.</v>
          </cell>
        </row>
        <row r="913">
          <cell r="CA913" t="str">
            <v>.</v>
          </cell>
        </row>
        <row r="914">
          <cell r="CA914" t="str">
            <v>.</v>
          </cell>
        </row>
        <row r="915">
          <cell r="CA915" t="str">
            <v>.</v>
          </cell>
        </row>
        <row r="916">
          <cell r="CA916" t="str">
            <v>.</v>
          </cell>
        </row>
        <row r="917">
          <cell r="CA917" t="str">
            <v>.</v>
          </cell>
        </row>
        <row r="918">
          <cell r="CA918" t="str">
            <v>.</v>
          </cell>
        </row>
        <row r="919">
          <cell r="CA919" t="str">
            <v>.</v>
          </cell>
        </row>
        <row r="920">
          <cell r="CA920" t="str">
            <v>.</v>
          </cell>
        </row>
        <row r="921">
          <cell r="CA921" t="str">
            <v>.</v>
          </cell>
        </row>
        <row r="922">
          <cell r="CA922" t="str">
            <v>.</v>
          </cell>
        </row>
        <row r="923">
          <cell r="CA923" t="str">
            <v>.</v>
          </cell>
        </row>
        <row r="924">
          <cell r="CA924" t="str">
            <v>.</v>
          </cell>
        </row>
        <row r="925">
          <cell r="CA925" t="str">
            <v>.</v>
          </cell>
        </row>
        <row r="926">
          <cell r="CA926" t="str">
            <v>.</v>
          </cell>
        </row>
        <row r="927">
          <cell r="CA927" t="str">
            <v>.</v>
          </cell>
        </row>
        <row r="928">
          <cell r="CA928" t="str">
            <v>.</v>
          </cell>
        </row>
        <row r="929">
          <cell r="CA929" t="str">
            <v>.</v>
          </cell>
        </row>
        <row r="930">
          <cell r="CA930" t="str">
            <v>.</v>
          </cell>
        </row>
        <row r="931">
          <cell r="CA931" t="str">
            <v>.</v>
          </cell>
        </row>
        <row r="932">
          <cell r="CA932" t="str">
            <v>.</v>
          </cell>
        </row>
        <row r="933">
          <cell r="CA933" t="str">
            <v>.</v>
          </cell>
        </row>
        <row r="934">
          <cell r="CA934" t="str">
            <v>.</v>
          </cell>
        </row>
        <row r="935">
          <cell r="CA935" t="str">
            <v>.</v>
          </cell>
        </row>
        <row r="936">
          <cell r="CA936" t="str">
            <v>.</v>
          </cell>
        </row>
        <row r="937">
          <cell r="CA937" t="str">
            <v>.</v>
          </cell>
        </row>
        <row r="938">
          <cell r="CA938" t="str">
            <v>.</v>
          </cell>
        </row>
        <row r="939">
          <cell r="CA939" t="str">
            <v>.</v>
          </cell>
        </row>
        <row r="940">
          <cell r="CA940" t="str">
            <v>.</v>
          </cell>
        </row>
        <row r="941">
          <cell r="CA941" t="str">
            <v>.</v>
          </cell>
        </row>
        <row r="942">
          <cell r="CA942" t="str">
            <v>.</v>
          </cell>
        </row>
        <row r="943">
          <cell r="CA943" t="str">
            <v>.</v>
          </cell>
        </row>
        <row r="944">
          <cell r="CA944" t="str">
            <v>.</v>
          </cell>
        </row>
        <row r="945">
          <cell r="CA945" t="str">
            <v>.</v>
          </cell>
        </row>
        <row r="946">
          <cell r="CA946" t="str">
            <v>.</v>
          </cell>
        </row>
        <row r="947">
          <cell r="CA947" t="str">
            <v>.</v>
          </cell>
        </row>
        <row r="948">
          <cell r="CA948" t="str">
            <v>.</v>
          </cell>
        </row>
        <row r="949">
          <cell r="CA949" t="str">
            <v>.</v>
          </cell>
        </row>
        <row r="950">
          <cell r="CA950" t="str">
            <v>.</v>
          </cell>
        </row>
        <row r="951">
          <cell r="CA951" t="str">
            <v>.</v>
          </cell>
        </row>
        <row r="952">
          <cell r="CA952" t="str">
            <v>.</v>
          </cell>
        </row>
        <row r="953">
          <cell r="CA953" t="str">
            <v>.</v>
          </cell>
        </row>
        <row r="954">
          <cell r="CA954" t="str">
            <v>.</v>
          </cell>
        </row>
        <row r="955">
          <cell r="CA955" t="str">
            <v>.</v>
          </cell>
        </row>
        <row r="956">
          <cell r="CA956" t="str">
            <v>.</v>
          </cell>
        </row>
        <row r="957">
          <cell r="CA957" t="str">
            <v>.</v>
          </cell>
        </row>
        <row r="958">
          <cell r="CA958" t="str">
            <v>.</v>
          </cell>
        </row>
        <row r="959">
          <cell r="CA959" t="str">
            <v>.</v>
          </cell>
        </row>
        <row r="960">
          <cell r="CA960" t="str">
            <v>.</v>
          </cell>
        </row>
        <row r="961">
          <cell r="CA961" t="str">
            <v>.</v>
          </cell>
        </row>
        <row r="962">
          <cell r="CA962" t="str">
            <v>.</v>
          </cell>
        </row>
        <row r="963">
          <cell r="CA963" t="str">
            <v>.</v>
          </cell>
        </row>
        <row r="964">
          <cell r="CA964" t="str">
            <v>.</v>
          </cell>
        </row>
        <row r="965">
          <cell r="CA965" t="str">
            <v>.</v>
          </cell>
        </row>
        <row r="966">
          <cell r="CA966" t="str">
            <v>.</v>
          </cell>
        </row>
        <row r="967">
          <cell r="CA967" t="str">
            <v>.</v>
          </cell>
        </row>
        <row r="968">
          <cell r="CA968" t="str">
            <v>.</v>
          </cell>
        </row>
        <row r="969">
          <cell r="CA969" t="str">
            <v>.</v>
          </cell>
        </row>
        <row r="970">
          <cell r="CA970" t="str">
            <v>.</v>
          </cell>
        </row>
        <row r="971">
          <cell r="CA971" t="str">
            <v>.</v>
          </cell>
        </row>
        <row r="972">
          <cell r="CA972" t="str">
            <v>.</v>
          </cell>
        </row>
        <row r="973">
          <cell r="CA973" t="str">
            <v>.</v>
          </cell>
        </row>
        <row r="974">
          <cell r="CA974" t="str">
            <v>.</v>
          </cell>
        </row>
        <row r="975">
          <cell r="CA975" t="str">
            <v>.</v>
          </cell>
        </row>
        <row r="976">
          <cell r="CA976" t="str">
            <v>.</v>
          </cell>
        </row>
        <row r="977">
          <cell r="CA977" t="str">
            <v>.</v>
          </cell>
        </row>
        <row r="978">
          <cell r="CA978" t="str">
            <v>.</v>
          </cell>
        </row>
        <row r="979">
          <cell r="CA979" t="str">
            <v>.</v>
          </cell>
        </row>
        <row r="980">
          <cell r="CA980" t="str">
            <v>.</v>
          </cell>
        </row>
        <row r="981">
          <cell r="CA981" t="str">
            <v>.</v>
          </cell>
        </row>
        <row r="982">
          <cell r="CA982" t="str">
            <v>.</v>
          </cell>
        </row>
        <row r="983">
          <cell r="CA983" t="str">
            <v>.</v>
          </cell>
        </row>
        <row r="984">
          <cell r="CA984" t="str">
            <v>.</v>
          </cell>
        </row>
        <row r="985">
          <cell r="CA985" t="str">
            <v>.</v>
          </cell>
        </row>
        <row r="986">
          <cell r="CA986" t="str">
            <v>.</v>
          </cell>
        </row>
        <row r="987">
          <cell r="CA987" t="str">
            <v>.</v>
          </cell>
        </row>
        <row r="988">
          <cell r="CA988" t="str">
            <v>.</v>
          </cell>
        </row>
        <row r="989">
          <cell r="CA989" t="str">
            <v>.</v>
          </cell>
        </row>
        <row r="990">
          <cell r="CA990" t="str">
            <v>.</v>
          </cell>
        </row>
        <row r="991">
          <cell r="CA991" t="str">
            <v>.</v>
          </cell>
        </row>
        <row r="992">
          <cell r="CA992" t="str">
            <v>.</v>
          </cell>
        </row>
        <row r="993">
          <cell r="CA993" t="str">
            <v>.</v>
          </cell>
        </row>
        <row r="994">
          <cell r="CA994" t="str">
            <v>.</v>
          </cell>
        </row>
        <row r="995">
          <cell r="CA995" t="str">
            <v>.</v>
          </cell>
        </row>
        <row r="996">
          <cell r="CA996" t="str">
            <v>.</v>
          </cell>
        </row>
        <row r="997">
          <cell r="CA997" t="str">
            <v>.</v>
          </cell>
        </row>
        <row r="998">
          <cell r="CA998" t="str">
            <v>.</v>
          </cell>
        </row>
        <row r="999">
          <cell r="A999" t="str">
            <v>.</v>
          </cell>
          <cell r="B999" t="str">
            <v>.</v>
          </cell>
          <cell r="G999" t="str">
            <v>.</v>
          </cell>
          <cell r="I999" t="str">
            <v>.</v>
          </cell>
          <cell r="W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cell r="BD999" t="str">
            <v>.</v>
          </cell>
          <cell r="BE999" t="str">
            <v>.</v>
          </cell>
          <cell r="BF999" t="str">
            <v>.</v>
          </cell>
          <cell r="BG999" t="str">
            <v>.</v>
          </cell>
          <cell r="BH999" t="str">
            <v>.</v>
          </cell>
          <cell r="BI999" t="str">
            <v>.</v>
          </cell>
          <cell r="BJ999" t="str">
            <v>.</v>
          </cell>
          <cell r="BK999" t="str">
            <v>.</v>
          </cell>
          <cell r="BL999" t="str">
            <v>.</v>
          </cell>
          <cell r="BM999" t="str">
            <v>.</v>
          </cell>
          <cell r="BN999" t="str">
            <v>.</v>
          </cell>
          <cell r="BO999" t="str">
            <v>.</v>
          </cell>
          <cell r="BP999" t="str">
            <v>.</v>
          </cell>
          <cell r="BQ999" t="str">
            <v>.</v>
          </cell>
          <cell r="BR999" t="str">
            <v>.</v>
          </cell>
          <cell r="BS999" t="str">
            <v>.</v>
          </cell>
          <cell r="BT999" t="str">
            <v>.</v>
          </cell>
          <cell r="BU999" t="str">
            <v>.</v>
          </cell>
          <cell r="BV999" t="str">
            <v>.</v>
          </cell>
          <cell r="BW999" t="str">
            <v>.</v>
          </cell>
          <cell r="BX999" t="str">
            <v>.</v>
          </cell>
          <cell r="BY999" t="str">
            <v>.</v>
          </cell>
          <cell r="BZ999" t="str">
            <v>.</v>
          </cell>
          <cell r="CA999" t="str">
            <v>.</v>
          </cell>
        </row>
      </sheetData>
      <sheetData sheetId="13">
        <row r="1">
          <cell r="C1" t="str">
            <v>mstag:revenueNet</v>
          </cell>
          <cell r="G1" t="str">
            <v>Total Sales % Change</v>
          </cell>
          <cell r="K1" t="str">
            <v>Operating Margin</v>
          </cell>
          <cell r="O1" t="str">
            <v>mstag:adjEpsForConsensus</v>
          </cell>
        </row>
        <row r="2">
          <cell r="C2" t="str">
            <v>Sales</v>
          </cell>
          <cell r="G2" t="str">
            <v>Sales Growth</v>
          </cell>
          <cell r="K2" t="str">
            <v>Operating Margin</v>
          </cell>
          <cell r="O2" t="str">
            <v>EPS</v>
          </cell>
        </row>
        <row r="3">
          <cell r="A3" t="str">
            <v>Name</v>
          </cell>
          <cell r="B3" t="str">
            <v>Ticker</v>
          </cell>
          <cell r="C3" t="str">
            <v>MS</v>
          </cell>
          <cell r="D3" t="str">
            <v>Cons.</v>
          </cell>
          <cell r="E3" t="str">
            <v>MS vs C</v>
          </cell>
          <cell r="G3" t="str">
            <v>MS</v>
          </cell>
          <cell r="H3" t="str">
            <v>Cons.</v>
          </cell>
          <cell r="I3" t="str">
            <v>MS vs C</v>
          </cell>
          <cell r="K3" t="str">
            <v>MS</v>
          </cell>
          <cell r="L3" t="str">
            <v>Cons.</v>
          </cell>
          <cell r="M3" t="str">
            <v>MS vs C</v>
          </cell>
          <cell r="O3" t="str">
            <v>MS</v>
          </cell>
          <cell r="P3" t="str">
            <v>Cons.</v>
          </cell>
          <cell r="Q3" t="str">
            <v>MS vs C</v>
          </cell>
          <cell r="S3" t="str">
            <v>Name</v>
          </cell>
          <cell r="T3" t="str">
            <v>Ticker</v>
          </cell>
          <cell r="U3" t="str">
            <v>Release Date</v>
          </cell>
          <cell r="V3" t="str">
            <v>Release Time</v>
          </cell>
          <cell r="W3" t="str">
            <v>Conf Call Date</v>
          </cell>
          <cell r="X3" t="str">
            <v>Conf Call Time</v>
          </cell>
          <cell r="Y3" t="str">
            <v>Confirmed/Projected</v>
          </cell>
          <cell r="AB3" t="str">
            <v>UA</v>
          </cell>
          <cell r="AC3" t="str">
            <v>JNY</v>
          </cell>
          <cell r="AD3" t="str">
            <v>RL</v>
          </cell>
          <cell r="AE3" t="str">
            <v>WRC</v>
          </cell>
          <cell r="AF3" t="str">
            <v>LIZ</v>
          </cell>
          <cell r="AG3" t="str">
            <v>PVH</v>
          </cell>
          <cell r="AH3" t="str">
            <v>GES</v>
          </cell>
          <cell r="AI3" t="str">
            <v>Group Average</v>
          </cell>
        </row>
        <row r="4">
          <cell r="A4" t="str">
            <v>3Q09</v>
          </cell>
          <cell r="S4" t="str">
            <v>Under Armour</v>
          </cell>
          <cell r="T4" t="str">
            <v>UA</v>
          </cell>
          <cell r="U4" t="str">
            <v>7:00am</v>
          </cell>
          <cell r="V4">
            <v>0</v>
          </cell>
          <cell r="W4" t="str">
            <v>7:00am</v>
          </cell>
          <cell r="X4">
            <v>0</v>
          </cell>
          <cell r="Y4" t="str">
            <v>Confirmed</v>
          </cell>
          <cell r="AA4" t="str">
            <v>Sales</v>
          </cell>
          <cell r="AB4">
            <v>214.78640832525764</v>
          </cell>
          <cell r="AC4">
            <v>866.81399336316736</v>
          </cell>
          <cell r="AD4">
            <v>1269.2502193813905</v>
          </cell>
          <cell r="AE4">
            <v>597.08067638411103</v>
          </cell>
          <cell r="AF4">
            <v>628.96346254952391</v>
          </cell>
          <cell r="AG4">
            <v>599.47275927416752</v>
          </cell>
          <cell r="AH4">
            <v>512.7152527089213</v>
          </cell>
        </row>
        <row r="5">
          <cell r="A5" t="str">
            <v>Under Armour</v>
          </cell>
          <cell r="B5" t="str">
            <v>UA</v>
          </cell>
          <cell r="C5" t="e">
            <v>#N/A</v>
          </cell>
          <cell r="D5">
            <v>214.86</v>
          </cell>
          <cell r="E5" t="e">
            <v>#N/A</v>
          </cell>
          <cell r="G5" t="e">
            <v>#N/A</v>
          </cell>
          <cell r="H5">
            <v>7.4300000000000033E-2</v>
          </cell>
          <cell r="I5" t="e">
            <v>#N/A</v>
          </cell>
          <cell r="K5" t="e">
            <v>#N/A</v>
          </cell>
          <cell r="L5">
            <v>4.3015768407335002E-2</v>
          </cell>
          <cell r="M5" t="e">
            <v>#N/A</v>
          </cell>
          <cell r="O5" t="e">
            <v>#N/A</v>
          </cell>
          <cell r="P5">
            <v>0.10034075000000001</v>
          </cell>
          <cell r="Q5" t="e">
            <v>#N/A</v>
          </cell>
          <cell r="S5" t="str">
            <v>Jones Apparel Group</v>
          </cell>
          <cell r="T5" t="str">
            <v>JNY</v>
          </cell>
          <cell r="U5" t="str">
            <v>7:00am</v>
          </cell>
          <cell r="V5">
            <v>0</v>
          </cell>
          <cell r="W5" t="str">
            <v>7:00am</v>
          </cell>
          <cell r="X5">
            <v>0</v>
          </cell>
          <cell r="Y5" t="str">
            <v>Confirmed</v>
          </cell>
          <cell r="AA5" t="str">
            <v>Sales Growth</v>
          </cell>
          <cell r="AB5">
            <v>7.3932041626288303E-2</v>
          </cell>
          <cell r="AC5">
            <v>-2.8997430981105077E-2</v>
          </cell>
          <cell r="AD5">
            <v>3.663036538826403E-2</v>
          </cell>
          <cell r="AE5">
            <v>0.11013728215637064</v>
          </cell>
          <cell r="AF5">
            <v>-0.19329011492176262</v>
          </cell>
          <cell r="AG5">
            <v>7.5432137550643708E-2</v>
          </cell>
          <cell r="AH5">
            <v>0.16208996060507874</v>
          </cell>
          <cell r="AI5">
            <v>3.3704891631968249E-2</v>
          </cell>
        </row>
        <row r="6">
          <cell r="A6" t="str">
            <v>Jones Apparel</v>
          </cell>
          <cell r="B6" t="str">
            <v>JNY</v>
          </cell>
          <cell r="C6" t="e">
            <v>#N/A</v>
          </cell>
          <cell r="D6">
            <v>864.08680000000004</v>
          </cell>
          <cell r="E6" t="e">
            <v>#N/A</v>
          </cell>
          <cell r="G6" t="e">
            <v>#N/A</v>
          </cell>
          <cell r="H6">
            <v>-3.2052425226839709E-2</v>
          </cell>
          <cell r="I6" t="e">
            <v>#N/A</v>
          </cell>
          <cell r="K6" t="e">
            <v>#N/A</v>
          </cell>
          <cell r="L6">
            <v>6.2044600148966518E-2</v>
          </cell>
          <cell r="M6" t="e">
            <v>#N/A</v>
          </cell>
          <cell r="O6" t="e">
            <v>#N/A</v>
          </cell>
          <cell r="P6">
            <v>0.3370881</v>
          </cell>
          <cell r="Q6" t="e">
            <v>#N/A</v>
          </cell>
          <cell r="S6" t="str">
            <v>Polo Ralph Lauren</v>
          </cell>
          <cell r="T6" t="str">
            <v>RL</v>
          </cell>
          <cell r="U6" t="str">
            <v>8:00am</v>
          </cell>
          <cell r="V6">
            <v>0</v>
          </cell>
          <cell r="W6" t="str">
            <v>8:00am</v>
          </cell>
          <cell r="X6">
            <v>0</v>
          </cell>
          <cell r="Y6" t="str">
            <v>Confirmed</v>
          </cell>
        </row>
        <row r="7">
          <cell r="A7" t="str">
            <v>Ralph Lauren</v>
          </cell>
          <cell r="B7" t="str">
            <v>RL</v>
          </cell>
          <cell r="C7" t="e">
            <v>#N/A</v>
          </cell>
          <cell r="D7">
            <v>1236.9849999999999</v>
          </cell>
          <cell r="E7" t="e">
            <v>#N/A</v>
          </cell>
          <cell r="G7" t="e">
            <v>#N/A</v>
          </cell>
          <cell r="H7">
            <v>1.0278503756941948E-2</v>
          </cell>
          <cell r="I7" t="e">
            <v>#N/A</v>
          </cell>
          <cell r="K7" t="e">
            <v>#N/A</v>
          </cell>
          <cell r="L7">
            <v>7.646775021524109E-2</v>
          </cell>
          <cell r="M7" t="e">
            <v>#N/A</v>
          </cell>
          <cell r="O7" t="e">
            <v>#N/A</v>
          </cell>
          <cell r="P7">
            <v>0.61383189999999999</v>
          </cell>
          <cell r="Q7" t="e">
            <v>#N/A</v>
          </cell>
          <cell r="S7" t="str">
            <v>Warnaco</v>
          </cell>
          <cell r="T7" t="str">
            <v>WRC</v>
          </cell>
          <cell r="U7" t="str">
            <v>7:30am</v>
          </cell>
          <cell r="V7">
            <v>0</v>
          </cell>
          <cell r="W7" t="str">
            <v>7:30am</v>
          </cell>
          <cell r="X7">
            <v>0</v>
          </cell>
          <cell r="Y7" t="str">
            <v>Projected</v>
          </cell>
          <cell r="AA7" t="str">
            <v>Gross Profit</v>
          </cell>
          <cell r="AB7">
            <v>101.32656205948193</v>
          </cell>
          <cell r="AC7">
            <v>307.8665876663847</v>
          </cell>
          <cell r="AD7">
            <v>723.63931521014706</v>
          </cell>
          <cell r="AE7">
            <v>263.80059562174603</v>
          </cell>
          <cell r="AF7">
            <v>318.17316651223837</v>
          </cell>
          <cell r="AG7">
            <v>296.78759848752674</v>
          </cell>
          <cell r="AH7">
            <v>221.18263057082578</v>
          </cell>
        </row>
        <row r="8">
          <cell r="A8" t="str">
            <v>Warnaco</v>
          </cell>
          <cell r="B8" t="str">
            <v>WRC</v>
          </cell>
          <cell r="C8" t="e">
            <v>#N/A</v>
          </cell>
          <cell r="D8">
            <v>576.10699999999997</v>
          </cell>
          <cell r="E8" t="e">
            <v>#N/A</v>
          </cell>
          <cell r="G8" t="e">
            <v>#N/A</v>
          </cell>
          <cell r="H8">
            <v>7.1141446218605964E-2</v>
          </cell>
          <cell r="I8" t="e">
            <v>#N/A</v>
          </cell>
          <cell r="K8" t="e">
            <v>#N/A</v>
          </cell>
          <cell r="L8">
            <v>0.13685265063607979</v>
          </cell>
          <cell r="M8" t="e">
            <v>#N/A</v>
          </cell>
          <cell r="O8" t="e">
            <v>#N/A</v>
          </cell>
          <cell r="P8">
            <v>1.0554539999999999</v>
          </cell>
          <cell r="Q8" t="e">
            <v>#N/A</v>
          </cell>
          <cell r="S8" t="str">
            <v>Liz Claiborne</v>
          </cell>
          <cell r="T8" t="str">
            <v>LIZ</v>
          </cell>
          <cell r="U8" t="str">
            <v>7:00am</v>
          </cell>
          <cell r="V8">
            <v>0</v>
          </cell>
          <cell r="W8" t="str">
            <v>7:00am</v>
          </cell>
          <cell r="X8">
            <v>0</v>
          </cell>
          <cell r="Y8" t="str">
            <v>Projected</v>
          </cell>
          <cell r="AA8" t="str">
            <v>Gross Margin</v>
          </cell>
          <cell r="AB8">
            <v>0.47175500000000004</v>
          </cell>
          <cell r="AC8">
            <v>0.35517030184513698</v>
          </cell>
          <cell r="AD8">
            <v>0.57013132963083968</v>
          </cell>
          <cell r="AE8">
            <v>0.44181733902243908</v>
          </cell>
          <cell r="AF8">
            <v>0.5058690773904625</v>
          </cell>
          <cell r="AG8">
            <v>0.49508104229268507</v>
          </cell>
          <cell r="AH8">
            <v>0.43139467648409435</v>
          </cell>
          <cell r="AI8">
            <v>0.46731696666652262</v>
          </cell>
        </row>
        <row r="9">
          <cell r="A9" t="str">
            <v>Liz Claiborne</v>
          </cell>
          <cell r="B9" t="str">
            <v>LIZ</v>
          </cell>
          <cell r="C9" t="e">
            <v>#N/A</v>
          </cell>
          <cell r="D9">
            <v>833.25</v>
          </cell>
          <cell r="E9" t="e">
            <v>#N/A</v>
          </cell>
          <cell r="G9" t="e">
            <v>#N/A</v>
          </cell>
          <cell r="H9">
            <v>6.8728235844882191E-2</v>
          </cell>
          <cell r="I9" t="e">
            <v>#N/A</v>
          </cell>
          <cell r="K9" t="e">
            <v>#N/A</v>
          </cell>
          <cell r="L9" t="str">
            <v>NA</v>
          </cell>
          <cell r="M9" t="e">
            <v>#N/A</v>
          </cell>
          <cell r="O9" t="e">
            <v>#N/A</v>
          </cell>
          <cell r="P9">
            <v>-0.19700000000000001</v>
          </cell>
          <cell r="Q9" t="e">
            <v>#N/A</v>
          </cell>
          <cell r="S9" t="str">
            <v>Phillips-Van Heusen</v>
          </cell>
          <cell r="T9" t="str">
            <v>PVH</v>
          </cell>
          <cell r="U9" t="str">
            <v>4:00pm</v>
          </cell>
          <cell r="V9">
            <v>0</v>
          </cell>
          <cell r="W9" t="e">
            <v>#VALUE!</v>
          </cell>
          <cell r="X9">
            <v>0</v>
          </cell>
          <cell r="Y9" t="str">
            <v>Confirmed</v>
          </cell>
          <cell r="AA9" t="str">
            <v>Gross Margin ∆</v>
          </cell>
          <cell r="AB9">
            <v>190.00000000000017</v>
          </cell>
          <cell r="AC9">
            <v>260.26546935474846</v>
          </cell>
          <cell r="AD9">
            <v>520.00000000000045</v>
          </cell>
          <cell r="AE9">
            <v>201.9322496706244</v>
          </cell>
          <cell r="AF9">
            <v>580.13908824475823</v>
          </cell>
          <cell r="AG9">
            <v>59.999999999999496</v>
          </cell>
          <cell r="AH9">
            <v>290.76912018465293</v>
          </cell>
          <cell r="AI9">
            <v>300.44370392211198</v>
          </cell>
        </row>
        <row r="10">
          <cell r="A10" t="str">
            <v>Phillips Van Heusen</v>
          </cell>
          <cell r="B10" t="str">
            <v>PVH</v>
          </cell>
          <cell r="C10" t="e">
            <v>#N/A</v>
          </cell>
          <cell r="D10">
            <v>582.41770000000008</v>
          </cell>
          <cell r="E10" t="e">
            <v>#N/A</v>
          </cell>
          <cell r="G10" t="e">
            <v>#N/A</v>
          </cell>
          <cell r="H10">
            <v>4.4835986904067981E-2</v>
          </cell>
          <cell r="I10" t="e">
            <v>#N/A</v>
          </cell>
          <cell r="K10" t="e">
            <v>#N/A</v>
          </cell>
          <cell r="L10">
            <v>0.12305821062787069</v>
          </cell>
          <cell r="M10" t="e">
            <v>#N/A</v>
          </cell>
          <cell r="O10" t="e">
            <v>#N/A</v>
          </cell>
          <cell r="P10">
            <v>0.73555549999999992</v>
          </cell>
          <cell r="Q10" t="e">
            <v>#N/A</v>
          </cell>
          <cell r="S10" t="str">
            <v>Guess</v>
          </cell>
          <cell r="T10" t="str">
            <v>GES</v>
          </cell>
          <cell r="U10" t="str">
            <v>4:00pm</v>
          </cell>
          <cell r="V10">
            <v>0</v>
          </cell>
          <cell r="W10" t="str">
            <v>4:00pm</v>
          </cell>
          <cell r="X10">
            <v>0</v>
          </cell>
          <cell r="Y10" t="str">
            <v>Projected</v>
          </cell>
        </row>
        <row r="11">
          <cell r="A11" t="str">
            <v>Guess</v>
          </cell>
          <cell r="B11" t="str">
            <v>GES</v>
          </cell>
          <cell r="C11" t="e">
            <v>#N/A</v>
          </cell>
          <cell r="D11">
            <v>505.16060000000004</v>
          </cell>
          <cell r="E11" t="e">
            <v>#N/A</v>
          </cell>
          <cell r="G11" t="e">
            <v>#N/A</v>
          </cell>
          <cell r="H11">
            <v>0.14496703316628956</v>
          </cell>
          <cell r="I11" t="e">
            <v>#N/A</v>
          </cell>
          <cell r="K11" t="e">
            <v>#N/A</v>
          </cell>
          <cell r="L11">
            <v>0.13145639228395881</v>
          </cell>
          <cell r="M11" t="e">
            <v>#N/A</v>
          </cell>
          <cell r="O11" t="e">
            <v>#N/A</v>
          </cell>
          <cell r="P11">
            <v>0.48545459999999996</v>
          </cell>
          <cell r="Q11" t="e">
            <v>#N/A</v>
          </cell>
          <cell r="AA11" t="str">
            <v>SG&amp;A</v>
          </cell>
          <cell r="AB11">
            <v>91.201999999999998</v>
          </cell>
          <cell r="AC11">
            <v>242.72567459367625</v>
          </cell>
          <cell r="AD11">
            <v>617.58926113190068</v>
          </cell>
          <cell r="AE11">
            <v>179.21286391771531</v>
          </cell>
          <cell r="AF11">
            <v>349.54764148875796</v>
          </cell>
          <cell r="AG11">
            <v>225.35576</v>
          </cell>
          <cell r="AH11">
            <v>152.75932179216377</v>
          </cell>
        </row>
        <row r="12">
          <cell r="AA12" t="str">
            <v>SG&amp;A Growth</v>
          </cell>
          <cell r="AB12">
            <v>0.10340572258181591</v>
          </cell>
          <cell r="AC12">
            <v>-7.6710589627362324E-3</v>
          </cell>
          <cell r="AD12">
            <v>0.18607501657749315</v>
          </cell>
          <cell r="AE12">
            <v>0.18480010523413548</v>
          </cell>
          <cell r="AF12">
            <v>-0.11021486466988772</v>
          </cell>
          <cell r="AG12">
            <v>3.0000000000000027E-2</v>
          </cell>
          <cell r="AH12">
            <v>0.17989110746328296</v>
          </cell>
          <cell r="AI12">
            <v>8.0898004032014789E-2</v>
          </cell>
        </row>
        <row r="13">
          <cell r="A13" t="str">
            <v>4Q09</v>
          </cell>
          <cell r="AA13" t="str">
            <v>Expense Ratio</v>
          </cell>
          <cell r="AB13">
            <v>0.42461718463064951</v>
          </cell>
          <cell r="AC13">
            <v>0.28002048473158642</v>
          </cell>
          <cell r="AD13">
            <v>0.4865780219702483</v>
          </cell>
          <cell r="AE13">
            <v>0.30014849082542566</v>
          </cell>
          <cell r="AF13">
            <v>0.55575190341240999</v>
          </cell>
          <cell r="AG13">
            <v>0.37592327009630483</v>
          </cell>
          <cell r="AH13">
            <v>0.29794183220620568</v>
          </cell>
          <cell r="AI13">
            <v>0.3887115982675472</v>
          </cell>
        </row>
        <row r="14">
          <cell r="A14" t="str">
            <v>Under Armour</v>
          </cell>
          <cell r="B14" t="str">
            <v>UA</v>
          </cell>
          <cell r="C14" t="e">
            <v>#N/A</v>
          </cell>
          <cell r="D14">
            <v>187.67500000000001</v>
          </cell>
          <cell r="E14" t="e">
            <v>#N/A</v>
          </cell>
          <cell r="G14" t="e">
            <v>#N/A</v>
          </cell>
          <cell r="H14">
            <v>4.6832032753417963E-2</v>
          </cell>
          <cell r="I14" t="e">
            <v>#N/A</v>
          </cell>
          <cell r="K14" t="e">
            <v>#N/A</v>
          </cell>
          <cell r="L14">
            <v>2.0807481017716796E-2</v>
          </cell>
          <cell r="M14" t="e">
            <v>#N/A</v>
          </cell>
          <cell r="O14" t="e">
            <v>#N/A</v>
          </cell>
          <cell r="P14">
            <v>3.6795920000000003E-2</v>
          </cell>
          <cell r="Q14" t="e">
            <v>#N/A</v>
          </cell>
          <cell r="AA14" t="str">
            <v>Expense Ratio ∆</v>
          </cell>
          <cell r="AB14">
            <v>113.4218463064951</v>
          </cell>
          <cell r="AC14">
            <v>60.179853506112103</v>
          </cell>
          <cell r="AD14">
            <v>613.08502205465516</v>
          </cell>
          <cell r="AE14">
            <v>189.14527073854603</v>
          </cell>
          <cell r="AF14">
            <v>518.8806445593508</v>
          </cell>
          <cell r="AG14">
            <v>-165.81551180100129</v>
          </cell>
          <cell r="AH14">
            <v>44.950811788961317</v>
          </cell>
          <cell r="AI14">
            <v>196.2639910218742</v>
          </cell>
        </row>
        <row r="15">
          <cell r="A15" t="str">
            <v>Jones Apparel</v>
          </cell>
          <cell r="B15" t="str">
            <v>JNY</v>
          </cell>
          <cell r="C15" t="e">
            <v>#N/A</v>
          </cell>
          <cell r="D15">
            <v>798.6</v>
          </cell>
          <cell r="E15" t="e">
            <v>#N/A</v>
          </cell>
          <cell r="G15" t="e">
            <v>#N/A</v>
          </cell>
          <cell r="H15">
            <v>-5.8032554847841422E-2</v>
          </cell>
          <cell r="I15" t="e">
            <v>#N/A</v>
          </cell>
          <cell r="K15" t="e">
            <v>#N/A</v>
          </cell>
          <cell r="L15">
            <v>2.8737791134485349E-2</v>
          </cell>
          <cell r="M15" t="e">
            <v>#N/A</v>
          </cell>
          <cell r="O15" t="e">
            <v>#N/A</v>
          </cell>
          <cell r="P15">
            <v>8.1000000000000003E-2</v>
          </cell>
          <cell r="Q15" t="e">
            <v>#N/A</v>
          </cell>
        </row>
        <row r="16">
          <cell r="A16" t="str">
            <v>Ralph Lauren</v>
          </cell>
          <cell r="B16" t="str">
            <v>RL</v>
          </cell>
          <cell r="C16" t="e">
            <v>#N/A</v>
          </cell>
          <cell r="D16">
            <v>1108.462</v>
          </cell>
          <cell r="E16" t="e">
            <v>#N/A</v>
          </cell>
          <cell r="G16" t="e">
            <v>#N/A</v>
          </cell>
          <cell r="H16">
            <v>-0.10888174290537811</v>
          </cell>
          <cell r="I16" t="e">
            <v>#N/A</v>
          </cell>
          <cell r="K16" t="e">
            <v>#N/A</v>
          </cell>
          <cell r="L16">
            <v>0.112385900463886</v>
          </cell>
          <cell r="M16" t="e">
            <v>#N/A</v>
          </cell>
          <cell r="O16" t="e">
            <v>#N/A</v>
          </cell>
          <cell r="P16">
            <v>0.82237299999999991</v>
          </cell>
          <cell r="Q16" t="e">
            <v>#N/A</v>
          </cell>
          <cell r="AA16" t="str">
            <v>Operating Income</v>
          </cell>
          <cell r="AB16">
            <v>10.124562059481931</v>
          </cell>
          <cell r="AC16">
            <v>65.140913072708457</v>
          </cell>
          <cell r="AD16">
            <v>100.75005407824642</v>
          </cell>
          <cell r="AE16">
            <v>81.937834011523449</v>
          </cell>
          <cell r="AF16">
            <v>-31.374474976519593</v>
          </cell>
          <cell r="AG16">
            <v>71.431838487526733</v>
          </cell>
          <cell r="AH16">
            <v>68.423308778662005</v>
          </cell>
        </row>
        <row r="17">
          <cell r="A17" t="str">
            <v>Warnaco</v>
          </cell>
          <cell r="B17" t="str">
            <v>WRC</v>
          </cell>
          <cell r="C17" t="e">
            <v>#N/A</v>
          </cell>
          <cell r="D17">
            <v>0.10290132050622826</v>
          </cell>
          <cell r="E17" t="e">
            <v>#N/A</v>
          </cell>
          <cell r="G17" t="e">
            <v>#N/A</v>
          </cell>
          <cell r="H17">
            <v>-0.99976890544669572</v>
          </cell>
          <cell r="I17" t="e">
            <v>#N/A</v>
          </cell>
          <cell r="K17" t="e">
            <v>#N/A</v>
          </cell>
          <cell r="L17">
            <v>15</v>
          </cell>
          <cell r="M17" t="e">
            <v>#N/A</v>
          </cell>
          <cell r="O17" t="e">
            <v>#N/A</v>
          </cell>
          <cell r="P17">
            <v>6.2026000000000039</v>
          </cell>
          <cell r="Q17" t="e">
            <v>#N/A</v>
          </cell>
          <cell r="AA17" t="str">
            <v>Operating Margin</v>
          </cell>
          <cell r="AB17">
            <v>4.7137815369350543E-2</v>
          </cell>
          <cell r="AC17">
            <v>7.5149817113550565E-2</v>
          </cell>
          <cell r="AD17">
            <v>7.9377614074670144E-2</v>
          </cell>
          <cell r="AE17">
            <v>0.13723075834196249</v>
          </cell>
          <cell r="AF17">
            <v>-4.9882826021947498E-2</v>
          </cell>
          <cell r="AG17">
            <v>0.11915777219638023</v>
          </cell>
          <cell r="AH17">
            <v>0.13345284427788864</v>
          </cell>
          <cell r="AI17">
            <v>7.7374827907407878E-2</v>
          </cell>
        </row>
        <row r="18">
          <cell r="A18" t="str">
            <v>Liz Claiborne</v>
          </cell>
          <cell r="B18" t="str">
            <v>LIZ</v>
          </cell>
          <cell r="C18">
            <v>829.95670917128177</v>
          </cell>
          <cell r="D18">
            <v>586.43330000000003</v>
          </cell>
          <cell r="E18">
            <v>0.41526190475759428</v>
          </cell>
          <cell r="G18">
            <v>-9.9423699661363663E-2</v>
          </cell>
          <cell r="H18">
            <v>-0.35639741300499461</v>
          </cell>
          <cell r="I18">
            <v>2569.7371334363097</v>
          </cell>
          <cell r="K18">
            <v>-2.3757520567743219E-3</v>
          </cell>
          <cell r="L18">
            <v>-2.6772013117263294E-2</v>
          </cell>
          <cell r="M18">
            <v>243.9626106048897</v>
          </cell>
          <cell r="O18">
            <v>-9.6899689599035332E-2</v>
          </cell>
          <cell r="P18">
            <v>-0.28250000000000003</v>
          </cell>
          <cell r="Q18">
            <v>0.1856003104009647</v>
          </cell>
          <cell r="AA18" t="str">
            <v>Operating Margin ∆</v>
          </cell>
          <cell r="AB18">
            <v>76.578153693505413</v>
          </cell>
          <cell r="AC18">
            <v>200.08561584863631</v>
          </cell>
          <cell r="AD18">
            <v>-92.372176796585023</v>
          </cell>
          <cell r="AE18">
            <v>12.786978932077808</v>
          </cell>
          <cell r="AF18">
            <v>61.258443685408075</v>
          </cell>
          <cell r="AG18">
            <v>225.81551180100053</v>
          </cell>
          <cell r="AH18">
            <v>245.81830839569164</v>
          </cell>
          <cell r="AI18">
            <v>104.28154793710496</v>
          </cell>
        </row>
        <row r="19">
          <cell r="A19" t="str">
            <v>Phillips Van Heusen</v>
          </cell>
          <cell r="B19" t="str">
            <v>PVH</v>
          </cell>
          <cell r="C19" t="e">
            <v>#N/A</v>
          </cell>
          <cell r="D19">
            <v>576.50450000000001</v>
          </cell>
          <cell r="E19" t="e">
            <v>#N/A</v>
          </cell>
          <cell r="G19" t="e">
            <v>#N/A</v>
          </cell>
          <cell r="H19">
            <v>2.7115458278771154E-2</v>
          </cell>
          <cell r="I19" t="e">
            <v>#N/A</v>
          </cell>
          <cell r="K19" t="e">
            <v>#N/A</v>
          </cell>
          <cell r="L19">
            <v>0.12509456561050261</v>
          </cell>
          <cell r="M19" t="e">
            <v>#N/A</v>
          </cell>
          <cell r="O19" t="e">
            <v>#N/A</v>
          </cell>
          <cell r="P19">
            <v>0.68888879999999997</v>
          </cell>
          <cell r="Q19" t="e">
            <v>#N/A</v>
          </cell>
        </row>
        <row r="20">
          <cell r="A20" t="str">
            <v>Guess</v>
          </cell>
          <cell r="B20" t="str">
            <v>GES</v>
          </cell>
          <cell r="C20">
            <v>617.47692860256416</v>
          </cell>
          <cell r="D20">
            <v>590.62139999999999</v>
          </cell>
          <cell r="E20">
            <v>4.5469955207454671E-2</v>
          </cell>
          <cell r="G20">
            <v>0.10053456538856853</v>
          </cell>
          <cell r="H20">
            <v>5.2669720355748684E-2</v>
          </cell>
          <cell r="I20">
            <v>478.64845032819846</v>
          </cell>
          <cell r="K20">
            <v>0.1883119414517091</v>
          </cell>
          <cell r="L20">
            <v>0.18074387416371979</v>
          </cell>
          <cell r="M20">
            <v>75.680672879893109</v>
          </cell>
          <cell r="O20">
            <v>0.84066480668887278</v>
          </cell>
          <cell r="P20">
            <v>0.77545449999999994</v>
          </cell>
          <cell r="Q20">
            <v>6.5210306688872843E-2</v>
          </cell>
          <cell r="AA20" t="str">
            <v>EPS</v>
          </cell>
          <cell r="AB20">
            <v>0.10824466868765577</v>
          </cell>
          <cell r="AC20">
            <v>0.38370956721072103</v>
          </cell>
          <cell r="AD20">
            <v>0.63294858177896596</v>
          </cell>
          <cell r="AE20">
            <v>1.0792630922177753</v>
          </cell>
          <cell r="AF20">
            <v>-0.40562658531416712</v>
          </cell>
          <cell r="AG20">
            <v>0.55991220629973937</v>
          </cell>
          <cell r="AH20">
            <v>0.5042002207324322</v>
          </cell>
        </row>
        <row r="21">
          <cell r="AA21" t="str">
            <v>EPS Growth</v>
          </cell>
          <cell r="AB21">
            <v>0</v>
          </cell>
          <cell r="AC21">
            <v>0.36798361325009821</v>
          </cell>
          <cell r="AD21">
            <v>0.18607501657749315</v>
          </cell>
          <cell r="AE21">
            <v>0.11505908224347494</v>
          </cell>
          <cell r="AF21">
            <v>8.8453585105013444E-2</v>
          </cell>
          <cell r="AG21">
            <v>5.1789170036681265E-2</v>
          </cell>
          <cell r="AH21">
            <v>0.43586015999772165</v>
          </cell>
          <cell r="AI21">
            <v>0.17788866103006895</v>
          </cell>
        </row>
        <row r="22">
          <cell r="A22">
            <v>2009</v>
          </cell>
        </row>
        <row r="23">
          <cell r="A23" t="str">
            <v>Under Armour</v>
          </cell>
          <cell r="B23" t="str">
            <v>UA</v>
          </cell>
          <cell r="C23">
            <v>955.61670873865933</v>
          </cell>
          <cell r="D23">
            <v>953.822</v>
          </cell>
          <cell r="E23">
            <v>1.8815971309733559E-3</v>
          </cell>
          <cell r="G23">
            <v>0.11583890064310176</v>
          </cell>
          <cell r="H23">
            <v>0.31470985527222606</v>
          </cell>
          <cell r="I23">
            <v>-1988.709546291243</v>
          </cell>
          <cell r="K23">
            <v>9.9650993469039648E-2</v>
          </cell>
          <cell r="L23">
            <v>9.9845065431495614E-2</v>
          </cell>
          <cell r="M23">
            <v>-1.9407196245596614</v>
          </cell>
          <cell r="O23">
            <v>1.0485101164267066</v>
          </cell>
          <cell r="P23">
            <v>1.0471139999999999</v>
          </cell>
          <cell r="Q23">
            <v>1.3961164267066728E-3</v>
          </cell>
        </row>
        <row r="24">
          <cell r="A24" t="str">
            <v>Jones Apparel</v>
          </cell>
          <cell r="B24" t="str">
            <v>JNY</v>
          </cell>
          <cell r="C24">
            <v>3407.1067162675386</v>
          </cell>
          <cell r="D24">
            <v>3381.18</v>
          </cell>
          <cell r="E24">
            <v>7.6679491383300213E-3</v>
          </cell>
          <cell r="G24">
            <v>2.3032283289556199E-2</v>
          </cell>
          <cell r="H24">
            <v>1.5247417727600077E-2</v>
          </cell>
          <cell r="I24">
            <v>77.848655619561228</v>
          </cell>
          <cell r="K24">
            <v>7.1075925880296348E-2</v>
          </cell>
          <cell r="L24">
            <v>6.9552345630815277E-2</v>
          </cell>
          <cell r="M24">
            <v>15.235802494810713</v>
          </cell>
          <cell r="O24">
            <v>1.3645274997482593</v>
          </cell>
          <cell r="P24">
            <v>1.3541859999999999</v>
          </cell>
          <cell r="Q24">
            <v>1.0341499748259375E-2</v>
          </cell>
        </row>
        <row r="25">
          <cell r="A25" t="str">
            <v>Ralph Lauren</v>
          </cell>
          <cell r="B25" t="str">
            <v>RL</v>
          </cell>
          <cell r="C25">
            <v>4911.05021938139</v>
          </cell>
          <cell r="D25">
            <v>4875.2759999999998</v>
          </cell>
          <cell r="E25">
            <v>7.3378859743304936E-3</v>
          </cell>
          <cell r="G25">
            <v>-2.1488728729125883E-2</v>
          </cell>
          <cell r="H25">
            <v>-2.8616629141843819E-2</v>
          </cell>
          <cell r="I25">
            <v>71.279004127179363</v>
          </cell>
          <cell r="K25">
            <v>0.13230368761329642</v>
          </cell>
          <cell r="L25">
            <v>0.13159769826364703</v>
          </cell>
          <cell r="M25">
            <v>7.0598934964938298</v>
          </cell>
          <cell r="O25">
            <v>4.3340293193425694</v>
          </cell>
          <cell r="P25">
            <v>4.2647000000000004</v>
          </cell>
          <cell r="Q25">
            <v>6.9329319342569029E-2</v>
          </cell>
        </row>
        <row r="26">
          <cell r="A26" t="str">
            <v>Warnaco</v>
          </cell>
          <cell r="B26" t="str">
            <v>WRC</v>
          </cell>
          <cell r="C26">
            <v>2019.626</v>
          </cell>
          <cell r="D26">
            <v>2178.1950000000002</v>
          </cell>
          <cell r="E26">
            <v>-7.2798349091793946E-2</v>
          </cell>
          <cell r="G26">
            <v>-2.0953060548784763E-2</v>
          </cell>
          <cell r="H26">
            <v>5.591587169007517E-2</v>
          </cell>
          <cell r="I26">
            <v>-768.68932238859929</v>
          </cell>
          <cell r="K26">
            <v>0.11270849157220193</v>
          </cell>
          <cell r="L26">
            <v>0.11457160630705698</v>
          </cell>
          <cell r="M26">
            <v>-18.63114734855051</v>
          </cell>
          <cell r="O26">
            <v>2.8241511390163154</v>
          </cell>
          <cell r="P26">
            <v>3.2527269999999997</v>
          </cell>
          <cell r="Q26">
            <v>-0.42857586098368428</v>
          </cell>
        </row>
        <row r="27">
          <cell r="A27" t="str">
            <v>Liz Claiborne</v>
          </cell>
          <cell r="B27" t="str">
            <v>LIZ</v>
          </cell>
          <cell r="C27">
            <v>3011.8590000000004</v>
          </cell>
          <cell r="D27">
            <v>2703.2330000000002</v>
          </cell>
          <cell r="E27">
            <v>0.11416921885756803</v>
          </cell>
          <cell r="G27">
            <v>-0.24419076193253286</v>
          </cell>
          <cell r="H27">
            <v>-0.32163873738816018</v>
          </cell>
          <cell r="I27">
            <v>774.47975455627318</v>
          </cell>
          <cell r="K27">
            <v>-4.5223896603393245E-2</v>
          </cell>
          <cell r="L27">
            <v>4.7474017223080658E-3</v>
          </cell>
          <cell r="M27">
            <v>-499.71298325701309</v>
          </cell>
          <cell r="O27">
            <v>-1.4655063139449973</v>
          </cell>
          <cell r="P27">
            <v>-0.43044179999999999</v>
          </cell>
          <cell r="Q27">
            <v>-1.0350645139449974</v>
          </cell>
        </row>
        <row r="28">
          <cell r="A28" t="str">
            <v>Phillips Van Heusen</v>
          </cell>
          <cell r="B28" t="str">
            <v>PVH</v>
          </cell>
          <cell r="C28">
            <v>3749.1064498860405</v>
          </cell>
          <cell r="D28">
            <v>3066.89</v>
          </cell>
          <cell r="E28">
            <v>0.22244568598353398</v>
          </cell>
          <cell r="G28">
            <v>0.56295409943259211</v>
          </cell>
          <cell r="H28">
            <v>0.27854686498819592</v>
          </cell>
          <cell r="I28">
            <v>2844.0723444439618</v>
          </cell>
          <cell r="K28">
            <v>0.12811321863881991</v>
          </cell>
          <cell r="L28">
            <v>0.12899083436314965</v>
          </cell>
          <cell r="M28">
            <v>-8.7761572432973338</v>
          </cell>
          <cell r="O28">
            <v>3.6497830573148669</v>
          </cell>
          <cell r="P28">
            <v>3.4630000000000001</v>
          </cell>
          <cell r="Q28">
            <v>0.18678305731486677</v>
          </cell>
        </row>
        <row r="29">
          <cell r="A29" t="str">
            <v>Guess</v>
          </cell>
          <cell r="B29" t="str">
            <v>GES</v>
          </cell>
          <cell r="C29">
            <v>2339.5358472059361</v>
          </cell>
          <cell r="D29">
            <v>2363.75</v>
          </cell>
          <cell r="E29">
            <v>-1.0243956761105788E-2</v>
          </cell>
          <cell r="G29">
            <v>9.9165242576548573E-2</v>
          </cell>
          <cell r="H29">
            <v>0.11054158252938984</v>
          </cell>
          <cell r="I29">
            <v>-113.76339952841263</v>
          </cell>
          <cell r="K29">
            <v>0.1733295159390906</v>
          </cell>
          <cell r="L29">
            <v>0.17557652035959809</v>
          </cell>
          <cell r="M29">
            <v>-22.470044205074867</v>
          </cell>
          <cell r="O29">
            <v>2.9820721986947794</v>
          </cell>
          <cell r="P29">
            <v>3.0154540000000001</v>
          </cell>
          <cell r="Q29">
            <v>-3.3381801305220726E-2</v>
          </cell>
        </row>
        <row r="30">
          <cell r="A30" t="str">
            <v>Q2E2009E</v>
          </cell>
        </row>
        <row r="31">
          <cell r="A31" t="str">
            <v>Q3E2009E</v>
          </cell>
        </row>
        <row r="32">
          <cell r="A32" t="str">
            <v>Q4E2009E</v>
          </cell>
        </row>
      </sheetData>
      <sheetData sheetId="14"/>
      <sheetData sheetId="15">
        <row r="2">
          <cell r="A2" t="str">
            <v>Comps - 1H vs 2H</v>
          </cell>
        </row>
        <row r="4">
          <cell r="A4" t="str">
            <v>All</v>
          </cell>
        </row>
        <row r="5">
          <cell r="B5">
            <v>2005</v>
          </cell>
          <cell r="C5">
            <v>2006</v>
          </cell>
          <cell r="D5">
            <v>2007</v>
          </cell>
          <cell r="E5">
            <v>2008</v>
          </cell>
          <cell r="F5">
            <v>2009</v>
          </cell>
        </row>
        <row r="6">
          <cell r="A6" t="str">
            <v>1H Average</v>
          </cell>
          <cell r="B6">
            <v>7.343394807078546E-2</v>
          </cell>
          <cell r="C6">
            <v>3.6103699295473378E-2</v>
          </cell>
          <cell r="D6">
            <v>3.5750000000000004E-2</v>
          </cell>
          <cell r="E6">
            <v>-6.4642857142857158E-3</v>
          </cell>
          <cell r="F6">
            <v>-7.9104931190213501E-2</v>
          </cell>
          <cell r="I6" t="str">
            <v>adjust for COH, TJX</v>
          </cell>
        </row>
        <row r="7">
          <cell r="A7" t="str">
            <v>2H Average</v>
          </cell>
          <cell r="B7">
            <v>6.6390123171896021E-2</v>
          </cell>
          <cell r="C7">
            <v>5.727112891066783E-2</v>
          </cell>
          <cell r="D7">
            <v>1.8832722098564406E-2</v>
          </cell>
          <cell r="E7">
            <v>-7.3265786902211694E-2</v>
          </cell>
          <cell r="F7">
            <v>-3.1323701477169409E-3</v>
          </cell>
        </row>
        <row r="10">
          <cell r="A10" t="str">
            <v>Inventory performance - Gross Margin perf</v>
          </cell>
        </row>
        <row r="11">
          <cell r="B11">
            <v>2005</v>
          </cell>
          <cell r="C11">
            <v>2006</v>
          </cell>
          <cell r="D11">
            <v>2007</v>
          </cell>
          <cell r="E11">
            <v>2008</v>
          </cell>
          <cell r="F11">
            <v>2009</v>
          </cell>
        </row>
        <row r="12">
          <cell r="A12" t="str">
            <v>Avg. y/y inventory change</v>
          </cell>
          <cell r="B12">
            <v>5.7284524754549301E-2</v>
          </cell>
          <cell r="C12">
            <v>0.16859864286702</v>
          </cell>
          <cell r="D12">
            <v>-3.0164244389156207E-2</v>
          </cell>
          <cell r="E12">
            <v>-8.3614642141829371E-2</v>
          </cell>
          <cell r="F12">
            <v>-8.9823836642227775E-2</v>
          </cell>
          <cell r="G12" t="str">
            <v>inv</v>
          </cell>
        </row>
        <row r="13">
          <cell r="A13" t="str">
            <v>Avg. GM change, bps</v>
          </cell>
          <cell r="B13">
            <v>-46.259275288913322</v>
          </cell>
          <cell r="C13">
            <v>43.577692302823763</v>
          </cell>
          <cell r="D13">
            <v>2.0201815697073249</v>
          </cell>
          <cell r="E13">
            <v>-136.05015774008214</v>
          </cell>
          <cell r="F13">
            <v>115.57467902423799</v>
          </cell>
          <cell r="G13" t="str">
            <v>gm chg</v>
          </cell>
        </row>
        <row r="14">
          <cell r="B14">
            <v>2005</v>
          </cell>
          <cell r="C14">
            <v>2006</v>
          </cell>
          <cell r="D14">
            <v>2007</v>
          </cell>
          <cell r="E14">
            <v>2008</v>
          </cell>
          <cell r="F14">
            <v>2009</v>
          </cell>
        </row>
        <row r="15">
          <cell r="A15" t="str">
            <v>Avg. y/y inventory change - dept store</v>
          </cell>
          <cell r="B15">
            <v>6.4354638711914907E-4</v>
          </cell>
          <cell r="C15">
            <v>0.22375429462687266</v>
          </cell>
          <cell r="D15">
            <v>-7.9138376331201309E-3</v>
          </cell>
          <cell r="E15">
            <v>-0.11582389939374201</v>
          </cell>
          <cell r="F15">
            <v>-7.9383150790566556E-2</v>
          </cell>
          <cell r="G15" t="str">
            <v>inv</v>
          </cell>
        </row>
        <row r="16">
          <cell r="A16" t="str">
            <v>Avg. GM change, bps</v>
          </cell>
          <cell r="B16">
            <v>-20.136216979536993</v>
          </cell>
          <cell r="C16">
            <v>74.57171959282671</v>
          </cell>
          <cell r="D16">
            <v>3.9521848350601987</v>
          </cell>
          <cell r="E16">
            <v>-154.32368383100911</v>
          </cell>
          <cell r="F16">
            <v>191.11845927863604</v>
          </cell>
          <cell r="G16" t="str">
            <v>gm chg</v>
          </cell>
        </row>
        <row r="17">
          <cell r="B17">
            <v>2005</v>
          </cell>
          <cell r="C17">
            <v>2006</v>
          </cell>
          <cell r="D17">
            <v>2007</v>
          </cell>
          <cell r="E17">
            <v>2008</v>
          </cell>
          <cell r="F17">
            <v>2009</v>
          </cell>
        </row>
        <row r="18">
          <cell r="A18" t="str">
            <v>Avg. y/y inventory change - spec</v>
          </cell>
          <cell r="B18">
            <v>0.11392550312197945</v>
          </cell>
          <cell r="C18">
            <v>0.11344299110716731</v>
          </cell>
          <cell r="D18">
            <v>-5.2414651145192281E-2</v>
          </cell>
          <cell r="E18">
            <v>-5.140538488991675E-2</v>
          </cell>
          <cell r="F18">
            <v>-0.10026452249388899</v>
          </cell>
          <cell r="G18" t="str">
            <v>inv</v>
          </cell>
        </row>
        <row r="19">
          <cell r="A19" t="str">
            <v>Avg. GM change, bps</v>
          </cell>
          <cell r="B19">
            <v>-72.382333598289662</v>
          </cell>
          <cell r="C19">
            <v>12.583665012820811</v>
          </cell>
          <cell r="D19">
            <v>8.8178304354443071E-2</v>
          </cell>
          <cell r="E19">
            <v>-117.77663164915512</v>
          </cell>
          <cell r="F19">
            <v>40.030898769839915</v>
          </cell>
          <cell r="G19" t="str">
            <v>gm chg</v>
          </cell>
        </row>
        <row r="24">
          <cell r="A24" t="str">
            <v>Gross margins over past five years: peak (shaded), trough (outlined)</v>
          </cell>
        </row>
        <row r="25">
          <cell r="B25" t="str">
            <v>High</v>
          </cell>
          <cell r="C25" t="str">
            <v>Low</v>
          </cell>
        </row>
        <row r="27">
          <cell r="B27">
            <v>2005</v>
          </cell>
          <cell r="C27">
            <v>2006</v>
          </cell>
          <cell r="D27">
            <v>2007</v>
          </cell>
          <cell r="E27">
            <v>2008</v>
          </cell>
          <cell r="F27">
            <v>2009</v>
          </cell>
          <cell r="G27">
            <v>2010</v>
          </cell>
          <cell r="I27" t="str">
            <v>max</v>
          </cell>
          <cell r="J27" t="str">
            <v>min</v>
          </cell>
          <cell r="K27" t="str">
            <v>2010 vs peak</v>
          </cell>
        </row>
        <row r="28">
          <cell r="A28" t="str">
            <v>JCP</v>
          </cell>
          <cell r="B28">
            <v>0.3828337149246579</v>
          </cell>
          <cell r="C28">
            <v>0.39235117686260546</v>
          </cell>
          <cell r="D28">
            <v>0.38593358921258969</v>
          </cell>
          <cell r="E28">
            <v>0.37411138446832803</v>
          </cell>
          <cell r="F28">
            <v>0.39356446279921997</v>
          </cell>
          <cell r="G28">
            <v>0.39605323146481297</v>
          </cell>
          <cell r="I28">
            <v>0.39605323146481297</v>
          </cell>
          <cell r="J28">
            <v>0.37411138446832803</v>
          </cell>
          <cell r="K28">
            <v>0</v>
          </cell>
        </row>
        <row r="29">
          <cell r="A29" t="str">
            <v>JWN</v>
          </cell>
          <cell r="B29">
            <v>0.36705055232607831</v>
          </cell>
          <cell r="C29">
            <v>0.37458966546886718</v>
          </cell>
          <cell r="D29">
            <v>0.37400380207376371</v>
          </cell>
          <cell r="E29">
            <v>0.34513532746351461</v>
          </cell>
          <cell r="F29">
            <v>0.35480745943327685</v>
          </cell>
          <cell r="G29">
            <v>0.36371218664159566</v>
          </cell>
          <cell r="I29">
            <v>0.37458966546886718</v>
          </cell>
          <cell r="J29">
            <v>0.34513532746351461</v>
          </cell>
          <cell r="K29">
            <v>-108.77478827271526</v>
          </cell>
        </row>
        <row r="30">
          <cell r="A30" t="str">
            <v>KSS</v>
          </cell>
          <cell r="B30">
            <v>0.35521033860112516</v>
          </cell>
          <cell r="C30">
            <v>0.3636492487376406</v>
          </cell>
          <cell r="D30">
            <v>0.36507281302925265</v>
          </cell>
          <cell r="E30">
            <v>0.36947488849160115</v>
          </cell>
          <cell r="F30">
            <v>0.37823834196891193</v>
          </cell>
          <cell r="G30">
            <v>0.38389063407855639</v>
          </cell>
          <cell r="I30">
            <v>0.38389063407855639</v>
          </cell>
          <cell r="J30">
            <v>0.35521033860112516</v>
          </cell>
          <cell r="K30">
            <v>0</v>
          </cell>
        </row>
        <row r="31">
          <cell r="A31" t="str">
            <v>M</v>
          </cell>
          <cell r="B31">
            <v>0.40723537293434564</v>
          </cell>
          <cell r="C31">
            <v>0.40604375231738965</v>
          </cell>
          <cell r="D31">
            <v>0.40421084634971305</v>
          </cell>
          <cell r="E31">
            <v>0.39703519202956772</v>
          </cell>
          <cell r="F31">
            <v>0.4051258035676274</v>
          </cell>
          <cell r="G31">
            <v>0.40740177504153008</v>
          </cell>
          <cell r="I31">
            <v>0.40740177504153008</v>
          </cell>
          <cell r="J31">
            <v>0.39703519202956772</v>
          </cell>
          <cell r="K31">
            <v>0</v>
          </cell>
        </row>
        <row r="32">
          <cell r="A32" t="str">
            <v>SKS</v>
          </cell>
          <cell r="B32">
            <v>0.36838636693297744</v>
          </cell>
          <cell r="C32">
            <v>0.38629518405253327</v>
          </cell>
          <cell r="D32">
            <v>0.39013022290713839</v>
          </cell>
          <cell r="E32">
            <v>0.32085279404442968</v>
          </cell>
          <cell r="F32">
            <v>0.36470630800811976</v>
          </cell>
          <cell r="G32">
            <v>0.38074593530189327</v>
          </cell>
          <cell r="I32">
            <v>0.39013022290713839</v>
          </cell>
          <cell r="J32">
            <v>0.32085279404442968</v>
          </cell>
          <cell r="K32">
            <v>-93.842876052451231</v>
          </cell>
        </row>
        <row r="33">
          <cell r="A33" t="str">
            <v>Dept. store avg</v>
          </cell>
          <cell r="B33">
            <v>0.37614326914383689</v>
          </cell>
          <cell r="C33">
            <v>0.38458580548780724</v>
          </cell>
          <cell r="D33">
            <v>0.38387025471449154</v>
          </cell>
          <cell r="E33">
            <v>0.36132191729948826</v>
          </cell>
          <cell r="F33">
            <v>0.37928847515543118</v>
          </cell>
          <cell r="G33">
            <v>0.3863607525056777</v>
          </cell>
          <cell r="I33">
            <v>0.26466022730826666</v>
          </cell>
          <cell r="J33">
            <v>0.22078245953473774</v>
          </cell>
          <cell r="K33">
            <v>0</v>
          </cell>
        </row>
        <row r="34">
          <cell r="I34">
            <v>0.26683303831625027</v>
          </cell>
          <cell r="J34">
            <v>0.23491384996800246</v>
          </cell>
          <cell r="K34">
            <v>0</v>
          </cell>
        </row>
        <row r="35">
          <cell r="A35" t="str">
            <v>ROST</v>
          </cell>
          <cell r="B35">
            <v>0.22078245953473774</v>
          </cell>
          <cell r="C35">
            <v>0.22488972588107092</v>
          </cell>
          <cell r="D35">
            <v>0.22710357389829849</v>
          </cell>
          <cell r="E35">
            <v>0.2358202622546326</v>
          </cell>
          <cell r="F35">
            <v>0.25847437986596433</v>
          </cell>
          <cell r="G35">
            <v>0.26466022730826666</v>
          </cell>
          <cell r="I35">
            <v>0.67253982532430046</v>
          </cell>
          <cell r="J35">
            <v>0.64275377929795496</v>
          </cell>
          <cell r="K35">
            <v>-297.86046026345491</v>
          </cell>
        </row>
        <row r="36">
          <cell r="A36" t="str">
            <v>TJX</v>
          </cell>
          <cell r="B36">
            <v>0.23491384996800246</v>
          </cell>
          <cell r="C36">
            <v>0.24079410561679626</v>
          </cell>
          <cell r="D36">
            <v>0.24492454085068949</v>
          </cell>
          <cell r="E36">
            <v>0.24092296088766529</v>
          </cell>
          <cell r="F36">
            <v>0.26221897549166406</v>
          </cell>
          <cell r="G36">
            <v>0.26683303831625027</v>
          </cell>
          <cell r="I36">
            <v>0.38266153944036096</v>
          </cell>
          <cell r="J36">
            <v>0.30097222810369439</v>
          </cell>
          <cell r="K36">
            <v>0</v>
          </cell>
        </row>
        <row r="37">
          <cell r="A37" t="str">
            <v>Off-price avg</v>
          </cell>
          <cell r="B37">
            <v>0.2278481547513701</v>
          </cell>
          <cell r="C37">
            <v>0.23284191574893359</v>
          </cell>
          <cell r="D37">
            <v>0.23601405737449399</v>
          </cell>
          <cell r="E37">
            <v>0.23837161157114894</v>
          </cell>
          <cell r="F37">
            <v>0.2603466776788142</v>
          </cell>
          <cell r="G37">
            <v>0.26574663281225847</v>
          </cell>
          <cell r="I37">
            <v>0.47968246595255026</v>
          </cell>
          <cell r="J37">
            <v>0.38724779790259878</v>
          </cell>
          <cell r="K37">
            <v>-557.89561500711568</v>
          </cell>
        </row>
        <row r="38">
          <cell r="I38">
            <v>0.38266153944036096</v>
          </cell>
          <cell r="J38">
            <v>0.30097222810369439</v>
          </cell>
          <cell r="K38">
            <v>0</v>
          </cell>
        </row>
        <row r="39">
          <cell r="A39" t="str">
            <v>ANF</v>
          </cell>
          <cell r="B39">
            <v>0.66982483696775197</v>
          </cell>
          <cell r="C39">
            <v>0.67008193227159563</v>
          </cell>
          <cell r="D39">
            <v>0.67253982532430046</v>
          </cell>
          <cell r="E39">
            <v>0.66907487449258141</v>
          </cell>
          <cell r="F39">
            <v>0.6431673566946946</v>
          </cell>
          <cell r="G39">
            <v>0.64275377929795496</v>
          </cell>
          <cell r="I39">
            <v>0.77715250839458938</v>
          </cell>
          <cell r="J39">
            <v>0.7189701306436096</v>
          </cell>
          <cell r="K39">
            <v>-534.41365481116327</v>
          </cell>
        </row>
        <row r="40">
          <cell r="A40" t="str">
            <v>ARO</v>
          </cell>
          <cell r="B40">
            <v>0.30097222810369439</v>
          </cell>
          <cell r="C40">
            <v>0.31702127358463861</v>
          </cell>
          <cell r="D40">
            <v>0.34456092567946972</v>
          </cell>
          <cell r="E40">
            <v>0.34694841930469456</v>
          </cell>
          <cell r="F40">
            <v>0.38094484340423429</v>
          </cell>
          <cell r="G40">
            <v>0.38266153944036096</v>
          </cell>
          <cell r="I40">
            <v>0.40988133878454813</v>
          </cell>
          <cell r="J40">
            <v>0.35527224769201782</v>
          </cell>
          <cell r="K40">
            <v>0</v>
          </cell>
        </row>
        <row r="41">
          <cell r="A41" t="str">
            <v>AEO</v>
          </cell>
          <cell r="B41">
            <v>0.46338441369841543</v>
          </cell>
          <cell r="C41">
            <v>0.47968246595255026</v>
          </cell>
          <cell r="D41">
            <v>0.46577507045678512</v>
          </cell>
          <cell r="E41">
            <v>0.39281461528089534</v>
          </cell>
          <cell r="F41">
            <v>0.38724779790259878</v>
          </cell>
          <cell r="G41">
            <v>0.42389290445183869</v>
          </cell>
          <cell r="I41">
            <v>0.37612621984111183</v>
          </cell>
          <cell r="J41">
            <v>0.33246659377546584</v>
          </cell>
          <cell r="K41">
            <v>-160.31477906032765</v>
          </cell>
        </row>
        <row r="42">
          <cell r="A42" t="str">
            <v>COH</v>
          </cell>
          <cell r="B42">
            <v>0.76742019151131191</v>
          </cell>
          <cell r="C42">
            <v>0.77715250839458938</v>
          </cell>
          <cell r="D42">
            <v>0.77436175001607688</v>
          </cell>
          <cell r="E42">
            <v>0.75677047948019927</v>
          </cell>
          <cell r="F42">
            <v>0.7189701306436096</v>
          </cell>
          <cell r="G42">
            <v>0.72371114291347305</v>
          </cell>
          <cell r="I42">
            <v>0.41328451675268396</v>
          </cell>
          <cell r="J42">
            <v>0.36900034865197429</v>
          </cell>
          <cell r="K42">
            <v>0</v>
          </cell>
        </row>
        <row r="43">
          <cell r="A43" t="str">
            <v>GPS</v>
          </cell>
          <cell r="B43">
            <v>0.36634837421207012</v>
          </cell>
          <cell r="C43">
            <v>0.35527224769201782</v>
          </cell>
          <cell r="D43">
            <v>0.36122565501490833</v>
          </cell>
          <cell r="E43">
            <v>0.37498278948093078</v>
          </cell>
          <cell r="F43">
            <v>0.40318377121927162</v>
          </cell>
          <cell r="G43">
            <v>0.40988133878454813</v>
          </cell>
        </row>
        <row r="44">
          <cell r="A44" t="str">
            <v>LTD</v>
          </cell>
          <cell r="B44">
            <v>0.35680728062464451</v>
          </cell>
          <cell r="C44">
            <v>0.37612621984111183</v>
          </cell>
          <cell r="D44">
            <v>0.34339067881529917</v>
          </cell>
          <cell r="E44">
            <v>0.33246659377546584</v>
          </cell>
          <cell r="F44">
            <v>0.35077650699768259</v>
          </cell>
          <cell r="G44">
            <v>0.36009474193507907</v>
          </cell>
        </row>
        <row r="45">
          <cell r="A45" t="str">
            <v>URBN</v>
          </cell>
          <cell r="B45">
            <v>0.41077110576161491</v>
          </cell>
          <cell r="C45">
            <v>0.36900034865197429</v>
          </cell>
          <cell r="D45">
            <v>0.38254481589468625</v>
          </cell>
          <cell r="E45">
            <v>0.38889730723235016</v>
          </cell>
          <cell r="F45">
            <v>0.40568630132391381</v>
          </cell>
          <cell r="G45">
            <v>0.41328451675268396</v>
          </cell>
        </row>
        <row r="46">
          <cell r="A46" t="str">
            <v>Specialty avg</v>
          </cell>
          <cell r="B46">
            <v>0.47650406155421482</v>
          </cell>
          <cell r="C46">
            <v>0.47776242805549679</v>
          </cell>
          <cell r="D46">
            <v>0.47777124588593228</v>
          </cell>
          <cell r="E46">
            <v>0.46599358272101682</v>
          </cell>
          <cell r="F46">
            <v>0.46999667259800076</v>
          </cell>
          <cell r="G46">
            <v>0.47946856622513412</v>
          </cell>
        </row>
        <row r="57">
          <cell r="A57" t="str">
            <v>SG&amp;A Growth vs Sales Growth - Comps Growth</v>
          </cell>
        </row>
        <row r="58">
          <cell r="A58" t="str">
            <v>SG&amp;A growth</v>
          </cell>
          <cell r="B58">
            <v>2005</v>
          </cell>
          <cell r="C58">
            <v>2006</v>
          </cell>
          <cell r="D58">
            <v>2007</v>
          </cell>
          <cell r="E58">
            <v>2008</v>
          </cell>
          <cell r="F58">
            <v>2009</v>
          </cell>
          <cell r="G58">
            <v>2010</v>
          </cell>
        </row>
        <row r="59">
          <cell r="A59" t="str">
            <v>JCP</v>
          </cell>
          <cell r="B59">
            <v>1.9800181653042648E-2</v>
          </cell>
          <cell r="C59">
            <v>5.753473459209113E-2</v>
          </cell>
          <cell r="D59">
            <v>-1.8191005558362838E-2</v>
          </cell>
          <cell r="E59">
            <v>-4.1173443129182141E-3</v>
          </cell>
          <cell r="F59">
            <v>7.5279931093884533E-2</v>
          </cell>
          <cell r="G59">
            <v>7.7272891567914392E-4</v>
          </cell>
        </row>
        <row r="60">
          <cell r="A60" t="str">
            <v>JWN</v>
          </cell>
          <cell r="B60">
            <v>3.9813724456535526E-2</v>
          </cell>
          <cell r="C60">
            <v>9.3397522500006991E-2</v>
          </cell>
          <cell r="D60">
            <v>2.7392578486396646E-2</v>
          </cell>
          <cell r="E60">
            <v>1.1944333793828088E-2</v>
          </cell>
          <cell r="F60">
            <v>3.2259253272450383E-2</v>
          </cell>
          <cell r="G60">
            <v>5.0834702266653098E-2</v>
          </cell>
        </row>
        <row r="61">
          <cell r="A61" t="str">
            <v>KSS</v>
          </cell>
          <cell r="B61">
            <v>0.14732221151534408</v>
          </cell>
          <cell r="C61">
            <v>0.15252033069006243</v>
          </cell>
          <cell r="D61">
            <v>8.2391009909547508E-2</v>
          </cell>
          <cell r="E61">
            <v>6.4681760393843435E-2</v>
          </cell>
          <cell r="F61">
            <v>5.2839643680853365E-2</v>
          </cell>
          <cell r="G61">
            <v>6.0426926393679858E-2</v>
          </cell>
        </row>
        <row r="62">
          <cell r="A62" t="str">
            <v>M</v>
          </cell>
          <cell r="B62">
            <v>0.41553437436625429</v>
          </cell>
          <cell r="C62">
            <v>0.24326647564469916</v>
          </cell>
          <cell r="D62">
            <v>-1.4289006683567695E-2</v>
          </cell>
          <cell r="E62">
            <v>-1.1222819733458067E-2</v>
          </cell>
          <cell r="F62">
            <v>-4.6819579096713193E-2</v>
          </cell>
          <cell r="G62">
            <v>2.3079369153637952E-2</v>
          </cell>
        </row>
        <row r="63">
          <cell r="A63" t="str">
            <v>SKS</v>
          </cell>
          <cell r="B63">
            <v>6.2793070223896574E-3</v>
          </cell>
          <cell r="C63">
            <v>-6.4508354494813736E-2</v>
          </cell>
          <cell r="D63">
            <v>7.7426248732044733E-2</v>
          </cell>
          <cell r="E63">
            <v>-5.5058117202405166E-2</v>
          </cell>
          <cell r="F63">
            <v>-0.13106406133853599</v>
          </cell>
          <cell r="G63">
            <v>4.8787028931422949E-2</v>
          </cell>
        </row>
        <row r="64">
          <cell r="A64" t="str">
            <v>ROST</v>
          </cell>
          <cell r="B64">
            <v>0.16494036504740994</v>
          </cell>
          <cell r="C64">
            <v>0.12646317141425123</v>
          </cell>
          <cell r="D64">
            <v>8.4432460867660764E-2</v>
          </cell>
          <cell r="E64">
            <v>0.10981272658003349</v>
          </cell>
          <cell r="F64">
            <v>8.8707414272316543E-2</v>
          </cell>
          <cell r="G64">
            <v>7.1078079459742538E-2</v>
          </cell>
        </row>
        <row r="65">
          <cell r="A65" t="str">
            <v>TJX</v>
          </cell>
          <cell r="B65">
            <v>6.6846265118965631E-2</v>
          </cell>
          <cell r="C65">
            <v>8.4496792669717324E-2</v>
          </cell>
          <cell r="D65">
            <v>4.0062234300518362E-2</v>
          </cell>
          <cell r="E65">
            <v>3.6026224389584804E-2</v>
          </cell>
          <cell r="F65">
            <v>5.9267136455885217E-2</v>
          </cell>
          <cell r="G65">
            <v>6.6782449189689119E-2</v>
          </cell>
        </row>
        <row r="66">
          <cell r="A66" t="str">
            <v>ANF</v>
          </cell>
          <cell r="B66">
            <v>0.32517499320921894</v>
          </cell>
          <cell r="C66">
            <v>0.19254496302912805</v>
          </cell>
          <cell r="D66">
            <v>0.13770236688854931</v>
          </cell>
          <cell r="E66">
            <v>6.9262730911323844E-2</v>
          </cell>
          <cell r="F66">
            <v>-5.1157205166412423E-2</v>
          </cell>
          <cell r="G66">
            <v>2.6799926349323933E-2</v>
          </cell>
        </row>
        <row r="67">
          <cell r="A67" t="str">
            <v>ARO</v>
          </cell>
          <cell r="B67">
            <v>0.23408904373916317</v>
          </cell>
          <cell r="C67">
            <v>0.27612268987509014</v>
          </cell>
          <cell r="D67">
            <v>0.19351754700831103</v>
          </cell>
          <cell r="E67">
            <v>0.17373375168086058</v>
          </cell>
          <cell r="F67">
            <v>0.14210745461130436</v>
          </cell>
          <cell r="G67">
            <v>8.7894294822347341E-2</v>
          </cell>
        </row>
        <row r="68">
          <cell r="A68" t="str">
            <v>AEO</v>
          </cell>
          <cell r="B68">
            <v>0.21365220252042727</v>
          </cell>
          <cell r="C68">
            <v>0.22738915166099627</v>
          </cell>
          <cell r="D68">
            <v>7.4477882594383704E-2</v>
          </cell>
          <cell r="E68">
            <v>2.6372381778014153E-2</v>
          </cell>
          <cell r="F68">
            <v>3.0263977080299265E-2</v>
          </cell>
          <cell r="G68">
            <v>-3.6504660730932281E-2</v>
          </cell>
        </row>
        <row r="69">
          <cell r="A69" t="str">
            <v>COH</v>
          </cell>
          <cell r="B69">
            <v>0.26445354341591498</v>
          </cell>
          <cell r="C69">
            <v>0.18441894189124874</v>
          </cell>
          <cell r="D69">
            <v>0.18771473109049008</v>
          </cell>
          <cell r="E69">
            <v>0.19258655638317834</v>
          </cell>
          <cell r="F69">
            <v>7.6928088712685527E-2</v>
          </cell>
          <cell r="G69">
            <v>7.5120685716945523E-2</v>
          </cell>
        </row>
        <row r="70">
          <cell r="A70" t="str">
            <v>GPS</v>
          </cell>
          <cell r="B70">
            <v>-2.583798882681565E-2</v>
          </cell>
          <cell r="C70">
            <v>6.9772998805256892E-2</v>
          </cell>
          <cell r="D70">
            <v>-2.9484029484029506E-2</v>
          </cell>
          <cell r="E70">
            <v>-0.10264672036823941</v>
          </cell>
          <cell r="F70">
            <v>3.5906642728904536E-3</v>
          </cell>
          <cell r="G70">
            <v>1.8430965572890257E-2</v>
          </cell>
        </row>
        <row r="71">
          <cell r="A71" t="str">
            <v>LTD</v>
          </cell>
          <cell r="B71">
            <v>5.3515321049683484E-2</v>
          </cell>
          <cell r="C71">
            <v>0.13772363610993166</v>
          </cell>
          <cell r="D71">
            <v>-8.2824685886191962E-2</v>
          </cell>
          <cell r="E71">
            <v>-0.12049140453224649</v>
          </cell>
          <cell r="F71">
            <v>-5.3496757540580586E-2</v>
          </cell>
          <cell r="G71">
            <v>2.7337611856118382E-2</v>
          </cell>
        </row>
        <row r="72">
          <cell r="A72" t="str">
            <v>URBN</v>
          </cell>
          <cell r="B72">
            <v>0.27377825867719996</v>
          </cell>
          <cell r="C72">
            <v>0.18731418062159033</v>
          </cell>
          <cell r="D72">
            <v>0.2219100343136573</v>
          </cell>
          <cell r="E72">
            <v>0.17683691132289447</v>
          </cell>
          <cell r="F72">
            <v>7.9986861268032561E-2</v>
          </cell>
          <cell r="G72">
            <v>0.13189366124946944</v>
          </cell>
        </row>
        <row r="73">
          <cell r="A73" t="str">
            <v>Average</v>
          </cell>
          <cell r="B73">
            <v>0.15709727164033813</v>
          </cell>
          <cell r="C73">
            <v>0.14060408821494691</v>
          </cell>
          <cell r="D73">
            <v>7.0159883327100533E-2</v>
          </cell>
          <cell r="E73">
            <v>4.0551497934592416E-2</v>
          </cell>
          <cell r="F73">
            <v>2.5620915827025716E-2</v>
          </cell>
          <cell r="G73">
            <v>4.6623840653333373E-2</v>
          </cell>
        </row>
        <row r="75">
          <cell r="A75" t="str">
            <v>Total Sales</v>
          </cell>
          <cell r="B75">
            <v>2005</v>
          </cell>
          <cell r="C75">
            <v>2006</v>
          </cell>
          <cell r="D75">
            <v>2007</v>
          </cell>
          <cell r="E75">
            <v>2008</v>
          </cell>
          <cell r="F75">
            <v>2009</v>
          </cell>
          <cell r="G75">
            <v>2010</v>
          </cell>
        </row>
        <row r="76">
          <cell r="A76" t="str">
            <v>JCP</v>
          </cell>
          <cell r="B76">
            <v>3.7853669319186656E-2</v>
          </cell>
          <cell r="C76">
            <v>5.9745913423140395E-2</v>
          </cell>
          <cell r="D76">
            <v>-2.1181637743851178E-3</v>
          </cell>
          <cell r="E76">
            <v>-6.9204061506389691E-2</v>
          </cell>
          <cell r="F76">
            <v>-5.0252606220807183E-2</v>
          </cell>
          <cell r="G76">
            <v>1.4165050052032502E-2</v>
          </cell>
        </row>
        <row r="77">
          <cell r="A77" t="str">
            <v>JWN</v>
          </cell>
          <cell r="B77">
            <v>8.2900681814389365E-2</v>
          </cell>
          <cell r="C77">
            <v>0.10852364459071628</v>
          </cell>
          <cell r="D77">
            <v>3.1202595863094373E-2</v>
          </cell>
          <cell r="E77">
            <v>-6.0809391770148324E-2</v>
          </cell>
          <cell r="F77">
            <v>-3.9802195151369402E-3</v>
          </cell>
          <cell r="G77">
            <v>8.1553241749334093E-2</v>
          </cell>
        </row>
        <row r="78">
          <cell r="A78" t="str">
            <v>KSS</v>
          </cell>
          <cell r="B78">
            <v>0.14541865016622935</v>
          </cell>
          <cell r="C78">
            <v>0.16289124173643121</v>
          </cell>
          <cell r="D78">
            <v>5.7002363958193802E-2</v>
          </cell>
          <cell r="E78">
            <v>-5.147598900064887E-3</v>
          </cell>
          <cell r="F78">
            <v>4.8087425025474362E-2</v>
          </cell>
          <cell r="G78">
            <v>7.6911540806537948E-2</v>
          </cell>
        </row>
        <row r="79">
          <cell r="A79" t="str">
            <v>M</v>
          </cell>
          <cell r="B79">
            <v>0.41924442190669375</v>
          </cell>
          <cell r="C79">
            <v>0.20455560518088434</v>
          </cell>
          <cell r="D79">
            <v>-2.4360400444938812E-2</v>
          </cell>
          <cell r="E79">
            <v>-5.4003724394785846E-2</v>
          </cell>
          <cell r="F79">
            <v>-5.6363490278000916E-2</v>
          </cell>
          <cell r="G79">
            <v>4.4939125238239175E-2</v>
          </cell>
        </row>
        <row r="80">
          <cell r="A80" t="str">
            <v>SKS</v>
          </cell>
          <cell r="B80">
            <v>4.1041179597807176E-3</v>
          </cell>
          <cell r="C80">
            <v>5.8189569068934466E-2</v>
          </cell>
          <cell r="D80">
            <v>0.11041825467525013</v>
          </cell>
          <cell r="E80">
            <v>-6.9761287103328296E-2</v>
          </cell>
          <cell r="F80">
            <v>-0.13539452228728877</v>
          </cell>
          <cell r="G80">
            <v>4.2572459349391245E-2</v>
          </cell>
        </row>
        <row r="81">
          <cell r="A81" t="str">
            <v>ROST</v>
          </cell>
          <cell r="B81">
            <v>0.16608270302524297</v>
          </cell>
          <cell r="C81">
            <v>0.12661980887018864</v>
          </cell>
          <cell r="D81">
            <v>7.270856933580605E-2</v>
          </cell>
          <cell r="E81">
            <v>8.5507761063540411E-2</v>
          </cell>
          <cell r="F81">
            <v>0.10762550725477826</v>
          </cell>
          <cell r="G81">
            <v>8.6251364890475912E-2</v>
          </cell>
        </row>
        <row r="82">
          <cell r="A82" t="str">
            <v>TJX</v>
          </cell>
          <cell r="B82">
            <v>6.990050546877602E-2</v>
          </cell>
          <cell r="C82">
            <v>9.07933802470966E-2</v>
          </cell>
          <cell r="D82">
            <v>5.3554061483729987E-2</v>
          </cell>
          <cell r="E82">
            <v>3.6144893041429649E-2</v>
          </cell>
          <cell r="F82">
            <v>6.7840662164619481E-2</v>
          </cell>
          <cell r="G82">
            <v>8.7128931474232285E-2</v>
          </cell>
        </row>
        <row r="83">
          <cell r="A83" t="str">
            <v>ANF</v>
          </cell>
          <cell r="B83">
            <v>0.36952802567119236</v>
          </cell>
          <cell r="C83">
            <v>0.18640947573915412</v>
          </cell>
          <cell r="D83">
            <v>0.12650966330671687</v>
          </cell>
          <cell r="E83">
            <v>-5.8275418038866378E-2</v>
          </cell>
          <cell r="F83">
            <v>-0.1594210427670959</v>
          </cell>
          <cell r="G83">
            <v>7.9942840110693636E-2</v>
          </cell>
        </row>
        <row r="84">
          <cell r="A84" t="str">
            <v>ARO</v>
          </cell>
          <cell r="B84">
            <v>0.24904792721932512</v>
          </cell>
          <cell r="C84">
            <v>0.17342260992886604</v>
          </cell>
          <cell r="D84">
            <v>0.12027599617324558</v>
          </cell>
          <cell r="E84">
            <v>0.1909747641302364</v>
          </cell>
          <cell r="F84">
            <v>0.1827463987598188</v>
          </cell>
          <cell r="G84">
            <v>8.975332030843397E-2</v>
          </cell>
        </row>
        <row r="85">
          <cell r="A85" t="str">
            <v>AEO</v>
          </cell>
          <cell r="B85">
            <v>0.23427141977024735</v>
          </cell>
          <cell r="C85">
            <v>0.20346887675164371</v>
          </cell>
          <cell r="D85">
            <v>9.3404365645830545E-2</v>
          </cell>
          <cell r="E85">
            <v>-2.1797992353912776E-2</v>
          </cell>
          <cell r="F85">
            <v>5.8250471674914372E-4</v>
          </cell>
          <cell r="G85">
            <v>-5.5028288935698999E-4</v>
          </cell>
        </row>
        <row r="86">
          <cell r="A86" t="str">
            <v>COH</v>
          </cell>
          <cell r="B86">
            <v>0.29820325394954028</v>
          </cell>
          <cell r="C86">
            <v>0.23211241239350389</v>
          </cell>
          <cell r="D86">
            <v>0.283708542886415</v>
          </cell>
          <cell r="E86">
            <v>0.21753514700343279</v>
          </cell>
          <cell r="F86">
            <v>1.5628669527411265E-2</v>
          </cell>
          <cell r="G86">
            <v>7.6036142797213824E-2</v>
          </cell>
        </row>
        <row r="87">
          <cell r="A87" t="str">
            <v>GPS</v>
          </cell>
          <cell r="B87">
            <v>-1.4999692629249384E-2</v>
          </cell>
          <cell r="C87">
            <v>-6.2410285215003247E-3</v>
          </cell>
          <cell r="D87">
            <v>-1.0048357721534895E-2</v>
          </cell>
          <cell r="E87">
            <v>-7.8474909598426734E-2</v>
          </cell>
          <cell r="F87">
            <v>-2.2649043095139709E-2</v>
          </cell>
          <cell r="G87">
            <v>-9.811269648707488E-3</v>
          </cell>
          <cell r="M87">
            <v>2005</v>
          </cell>
          <cell r="N87">
            <v>2006</v>
          </cell>
          <cell r="O87">
            <v>2007</v>
          </cell>
          <cell r="P87">
            <v>2008</v>
          </cell>
          <cell r="Q87">
            <v>2009</v>
          </cell>
          <cell r="R87">
            <v>2010</v>
          </cell>
        </row>
        <row r="88">
          <cell r="A88" t="str">
            <v>LTD</v>
          </cell>
          <cell r="B88">
            <v>2.7761409272991866E-2</v>
          </cell>
          <cell r="C88">
            <v>0.10353710119447745</v>
          </cell>
          <cell r="D88">
            <v>-5.476319535113694E-2</v>
          </cell>
          <cell r="E88">
            <v>-0.10346635775899038</v>
          </cell>
          <cell r="F88">
            <v>-4.5358626808516544E-2</v>
          </cell>
          <cell r="G88">
            <v>5.5396224187859611E-2</v>
          </cell>
          <cell r="L88" t="str">
            <v>Avg - Dept Stores SG&amp;A growth</v>
          </cell>
          <cell r="M88">
            <v>0.12293377559713455</v>
          </cell>
          <cell r="N88">
            <v>9.9024381859430646E-2</v>
          </cell>
          <cell r="O88">
            <v>3.9889217150605352E-2</v>
          </cell>
          <cell r="P88">
            <v>2.1723823415501196E-2</v>
          </cell>
          <cell r="Q88">
            <v>1.8638534048591553E-2</v>
          </cell>
          <cell r="R88">
            <v>4.5965897758643522E-2</v>
          </cell>
        </row>
        <row r="89">
          <cell r="A89" t="str">
            <v>URBN</v>
          </cell>
          <cell r="B89">
            <v>0.31936816671700385</v>
          </cell>
          <cell r="C89">
            <v>0.12142583098542548</v>
          </cell>
          <cell r="D89">
            <v>0.23107950653089637</v>
          </cell>
          <cell r="E89">
            <v>0.21681289148411786</v>
          </cell>
          <cell r="F89">
            <v>5.6249856918443086E-2</v>
          </cell>
          <cell r="G89">
            <v>0.16704157529874619</v>
          </cell>
          <cell r="L89" t="str">
            <v>Avg - Dept Stores comps</v>
          </cell>
          <cell r="M89">
            <v>3.700780088861149E-2</v>
          </cell>
          <cell r="N89">
            <v>4.9142857142857134E-2</v>
          </cell>
          <cell r="O89">
            <v>2.4985142157499068E-2</v>
          </cell>
          <cell r="P89">
            <v>-4.8227770048997518E-2</v>
          </cell>
          <cell r="Q89">
            <v>-2.4653980686388615E-2</v>
          </cell>
          <cell r="R89">
            <v>4.1239107147145793E-2</v>
          </cell>
        </row>
        <row r="90">
          <cell r="A90" t="str">
            <v>Average</v>
          </cell>
          <cell r="B90">
            <v>0.17204894711652502</v>
          </cell>
          <cell r="C90">
            <v>0.13038960297064014</v>
          </cell>
          <cell r="D90">
            <v>7.7755271611941637E-2</v>
          </cell>
          <cell r="E90">
            <v>1.6145336806988844E-2</v>
          </cell>
          <cell r="F90">
            <v>3.815338139506027E-4</v>
          </cell>
          <cell r="G90">
            <v>6.3666447408937565E-2</v>
          </cell>
          <cell r="M90">
            <v>2005</v>
          </cell>
          <cell r="N90">
            <v>2006</v>
          </cell>
          <cell r="O90">
            <v>2007</v>
          </cell>
          <cell r="P90">
            <v>2008</v>
          </cell>
          <cell r="Q90">
            <v>2009</v>
          </cell>
          <cell r="R90">
            <v>2010</v>
          </cell>
        </row>
        <row r="91">
          <cell r="L91" t="str">
            <v>Avg - Specialty SG&amp;A growth</v>
          </cell>
          <cell r="M91">
            <v>0.19126076768354175</v>
          </cell>
          <cell r="N91">
            <v>0.18218379457046316</v>
          </cell>
          <cell r="O91">
            <v>0.10043054950359571</v>
          </cell>
          <cell r="P91">
            <v>5.937917245368364E-2</v>
          </cell>
          <cell r="Q91">
            <v>3.260329760545988E-2</v>
          </cell>
          <cell r="R91">
            <v>4.7281783548023225E-2</v>
          </cell>
        </row>
        <row r="92">
          <cell r="L92" t="str">
            <v>Avg - Specialty comps</v>
          </cell>
          <cell r="M92">
            <v>9.7285714285714295E-2</v>
          </cell>
          <cell r="N92">
            <v>4.2153599874490209E-2</v>
          </cell>
          <cell r="O92">
            <v>3.5857142857142858E-2</v>
          </cell>
          <cell r="P92">
            <v>-2.5435212735340273E-2</v>
          </cell>
          <cell r="Q92">
            <v>-4.6189359134132642E-2</v>
          </cell>
          <cell r="R92">
            <v>2.7112424455829794E-2</v>
          </cell>
        </row>
        <row r="93">
          <cell r="A93" t="str">
            <v>SG&amp;A growth less sales growth</v>
          </cell>
        </row>
        <row r="94">
          <cell r="B94">
            <v>2005</v>
          </cell>
          <cell r="C94">
            <v>2006</v>
          </cell>
          <cell r="D94">
            <v>2007</v>
          </cell>
          <cell r="E94">
            <v>2008</v>
          </cell>
          <cell r="F94">
            <v>2009</v>
          </cell>
          <cell r="G94">
            <v>2010</v>
          </cell>
        </row>
        <row r="95">
          <cell r="A95" t="str">
            <v>JCP</v>
          </cell>
          <cell r="B95">
            <v>-180.53487666144008</v>
          </cell>
          <cell r="C95">
            <v>-22.111788310492653</v>
          </cell>
          <cell r="D95">
            <v>-160.72841783977719</v>
          </cell>
          <cell r="E95">
            <v>650.86717193471475</v>
          </cell>
          <cell r="F95">
            <v>1255.3253731469172</v>
          </cell>
          <cell r="G95">
            <v>-133.92321136353357</v>
          </cell>
        </row>
        <row r="96">
          <cell r="A96" t="str">
            <v>JWN</v>
          </cell>
          <cell r="B96">
            <v>-430.86957357853839</v>
          </cell>
          <cell r="C96">
            <v>-151.26122090709293</v>
          </cell>
          <cell r="D96">
            <v>-38.100173766977278</v>
          </cell>
          <cell r="E96">
            <v>727.53725563976411</v>
          </cell>
          <cell r="F96">
            <v>362.39472787587323</v>
          </cell>
          <cell r="G96">
            <v>-307.18539482680995</v>
          </cell>
        </row>
        <row r="97">
          <cell r="A97" t="str">
            <v>KSS</v>
          </cell>
          <cell r="B97">
            <v>19.035613491147352</v>
          </cell>
          <cell r="C97">
            <v>-103.70911046368781</v>
          </cell>
          <cell r="D97">
            <v>253.88645951353706</v>
          </cell>
          <cell r="E97">
            <v>698.29359293908317</v>
          </cell>
          <cell r="F97">
            <v>47.522186553790036</v>
          </cell>
          <cell r="G97">
            <v>-164.8461441285809</v>
          </cell>
        </row>
        <row r="98">
          <cell r="A98" t="str">
            <v>M</v>
          </cell>
          <cell r="B98">
            <v>-37.100475404394651</v>
          </cell>
          <cell r="C98">
            <v>387.10870463814831</v>
          </cell>
          <cell r="D98">
            <v>100.71393761371117</v>
          </cell>
          <cell r="E98">
            <v>427.80904661327781</v>
          </cell>
          <cell r="F98">
            <v>95.439111812877229</v>
          </cell>
          <cell r="G98">
            <v>-218.59756084601224</v>
          </cell>
        </row>
        <row r="99">
          <cell r="A99" t="str">
            <v>SKS</v>
          </cell>
          <cell r="B99">
            <v>21.751890626089398</v>
          </cell>
          <cell r="C99">
            <v>-1226.9792356374819</v>
          </cell>
          <cell r="D99">
            <v>-329.92005943205396</v>
          </cell>
          <cell r="E99">
            <v>147.03169900923129</v>
          </cell>
          <cell r="F99">
            <v>43.304609487527792</v>
          </cell>
          <cell r="G99">
            <v>62.145695820317037</v>
          </cell>
        </row>
        <row r="100">
          <cell r="A100" t="str">
            <v>ROST</v>
          </cell>
          <cell r="B100">
            <v>-11.4233797783303</v>
          </cell>
          <cell r="C100">
            <v>-1.5663745593741396</v>
          </cell>
          <cell r="D100">
            <v>117.23891531854713</v>
          </cell>
          <cell r="E100">
            <v>243.04965516493081</v>
          </cell>
          <cell r="F100">
            <v>-189.18092982461721</v>
          </cell>
          <cell r="G100">
            <v>-151.73285430733375</v>
          </cell>
        </row>
        <row r="101">
          <cell r="A101" t="str">
            <v>TJX</v>
          </cell>
          <cell r="B101">
            <v>-30.542403498103887</v>
          </cell>
          <cell r="C101">
            <v>-62.96587577379276</v>
          </cell>
          <cell r="D101">
            <v>-134.91827183211623</v>
          </cell>
          <cell r="E101">
            <v>-1.1866865184484432</v>
          </cell>
          <cell r="F101">
            <v>-85.735257087342646</v>
          </cell>
          <cell r="G101">
            <v>-203.46482284543166</v>
          </cell>
        </row>
        <row r="102">
          <cell r="A102" t="str">
            <v>ANF</v>
          </cell>
          <cell r="B102">
            <v>-443.53032461973419</v>
          </cell>
          <cell r="C102">
            <v>61.354872899739291</v>
          </cell>
          <cell r="D102">
            <v>111.92703581832441</v>
          </cell>
          <cell r="E102">
            <v>1275.3814895019023</v>
          </cell>
          <cell r="F102">
            <v>1082.6383760068347</v>
          </cell>
          <cell r="G102">
            <v>-531.42913761369698</v>
          </cell>
        </row>
        <row r="103">
          <cell r="A103" t="str">
            <v>ARO</v>
          </cell>
          <cell r="B103">
            <v>-149.58883480161944</v>
          </cell>
          <cell r="C103">
            <v>1027.000799462241</v>
          </cell>
          <cell r="D103">
            <v>732.41550835065448</v>
          </cell>
          <cell r="E103">
            <v>-172.41012449375813</v>
          </cell>
          <cell r="F103">
            <v>-406.38944148514435</v>
          </cell>
          <cell r="G103">
            <v>-18.590254860866295</v>
          </cell>
        </row>
        <row r="104">
          <cell r="A104" t="str">
            <v>AEO</v>
          </cell>
          <cell r="B104">
            <v>-206.19217249820076</v>
          </cell>
          <cell r="C104">
            <v>239.20274909352557</v>
          </cell>
          <cell r="D104">
            <v>-189.2648305144684</v>
          </cell>
          <cell r="E104">
            <v>481.70374131926928</v>
          </cell>
          <cell r="F104">
            <v>296.8147236355012</v>
          </cell>
          <cell r="G104">
            <v>-359.54377841575291</v>
          </cell>
        </row>
        <row r="105">
          <cell r="A105" t="str">
            <v>COH</v>
          </cell>
          <cell r="B105">
            <v>-337.49710533625301</v>
          </cell>
          <cell r="C105">
            <v>-476.93470502255144</v>
          </cell>
          <cell r="D105">
            <v>-959.93811795924921</v>
          </cell>
          <cell r="E105">
            <v>-249.48590620254453</v>
          </cell>
          <cell r="F105">
            <v>612.99419185274257</v>
          </cell>
          <cell r="G105">
            <v>-9.1545708026830042</v>
          </cell>
        </row>
        <row r="106">
          <cell r="A106" t="str">
            <v>GPS</v>
          </cell>
          <cell r="B106">
            <v>-108.38296197566267</v>
          </cell>
          <cell r="C106">
            <v>760.14027326757218</v>
          </cell>
          <cell r="D106">
            <v>-194.3567176249461</v>
          </cell>
          <cell r="E106">
            <v>-241.71810769812674</v>
          </cell>
          <cell r="F106">
            <v>262.39707368030162</v>
          </cell>
          <cell r="G106">
            <v>282.42235221597747</v>
          </cell>
        </row>
        <row r="107">
          <cell r="A107" t="str">
            <v>LTD</v>
          </cell>
          <cell r="B107">
            <v>257.53911776691621</v>
          </cell>
          <cell r="C107">
            <v>341.86534915454206</v>
          </cell>
          <cell r="D107">
            <v>-280.6149053505502</v>
          </cell>
          <cell r="E107">
            <v>-170.25046773256113</v>
          </cell>
          <cell r="F107">
            <v>-81.381307320640417</v>
          </cell>
          <cell r="G107">
            <v>-280.58612331741227</v>
          </cell>
        </row>
        <row r="108">
          <cell r="A108" t="str">
            <v>URBN</v>
          </cell>
          <cell r="B108">
            <v>-455.89908039803896</v>
          </cell>
          <cell r="C108">
            <v>658.88349636164855</v>
          </cell>
          <cell r="D108">
            <v>-91.694722172390726</v>
          </cell>
          <cell r="E108">
            <v>-399.7598016122339</v>
          </cell>
          <cell r="F108">
            <v>237.37004349589475</v>
          </cell>
          <cell r="G108">
            <v>-351.4791404927675</v>
          </cell>
        </row>
        <row r="109">
          <cell r="A109" t="str">
            <v>Average</v>
          </cell>
          <cell r="B109">
            <v>-149.51675476186884</v>
          </cell>
          <cell r="C109">
            <v>102.14485244306739</v>
          </cell>
          <cell r="D109">
            <v>-75.953882848411084</v>
          </cell>
          <cell r="E109">
            <v>244.06161127603579</v>
          </cell>
          <cell r="F109">
            <v>252.39382013075115</v>
          </cell>
          <cell r="G109">
            <v>-170.42606755604191</v>
          </cell>
        </row>
        <row r="111">
          <cell r="A111" t="str">
            <v>Avg - Dept Stores</v>
          </cell>
          <cell r="B111">
            <v>-92.811886400510062</v>
          </cell>
          <cell r="C111">
            <v>-168.78355728768199</v>
          </cell>
          <cell r="D111">
            <v>-27.403944346447041</v>
          </cell>
          <cell r="E111">
            <v>413.34310496893619</v>
          </cell>
          <cell r="F111">
            <v>218.43854599500369</v>
          </cell>
          <cell r="G111">
            <v>-159.65775607105499</v>
          </cell>
        </row>
        <row r="113">
          <cell r="A113" t="str">
            <v>Avg - Spec</v>
          </cell>
          <cell r="B113">
            <v>-206.22162312322754</v>
          </cell>
          <cell r="C113">
            <v>373.07326217381677</v>
          </cell>
          <cell r="D113">
            <v>-124.50382135037511</v>
          </cell>
          <cell r="E113">
            <v>74.780117583135308</v>
          </cell>
          <cell r="F113">
            <v>286.34909426649858</v>
          </cell>
          <cell r="G113">
            <v>-181.19437904102878</v>
          </cell>
        </row>
        <row r="116">
          <cell r="A116" t="str">
            <v>2009 - in Order</v>
          </cell>
          <cell r="B116" t="str">
            <v>(hardcoded)</v>
          </cell>
        </row>
        <row r="117">
          <cell r="A117" t="str">
            <v>TJX</v>
          </cell>
          <cell r="B117">
            <v>-214.23431782687351</v>
          </cell>
        </row>
        <row r="118">
          <cell r="A118" t="str">
            <v>ARO</v>
          </cell>
          <cell r="B118">
            <v>-160.93243556556169</v>
          </cell>
        </row>
        <row r="119">
          <cell r="A119" t="str">
            <v>ROST</v>
          </cell>
          <cell r="B119">
            <v>-139.48426974530469</v>
          </cell>
        </row>
        <row r="120">
          <cell r="A120" t="str">
            <v>LTD</v>
          </cell>
          <cell r="B120">
            <v>-26.472566827170361</v>
          </cell>
        </row>
        <row r="121">
          <cell r="A121" t="str">
            <v>KSS</v>
          </cell>
          <cell r="B121">
            <v>19.20113782717614</v>
          </cell>
        </row>
        <row r="122">
          <cell r="A122" t="str">
            <v>SKS</v>
          </cell>
          <cell r="B122">
            <v>187.91141726734796</v>
          </cell>
        </row>
        <row r="123">
          <cell r="A123" t="str">
            <v>URBN</v>
          </cell>
          <cell r="B123">
            <v>210.07871886226326</v>
          </cell>
        </row>
        <row r="124">
          <cell r="A124" t="str">
            <v>AEO</v>
          </cell>
          <cell r="B124">
            <v>211.26231705635544</v>
          </cell>
        </row>
        <row r="125">
          <cell r="A125" t="str">
            <v>M</v>
          </cell>
          <cell r="B125">
            <v>256.49965099774573</v>
          </cell>
        </row>
        <row r="126">
          <cell r="A126" t="str">
            <v>GPS</v>
          </cell>
          <cell r="B126">
            <v>265.45830679659764</v>
          </cell>
        </row>
        <row r="127">
          <cell r="A127" t="str">
            <v>JWN</v>
          </cell>
          <cell r="B127">
            <v>341.94187585199984</v>
          </cell>
        </row>
        <row r="128">
          <cell r="A128" t="str">
            <v>COH</v>
          </cell>
          <cell r="B128">
            <v>612.99419185274257</v>
          </cell>
        </row>
        <row r="129">
          <cell r="A129" t="str">
            <v>ANF</v>
          </cell>
          <cell r="B129">
            <v>1018.4323376746818</v>
          </cell>
        </row>
        <row r="130">
          <cell r="A130" t="str">
            <v>JCP</v>
          </cell>
          <cell r="B130">
            <v>1358.9998352094078</v>
          </cell>
        </row>
        <row r="132">
          <cell r="A132" t="str">
            <v>2008 - in Order</v>
          </cell>
          <cell r="B132" t="str">
            <v>(hardcoded)</v>
          </cell>
        </row>
        <row r="133">
          <cell r="A133" t="str">
            <v>URBN</v>
          </cell>
          <cell r="B133">
            <v>-399.7598016122339</v>
          </cell>
        </row>
        <row r="134">
          <cell r="A134" t="str">
            <v>COH</v>
          </cell>
          <cell r="B134">
            <v>-249.48590620254453</v>
          </cell>
        </row>
        <row r="135">
          <cell r="A135" t="str">
            <v>GPS</v>
          </cell>
          <cell r="B135">
            <v>-241.71810769812674</v>
          </cell>
        </row>
        <row r="136">
          <cell r="A136" t="str">
            <v>ARO</v>
          </cell>
          <cell r="B136">
            <v>-172.41012449375813</v>
          </cell>
        </row>
        <row r="137">
          <cell r="A137" t="str">
            <v>LTD</v>
          </cell>
          <cell r="B137">
            <v>-170.25046773256113</v>
          </cell>
        </row>
        <row r="138">
          <cell r="A138" t="str">
            <v>TJX</v>
          </cell>
          <cell r="B138">
            <v>-1.1866865184484432</v>
          </cell>
        </row>
        <row r="139">
          <cell r="A139" t="str">
            <v>SKS</v>
          </cell>
          <cell r="B139">
            <v>159.52008591213817</v>
          </cell>
        </row>
        <row r="140">
          <cell r="A140" t="str">
            <v>ROST</v>
          </cell>
          <cell r="B140">
            <v>243.04965516493081</v>
          </cell>
        </row>
        <row r="141">
          <cell r="A141" t="str">
            <v>M</v>
          </cell>
          <cell r="B141">
            <v>427.80904661327781</v>
          </cell>
        </row>
        <row r="142">
          <cell r="A142" t="str">
            <v>AEO</v>
          </cell>
          <cell r="B142">
            <v>481.70374131926928</v>
          </cell>
        </row>
        <row r="143">
          <cell r="A143" t="str">
            <v>JCP</v>
          </cell>
          <cell r="B143">
            <v>650.86717193471475</v>
          </cell>
        </row>
        <row r="144">
          <cell r="A144" t="str">
            <v>KSS</v>
          </cell>
          <cell r="B144">
            <v>698.29359293908317</v>
          </cell>
        </row>
        <row r="145">
          <cell r="A145" t="str">
            <v>JWN</v>
          </cell>
          <cell r="B145">
            <v>727.53725563976411</v>
          </cell>
        </row>
        <row r="146">
          <cell r="A146" t="str">
            <v>ANF</v>
          </cell>
          <cell r="B146">
            <v>1212.4880986772769</v>
          </cell>
        </row>
        <row r="148">
          <cell r="A148" t="str">
            <v>2007 - in Order</v>
          </cell>
          <cell r="B148" t="str">
            <v>(hardcoded)</v>
          </cell>
        </row>
        <row r="149">
          <cell r="A149" t="str">
            <v>COH</v>
          </cell>
          <cell r="B149">
            <v>-959.93811795924921</v>
          </cell>
        </row>
        <row r="150">
          <cell r="A150" t="str">
            <v>SKS</v>
          </cell>
          <cell r="B150">
            <v>-329.92005943205396</v>
          </cell>
        </row>
        <row r="151">
          <cell r="A151" t="str">
            <v>LTD</v>
          </cell>
          <cell r="B151">
            <v>-280.6149053505502</v>
          </cell>
        </row>
        <row r="152">
          <cell r="A152" t="str">
            <v>GPS</v>
          </cell>
          <cell r="B152">
            <v>-194.3567176249461</v>
          </cell>
        </row>
        <row r="153">
          <cell r="A153" t="str">
            <v>AEO</v>
          </cell>
          <cell r="B153">
            <v>-189.2648305144684</v>
          </cell>
        </row>
        <row r="154">
          <cell r="A154" t="str">
            <v>JCP</v>
          </cell>
          <cell r="B154">
            <v>-160.72841783977719</v>
          </cell>
        </row>
        <row r="155">
          <cell r="A155" t="str">
            <v>TJX</v>
          </cell>
          <cell r="B155">
            <v>-134.91827183211623</v>
          </cell>
        </row>
        <row r="156">
          <cell r="A156" t="str">
            <v>URBN</v>
          </cell>
          <cell r="B156">
            <v>-91.694722172390726</v>
          </cell>
        </row>
        <row r="157">
          <cell r="A157" t="str">
            <v>JWN</v>
          </cell>
          <cell r="B157">
            <v>-38.100173766977278</v>
          </cell>
        </row>
        <row r="158">
          <cell r="A158" t="str">
            <v>M</v>
          </cell>
          <cell r="B158">
            <v>100.71393761371117</v>
          </cell>
        </row>
        <row r="159">
          <cell r="A159" t="str">
            <v>ROST</v>
          </cell>
          <cell r="B159">
            <v>117.23891531854713</v>
          </cell>
        </row>
        <row r="160">
          <cell r="A160" t="str">
            <v>ANF</v>
          </cell>
          <cell r="B160">
            <v>119.36625141564683</v>
          </cell>
        </row>
        <row r="161">
          <cell r="A161" t="str">
            <v>KSS</v>
          </cell>
          <cell r="B161">
            <v>253.88645951353706</v>
          </cell>
        </row>
        <row r="162">
          <cell r="A162" t="str">
            <v>ARO</v>
          </cell>
          <cell r="B162">
            <v>732.41550835065448</v>
          </cell>
        </row>
        <row r="165">
          <cell r="A165" t="str">
            <v>Operating margin per quarter - dept store and softines averages</v>
          </cell>
        </row>
        <row r="166">
          <cell r="B166" t="str">
            <v>1Q05</v>
          </cell>
          <cell r="C166" t="str">
            <v>2Q05</v>
          </cell>
          <cell r="D166" t="str">
            <v>3Q05</v>
          </cell>
          <cell r="E166" t="str">
            <v>4Q05</v>
          </cell>
          <cell r="F166" t="str">
            <v>1Q06</v>
          </cell>
          <cell r="G166" t="str">
            <v>2Q06</v>
          </cell>
          <cell r="H166" t="str">
            <v>3Q06</v>
          </cell>
          <cell r="I166" t="str">
            <v>4Q06</v>
          </cell>
          <cell r="J166" t="str">
            <v>1Q07</v>
          </cell>
          <cell r="K166" t="str">
            <v>2Q07</v>
          </cell>
          <cell r="L166" t="str">
            <v>3Q07</v>
          </cell>
          <cell r="M166" t="str">
            <v>4Q07</v>
          </cell>
          <cell r="N166" t="str">
            <v>1Q08</v>
          </cell>
          <cell r="O166" t="str">
            <v>2Q08</v>
          </cell>
          <cell r="P166" t="str">
            <v>3Q08</v>
          </cell>
          <cell r="Q166" t="str">
            <v>4Q08</v>
          </cell>
          <cell r="R166" t="str">
            <v>1Q09</v>
          </cell>
          <cell r="S166" t="str">
            <v>2Q09</v>
          </cell>
          <cell r="T166" t="str">
            <v>3Q09</v>
          </cell>
          <cell r="U166" t="str">
            <v>4Q09</v>
          </cell>
        </row>
        <row r="167">
          <cell r="A167" t="str">
            <v>Department Stores Average</v>
          </cell>
          <cell r="B167">
            <v>6.8895458045228869E-2</v>
          </cell>
          <cell r="C167">
            <v>5.0381614729388138E-2</v>
          </cell>
          <cell r="D167">
            <v>5.8850908929155663E-2</v>
          </cell>
          <cell r="E167">
            <v>9.61852868874606E-2</v>
          </cell>
          <cell r="F167">
            <v>7.2635663425478267E-2</v>
          </cell>
          <cell r="G167">
            <v>5.944892792875256E-2</v>
          </cell>
          <cell r="H167">
            <v>8.0497421892793006E-2</v>
          </cell>
          <cell r="I167">
            <v>0.1127214661643382</v>
          </cell>
          <cell r="J167">
            <v>8.4050034085017683E-2</v>
          </cell>
          <cell r="K167">
            <v>6.804467912976582E-2</v>
          </cell>
          <cell r="L167">
            <v>7.7674969272626404E-2</v>
          </cell>
          <cell r="M167">
            <v>0.11086515574020774</v>
          </cell>
          <cell r="N167">
            <v>6.8356473350861688E-2</v>
          </cell>
          <cell r="O167">
            <v>6.0966790403798217E-2</v>
          </cell>
          <cell r="P167">
            <v>4.9309735773725973E-2</v>
          </cell>
          <cell r="Q167">
            <v>5.6946938565969989E-2</v>
          </cell>
          <cell r="R167">
            <v>5.1272690672644061E-2</v>
          </cell>
          <cell r="S167">
            <v>4.8279382532345698E-2</v>
          </cell>
          <cell r="T167">
            <v>6.4633547072114189E-2</v>
          </cell>
          <cell r="U167">
            <v>0.1020897665719154</v>
          </cell>
        </row>
        <row r="168">
          <cell r="B168" t="str">
            <v>1Q05</v>
          </cell>
          <cell r="C168" t="str">
            <v>2Q05</v>
          </cell>
          <cell r="D168" t="str">
            <v>3Q05</v>
          </cell>
          <cell r="E168" t="str">
            <v>4Q05</v>
          </cell>
          <cell r="F168" t="str">
            <v>1Q06</v>
          </cell>
          <cell r="G168" t="str">
            <v>2Q06</v>
          </cell>
          <cell r="H168" t="str">
            <v>3Q06</v>
          </cell>
          <cell r="I168" t="str">
            <v>4Q06</v>
          </cell>
          <cell r="J168" t="str">
            <v>1Q07</v>
          </cell>
          <cell r="K168" t="str">
            <v>2Q07</v>
          </cell>
          <cell r="L168" t="str">
            <v>3Q07</v>
          </cell>
          <cell r="M168" t="str">
            <v>4Q07</v>
          </cell>
          <cell r="N168" t="str">
            <v>1Q08</v>
          </cell>
          <cell r="O168" t="str">
            <v>2Q08</v>
          </cell>
          <cell r="P168" t="str">
            <v>3Q08</v>
          </cell>
          <cell r="Q168" t="str">
            <v>4Q08</v>
          </cell>
          <cell r="R168" t="str">
            <v>1Q09</v>
          </cell>
          <cell r="S168" t="str">
            <v>2Q09</v>
          </cell>
          <cell r="T168" t="str">
            <v>3Q09</v>
          </cell>
          <cell r="U168" t="str">
            <v>4Q09</v>
          </cell>
        </row>
        <row r="169">
          <cell r="A169" t="str">
            <v>Specialty Stores</v>
          </cell>
          <cell r="B169">
            <v>0.15422920734198622</v>
          </cell>
          <cell r="C169">
            <v>0.14889808899378965</v>
          </cell>
          <cell r="D169">
            <v>0.1604035975191784</v>
          </cell>
          <cell r="E169">
            <v>0.21862254168681086</v>
          </cell>
          <cell r="F169">
            <v>0.14336442322773496</v>
          </cell>
          <cell r="G169">
            <v>0.13910215874741497</v>
          </cell>
          <cell r="H169">
            <v>0.16214181785163623</v>
          </cell>
          <cell r="I169">
            <v>0.21167570055926174</v>
          </cell>
          <cell r="J169">
            <v>0.14278819378862215</v>
          </cell>
          <cell r="K169">
            <v>0.14759061099706394</v>
          </cell>
          <cell r="L169">
            <v>0.16636766252483629</v>
          </cell>
          <cell r="M169">
            <v>0.21528973973658486</v>
          </cell>
          <cell r="N169">
            <v>0.13864206934579909</v>
          </cell>
          <cell r="O169">
            <v>0.15729483083185869</v>
          </cell>
          <cell r="P169">
            <v>0.14512414393148346</v>
          </cell>
          <cell r="Q169">
            <v>0.1573688038954609</v>
          </cell>
          <cell r="R169">
            <v>9.5018026082193244E-2</v>
          </cell>
          <cell r="S169">
            <v>0.12412464617273845</v>
          </cell>
          <cell r="T169">
            <v>0.14216244672037553</v>
          </cell>
          <cell r="U169">
            <v>0.19155284062283701</v>
          </cell>
        </row>
        <row r="171">
          <cell r="A171" t="str">
            <v>Group by quarter</v>
          </cell>
        </row>
        <row r="172">
          <cell r="B172" t="str">
            <v>1Q05</v>
          </cell>
          <cell r="C172" t="str">
            <v>1Q06</v>
          </cell>
          <cell r="D172" t="str">
            <v>1Q07</v>
          </cell>
          <cell r="E172" t="str">
            <v>1Q08</v>
          </cell>
          <cell r="F172" t="str">
            <v>1Q09</v>
          </cell>
          <cell r="G172" t="str">
            <v>2Q05</v>
          </cell>
          <cell r="H172" t="str">
            <v>2Q06</v>
          </cell>
          <cell r="I172" t="str">
            <v>2Q07</v>
          </cell>
          <cell r="J172" t="str">
            <v>2Q08</v>
          </cell>
          <cell r="K172" t="str">
            <v>2Q09</v>
          </cell>
          <cell r="L172" t="str">
            <v>3Q05</v>
          </cell>
          <cell r="M172" t="str">
            <v>3Q06</v>
          </cell>
          <cell r="N172" t="str">
            <v>3Q07</v>
          </cell>
          <cell r="O172" t="str">
            <v>3Q08</v>
          </cell>
          <cell r="P172" t="str">
            <v>3Q09</v>
          </cell>
          <cell r="Q172" t="str">
            <v>4Q05</v>
          </cell>
          <cell r="R172" t="str">
            <v>4Q06</v>
          </cell>
          <cell r="S172" t="str">
            <v>4Q07</v>
          </cell>
          <cell r="T172" t="str">
            <v>4Q08</v>
          </cell>
          <cell r="U172" t="str">
            <v>4Q09</v>
          </cell>
        </row>
        <row r="173">
          <cell r="A173" t="str">
            <v>Department Stores Average</v>
          </cell>
          <cell r="B173">
            <v>6.8895458045228869E-2</v>
          </cell>
          <cell r="C173">
            <v>7.2635663425478267E-2</v>
          </cell>
          <cell r="D173">
            <v>8.4050034085017683E-2</v>
          </cell>
          <cell r="E173">
            <v>6.8356473350861688E-2</v>
          </cell>
          <cell r="F173">
            <v>5.1272690672644061E-2</v>
          </cell>
          <cell r="G173">
            <v>5.0381614729388138E-2</v>
          </cell>
          <cell r="H173">
            <v>5.944892792875256E-2</v>
          </cell>
          <cell r="I173">
            <v>6.804467912976582E-2</v>
          </cell>
          <cell r="J173">
            <v>6.0966790403798217E-2</v>
          </cell>
          <cell r="K173">
            <v>4.8279382532345698E-2</v>
          </cell>
          <cell r="L173">
            <v>5.8850908929155663E-2</v>
          </cell>
          <cell r="M173">
            <v>8.0497421892793006E-2</v>
          </cell>
          <cell r="N173">
            <v>7.7674969272626404E-2</v>
          </cell>
          <cell r="O173">
            <v>4.9309735773725973E-2</v>
          </cell>
          <cell r="P173">
            <v>6.4633547072114189E-2</v>
          </cell>
          <cell r="Q173">
            <v>9.61852868874606E-2</v>
          </cell>
          <cell r="R173">
            <v>0.1127214661643382</v>
          </cell>
          <cell r="S173">
            <v>0.11086515574020774</v>
          </cell>
          <cell r="T173">
            <v>5.6946938565969989E-2</v>
          </cell>
          <cell r="U173">
            <v>0.1020897665719154</v>
          </cell>
        </row>
        <row r="174">
          <cell r="B174" t="str">
            <v>1Q05</v>
          </cell>
          <cell r="C174" t="str">
            <v>1Q06</v>
          </cell>
          <cell r="D174" t="str">
            <v>1Q07</v>
          </cell>
          <cell r="E174" t="str">
            <v>1Q08</v>
          </cell>
          <cell r="F174" t="str">
            <v>1Q09</v>
          </cell>
          <cell r="G174" t="str">
            <v>2Q05</v>
          </cell>
          <cell r="H174" t="str">
            <v>2Q06</v>
          </cell>
          <cell r="I174" t="str">
            <v>2Q07</v>
          </cell>
          <cell r="J174" t="str">
            <v>2Q08</v>
          </cell>
          <cell r="K174" t="str">
            <v>2Q09</v>
          </cell>
          <cell r="L174" t="str">
            <v>3Q05</v>
          </cell>
          <cell r="M174" t="str">
            <v>3Q06</v>
          </cell>
          <cell r="N174" t="str">
            <v>3Q07</v>
          </cell>
          <cell r="O174" t="str">
            <v>3Q08</v>
          </cell>
          <cell r="P174" t="str">
            <v>3Q09</v>
          </cell>
          <cell r="Q174" t="str">
            <v>4Q05</v>
          </cell>
          <cell r="R174" t="str">
            <v>4Q06</v>
          </cell>
          <cell r="S174" t="str">
            <v>4Q07</v>
          </cell>
          <cell r="T174" t="str">
            <v>4Q08</v>
          </cell>
          <cell r="U174" t="str">
            <v>4Q09</v>
          </cell>
        </row>
        <row r="175">
          <cell r="A175" t="str">
            <v>Specialty Stores</v>
          </cell>
          <cell r="B175">
            <v>0.15422920734198622</v>
          </cell>
          <cell r="C175">
            <v>0.14336442322773496</v>
          </cell>
          <cell r="D175">
            <v>0.14278819378862215</v>
          </cell>
          <cell r="E175">
            <v>0.13864206934579909</v>
          </cell>
          <cell r="F175">
            <v>9.5018026082193244E-2</v>
          </cell>
          <cell r="G175">
            <v>0.14889808899378965</v>
          </cell>
          <cell r="H175">
            <v>0.13910215874741497</v>
          </cell>
          <cell r="I175">
            <v>0.14759061099706394</v>
          </cell>
          <cell r="J175">
            <v>0.15729483083185869</v>
          </cell>
          <cell r="K175">
            <v>0.12412464617273845</v>
          </cell>
          <cell r="L175">
            <v>0.1604035975191784</v>
          </cell>
          <cell r="M175">
            <v>0.16214181785163623</v>
          </cell>
          <cell r="N175">
            <v>0.16636766252483629</v>
          </cell>
          <cell r="O175">
            <v>0.14512414393148346</v>
          </cell>
          <cell r="P175">
            <v>0.14216244672037553</v>
          </cell>
          <cell r="Q175">
            <v>0.21862254168681086</v>
          </cell>
          <cell r="R175">
            <v>0.21167570055926174</v>
          </cell>
          <cell r="S175">
            <v>0.21528973973658486</v>
          </cell>
          <cell r="T175">
            <v>0.1573688038954609</v>
          </cell>
          <cell r="U175">
            <v>0.19155284062283701</v>
          </cell>
        </row>
        <row r="177">
          <cell r="A177" t="str">
            <v>Teen retail comps - monthly</v>
          </cell>
        </row>
        <row r="178">
          <cell r="B178">
            <v>38353</v>
          </cell>
          <cell r="C178">
            <v>38384</v>
          </cell>
          <cell r="D178">
            <v>38415</v>
          </cell>
          <cell r="E178">
            <v>38446</v>
          </cell>
          <cell r="F178">
            <v>38477</v>
          </cell>
          <cell r="G178">
            <v>38508</v>
          </cell>
          <cell r="H178">
            <v>38539</v>
          </cell>
          <cell r="I178">
            <v>38570</v>
          </cell>
          <cell r="J178">
            <v>38601</v>
          </cell>
          <cell r="K178">
            <v>38632</v>
          </cell>
          <cell r="L178">
            <v>38663</v>
          </cell>
          <cell r="M178">
            <v>38694</v>
          </cell>
          <cell r="N178">
            <v>38725</v>
          </cell>
          <cell r="O178">
            <v>38756</v>
          </cell>
          <cell r="P178">
            <v>38787</v>
          </cell>
          <cell r="Q178">
            <v>38818</v>
          </cell>
          <cell r="R178">
            <v>38849</v>
          </cell>
          <cell r="S178">
            <v>38880</v>
          </cell>
          <cell r="T178">
            <v>38911</v>
          </cell>
          <cell r="U178">
            <v>38942</v>
          </cell>
          <cell r="V178">
            <v>38973</v>
          </cell>
          <cell r="W178">
            <v>39004</v>
          </cell>
          <cell r="X178">
            <v>39035</v>
          </cell>
          <cell r="Y178">
            <v>39066</v>
          </cell>
          <cell r="Z178">
            <v>39097</v>
          </cell>
          <cell r="AA178">
            <v>39128</v>
          </cell>
          <cell r="AB178">
            <v>39159</v>
          </cell>
          <cell r="AC178">
            <v>39190</v>
          </cell>
          <cell r="AD178">
            <v>39221</v>
          </cell>
          <cell r="AE178">
            <v>39252</v>
          </cell>
          <cell r="AF178">
            <v>39283</v>
          </cell>
          <cell r="AG178">
            <v>39314</v>
          </cell>
          <cell r="AH178">
            <v>39345</v>
          </cell>
          <cell r="AI178">
            <v>39376</v>
          </cell>
          <cell r="AJ178">
            <v>39407</v>
          </cell>
          <cell r="AK178">
            <v>39438</v>
          </cell>
          <cell r="AL178">
            <v>39469</v>
          </cell>
          <cell r="AM178">
            <v>39500</v>
          </cell>
          <cell r="AN178">
            <v>39531</v>
          </cell>
          <cell r="AO178">
            <v>39562</v>
          </cell>
          <cell r="AP178">
            <v>39593</v>
          </cell>
          <cell r="AQ178">
            <v>39624</v>
          </cell>
          <cell r="AR178">
            <v>39655</v>
          </cell>
          <cell r="AS178">
            <v>39686</v>
          </cell>
          <cell r="AT178">
            <v>39717</v>
          </cell>
          <cell r="AU178">
            <v>39748</v>
          </cell>
          <cell r="AV178">
            <v>39779</v>
          </cell>
          <cell r="AW178">
            <v>39810</v>
          </cell>
          <cell r="AX178">
            <v>39841</v>
          </cell>
          <cell r="AY178">
            <v>39872</v>
          </cell>
          <cell r="AZ178">
            <v>39903</v>
          </cell>
          <cell r="BA178">
            <v>39933</v>
          </cell>
          <cell r="BB178">
            <v>39964</v>
          </cell>
          <cell r="BC178">
            <v>39994</v>
          </cell>
          <cell r="BD178">
            <v>40024</v>
          </cell>
          <cell r="BE178">
            <v>40054</v>
          </cell>
          <cell r="BF178">
            <v>40084</v>
          </cell>
          <cell r="BG178">
            <v>40114</v>
          </cell>
          <cell r="BH178">
            <v>40144</v>
          </cell>
          <cell r="BI178">
            <v>40174</v>
          </cell>
          <cell r="IV178">
            <v>31</v>
          </cell>
        </row>
        <row r="179">
          <cell r="A179" t="str">
            <v>ARO</v>
          </cell>
          <cell r="B179">
            <v>9.0999999999999998E-2</v>
          </cell>
          <cell r="C179">
            <v>0</v>
          </cell>
          <cell r="D179">
            <v>0</v>
          </cell>
          <cell r="E179">
            <v>0</v>
          </cell>
          <cell r="F179">
            <v>0.13400000000000001</v>
          </cell>
          <cell r="G179">
            <v>6.8000000000000005E-2</v>
          </cell>
          <cell r="H179">
            <v>-5.7000000000000002E-2</v>
          </cell>
          <cell r="I179">
            <v>-4.9000000000000002E-2</v>
          </cell>
          <cell r="J179">
            <v>0.02</v>
          </cell>
          <cell r="K179">
            <v>-4.2000000000000003E-2</v>
          </cell>
          <cell r="L179">
            <v>1.2999999999999999E-2</v>
          </cell>
          <cell r="M179">
            <v>-4.2000000000000003E-2</v>
          </cell>
          <cell r="N179">
            <v>-2.5000000000000001E-2</v>
          </cell>
          <cell r="O179">
            <v>0</v>
          </cell>
          <cell r="P179">
            <v>0</v>
          </cell>
          <cell r="Q179">
            <v>0</v>
          </cell>
          <cell r="R179">
            <v>-5.3999999999999999E-2</v>
          </cell>
          <cell r="S179">
            <v>-9.2999999999999999E-2</v>
          </cell>
          <cell r="T179">
            <v>8.4000000000000005E-2</v>
          </cell>
          <cell r="U179">
            <v>-1.0999999999999999E-2</v>
          </cell>
          <cell r="V179">
            <v>5.2999999999999999E-2</v>
          </cell>
          <cell r="W179">
            <v>-1.9E-2</v>
          </cell>
          <cell r="X179">
            <v>3.3000000000000002E-2</v>
          </cell>
          <cell r="Y179">
            <v>8.5000000000000006E-2</v>
          </cell>
          <cell r="Z179">
            <v>5.6000000000000001E-2</v>
          </cell>
          <cell r="AA179">
            <v>0</v>
          </cell>
          <cell r="AB179">
            <v>0</v>
          </cell>
          <cell r="AC179">
            <v>0</v>
          </cell>
          <cell r="AD179">
            <v>2.3E-2</v>
          </cell>
          <cell r="AE179">
            <v>0.159</v>
          </cell>
          <cell r="AF179">
            <v>-0.14000000000000001</v>
          </cell>
          <cell r="AG179">
            <v>1.9E-2</v>
          </cell>
          <cell r="AH179">
            <v>2E-3</v>
          </cell>
          <cell r="AI179">
            <v>-0.11899999999999999</v>
          </cell>
          <cell r="AJ179">
            <v>1.7000000000000001E-2</v>
          </cell>
          <cell r="AK179">
            <v>1.2999999999999999E-2</v>
          </cell>
          <cell r="AL179">
            <v>0.03</v>
          </cell>
          <cell r="AM179">
            <v>0</v>
          </cell>
          <cell r="AN179">
            <v>0</v>
          </cell>
          <cell r="AO179">
            <v>0</v>
          </cell>
          <cell r="AP179">
            <v>7.0000000000000007E-2</v>
          </cell>
          <cell r="AQ179">
            <v>2.5000000000000001E-2</v>
          </cell>
          <cell r="AR179">
            <v>0.25</v>
          </cell>
          <cell r="AS179">
            <v>0.06</v>
          </cell>
          <cell r="AT179">
            <v>0.12</v>
          </cell>
          <cell r="AU179">
            <v>0.13</v>
          </cell>
          <cell r="AV179">
            <v>0.13</v>
          </cell>
          <cell r="AW179">
            <v>0.05</v>
          </cell>
          <cell r="AX179">
            <v>0.01</v>
          </cell>
          <cell r="AY179">
            <v>0</v>
          </cell>
          <cell r="AZ179">
            <v>0</v>
          </cell>
          <cell r="BA179">
            <v>0</v>
          </cell>
          <cell r="BB179">
            <v>0.11</v>
          </cell>
          <cell r="BC179">
            <v>0.03</v>
          </cell>
          <cell r="BD179">
            <v>0.2</v>
          </cell>
          <cell r="BE179">
            <v>0.19</v>
          </cell>
          <cell r="BF179">
            <v>0.12</v>
          </cell>
          <cell r="BG179">
            <v>0.06</v>
          </cell>
          <cell r="BH179">
            <v>0.19</v>
          </cell>
          <cell r="BI179">
            <v>0.12</v>
          </cell>
        </row>
        <row r="182">
          <cell r="A182" t="str">
            <v>URBN sales productivity by division</v>
          </cell>
        </row>
        <row r="183">
          <cell r="A183" t="str">
            <v>LTM Sales/Gross Average Sq. Ft.</v>
          </cell>
          <cell r="N183" t="str">
            <v>2000-2009</v>
          </cell>
        </row>
        <row r="184">
          <cell r="B184">
            <v>2000</v>
          </cell>
          <cell r="C184">
            <v>2001</v>
          </cell>
          <cell r="D184">
            <v>2002</v>
          </cell>
          <cell r="E184">
            <v>2003</v>
          </cell>
          <cell r="F184">
            <v>2004</v>
          </cell>
          <cell r="G184">
            <v>2005</v>
          </cell>
          <cell r="H184">
            <v>2006</v>
          </cell>
          <cell r="I184">
            <v>2007</v>
          </cell>
          <cell r="J184">
            <v>2008</v>
          </cell>
          <cell r="K184" t="str">
            <v>2009</v>
          </cell>
          <cell r="L184">
            <v>2010</v>
          </cell>
          <cell r="N184" t="str">
            <v>Max</v>
          </cell>
          <cell r="O184" t="str">
            <v>Min</v>
          </cell>
          <cell r="P184" t="str">
            <v>2010 vs max</v>
          </cell>
        </row>
        <row r="185">
          <cell r="A185" t="str">
            <v>Urban Outfitters (division)</v>
          </cell>
          <cell r="B185">
            <v>270.96178184451503</v>
          </cell>
          <cell r="C185">
            <v>264.44541967873494</v>
          </cell>
          <cell r="D185">
            <v>284.4972339992741</v>
          </cell>
          <cell r="E185">
            <v>318.46555482575133</v>
          </cell>
          <cell r="F185">
            <v>382.65593609442482</v>
          </cell>
          <cell r="G185">
            <v>421.72142644903295</v>
          </cell>
          <cell r="H185">
            <v>387.50814312663522</v>
          </cell>
          <cell r="I185">
            <v>387.49369418039146</v>
          </cell>
          <cell r="J185">
            <v>408.70311941571555</v>
          </cell>
          <cell r="K185">
            <v>368.97415400758092</v>
          </cell>
          <cell r="L185">
            <v>394.65492014811076</v>
          </cell>
          <cell r="N185">
            <v>421.72142644903295</v>
          </cell>
          <cell r="O185">
            <v>264.44541967873494</v>
          </cell>
          <cell r="P185">
            <v>-6.4181008133323503E-2</v>
          </cell>
        </row>
        <row r="186">
          <cell r="A186" t="str">
            <v>Anthropologie</v>
          </cell>
          <cell r="B186">
            <v>280.14666638523443</v>
          </cell>
          <cell r="C186">
            <v>307.40807612789365</v>
          </cell>
          <cell r="D186">
            <v>330.99998331831983</v>
          </cell>
          <cell r="E186">
            <v>348.37875117971998</v>
          </cell>
          <cell r="F186">
            <v>432.85046981315469</v>
          </cell>
          <cell r="G186">
            <v>442.81396763923766</v>
          </cell>
          <cell r="H186">
            <v>413.58764694304784</v>
          </cell>
          <cell r="I186">
            <v>459.54237922896903</v>
          </cell>
          <cell r="J186">
            <v>468.68309808032865</v>
          </cell>
          <cell r="K186">
            <v>454.35598884429891</v>
          </cell>
          <cell r="L186">
            <v>466.43259180928817</v>
          </cell>
          <cell r="N186">
            <v>468.68309808032865</v>
          </cell>
          <cell r="O186">
            <v>280.14666638523443</v>
          </cell>
          <cell r="P186">
            <v>-4.8017653725049847E-3</v>
          </cell>
        </row>
        <row r="187">
          <cell r="A187" t="str">
            <v>Free People (Retail)</v>
          </cell>
          <cell r="B187" t="str">
            <v>NM</v>
          </cell>
          <cell r="C187" t="str">
            <v>NM</v>
          </cell>
          <cell r="D187">
            <v>82.727272727267646</v>
          </cell>
          <cell r="E187">
            <v>394.54545454548133</v>
          </cell>
          <cell r="F187">
            <v>312.64762722782973</v>
          </cell>
          <cell r="G187">
            <v>306.08120521771826</v>
          </cell>
          <cell r="H187">
            <v>444.39894439894516</v>
          </cell>
          <cell r="I187">
            <v>408.45371602356954</v>
          </cell>
          <cell r="J187">
            <v>412.08895647215564</v>
          </cell>
          <cell r="K187">
            <v>406.20772163645915</v>
          </cell>
          <cell r="L187">
            <v>357.74086573642296</v>
          </cell>
          <cell r="N187">
            <v>444.39894439894516</v>
          </cell>
          <cell r="O187">
            <v>82.727272727267646</v>
          </cell>
          <cell r="P187">
            <v>-0.19500064020117847</v>
          </cell>
        </row>
        <row r="188">
          <cell r="A188" t="str">
            <v>Terrain</v>
          </cell>
          <cell r="B188" t="str">
            <v>NM</v>
          </cell>
          <cell r="C188" t="str">
            <v>NM</v>
          </cell>
          <cell r="D188" t="str">
            <v>NM</v>
          </cell>
          <cell r="E188" t="str">
            <v>NM</v>
          </cell>
          <cell r="F188" t="str">
            <v>NM</v>
          </cell>
          <cell r="G188" t="str">
            <v>NM</v>
          </cell>
          <cell r="H188" t="str">
            <v>NM</v>
          </cell>
          <cell r="I188" t="str">
            <v>NM</v>
          </cell>
          <cell r="J188">
            <v>297.68421052631578</v>
          </cell>
          <cell r="K188">
            <v>329.4736842105263</v>
          </cell>
          <cell r="L188">
            <v>152.85087719298247</v>
          </cell>
          <cell r="N188">
            <v>329.4736842105263</v>
          </cell>
          <cell r="O188">
            <v>297.68421052631578</v>
          </cell>
          <cell r="P188">
            <v>-0.5360756123535676</v>
          </cell>
        </row>
        <row r="190">
          <cell r="A190" t="str">
            <v>Urban Outfitters (division)</v>
          </cell>
          <cell r="C190">
            <v>-2.4049008393070559E-2</v>
          </cell>
          <cell r="D190">
            <v>7.5825908971686395E-2</v>
          </cell>
          <cell r="E190">
            <v>0.1193977190884179</v>
          </cell>
          <cell r="F190">
            <v>0.20156145710576245</v>
          </cell>
          <cell r="G190">
            <v>0.10209038112234659</v>
          </cell>
          <cell r="H190">
            <v>-8.1127685663210158E-2</v>
          </cell>
          <cell r="I190">
            <v>-3.7286819645099278E-5</v>
          </cell>
          <cell r="J190">
            <v>5.4734891312709699E-2</v>
          </cell>
          <cell r="K190">
            <v>-9.7207394611842912E-2</v>
          </cell>
          <cell r="L190">
            <v>6.9600447244340558E-2</v>
          </cell>
        </row>
        <row r="191">
          <cell r="A191" t="str">
            <v>Anthropologie</v>
          </cell>
          <cell r="C191">
            <v>9.731120521409875E-2</v>
          </cell>
          <cell r="D191">
            <v>7.6744591383510086E-2</v>
          </cell>
          <cell r="E191">
            <v>5.2503833043058279E-2</v>
          </cell>
          <cell r="F191">
            <v>0.24247092667789549</v>
          </cell>
          <cell r="G191">
            <v>2.3018336633396475E-2</v>
          </cell>
          <cell r="H191">
            <v>-6.6001352333132868E-2</v>
          </cell>
          <cell r="I191">
            <v>0.11111243922681591</v>
          </cell>
          <cell r="J191">
            <v>1.9890915973182155E-2</v>
          </cell>
          <cell r="K191">
            <v>-3.056886261679137E-2</v>
          </cell>
          <cell r="L191">
            <v>2.6579605554902797E-2</v>
          </cell>
        </row>
        <row r="192">
          <cell r="A192" t="str">
            <v>Free People (Retail)</v>
          </cell>
          <cell r="C192" t="e">
            <v>#VALUE!</v>
          </cell>
          <cell r="D192" t="e">
            <v>#VALUE!</v>
          </cell>
          <cell r="E192">
            <v>3.7692307692313856</v>
          </cell>
          <cell r="F192">
            <v>-0.20757513836269736</v>
          </cell>
          <cell r="G192">
            <v>-2.100262864085789E-2</v>
          </cell>
          <cell r="H192">
            <v>0.4518988321509001</v>
          </cell>
          <cell r="I192">
            <v>-8.0885044459302113E-2</v>
          </cell>
          <cell r="J192">
            <v>8.9000058170025653E-3</v>
          </cell>
          <cell r="K192">
            <v>-1.4271760364667485E-2</v>
          </cell>
          <cell r="L192">
            <v>-0.11931544704463359</v>
          </cell>
        </row>
        <row r="193">
          <cell r="A193" t="str">
            <v>Terrain</v>
          </cell>
          <cell r="C193" t="e">
            <v>#VALUE!</v>
          </cell>
          <cell r="D193" t="e">
            <v>#VALUE!</v>
          </cell>
          <cell r="E193" t="e">
            <v>#VALUE!</v>
          </cell>
          <cell r="F193" t="e">
            <v>#VALUE!</v>
          </cell>
          <cell r="G193" t="e">
            <v>#VALUE!</v>
          </cell>
          <cell r="H193" t="e">
            <v>#VALUE!</v>
          </cell>
          <cell r="I193" t="e">
            <v>#VALUE!</v>
          </cell>
          <cell r="J193" t="e">
            <v>#VALUE!</v>
          </cell>
          <cell r="K193">
            <v>0.10678925035360676</v>
          </cell>
          <cell r="L193">
            <v>-0.5360756123535676</v>
          </cell>
        </row>
        <row r="196">
          <cell r="A196" t="str">
            <v>GAP - Gap division sales productivity</v>
          </cell>
          <cell r="B196">
            <v>2000</v>
          </cell>
          <cell r="C196">
            <v>2001</v>
          </cell>
          <cell r="D196">
            <v>2002</v>
          </cell>
          <cell r="E196">
            <v>2003</v>
          </cell>
          <cell r="F196">
            <v>2004</v>
          </cell>
          <cell r="G196">
            <v>2005</v>
          </cell>
          <cell r="H196">
            <v>2006</v>
          </cell>
          <cell r="I196">
            <v>2007</v>
          </cell>
          <cell r="J196">
            <v>2008</v>
          </cell>
          <cell r="K196" t="str">
            <v>2009</v>
          </cell>
          <cell r="L196">
            <v>2010</v>
          </cell>
          <cell r="N196" t="str">
            <v>Max</v>
          </cell>
          <cell r="O196" t="str">
            <v>Min</v>
          </cell>
          <cell r="P196" t="str">
            <v>2010 vs max</v>
          </cell>
        </row>
        <row r="197">
          <cell r="A197" t="str">
            <v>Gap (division)</v>
          </cell>
          <cell r="B197" t="str">
            <v>NM</v>
          </cell>
          <cell r="C197">
            <v>395.07042253521126</v>
          </cell>
          <cell r="D197">
            <v>380.1398601398601</v>
          </cell>
          <cell r="E197">
            <v>414.12186379928318</v>
          </cell>
          <cell r="F197">
            <v>429.60747663551405</v>
          </cell>
          <cell r="G197">
            <v>420.11650485436894</v>
          </cell>
          <cell r="H197">
            <v>408.27037773359842</v>
          </cell>
          <cell r="I197">
            <v>392.63157894736844</v>
          </cell>
          <cell r="J197">
            <v>373.60995850622402</v>
          </cell>
          <cell r="K197">
            <v>354.94646680942179</v>
          </cell>
          <cell r="L197">
            <v>354.82623096253781</v>
          </cell>
          <cell r="N197">
            <v>429.60747663551405</v>
          </cell>
          <cell r="O197">
            <v>354.94646680942179</v>
          </cell>
          <cell r="P197">
            <v>-0.17406877147164235</v>
          </cell>
        </row>
        <row r="199">
          <cell r="A199" t="str">
            <v>VS calculations</v>
          </cell>
          <cell r="C199">
            <v>2001</v>
          </cell>
          <cell r="D199">
            <v>2002</v>
          </cell>
          <cell r="E199">
            <v>2003</v>
          </cell>
          <cell r="F199">
            <v>2004</v>
          </cell>
          <cell r="G199">
            <v>2005</v>
          </cell>
          <cell r="H199">
            <v>2006</v>
          </cell>
          <cell r="I199">
            <v>2007</v>
          </cell>
          <cell r="J199">
            <v>2008</v>
          </cell>
          <cell r="K199">
            <v>2009</v>
          </cell>
          <cell r="L199" t="str">
            <v>2010E</v>
          </cell>
          <cell r="N199" t="str">
            <v>Max</v>
          </cell>
          <cell r="O199" t="str">
            <v>Min</v>
          </cell>
          <cell r="P199" t="str">
            <v>2010 vs max</v>
          </cell>
        </row>
        <row r="200">
          <cell r="A200" t="str">
            <v>Victoria's Secret Stores</v>
          </cell>
          <cell r="C200">
            <v>550.8625136110951</v>
          </cell>
          <cell r="D200">
            <v>577.77050253724008</v>
          </cell>
          <cell r="E200">
            <v>601.54543032240872</v>
          </cell>
          <cell r="F200">
            <v>648.74439929144523</v>
          </cell>
          <cell r="G200">
            <v>652.34070550129047</v>
          </cell>
          <cell r="H200">
            <v>731.47827806059399</v>
          </cell>
          <cell r="I200">
            <v>682.69936370814185</v>
          </cell>
          <cell r="J200">
            <v>613.98471323961724</v>
          </cell>
          <cell r="K200">
            <v>578.92143670427492</v>
          </cell>
          <cell r="L200">
            <v>627.9275198661386</v>
          </cell>
          <cell r="N200">
            <v>731.47827806059399</v>
          </cell>
          <cell r="O200">
            <v>550.8625136110951</v>
          </cell>
          <cell r="P200">
            <v>-0.14156368179381196</v>
          </cell>
        </row>
        <row r="202">
          <cell r="A202" t="str">
            <v>AEO calculations</v>
          </cell>
          <cell r="B202">
            <v>2000</v>
          </cell>
          <cell r="C202">
            <v>2001</v>
          </cell>
          <cell r="D202">
            <v>2002</v>
          </cell>
          <cell r="E202">
            <v>2003</v>
          </cell>
          <cell r="F202">
            <v>2004</v>
          </cell>
          <cell r="G202">
            <v>2005</v>
          </cell>
          <cell r="H202">
            <v>2006</v>
          </cell>
          <cell r="I202">
            <v>2007</v>
          </cell>
          <cell r="J202">
            <v>2008</v>
          </cell>
          <cell r="K202" t="str">
            <v>2009</v>
          </cell>
          <cell r="L202">
            <v>2010</v>
          </cell>
          <cell r="N202" t="str">
            <v>Max</v>
          </cell>
          <cell r="O202" t="str">
            <v>Min</v>
          </cell>
          <cell r="P202" t="str">
            <v>2010 vs max</v>
          </cell>
        </row>
        <row r="203">
          <cell r="A203" t="str">
            <v>aerie</v>
          </cell>
          <cell r="B203" t="str">
            <v>NA</v>
          </cell>
          <cell r="C203" t="str">
            <v>NA</v>
          </cell>
          <cell r="D203" t="str">
            <v>NA</v>
          </cell>
          <cell r="E203" t="str">
            <v>NA</v>
          </cell>
          <cell r="F203" t="str">
            <v>NA</v>
          </cell>
          <cell r="G203" t="str">
            <v>NA</v>
          </cell>
          <cell r="H203" t="str">
            <v>NA</v>
          </cell>
          <cell r="I203">
            <v>65.076999999999998</v>
          </cell>
          <cell r="J203">
            <v>338.88775000000004</v>
          </cell>
          <cell r="K203">
            <v>514.66875000000005</v>
          </cell>
          <cell r="L203">
            <v>567.74511678832118</v>
          </cell>
          <cell r="N203">
            <v>514.66875000000005</v>
          </cell>
          <cell r="O203">
            <v>65.076999999999998</v>
          </cell>
          <cell r="P203">
            <v>0.10312723822521019</v>
          </cell>
        </row>
      </sheetData>
      <sheetData sheetId="16"/>
      <sheetData sheetId="1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nalysis"/>
      <sheetName val="For Inv. Report"/>
      <sheetName val="Inv"/>
      <sheetName val="Debt"/>
      <sheetName val="  "/>
      <sheetName val="JCP"/>
      <sheetName val="JWN"/>
      <sheetName val="KSS"/>
      <sheetName val="M"/>
      <sheetName val="SKS"/>
      <sheetName val="CapEx"/>
      <sheetName val="__FDSCACHE__"/>
      <sheetName val="MW-Cache"/>
    </sheetNames>
    <sheetDataSet>
      <sheetData sheetId="0"/>
      <sheetData sheetId="1"/>
      <sheetData sheetId="2"/>
      <sheetData sheetId="3"/>
      <sheetData sheetId="4"/>
      <sheetData sheetId="5"/>
      <sheetData sheetId="6">
        <row r="54">
          <cell r="A54" t="str">
            <v>1 Yr Comps</v>
          </cell>
          <cell r="B54" t="str">
            <v>2007Q1</v>
          </cell>
          <cell r="C54" t="str">
            <v>2007Q2</v>
          </cell>
          <cell r="D54" t="str">
            <v>2007Q3</v>
          </cell>
          <cell r="E54" t="str">
            <v>2007Q4</v>
          </cell>
          <cell r="F54" t="str">
            <v>2008Q1</v>
          </cell>
          <cell r="G54" t="str">
            <v>2008Q2</v>
          </cell>
          <cell r="H54" t="str">
            <v>2008Q3</v>
          </cell>
          <cell r="I54" t="str">
            <v>2008Q4</v>
          </cell>
          <cell r="J54" t="str">
            <v>2009Q1</v>
          </cell>
          <cell r="K54" t="str">
            <v>2009Q2</v>
          </cell>
          <cell r="L54" t="str">
            <v>2009Q3</v>
          </cell>
          <cell r="M54" t="str">
            <v>2009Q4</v>
          </cell>
          <cell r="N54" t="str">
            <v>2010Q1</v>
          </cell>
          <cell r="O54" t="str">
            <v>2010Q2</v>
          </cell>
          <cell r="P54" t="str">
            <v>2010Q3</v>
          </cell>
          <cell r="Q54" t="str">
            <v>2010Q4</v>
          </cell>
          <cell r="R54" t="str">
            <v>2011Q1</v>
          </cell>
          <cell r="S54" t="str">
            <v>2011Q2</v>
          </cell>
          <cell r="T54" t="str">
            <v>2011Q3</v>
          </cell>
          <cell r="U54" t="str">
            <v>2011Q4e</v>
          </cell>
          <cell r="V54" t="str">
            <v>2012Q1e</v>
          </cell>
          <cell r="W54" t="str">
            <v>2012Q2e</v>
          </cell>
          <cell r="X54" t="str">
            <v>2012Q3e</v>
          </cell>
          <cell r="Y54" t="str">
            <v>2012Q4e</v>
          </cell>
        </row>
        <row r="55">
          <cell r="A55" t="str">
            <v>JCP</v>
          </cell>
          <cell r="B55">
            <v>2.1999999999999999E-2</v>
          </cell>
          <cell r="C55">
            <v>1.9E-2</v>
          </cell>
          <cell r="D55">
            <v>-3.5000000000000003E-2</v>
          </cell>
          <cell r="E55">
            <v>-3.5999999999999997E-2</v>
          </cell>
          <cell r="F55">
            <v>-7.3999999999999996E-2</v>
          </cell>
          <cell r="G55">
            <v>-4.2999999999999997E-2</v>
          </cell>
          <cell r="H55">
            <v>-0.10100000000000001</v>
          </cell>
          <cell r="I55">
            <v>-0.108</v>
          </cell>
          <cell r="J55">
            <v>-7.4999999999999997E-2</v>
          </cell>
          <cell r="K55">
            <v>-9.5000000000000001E-2</v>
          </cell>
          <cell r="L55">
            <v>-4.5999999999999999E-2</v>
          </cell>
          <cell r="M55">
            <v>-4.4999999999999998E-2</v>
          </cell>
          <cell r="N55">
            <v>1.6E-2</v>
          </cell>
          <cell r="O55">
            <v>8.9999999999999993E-3</v>
          </cell>
          <cell r="P55">
            <v>1.9E-2</v>
          </cell>
          <cell r="Q55">
            <v>4.4999999999999998E-2</v>
          </cell>
          <cell r="R55">
            <v>3.7999999999999999E-2</v>
          </cell>
          <cell r="S55">
            <v>1.4999999999999999E-2</v>
          </cell>
          <cell r="T55">
            <v>0</v>
          </cell>
          <cell r="U55">
            <v>0</v>
          </cell>
          <cell r="V55">
            <v>-2.1608157959071499E-2</v>
          </cell>
          <cell r="W55">
            <v>-1.1378008352056337E-2</v>
          </cell>
          <cell r="X55">
            <v>4.2433391807850905E-3</v>
          </cell>
          <cell r="Y55">
            <v>3.161220202750066E-3</v>
          </cell>
        </row>
        <row r="56">
          <cell r="A56" t="str">
            <v>M</v>
          </cell>
          <cell r="B56">
            <v>6.0000000000000001E-3</v>
          </cell>
          <cell r="C56">
            <v>-2.5999999999999999E-2</v>
          </cell>
          <cell r="D56">
            <v>-8.0000000000000002E-3</v>
          </cell>
          <cell r="E56">
            <v>-0.02</v>
          </cell>
          <cell r="F56">
            <v>-2.5999999999999999E-2</v>
          </cell>
          <cell r="G56">
            <v>-2.1000000000000001E-2</v>
          </cell>
          <cell r="H56">
            <v>-0.06</v>
          </cell>
          <cell r="I56">
            <v>-7.0000000000000007E-2</v>
          </cell>
          <cell r="J56">
            <v>-0.09</v>
          </cell>
          <cell r="K56">
            <v>-9.5000000000000001E-2</v>
          </cell>
          <cell r="L56">
            <v>-3.5999999999999997E-2</v>
          </cell>
          <cell r="M56">
            <v>-8.0000000000000002E-3</v>
          </cell>
          <cell r="N56">
            <v>5.5E-2</v>
          </cell>
          <cell r="O56">
            <v>4.9000000000000002E-2</v>
          </cell>
          <cell r="P56">
            <v>3.9E-2</v>
          </cell>
          <cell r="Q56">
            <v>4.2999999999999997E-2</v>
          </cell>
          <cell r="R56">
            <v>5.3999999999999999E-2</v>
          </cell>
          <cell r="S56">
            <v>6.4000000000000001E-2</v>
          </cell>
          <cell r="T56">
            <v>0.04</v>
          </cell>
          <cell r="U56">
            <v>5.1999999999999998E-2</v>
          </cell>
          <cell r="V56">
            <v>3.1230920582903131E-2</v>
          </cell>
          <cell r="W56">
            <v>2.9742596430138542E-2</v>
          </cell>
          <cell r="X56">
            <v>4.4925303944057193E-2</v>
          </cell>
          <cell r="Y56">
            <v>3.4620305559042677E-2</v>
          </cell>
        </row>
        <row r="57">
          <cell r="A57" t="str">
            <v>KSS</v>
          </cell>
          <cell r="B57">
            <v>3.9E-2</v>
          </cell>
          <cell r="C57">
            <v>1.2999999999999999E-2</v>
          </cell>
          <cell r="D57">
            <v>-2.5683781240196588E-2</v>
          </cell>
          <cell r="E57">
            <v>-0.04</v>
          </cell>
          <cell r="F57">
            <v>-6.7000000000000004E-2</v>
          </cell>
          <cell r="G57">
            <v>-4.5999999999999999E-2</v>
          </cell>
          <cell r="H57">
            <v>-6.7000000000000004E-2</v>
          </cell>
          <cell r="I57">
            <v>-9.0999999999999998E-2</v>
          </cell>
          <cell r="J57">
            <v>-4.2000000000000003E-2</v>
          </cell>
          <cell r="K57">
            <v>-2.3E-2</v>
          </cell>
          <cell r="L57">
            <v>2.4E-2</v>
          </cell>
          <cell r="M57">
            <v>4.4999999999999998E-2</v>
          </cell>
          <cell r="N57">
            <v>7.3999999999999996E-2</v>
          </cell>
          <cell r="O57">
            <v>4.5999999999999999E-2</v>
          </cell>
          <cell r="P57">
            <v>1.7999999999999999E-2</v>
          </cell>
          <cell r="Q57">
            <v>4.2999999999999997E-2</v>
          </cell>
          <cell r="R57">
            <v>1.2999999999999999E-2</v>
          </cell>
          <cell r="S57">
            <v>1.9E-2</v>
          </cell>
          <cell r="T57">
            <v>2.1000000000000001E-2</v>
          </cell>
          <cell r="U57">
            <v>-2.1000000000000001E-2</v>
          </cell>
          <cell r="V57">
            <v>-2.8459367930321836E-3</v>
          </cell>
          <cell r="W57">
            <v>3.7799915846087641E-3</v>
          </cell>
          <cell r="X57">
            <v>8.2509903068364102E-3</v>
          </cell>
          <cell r="Y57">
            <v>2.2272400277867151E-2</v>
          </cell>
        </row>
        <row r="58">
          <cell r="A58" t="str">
            <v>BONT</v>
          </cell>
          <cell r="B58">
            <v>-2.5000000000000001E-2</v>
          </cell>
          <cell r="C58">
            <v>-0.05</v>
          </cell>
          <cell r="D58">
            <v>-0.03</v>
          </cell>
          <cell r="E58">
            <v>-3.5999999999999997E-2</v>
          </cell>
          <cell r="F58">
            <v>-4.5999999999999999E-2</v>
          </cell>
          <cell r="G58">
            <v>-5.7000000000000002E-2</v>
          </cell>
          <cell r="H58">
            <v>-8.3000000000000004E-2</v>
          </cell>
          <cell r="I58">
            <v>-9.7000000000000003E-2</v>
          </cell>
          <cell r="J58">
            <v>-8.5999999999999993E-2</v>
          </cell>
          <cell r="K58">
            <v>-9.8000000000000004E-2</v>
          </cell>
          <cell r="L58">
            <v>-2.5999999999999999E-2</v>
          </cell>
          <cell r="M58">
            <v>-2.4E-2</v>
          </cell>
          <cell r="N58">
            <v>0.03</v>
          </cell>
          <cell r="O58">
            <v>2E-3</v>
          </cell>
          <cell r="P58">
            <v>-3.0000000000000001E-3</v>
          </cell>
          <cell r="Q58">
            <v>8.0000000000000002E-3</v>
          </cell>
          <cell r="R58">
            <v>-1.2E-2</v>
          </cell>
          <cell r="S58">
            <v>-1.4999999999999999E-2</v>
          </cell>
          <cell r="T58">
            <v>-5.8999999999999997E-2</v>
          </cell>
          <cell r="U58">
            <v>-0.03</v>
          </cell>
        </row>
        <row r="59">
          <cell r="A59" t="str">
            <v>DDS</v>
          </cell>
          <cell r="B59">
            <v>-0.05</v>
          </cell>
          <cell r="C59">
            <v>-0.03</v>
          </cell>
          <cell r="D59">
            <v>-0.06</v>
          </cell>
          <cell r="E59">
            <v>-0.05</v>
          </cell>
          <cell r="F59">
            <v>-0.06</v>
          </cell>
          <cell r="G59">
            <v>-0.04</v>
          </cell>
          <cell r="H59">
            <v>-0.09</v>
          </cell>
          <cell r="I59">
            <v>-0.08</v>
          </cell>
          <cell r="J59">
            <v>-0.13</v>
          </cell>
          <cell r="K59">
            <v>-0.13</v>
          </cell>
          <cell r="L59">
            <v>-0.09</v>
          </cell>
          <cell r="M59">
            <v>-0.08</v>
          </cell>
          <cell r="N59">
            <v>0.02</v>
          </cell>
          <cell r="O59">
            <v>0</v>
          </cell>
          <cell r="P59">
            <v>0.01</v>
          </cell>
          <cell r="Q59">
            <v>7.0000000000000007E-2</v>
          </cell>
          <cell r="R59">
            <v>0.02</v>
          </cell>
          <cell r="S59">
            <v>0.06</v>
          </cell>
          <cell r="T59">
            <v>0.05</v>
          </cell>
          <cell r="U59">
            <v>0.02</v>
          </cell>
        </row>
        <row r="60">
          <cell r="A60" t="str">
            <v>Spread</v>
          </cell>
          <cell r="B60">
            <v>-5.0000000000000044E-4</v>
          </cell>
          <cell r="C60">
            <v>2.5499999999999998E-2</v>
          </cell>
          <cell r="D60">
            <v>-1.8158109379901709E-2</v>
          </cell>
          <cell r="E60">
            <v>-5.9999999999999984E-3</v>
          </cell>
          <cell r="F60">
            <v>-2.7499999999999997E-2</v>
          </cell>
          <cell r="G60">
            <v>-9.4999999999999946E-3</v>
          </cell>
          <cell r="H60">
            <v>-3.7500000000000006E-2</v>
          </cell>
          <cell r="I60">
            <v>-2.7499999999999997E-2</v>
          </cell>
          <cell r="J60">
            <v>-8.9999999999999941E-3</v>
          </cell>
          <cell r="K60">
            <v>-3.6000000000000004E-2</v>
          </cell>
          <cell r="L60">
            <v>-0.04</v>
          </cell>
          <cell r="M60">
            <v>-6.3500000000000001E-2</v>
          </cell>
          <cell r="N60">
            <v>-4.8500000000000001E-2</v>
          </cell>
          <cell r="O60">
            <v>-3.85E-2</v>
          </cell>
          <cell r="P60">
            <v>-9.499999999999998E-3</v>
          </cell>
          <cell r="Q60">
            <v>2.0000000000000018E-3</v>
          </cell>
          <cell r="R60">
            <v>4.4999999999999971E-3</v>
          </cell>
          <cell r="S60">
            <v>-2.6500000000000003E-2</v>
          </cell>
          <cell r="T60">
            <v>-3.0499999999999999E-2</v>
          </cell>
          <cell r="U60">
            <v>-1.5499999999999998E-2</v>
          </cell>
          <cell r="V60">
            <v>-3.5800649854006973E-2</v>
          </cell>
          <cell r="W60">
            <v>-2.8139302359429991E-2</v>
          </cell>
          <cell r="X60">
            <v>-2.2344807944661711E-2</v>
          </cell>
          <cell r="Y60">
            <v>-2.5285132715704848E-2</v>
          </cell>
        </row>
        <row r="61">
          <cell r="G61" t="str">
            <v>2Q08</v>
          </cell>
          <cell r="H61" t="str">
            <v>3Q08</v>
          </cell>
          <cell r="I61" t="str">
            <v>4Q08</v>
          </cell>
          <cell r="J61" t="str">
            <v>1Q09</v>
          </cell>
          <cell r="K61" t="str">
            <v>2Q09</v>
          </cell>
          <cell r="L61" t="str">
            <v>3Q09</v>
          </cell>
          <cell r="M61" t="str">
            <v>4Q09</v>
          </cell>
          <cell r="N61" t="str">
            <v>1Q10</v>
          </cell>
          <cell r="O61" t="str">
            <v>2Q10</v>
          </cell>
          <cell r="P61" t="str">
            <v>3Q10</v>
          </cell>
          <cell r="Q61" t="str">
            <v>4Q10</v>
          </cell>
          <cell r="R61" t="str">
            <v>1Q11</v>
          </cell>
          <cell r="S61" t="str">
            <v>2Q11</v>
          </cell>
          <cell r="T61" t="str">
            <v xml:space="preserve">3Q11 </v>
          </cell>
          <cell r="U61" t="str">
            <v>4Q11e</v>
          </cell>
          <cell r="V61" t="str">
            <v>1Q12e</v>
          </cell>
          <cell r="W61" t="str">
            <v>2Q12e</v>
          </cell>
          <cell r="X61" t="str">
            <v>3Q12e</v>
          </cell>
          <cell r="Y61" t="str">
            <v>4Q11e</v>
          </cell>
        </row>
        <row r="62">
          <cell r="A62" t="str">
            <v>2 Yr Comps</v>
          </cell>
          <cell r="B62" t="str">
            <v>2007Q1</v>
          </cell>
          <cell r="C62" t="str">
            <v>2007Q2</v>
          </cell>
          <cell r="D62" t="str">
            <v>2007Q3</v>
          </cell>
          <cell r="E62" t="str">
            <v>2007Q4</v>
          </cell>
          <cell r="F62" t="str">
            <v>2008Q1</v>
          </cell>
          <cell r="G62" t="str">
            <v>2008Q2</v>
          </cell>
          <cell r="H62" t="str">
            <v>2008Q3</v>
          </cell>
          <cell r="I62" t="str">
            <v>2008Q4</v>
          </cell>
          <cell r="J62" t="str">
            <v>2009Q1</v>
          </cell>
          <cell r="K62" t="str">
            <v>2009Q2</v>
          </cell>
          <cell r="L62" t="str">
            <v>2009Q3</v>
          </cell>
          <cell r="M62" t="str">
            <v>2009Q4</v>
          </cell>
          <cell r="N62" t="str">
            <v>2010Q1</v>
          </cell>
          <cell r="O62" t="str">
            <v>2010Q2</v>
          </cell>
          <cell r="P62" t="str">
            <v>2010Q3</v>
          </cell>
          <cell r="Q62" t="str">
            <v>2010Q4</v>
          </cell>
          <cell r="R62" t="str">
            <v>2011Q1</v>
          </cell>
          <cell r="S62" t="str">
            <v>2011Q2</v>
          </cell>
          <cell r="T62" t="str">
            <v>2011Q3</v>
          </cell>
          <cell r="U62" t="str">
            <v>2011Q4e</v>
          </cell>
          <cell r="V62" t="str">
            <v>2012Q1e</v>
          </cell>
          <cell r="W62" t="str">
            <v>2012Q2e</v>
          </cell>
          <cell r="X62" t="str">
            <v>2012Q3e</v>
          </cell>
          <cell r="Y62" t="str">
            <v>2012Q4e</v>
          </cell>
        </row>
        <row r="63">
          <cell r="A63" t="str">
            <v>JCP</v>
          </cell>
          <cell r="F63">
            <v>-2.5999999999999999E-2</v>
          </cell>
          <cell r="G63">
            <v>-1.1999999999999999E-2</v>
          </cell>
          <cell r="H63">
            <v>-6.8000000000000005E-2</v>
          </cell>
          <cell r="I63">
            <v>-7.1999999999999995E-2</v>
          </cell>
          <cell r="J63">
            <v>-7.4499999999999997E-2</v>
          </cell>
          <cell r="K63">
            <v>-6.9000000000000006E-2</v>
          </cell>
          <cell r="L63">
            <v>-7.350000000000001E-2</v>
          </cell>
          <cell r="M63">
            <v>-7.6499999999999999E-2</v>
          </cell>
          <cell r="N63">
            <v>-2.9499999999999998E-2</v>
          </cell>
          <cell r="O63">
            <v>-4.3000000000000003E-2</v>
          </cell>
          <cell r="P63">
            <v>-1.35E-2</v>
          </cell>
          <cell r="Q63">
            <v>0</v>
          </cell>
          <cell r="R63">
            <v>2.7E-2</v>
          </cell>
          <cell r="S63">
            <v>1.2E-2</v>
          </cell>
          <cell r="T63">
            <v>9.4999999999999998E-3</v>
          </cell>
          <cell r="U63">
            <v>2.2499999999999999E-2</v>
          </cell>
          <cell r="V63">
            <v>8.1959210204642502E-3</v>
          </cell>
          <cell r="W63">
            <v>1.810995823971831E-3</v>
          </cell>
          <cell r="X63">
            <v>2.1216695903925453E-3</v>
          </cell>
          <cell r="Y63">
            <v>1.580610101375033E-3</v>
          </cell>
        </row>
        <row r="64">
          <cell r="A64" t="str">
            <v>M</v>
          </cell>
          <cell r="F64">
            <v>-9.9999999999999985E-3</v>
          </cell>
          <cell r="G64">
            <v>-2.35E-2</v>
          </cell>
          <cell r="H64">
            <v>-3.4000000000000002E-2</v>
          </cell>
          <cell r="I64">
            <v>-4.5000000000000005E-2</v>
          </cell>
          <cell r="J64">
            <v>-5.7999999999999996E-2</v>
          </cell>
          <cell r="K64">
            <v>-5.8000000000000003E-2</v>
          </cell>
          <cell r="L64">
            <v>-4.8000000000000001E-2</v>
          </cell>
          <cell r="M64">
            <v>-3.9000000000000007E-2</v>
          </cell>
          <cell r="N64">
            <v>-1.7499999999999998E-2</v>
          </cell>
          <cell r="O64">
            <v>-2.3E-2</v>
          </cell>
          <cell r="P64">
            <v>1.5000000000000013E-3</v>
          </cell>
          <cell r="Q64">
            <v>1.7499999999999998E-2</v>
          </cell>
          <cell r="R64">
            <v>5.45E-2</v>
          </cell>
          <cell r="S64">
            <v>5.6500000000000002E-2</v>
          </cell>
          <cell r="T64">
            <v>3.95E-2</v>
          </cell>
          <cell r="U64">
            <v>4.7500000000000001E-2</v>
          </cell>
          <cell r="V64">
            <v>4.2615460291451565E-2</v>
          </cell>
          <cell r="W64">
            <v>4.6871298215069274E-2</v>
          </cell>
          <cell r="X64">
            <v>4.2462651972028601E-2</v>
          </cell>
          <cell r="Y64">
            <v>4.3310152779521341E-2</v>
          </cell>
        </row>
        <row r="65">
          <cell r="A65" t="str">
            <v>KSS</v>
          </cell>
          <cell r="F65">
            <v>-1.4000000000000002E-2</v>
          </cell>
          <cell r="G65">
            <v>-1.6500000000000001E-2</v>
          </cell>
          <cell r="H65">
            <v>-4.6341890620098296E-2</v>
          </cell>
          <cell r="I65">
            <v>-6.5500000000000003E-2</v>
          </cell>
          <cell r="J65">
            <v>-5.4500000000000007E-2</v>
          </cell>
          <cell r="K65">
            <v>-3.4500000000000003E-2</v>
          </cell>
          <cell r="L65">
            <v>-2.1500000000000002E-2</v>
          </cell>
          <cell r="M65">
            <v>-2.3E-2</v>
          </cell>
          <cell r="N65">
            <v>1.5999999999999997E-2</v>
          </cell>
          <cell r="O65">
            <v>1.15E-2</v>
          </cell>
          <cell r="P65">
            <v>2.0999999999999998E-2</v>
          </cell>
          <cell r="Q65">
            <v>4.3999999999999997E-2</v>
          </cell>
          <cell r="R65">
            <v>4.3499999999999997E-2</v>
          </cell>
          <cell r="S65">
            <v>3.2500000000000001E-2</v>
          </cell>
          <cell r="T65">
            <v>1.95E-2</v>
          </cell>
          <cell r="U65">
            <v>1.0999999999999998E-2</v>
          </cell>
          <cell r="V65">
            <v>5.0770316034839079E-3</v>
          </cell>
          <cell r="W65">
            <v>1.1389995792304382E-2</v>
          </cell>
          <cell r="X65">
            <v>1.4625495153418206E-2</v>
          </cell>
          <cell r="Y65">
            <v>6.3620013893357467E-4</v>
          </cell>
        </row>
        <row r="68">
          <cell r="A68" t="str">
            <v>Spread</v>
          </cell>
          <cell r="F68">
            <v>-1.3999999999999999E-2</v>
          </cell>
          <cell r="G68">
            <v>8.0000000000000019E-3</v>
          </cell>
          <cell r="H68">
            <v>-2.7829054689950852E-2</v>
          </cell>
          <cell r="I68">
            <v>-1.6749999999999987E-2</v>
          </cell>
          <cell r="J68">
            <v>-1.8249999999999995E-2</v>
          </cell>
          <cell r="K68">
            <v>-2.2750000000000006E-2</v>
          </cell>
          <cell r="L68">
            <v>-3.8750000000000007E-2</v>
          </cell>
          <cell r="M68">
            <v>-4.5499999999999999E-2</v>
          </cell>
          <cell r="N68">
            <v>-2.8749999999999998E-2</v>
          </cell>
          <cell r="O68">
            <v>-3.7250000000000005E-2</v>
          </cell>
          <cell r="P68">
            <v>-2.4750000000000001E-2</v>
          </cell>
          <cell r="Q68">
            <v>-3.075E-2</v>
          </cell>
          <cell r="R68">
            <v>-2.2000000000000002E-2</v>
          </cell>
          <cell r="S68">
            <v>-3.2500000000000001E-2</v>
          </cell>
          <cell r="T68">
            <v>-1.9999999999999997E-2</v>
          </cell>
          <cell r="U68">
            <v>-6.7499999999999991E-3</v>
          </cell>
          <cell r="V68">
            <v>-1.5650324927003488E-2</v>
          </cell>
          <cell r="W68">
            <v>-2.7319651179714997E-2</v>
          </cell>
          <cell r="X68">
            <v>-2.6422403972330859E-2</v>
          </cell>
          <cell r="Y68">
            <v>-2.0392566357852426E-2</v>
          </cell>
        </row>
        <row r="90">
          <cell r="K90">
            <v>2000</v>
          </cell>
          <cell r="L90">
            <v>2001</v>
          </cell>
          <cell r="M90">
            <v>2002</v>
          </cell>
          <cell r="N90">
            <v>2003</v>
          </cell>
          <cell r="O90">
            <v>2004</v>
          </cell>
          <cell r="P90">
            <v>2005</v>
          </cell>
          <cell r="Q90">
            <v>2006</v>
          </cell>
          <cell r="R90">
            <v>2007</v>
          </cell>
          <cell r="S90">
            <v>2008</v>
          </cell>
          <cell r="T90">
            <v>2009</v>
          </cell>
          <cell r="U90">
            <v>2010</v>
          </cell>
          <cell r="V90" t="str">
            <v>1H11</v>
          </cell>
        </row>
        <row r="91">
          <cell r="C91" t="str">
            <v>2Q10</v>
          </cell>
          <cell r="D91" t="str">
            <v>3Q10</v>
          </cell>
          <cell r="E91" t="str">
            <v>4Q10</v>
          </cell>
          <cell r="F91" t="str">
            <v>1Q11</v>
          </cell>
          <cell r="G91" t="str">
            <v>2Q11</v>
          </cell>
          <cell r="H91" t="str">
            <v>3Q11</v>
          </cell>
          <cell r="J91" t="str">
            <v>JCP</v>
          </cell>
          <cell r="K91">
            <v>-2.4E-2</v>
          </cell>
          <cell r="L91">
            <v>3.125E-2</v>
          </cell>
          <cell r="M91">
            <v>2.8250000000000001E-2</v>
          </cell>
          <cell r="N91">
            <v>8.0000000000000002E-3</v>
          </cell>
          <cell r="O91">
            <v>4.9000000000000002E-2</v>
          </cell>
          <cell r="P91">
            <v>2.9000000000000001E-2</v>
          </cell>
          <cell r="Q91">
            <v>3.6999999999999998E-2</v>
          </cell>
          <cell r="R91">
            <v>-1.0999999999999999E-2</v>
          </cell>
          <cell r="S91">
            <v>-8.5000000000000006E-2</v>
          </cell>
          <cell r="T91">
            <v>-6.3078925007644338E-2</v>
          </cell>
          <cell r="U91">
            <v>0</v>
          </cell>
          <cell r="V91">
            <v>2.6499999999999999E-2</v>
          </cell>
        </row>
        <row r="92">
          <cell r="A92" t="str">
            <v>JCP</v>
          </cell>
          <cell r="C92">
            <v>-2.5000000000000001E-2</v>
          </cell>
          <cell r="D92">
            <v>-2.5000000000000001E-2</v>
          </cell>
          <cell r="E92">
            <v>-2.5000000000000001E-2</v>
          </cell>
          <cell r="F92">
            <v>-0.01</v>
          </cell>
          <cell r="G92">
            <v>-2.5000000000000001E-3</v>
          </cell>
          <cell r="H92">
            <v>2.5000000000000001E-3</v>
          </cell>
          <cell r="J92" t="str">
            <v>M</v>
          </cell>
          <cell r="K92">
            <v>0.02</v>
          </cell>
          <cell r="L92">
            <v>-5.2999999999999999E-2</v>
          </cell>
          <cell r="M92">
            <v>-0.03</v>
          </cell>
          <cell r="N92">
            <v>-9.0000000000000011E-3</v>
          </cell>
          <cell r="O92">
            <v>2.5999999999999999E-2</v>
          </cell>
          <cell r="P92">
            <v>1.2999999999999999E-2</v>
          </cell>
          <cell r="Q92">
            <v>4.3999999999999997E-2</v>
          </cell>
          <cell r="R92">
            <v>-1.2999999999999999E-2</v>
          </cell>
          <cell r="S92">
            <v>-4.4999999999999998E-2</v>
          </cell>
          <cell r="T92">
            <v>-5.2999999999999999E-2</v>
          </cell>
          <cell r="U92">
            <v>4.610434747830261E-2</v>
          </cell>
          <cell r="V92">
            <v>5.8999999999999997E-2</v>
          </cell>
        </row>
        <row r="93">
          <cell r="C93" t="str">
            <v>(LSD)</v>
          </cell>
          <cell r="D93" t="str">
            <v>(LSD)</v>
          </cell>
          <cell r="E93" t="str">
            <v>(LSD)</v>
          </cell>
          <cell r="F93">
            <v>-0.01</v>
          </cell>
          <cell r="G93" t="str">
            <v>Down slightly</v>
          </cell>
          <cell r="H93" t="str">
            <v>Up slightly</v>
          </cell>
          <cell r="J93" t="str">
            <v>KSS</v>
          </cell>
          <cell r="K93">
            <v>9.5515620428464607E-2</v>
          </cell>
          <cell r="L93">
            <v>6.8000000000000005E-2</v>
          </cell>
          <cell r="M93">
            <v>5.9056288469869427E-2</v>
          </cell>
          <cell r="N93">
            <v>-1.2342184383842436E-2</v>
          </cell>
          <cell r="O93">
            <v>5.4574854495884851E-3</v>
          </cell>
          <cell r="P93">
            <v>3.6890876124815335E-2</v>
          </cell>
          <cell r="Q93">
            <v>5.8999999999999997E-2</v>
          </cell>
          <cell r="R93">
            <v>-7.9988102247825314E-3</v>
          </cell>
          <cell r="S93">
            <v>-6.9000000000000006E-2</v>
          </cell>
          <cell r="T93">
            <v>6.5541130581591653E-3</v>
          </cell>
          <cell r="U93">
            <v>4.4736447175248759E-2</v>
          </cell>
          <cell r="V93">
            <v>1.6E-2</v>
          </cell>
        </row>
        <row r="94">
          <cell r="J94" t="str">
            <v>DDS</v>
          </cell>
          <cell r="L94">
            <v>-0.05</v>
          </cell>
          <cell r="M94">
            <v>-0.03</v>
          </cell>
          <cell r="N94">
            <v>-0.04</v>
          </cell>
          <cell r="O94">
            <v>-0.01</v>
          </cell>
          <cell r="P94">
            <v>0</v>
          </cell>
          <cell r="Q94">
            <v>0</v>
          </cell>
          <cell r="R94">
            <v>-0.06</v>
          </cell>
          <cell r="S94">
            <v>-7.0000000000000007E-2</v>
          </cell>
          <cell r="T94">
            <v>-0.1</v>
          </cell>
          <cell r="U94">
            <v>0.03</v>
          </cell>
          <cell r="V94">
            <v>0.04</v>
          </cell>
        </row>
        <row r="95">
          <cell r="J95" t="str">
            <v>Spread</v>
          </cell>
          <cell r="K95">
            <v>-8.1757810214232313E-2</v>
          </cell>
          <cell r="L95">
            <v>4.2916666666666665E-2</v>
          </cell>
          <cell r="M95">
            <v>2.8564570510043526E-2</v>
          </cell>
          <cell r="N95">
            <v>2.8447394794614146E-2</v>
          </cell>
          <cell r="O95">
            <v>4.1847504850137177E-2</v>
          </cell>
          <cell r="P95">
            <v>1.2369707958394892E-2</v>
          </cell>
          <cell r="Q95">
            <v>2.6666666666666644E-3</v>
          </cell>
          <cell r="R95">
            <v>1.5999603408260843E-2</v>
          </cell>
          <cell r="S95">
            <v>-2.3666666666666676E-2</v>
          </cell>
          <cell r="T95">
            <v>-1.4263629360364051E-2</v>
          </cell>
          <cell r="U95">
            <v>-4.0280264884517122E-2</v>
          </cell>
          <cell r="V95">
            <v>-1.1833333333333331E-2</v>
          </cell>
        </row>
        <row r="99">
          <cell r="K99" t="str">
            <v>2010Q3</v>
          </cell>
          <cell r="L99" t="str">
            <v>2010Q4</v>
          </cell>
          <cell r="M99" t="str">
            <v>2011Q1</v>
          </cell>
          <cell r="N99" t="str">
            <v>2011Q2</v>
          </cell>
        </row>
        <row r="100">
          <cell r="J100" t="str">
            <v>JCP</v>
          </cell>
          <cell r="K100">
            <v>1.9E-2</v>
          </cell>
          <cell r="L100">
            <v>4.4999999999999998E-2</v>
          </cell>
          <cell r="M100">
            <v>3.7999999999999999E-2</v>
          </cell>
          <cell r="N100">
            <v>1.4999999999999999E-2</v>
          </cell>
        </row>
        <row r="101">
          <cell r="J101" t="str">
            <v>KSS</v>
          </cell>
          <cell r="K101">
            <v>1.7999999999999999E-2</v>
          </cell>
          <cell r="L101">
            <v>4.2999999999999997E-2</v>
          </cell>
          <cell r="M101">
            <v>1.2999999999999999E-2</v>
          </cell>
          <cell r="N101">
            <v>1.9E-2</v>
          </cell>
        </row>
        <row r="102">
          <cell r="J102" t="str">
            <v>M</v>
          </cell>
          <cell r="K102">
            <v>3.9E-2</v>
          </cell>
          <cell r="L102">
            <v>4.2999999999999997E-2</v>
          </cell>
          <cell r="M102">
            <v>5.3999999999999999E-2</v>
          </cell>
          <cell r="N102">
            <v>6.4000000000000001E-2</v>
          </cell>
        </row>
        <row r="103">
          <cell r="J103" t="str">
            <v>DDS</v>
          </cell>
          <cell r="K103">
            <v>0.01</v>
          </cell>
          <cell r="L103">
            <v>7.0000000000000007E-2</v>
          </cell>
          <cell r="M103">
            <v>0.02</v>
          </cell>
          <cell r="N103">
            <v>3.6999999999999998E-2</v>
          </cell>
        </row>
        <row r="104">
          <cell r="J104" t="str">
            <v>Mid-Tier Avg</v>
          </cell>
          <cell r="K104">
            <v>2.233333333333333E-2</v>
          </cell>
          <cell r="L104">
            <v>5.1999999999999998E-2</v>
          </cell>
          <cell r="M104">
            <v>2.9000000000000001E-2</v>
          </cell>
          <cell r="N104">
            <v>0.04</v>
          </cell>
        </row>
        <row r="106">
          <cell r="K106" t="str">
            <v>2010Q3</v>
          </cell>
          <cell r="L106" t="str">
            <v>2010Q4</v>
          </cell>
          <cell r="M106" t="str">
            <v>2011Q1</v>
          </cell>
          <cell r="N106" t="str">
            <v>2011Q2</v>
          </cell>
          <cell r="O106" t="str">
            <v>2011Q3</v>
          </cell>
        </row>
        <row r="107">
          <cell r="J107" t="str">
            <v>JCP Comps</v>
          </cell>
          <cell r="K107">
            <v>1.9E-2</v>
          </cell>
          <cell r="L107">
            <v>4.4999999999999998E-2</v>
          </cell>
          <cell r="M107">
            <v>3.7999999999999999E-2</v>
          </cell>
          <cell r="N107">
            <v>1.4999999999999999E-2</v>
          </cell>
          <cell r="O107">
            <v>0</v>
          </cell>
        </row>
        <row r="108">
          <cell r="J108" t="str">
            <v>Inv/Sq Ft Growth</v>
          </cell>
          <cell r="K108">
            <v>5.4328650481654694E-2</v>
          </cell>
          <cell r="L108">
            <v>5.4855434578787277E-2</v>
          </cell>
          <cell r="M108">
            <v>6.4199331544402716E-2</v>
          </cell>
          <cell r="N108">
            <v>-0.9183550471876234</v>
          </cell>
          <cell r="O108">
            <v>-0.9182500174951681</v>
          </cell>
        </row>
        <row r="109">
          <cell r="J109" t="str">
            <v>Spread</v>
          </cell>
          <cell r="K109">
            <v>-353.28650481654694</v>
          </cell>
          <cell r="L109">
            <v>-98.554345787872776</v>
          </cell>
          <cell r="M109">
            <v>-261.99331544402719</v>
          </cell>
          <cell r="N109">
            <v>9333.550471876235</v>
          </cell>
          <cell r="O109">
            <v>9182.5001749516814</v>
          </cell>
        </row>
      </sheetData>
      <sheetData sheetId="7">
        <row r="20">
          <cell r="M20" t="str">
            <v>Valuation</v>
          </cell>
        </row>
        <row r="53">
          <cell r="B53" t="str">
            <v>2010Q1</v>
          </cell>
          <cell r="C53" t="str">
            <v>2010Q2</v>
          </cell>
          <cell r="D53" t="str">
            <v>2010Q3</v>
          </cell>
          <cell r="E53" t="str">
            <v>2010Q4</v>
          </cell>
          <cell r="F53" t="str">
            <v>2011Q1</v>
          </cell>
          <cell r="G53" t="str">
            <v>2011Q2E</v>
          </cell>
        </row>
        <row r="54">
          <cell r="A54" t="str">
            <v>JWN</v>
          </cell>
          <cell r="B54">
            <v>-1.2000000000000011E-2</v>
          </cell>
          <cell r="C54">
            <v>-1.3999999999999999E-2</v>
          </cell>
          <cell r="D54">
            <v>4.5999999999999999E-2</v>
          </cell>
          <cell r="E54">
            <v>0.13600000000000001</v>
          </cell>
          <cell r="F54">
            <v>0.185</v>
          </cell>
          <cell r="G54">
            <v>0.157</v>
          </cell>
        </row>
        <row r="55">
          <cell r="A55" t="str">
            <v>JCP</v>
          </cell>
          <cell r="B55">
            <v>-5.8999999999999997E-2</v>
          </cell>
          <cell r="C55">
            <v>-8.6000000000000007E-2</v>
          </cell>
          <cell r="D55">
            <v>-2.7E-2</v>
          </cell>
          <cell r="E55">
            <v>0</v>
          </cell>
          <cell r="F55">
            <v>5.3999999999999999E-2</v>
          </cell>
          <cell r="G55">
            <v>2.4E-2</v>
          </cell>
          <cell r="J55">
            <v>0.01</v>
          </cell>
        </row>
        <row r="56">
          <cell r="A56" t="str">
            <v>M</v>
          </cell>
          <cell r="B56">
            <v>-3.4999999999999996E-2</v>
          </cell>
          <cell r="C56">
            <v>-4.5999999999999999E-2</v>
          </cell>
          <cell r="D56">
            <v>3.0000000000000027E-3</v>
          </cell>
          <cell r="E56">
            <v>3.4999999999999996E-2</v>
          </cell>
          <cell r="F56">
            <v>0.109</v>
          </cell>
          <cell r="G56">
            <v>0.113</v>
          </cell>
          <cell r="J56" t="str">
            <v>+MSD</v>
          </cell>
        </row>
        <row r="57">
          <cell r="A57" t="str">
            <v>KSS</v>
          </cell>
          <cell r="B57">
            <v>3.1999999999999994E-2</v>
          </cell>
          <cell r="C57">
            <v>2.3E-2</v>
          </cell>
          <cell r="D57">
            <v>4.1999999999999996E-2</v>
          </cell>
          <cell r="E57">
            <v>8.7999999999999995E-2</v>
          </cell>
          <cell r="F57">
            <v>8.6999999999999994E-2</v>
          </cell>
          <cell r="G57">
            <v>6.5000000000000002E-2</v>
          </cell>
          <cell r="J57" t="str">
            <v>+LSD</v>
          </cell>
        </row>
        <row r="58">
          <cell r="A58" t="str">
            <v>Spread</v>
          </cell>
          <cell r="B58">
            <v>8.6666666666666593E-3</v>
          </cell>
          <cell r="C58">
            <v>2.2333333333333337E-2</v>
          </cell>
          <cell r="D58">
            <v>0.04</v>
          </cell>
          <cell r="E58">
            <v>9.5000000000000001E-2</v>
          </cell>
          <cell r="F58">
            <v>0.10166666666666667</v>
          </cell>
          <cell r="G58">
            <v>8.9666666666666658E-2</v>
          </cell>
          <cell r="J58" t="str">
            <v>+MSD</v>
          </cell>
        </row>
        <row r="60">
          <cell r="L60" t="str">
            <v>Feb '11</v>
          </cell>
          <cell r="M60" t="str">
            <v>Mar '11</v>
          </cell>
          <cell r="N60" t="str">
            <v>Apr '11</v>
          </cell>
          <cell r="O60" t="str">
            <v>May '11</v>
          </cell>
        </row>
        <row r="61">
          <cell r="J61" t="str">
            <v>JWN</v>
          </cell>
          <cell r="L61">
            <v>0.01</v>
          </cell>
          <cell r="M61">
            <v>0.05</v>
          </cell>
          <cell r="N61">
            <v>0.01</v>
          </cell>
          <cell r="O61">
            <v>0.05</v>
          </cell>
        </row>
      </sheetData>
      <sheetData sheetId="8"/>
      <sheetData sheetId="9"/>
      <sheetData sheetId="10"/>
      <sheetData sheetId="11"/>
      <sheetData sheetId="12"/>
      <sheetData sheetId="1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sk-Reward_View_Chart"/>
      <sheetName val="Bear_to_Bull_Data"/>
      <sheetName val="Comparative_Risk-Reward_Chart"/>
      <sheetName val="Comparative_Risk-Reward_Data"/>
      <sheetName val="Value_of_Growth_Chart"/>
      <sheetName val="Value_of_Growth_Data"/>
    </sheetNames>
    <sheetDataSet>
      <sheetData sheetId="0"/>
      <sheetData sheetId="1"/>
      <sheetData sheetId="2">
        <row r="1">
          <cell r="C1" t="str">
            <v>Please Enter
POSITIVE
Nos. Only</v>
          </cell>
        </row>
        <row r="2">
          <cell r="R2" t="str">
            <v>Old</v>
          </cell>
          <cell r="S2" t="str">
            <v>New</v>
          </cell>
        </row>
        <row r="3">
          <cell r="R3">
            <v>0.125</v>
          </cell>
          <cell r="S3">
            <v>0.14285714285714285</v>
          </cell>
        </row>
        <row r="4">
          <cell r="R4">
            <v>0.5</v>
          </cell>
          <cell r="S4">
            <v>0.5</v>
          </cell>
        </row>
        <row r="5">
          <cell r="A5" t="str">
            <v>X-Axis Labels</v>
          </cell>
          <cell r="B5" t="str">
            <v>Cases</v>
          </cell>
          <cell r="C5" t="str">
            <v>Positive
Increments</v>
          </cell>
          <cell r="D5" t="str">
            <v>Price Target</v>
          </cell>
          <cell r="E5" t="str">
            <v>Invisible</v>
          </cell>
          <cell r="F5" t="str">
            <v>Labels</v>
          </cell>
          <cell r="R5">
            <v>0.375</v>
          </cell>
          <cell r="S5">
            <v>0.35714285714285715</v>
          </cell>
        </row>
        <row r="6">
          <cell r="A6" t="str">
            <v>Bear
Case</v>
          </cell>
          <cell r="B6">
            <v>10</v>
          </cell>
          <cell r="D6">
            <v>16</v>
          </cell>
        </row>
        <row r="7">
          <cell r="A7" t="str">
            <v>Label</v>
          </cell>
          <cell r="D7">
            <v>16</v>
          </cell>
          <cell r="E7">
            <v>10</v>
          </cell>
          <cell r="F7">
            <v>0</v>
          </cell>
        </row>
        <row r="8">
          <cell r="A8" t="str">
            <v>Optional</v>
          </cell>
          <cell r="D8">
            <v>16</v>
          </cell>
          <cell r="E8">
            <v>10</v>
          </cell>
          <cell r="F8">
            <v>0</v>
          </cell>
        </row>
        <row r="9">
          <cell r="A9" t="str">
            <v>Optional</v>
          </cell>
          <cell r="D9">
            <v>16</v>
          </cell>
          <cell r="E9">
            <v>10</v>
          </cell>
          <cell r="F9">
            <v>0</v>
          </cell>
        </row>
        <row r="10">
          <cell r="A10" t="str">
            <v>Comps further decline</v>
          </cell>
          <cell r="C10">
            <v>2.85</v>
          </cell>
          <cell r="D10">
            <v>16</v>
          </cell>
          <cell r="E10">
            <v>10</v>
          </cell>
          <cell r="F10">
            <v>2.85</v>
          </cell>
        </row>
        <row r="11">
          <cell r="A11" t="str">
            <v>Increased gross margin pressure</v>
          </cell>
          <cell r="C11">
            <v>3.05</v>
          </cell>
          <cell r="D11">
            <v>16</v>
          </cell>
          <cell r="E11">
            <v>12.85</v>
          </cell>
          <cell r="F11">
            <v>3.05</v>
          </cell>
        </row>
        <row r="12">
          <cell r="A12" t="str">
            <v>Expense deleverage</v>
          </cell>
          <cell r="C12">
            <v>0.1</v>
          </cell>
          <cell r="D12">
            <v>16</v>
          </cell>
          <cell r="E12">
            <v>15.899999999999999</v>
          </cell>
          <cell r="F12">
            <v>0.1</v>
          </cell>
        </row>
        <row r="13">
          <cell r="A13" t="str">
            <v>Base
Case</v>
          </cell>
          <cell r="B13">
            <v>15.999999999999998</v>
          </cell>
          <cell r="D13">
            <v>16</v>
          </cell>
        </row>
        <row r="14">
          <cell r="A14" t="str">
            <v>Comps increase</v>
          </cell>
          <cell r="C14">
            <v>2.2000000000000002</v>
          </cell>
          <cell r="D14">
            <v>16</v>
          </cell>
          <cell r="E14">
            <v>15.999999999999998</v>
          </cell>
          <cell r="F14">
            <v>2.2000000000000002</v>
          </cell>
          <cell r="R14">
            <v>0.33333333333333331</v>
          </cell>
          <cell r="S14">
            <v>0.31818181818181818</v>
          </cell>
        </row>
        <row r="15">
          <cell r="A15" t="str">
            <v>Less pressure from gross margin</v>
          </cell>
          <cell r="C15">
            <v>1.5</v>
          </cell>
          <cell r="D15">
            <v>16</v>
          </cell>
          <cell r="E15">
            <v>18.2</v>
          </cell>
          <cell r="F15">
            <v>1.5</v>
          </cell>
          <cell r="R15">
            <v>0.5</v>
          </cell>
          <cell r="S15">
            <v>0.5</v>
          </cell>
        </row>
        <row r="16">
          <cell r="A16" t="str">
            <v>Less expense deleverage</v>
          </cell>
          <cell r="C16">
            <v>0.3</v>
          </cell>
          <cell r="D16">
            <v>16</v>
          </cell>
          <cell r="E16">
            <v>19.7</v>
          </cell>
          <cell r="F16">
            <v>0.3</v>
          </cell>
          <cell r="R16">
            <v>0.16666666666666666</v>
          </cell>
          <cell r="S16">
            <v>0.18181818181818182</v>
          </cell>
        </row>
        <row r="17">
          <cell r="A17" t="str">
            <v>Optional</v>
          </cell>
          <cell r="D17">
            <v>16</v>
          </cell>
          <cell r="E17">
            <v>20</v>
          </cell>
          <cell r="F17">
            <v>0</v>
          </cell>
        </row>
        <row r="18">
          <cell r="A18" t="str">
            <v>Optional</v>
          </cell>
          <cell r="D18">
            <v>16</v>
          </cell>
          <cell r="E18">
            <v>20</v>
          </cell>
          <cell r="F18">
            <v>0</v>
          </cell>
        </row>
        <row r="19">
          <cell r="A19" t="str">
            <v>Optional</v>
          </cell>
          <cell r="D19">
            <v>16</v>
          </cell>
          <cell r="E19">
            <v>20</v>
          </cell>
          <cell r="F19">
            <v>0</v>
          </cell>
        </row>
        <row r="20">
          <cell r="A20" t="str">
            <v>Bull
Case</v>
          </cell>
          <cell r="B20">
            <v>20</v>
          </cell>
          <cell r="D20">
            <v>16</v>
          </cell>
        </row>
      </sheetData>
      <sheetData sheetId="3" refreshError="1"/>
      <sheetData sheetId="4">
        <row r="2">
          <cell r="B2" t="str">
            <v>Stock B</v>
          </cell>
          <cell r="C2" t="str">
            <v>Stock B</v>
          </cell>
          <cell r="D2" t="str">
            <v>Stock B</v>
          </cell>
          <cell r="E2">
            <v>0</v>
          </cell>
          <cell r="F2">
            <v>0</v>
          </cell>
          <cell r="G2">
            <v>0</v>
          </cell>
        </row>
        <row r="3">
          <cell r="B3" t="str">
            <v>Stock C</v>
          </cell>
          <cell r="C3" t="str">
            <v>Stock C</v>
          </cell>
          <cell r="D3" t="str">
            <v>Stock C</v>
          </cell>
          <cell r="E3">
            <v>0</v>
          </cell>
          <cell r="F3">
            <v>-9.9999999999999978E-2</v>
          </cell>
          <cell r="G3">
            <v>-0.4</v>
          </cell>
        </row>
        <row r="4">
          <cell r="A4" t="str">
            <v>Stock D</v>
          </cell>
          <cell r="B4" t="str">
            <v>Stock D</v>
          </cell>
          <cell r="C4" t="str">
            <v>Stock D</v>
          </cell>
          <cell r="D4" t="str">
            <v>Stock D</v>
          </cell>
          <cell r="E4">
            <v>0</v>
          </cell>
          <cell r="F4">
            <v>0</v>
          </cell>
          <cell r="G4">
            <v>-0.30000000000000004</v>
          </cell>
        </row>
        <row r="5">
          <cell r="B5" t="str">
            <v>Current
Price</v>
          </cell>
          <cell r="C5" t="str">
            <v>Bear 
Case</v>
          </cell>
          <cell r="D5" t="str">
            <v>Base 
Case</v>
          </cell>
          <cell r="E5" t="str">
            <v>Bull 
Case</v>
          </cell>
          <cell r="F5" t="str">
            <v>Price Target</v>
          </cell>
          <cell r="G5" t="str">
            <v>Bear 
Case</v>
          </cell>
          <cell r="H5" t="str">
            <v>Base 
Case</v>
          </cell>
          <cell r="I5" t="str">
            <v>Bull 
Case</v>
          </cell>
          <cell r="J5" t="str">
            <v>Price 
Target</v>
          </cell>
          <cell r="K5" t="str">
            <v>+ Bear 
Data</v>
          </cell>
          <cell r="L5" t="str">
            <v>+ Base 
Data</v>
          </cell>
          <cell r="M5" t="str">
            <v>+ Bull 
Data</v>
          </cell>
          <cell r="N5" t="str">
            <v>- Bear 
Data</v>
          </cell>
          <cell r="O5" t="str">
            <v>- Base 
Data</v>
          </cell>
          <cell r="P5" t="str">
            <v>- Bull 
Data</v>
          </cell>
        </row>
        <row r="6">
          <cell r="A6" t="str">
            <v>Stock A</v>
          </cell>
          <cell r="B6">
            <v>50</v>
          </cell>
          <cell r="C6">
            <v>30</v>
          </cell>
          <cell r="D6">
            <v>40</v>
          </cell>
          <cell r="E6">
            <v>45</v>
          </cell>
          <cell r="F6">
            <v>50</v>
          </cell>
          <cell r="G6">
            <v>-0.4</v>
          </cell>
          <cell r="H6">
            <v>-0.19999999999999996</v>
          </cell>
          <cell r="I6">
            <v>-9.9999999999999978E-2</v>
          </cell>
          <cell r="J6">
            <v>0</v>
          </cell>
          <cell r="K6">
            <v>0</v>
          </cell>
          <cell r="L6">
            <v>0</v>
          </cell>
          <cell r="M6">
            <v>0</v>
          </cell>
          <cell r="N6">
            <v>-0.20000000000000007</v>
          </cell>
          <cell r="O6">
            <v>-9.9999999999999978E-2</v>
          </cell>
          <cell r="P6">
            <v>-9.9999999999999978E-2</v>
          </cell>
        </row>
        <row r="7">
          <cell r="A7" t="str">
            <v>Stock B</v>
          </cell>
          <cell r="B7">
            <v>100</v>
          </cell>
          <cell r="C7">
            <v>110</v>
          </cell>
          <cell r="D7">
            <v>120</v>
          </cell>
          <cell r="E7">
            <v>150</v>
          </cell>
          <cell r="F7">
            <v>115</v>
          </cell>
          <cell r="G7">
            <v>0.10000000000000009</v>
          </cell>
          <cell r="H7">
            <v>0.19999999999999996</v>
          </cell>
          <cell r="I7">
            <v>0.5</v>
          </cell>
          <cell r="J7">
            <v>0.14999999999999991</v>
          </cell>
          <cell r="K7">
            <v>0.10000000000000009</v>
          </cell>
          <cell r="L7">
            <v>9.9999999999999867E-2</v>
          </cell>
          <cell r="M7">
            <v>0.30000000000000004</v>
          </cell>
          <cell r="N7">
            <v>0</v>
          </cell>
          <cell r="O7">
            <v>0</v>
          </cell>
          <cell r="P7">
            <v>0</v>
          </cell>
        </row>
        <row r="8">
          <cell r="A8" t="str">
            <v>Stock C</v>
          </cell>
          <cell r="B8">
            <v>60</v>
          </cell>
          <cell r="C8">
            <v>30</v>
          </cell>
          <cell r="D8">
            <v>54</v>
          </cell>
          <cell r="E8">
            <v>78</v>
          </cell>
          <cell r="F8">
            <v>69</v>
          </cell>
          <cell r="G8">
            <v>-0.5</v>
          </cell>
          <cell r="H8">
            <v>-9.9999999999999978E-2</v>
          </cell>
          <cell r="I8">
            <v>0.30000000000000004</v>
          </cell>
          <cell r="J8">
            <v>0.14999999999999991</v>
          </cell>
          <cell r="K8">
            <v>0</v>
          </cell>
          <cell r="L8">
            <v>0</v>
          </cell>
          <cell r="M8">
            <v>0.30000000000000004</v>
          </cell>
          <cell r="N8">
            <v>-0.4</v>
          </cell>
          <cell r="O8">
            <v>-9.9999999999999978E-2</v>
          </cell>
          <cell r="P8">
            <v>0</v>
          </cell>
        </row>
        <row r="9">
          <cell r="A9" t="str">
            <v>Stock D</v>
          </cell>
          <cell r="B9">
            <v>80</v>
          </cell>
          <cell r="C9">
            <v>56</v>
          </cell>
          <cell r="D9">
            <v>90</v>
          </cell>
          <cell r="E9">
            <v>104</v>
          </cell>
          <cell r="F9">
            <v>85</v>
          </cell>
          <cell r="G9">
            <v>-0.30000000000000004</v>
          </cell>
          <cell r="H9">
            <v>0.125</v>
          </cell>
          <cell r="I9">
            <v>0.30000000000000004</v>
          </cell>
          <cell r="J9">
            <v>6.25E-2</v>
          </cell>
          <cell r="K9">
            <v>0</v>
          </cell>
          <cell r="L9">
            <v>0.125</v>
          </cell>
          <cell r="M9">
            <v>0.17500000000000004</v>
          </cell>
          <cell r="N9">
            <v>-0.30000000000000004</v>
          </cell>
          <cell r="O9">
            <v>0</v>
          </cell>
          <cell r="P9">
            <v>0</v>
          </cell>
        </row>
        <row r="10">
          <cell r="A10" t="str">
            <v>Stock E</v>
          </cell>
          <cell r="B10">
            <v>40</v>
          </cell>
          <cell r="C10">
            <v>20</v>
          </cell>
          <cell r="D10">
            <v>60</v>
          </cell>
          <cell r="E10">
            <v>70</v>
          </cell>
          <cell r="F10">
            <v>49</v>
          </cell>
          <cell r="G10">
            <v>-0.5</v>
          </cell>
          <cell r="H10">
            <v>0.5</v>
          </cell>
          <cell r="I10">
            <v>0.75</v>
          </cell>
          <cell r="J10">
            <v>0.22500000000000009</v>
          </cell>
          <cell r="K10">
            <v>0</v>
          </cell>
          <cell r="L10">
            <v>0.5</v>
          </cell>
          <cell r="M10">
            <v>0.25</v>
          </cell>
          <cell r="N10">
            <v>-0.5</v>
          </cell>
          <cell r="O10">
            <v>0</v>
          </cell>
          <cell r="P10">
            <v>0</v>
          </cell>
        </row>
        <row r="11">
          <cell r="A11" t="str">
            <v>Stock F</v>
          </cell>
          <cell r="B11">
            <v>20</v>
          </cell>
          <cell r="C11">
            <v>10</v>
          </cell>
          <cell r="D11">
            <v>30</v>
          </cell>
          <cell r="E11">
            <v>35</v>
          </cell>
          <cell r="F11">
            <v>23</v>
          </cell>
          <cell r="G11">
            <v>-0.5</v>
          </cell>
          <cell r="H11">
            <v>0.5</v>
          </cell>
          <cell r="I11">
            <v>0.75</v>
          </cell>
          <cell r="J11">
            <v>0.14999999999999991</v>
          </cell>
          <cell r="K11">
            <v>0</v>
          </cell>
          <cell r="L11">
            <v>0.5</v>
          </cell>
          <cell r="M11">
            <v>0.25</v>
          </cell>
          <cell r="N11">
            <v>-0.5</v>
          </cell>
          <cell r="O11">
            <v>0</v>
          </cell>
          <cell r="P11">
            <v>0</v>
          </cell>
        </row>
        <row r="12">
          <cell r="A12" t="str">
            <v>Stock G</v>
          </cell>
          <cell r="B12">
            <v>65</v>
          </cell>
          <cell r="C12">
            <v>35</v>
          </cell>
          <cell r="D12">
            <v>75</v>
          </cell>
          <cell r="E12">
            <v>85</v>
          </cell>
          <cell r="F12">
            <v>64</v>
          </cell>
          <cell r="G12">
            <v>-0.46153846153846156</v>
          </cell>
          <cell r="H12">
            <v>0.15384615384615374</v>
          </cell>
          <cell r="I12">
            <v>0.30769230769230771</v>
          </cell>
          <cell r="J12">
            <v>-1.538461538461533E-2</v>
          </cell>
          <cell r="K12">
            <v>0</v>
          </cell>
          <cell r="L12">
            <v>0.15384615384615374</v>
          </cell>
          <cell r="M12">
            <v>0.15384615384615397</v>
          </cell>
          <cell r="N12">
            <v>-0.46153846153846156</v>
          </cell>
          <cell r="O12">
            <v>0</v>
          </cell>
          <cell r="P12">
            <v>0</v>
          </cell>
        </row>
        <row r="13">
          <cell r="A13" t="str">
            <v>Stock H</v>
          </cell>
          <cell r="B13">
            <v>35</v>
          </cell>
          <cell r="C13">
            <v>20</v>
          </cell>
          <cell r="D13">
            <v>45</v>
          </cell>
          <cell r="E13">
            <v>50</v>
          </cell>
          <cell r="F13">
            <v>30</v>
          </cell>
          <cell r="G13">
            <v>-0.4285714285714286</v>
          </cell>
          <cell r="H13">
            <v>0.28571428571428581</v>
          </cell>
          <cell r="I13">
            <v>0.4285714285714286</v>
          </cell>
          <cell r="J13">
            <v>-0.1428571428571429</v>
          </cell>
          <cell r="K13">
            <v>0</v>
          </cell>
          <cell r="L13">
            <v>0.28571428571428581</v>
          </cell>
          <cell r="M13">
            <v>0.14285714285714279</v>
          </cell>
          <cell r="N13">
            <v>-0.4285714285714286</v>
          </cell>
          <cell r="O13">
            <v>0</v>
          </cell>
          <cell r="P13">
            <v>0</v>
          </cell>
        </row>
        <row r="14">
          <cell r="A14" t="str">
            <v>Stock I</v>
          </cell>
          <cell r="B14">
            <v>16</v>
          </cell>
          <cell r="C14">
            <v>10</v>
          </cell>
          <cell r="D14">
            <v>20</v>
          </cell>
          <cell r="E14">
            <v>23</v>
          </cell>
          <cell r="F14">
            <v>22</v>
          </cell>
          <cell r="G14">
            <v>-0.375</v>
          </cell>
          <cell r="H14">
            <v>0.25</v>
          </cell>
          <cell r="I14">
            <v>0.4375</v>
          </cell>
          <cell r="J14">
            <v>0.375</v>
          </cell>
          <cell r="K14">
            <v>0</v>
          </cell>
          <cell r="L14">
            <v>0.25</v>
          </cell>
          <cell r="M14">
            <v>0.1875</v>
          </cell>
          <cell r="N14">
            <v>-0.375</v>
          </cell>
          <cell r="O14">
            <v>0</v>
          </cell>
          <cell r="P14">
            <v>0</v>
          </cell>
        </row>
      </sheetData>
      <sheetData sheetId="5" refreshError="1"/>
      <sheetData sheetId="6">
        <row r="5">
          <cell r="A5" t="str">
            <v>X-Axis Labels</v>
          </cell>
          <cell r="B5" t="str">
            <v>Invisible</v>
          </cell>
          <cell r="C5" t="str">
            <v>Input
Bases</v>
          </cell>
          <cell r="D5" t="str">
            <v>Input
Increments</v>
          </cell>
          <cell r="E5" t="str">
            <v>Value
Gap</v>
          </cell>
          <cell r="F5" t="str">
            <v>+ Data</v>
          </cell>
          <cell r="G5" t="str">
            <v>- Data</v>
          </cell>
          <cell r="H5" t="str">
            <v>Increment
Labels</v>
          </cell>
        </row>
        <row r="6">
          <cell r="A6" t="str">
            <v>Current
Earnings</v>
          </cell>
          <cell r="C6">
            <v>26</v>
          </cell>
        </row>
        <row r="7">
          <cell r="A7" t="str">
            <v>Growth in
Explicit
Forecast
Period</v>
          </cell>
          <cell r="B7">
            <v>22</v>
          </cell>
          <cell r="D7">
            <v>-4</v>
          </cell>
          <cell r="F7">
            <v>0</v>
          </cell>
          <cell r="G7">
            <v>4</v>
          </cell>
          <cell r="H7">
            <v>4</v>
          </cell>
        </row>
        <row r="8">
          <cell r="A8" t="str">
            <v>Growth in
Terminal
Forecast
Period</v>
          </cell>
          <cell r="B8">
            <v>22</v>
          </cell>
          <cell r="D8">
            <v>8</v>
          </cell>
          <cell r="F8">
            <v>8</v>
          </cell>
          <cell r="G8">
            <v>0</v>
          </cell>
          <cell r="H8">
            <v>8</v>
          </cell>
        </row>
        <row r="9">
          <cell r="A9" t="str">
            <v>Estimated
Intrinsic
Value</v>
          </cell>
          <cell r="C9">
            <v>30</v>
          </cell>
        </row>
        <row r="10">
          <cell r="A10" t="str">
            <v>Value
Gap</v>
          </cell>
          <cell r="B10">
            <v>30</v>
          </cell>
          <cell r="E10">
            <v>10</v>
          </cell>
        </row>
        <row r="11">
          <cell r="A11" t="str">
            <v>Current
Price</v>
          </cell>
          <cell r="C11">
            <v>20</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Summary"/>
      <sheetName val="Balance Sheet"/>
      <sheetName val="Cash Flow"/>
      <sheetName val="Income"/>
      <sheetName val="May Co Acquisition"/>
      <sheetName val="Drivers"/>
      <sheetName val="__FDSCACHE__"/>
      <sheetName val="Trends"/>
      <sheetName val="Credit Income &amp; SG&amp;A Detail"/>
      <sheetName val="Variance-2Q12"/>
      <sheetName val="2012 Stores"/>
      <sheetName val="online"/>
      <sheetName val="PreFHT"/>
      <sheetName val="MainCode"/>
      <sheetName val="Debt"/>
      <sheetName val="CreditRatios"/>
      <sheetName val="Reported 2009"/>
      <sheetName val="Productivity"/>
      <sheetName val="MWA RR"/>
      <sheetName val="LEASES NEW"/>
      <sheetName val="RNOA - ROE"/>
      <sheetName val="Real Estate"/>
      <sheetName val="mwareValPrintout"/>
      <sheetName val="P Map"/>
      <sheetName val="Asset Sales"/>
      <sheetName val="Ledger"/>
      <sheetName val="Valuation "/>
      <sheetName val="MW-Cache"/>
      <sheetName val="LBO"/>
      <sheetName val="LINKED DATA"/>
      <sheetName val="mwareDates_38951_3819959"/>
      <sheetName val="mwareDates_38951_3889055"/>
      <sheetName val="mwareDates"/>
      <sheetName val="mwareSettings"/>
      <sheetName val="MacabacusCustomFormats"/>
      <sheetName val="Variance"/>
      <sheetName val="Disclosures"/>
      <sheetName val="Guidance"/>
      <sheetName val="Variance-1Q11"/>
      <sheetName val="Variance-2Q11"/>
      <sheetName val="LEASES"/>
      <sheetName val="Inv Turn"/>
      <sheetName val="msri"/>
      <sheetName val="Variance2"/>
      <sheetName val="NY UPLOAD shadow"/>
      <sheetName val="#REF"/>
      <sheetName val="M_working2"/>
      <sheetName val="Variance-1Q12"/>
      <sheetName val="Credit Income"/>
      <sheetName val="Variance-4Q11"/>
      <sheetName val="Variance-3Q11"/>
      <sheetName val="3Q EPS Cheat Sheet"/>
      <sheetName val="Shr Repo"/>
    </sheetNames>
    <sheetDataSet>
      <sheetData sheetId="0"/>
      <sheetData sheetId="1"/>
      <sheetData sheetId="2"/>
      <sheetData sheetId="3"/>
      <sheetData sheetId="4">
        <row r="1">
          <cell r="EX1" t="str">
            <v>Q1-07</v>
          </cell>
          <cell r="EY1" t="str">
            <v>Q2-07</v>
          </cell>
          <cell r="EZ1" t="str">
            <v>Q3-07</v>
          </cell>
          <cell r="FA1" t="str">
            <v>Q4-07</v>
          </cell>
          <cell r="FD1" t="str">
            <v>Q1-08</v>
          </cell>
          <cell r="FE1" t="str">
            <v>Q2-08</v>
          </cell>
          <cell r="FF1" t="str">
            <v>Q3-08</v>
          </cell>
          <cell r="FG1" t="str">
            <v>Q4-08</v>
          </cell>
          <cell r="FJ1" t="str">
            <v>Q1-09</v>
          </cell>
          <cell r="FK1" t="str">
            <v>Q2-09</v>
          </cell>
          <cell r="FL1" t="str">
            <v>Q3-09</v>
          </cell>
          <cell r="FM1" t="str">
            <v>Q4-09</v>
          </cell>
          <cell r="FP1" t="str">
            <v>Q1-10</v>
          </cell>
          <cell r="FQ1" t="str">
            <v>Q2-10</v>
          </cell>
          <cell r="FR1" t="str">
            <v>Q3-10</v>
          </cell>
          <cell r="FS1" t="str">
            <v>Q4-10</v>
          </cell>
          <cell r="FV1" t="str">
            <v>Q1-11</v>
          </cell>
          <cell r="FW1" t="str">
            <v>Q2-11</v>
          </cell>
          <cell r="FX1" t="str">
            <v>Q3-11</v>
          </cell>
          <cell r="FY1" t="str">
            <v>Q4-11</v>
          </cell>
          <cell r="GB1" t="str">
            <v>Q1-12</v>
          </cell>
          <cell r="GC1" t="str">
            <v>Q2-12</v>
          </cell>
          <cell r="GD1" t="str">
            <v>Q3-12</v>
          </cell>
          <cell r="GE1" t="str">
            <v>Q4-12</v>
          </cell>
          <cell r="GS1" t="str">
            <v>ElementName</v>
          </cell>
          <cell r="GT1" t="str">
            <v>ScaleOverride</v>
          </cell>
          <cell r="GU1" t="str">
            <v>UnitOverride</v>
          </cell>
          <cell r="GV1" t="str">
            <v>ReverseSign</v>
          </cell>
          <cell r="GW1" t="str">
            <v>IsDrivinFYssumption</v>
          </cell>
          <cell r="GX1" t="str">
            <v>SegmentID</v>
          </cell>
        </row>
        <row r="2">
          <cell r="A2" t="str">
            <v>Macy's Inc.</v>
          </cell>
          <cell r="F2" t="str">
            <v>Federated (Post-Bankruptcy)</v>
          </cell>
          <cell r="K2" t="str">
            <v>Combined Federated + Macy's;  Adjusted for Broadway</v>
          </cell>
          <cell r="R2" t="str">
            <v>Ex-Fingerhut</v>
          </cell>
          <cell r="X2" t="str">
            <v>Proforma -- May Department Stores</v>
          </cell>
          <cell r="AN2" t="str">
            <v>Macy's Inc.</v>
          </cell>
          <cell r="AO2" t="str">
            <v>Not Adjusted For Consistency</v>
          </cell>
          <cell r="DH2" t="str">
            <v>Adjusted -- Fingerhut Disposition</v>
          </cell>
          <cell r="EN2" t="str">
            <v>Proforma -- May Department Stores</v>
          </cell>
        </row>
        <row r="3">
          <cell r="A3" t="str">
            <v>Annual Income Statement: Base Case - 5/2/13</v>
          </cell>
          <cell r="E3" t="str">
            <v>RPT'D</v>
          </cell>
          <cell r="F3" t="str">
            <v>PFMA</v>
          </cell>
          <cell r="J3" t="str">
            <v>91P-94E</v>
          </cell>
          <cell r="K3" t="str">
            <v>PFMA</v>
          </cell>
          <cell r="L3" t="str">
            <v>FD+MCO</v>
          </cell>
          <cell r="AN3" t="str">
            <v>Quarterly Income Statement: Base Case - 5/2/13</v>
          </cell>
          <cell r="BY3" t="str">
            <v>1995A</v>
          </cell>
          <cell r="CJ3">
            <v>1996</v>
          </cell>
          <cell r="CR3">
            <v>1997</v>
          </cell>
          <cell r="CX3">
            <v>1998</v>
          </cell>
          <cell r="DD3">
            <v>1999</v>
          </cell>
          <cell r="DJ3">
            <v>2000</v>
          </cell>
          <cell r="DP3">
            <v>2001</v>
          </cell>
          <cell r="DV3">
            <v>2002</v>
          </cell>
          <cell r="EB3">
            <v>2003</v>
          </cell>
          <cell r="EH3">
            <v>2004</v>
          </cell>
          <cell r="EN3">
            <v>2005</v>
          </cell>
          <cell r="ET3">
            <v>2006</v>
          </cell>
          <cell r="EX3">
            <v>39447</v>
          </cell>
          <cell r="FD3">
            <v>39813</v>
          </cell>
          <cell r="FJ3">
            <v>40178</v>
          </cell>
          <cell r="FP3">
            <v>40543</v>
          </cell>
          <cell r="FV3">
            <v>40908</v>
          </cell>
          <cell r="FZ3" t="str">
            <v xml:space="preserve"> </v>
          </cell>
          <cell r="GB3">
            <v>41274</v>
          </cell>
          <cell r="GF3" t="str">
            <v xml:space="preserve"> </v>
          </cell>
        </row>
        <row r="4">
          <cell r="A4" t="str">
            <v>($ Millions)</v>
          </cell>
          <cell r="C4">
            <v>32873</v>
          </cell>
          <cell r="D4">
            <v>1990</v>
          </cell>
          <cell r="E4">
            <v>1991</v>
          </cell>
          <cell r="F4">
            <v>1991</v>
          </cell>
          <cell r="G4" t="str">
            <v>1992</v>
          </cell>
          <cell r="H4">
            <v>1993</v>
          </cell>
          <cell r="I4">
            <v>1994</v>
          </cell>
          <cell r="J4" t="str">
            <v>CAGR</v>
          </cell>
          <cell r="K4" t="str">
            <v>1994P</v>
          </cell>
          <cell r="L4">
            <v>1995</v>
          </cell>
          <cell r="N4">
            <v>1995</v>
          </cell>
          <cell r="O4">
            <v>1996</v>
          </cell>
          <cell r="P4">
            <v>1997</v>
          </cell>
          <cell r="Q4">
            <v>1998</v>
          </cell>
          <cell r="R4">
            <v>1999</v>
          </cell>
          <cell r="S4">
            <v>2000</v>
          </cell>
          <cell r="T4">
            <v>2001</v>
          </cell>
          <cell r="U4">
            <v>2002</v>
          </cell>
          <cell r="V4">
            <v>2003</v>
          </cell>
          <cell r="W4">
            <v>2004</v>
          </cell>
          <cell r="X4">
            <v>2005</v>
          </cell>
          <cell r="Y4">
            <v>2006</v>
          </cell>
          <cell r="Z4">
            <v>2007</v>
          </cell>
          <cell r="AA4">
            <v>2008</v>
          </cell>
          <cell r="AB4">
            <v>2009</v>
          </cell>
          <cell r="AC4">
            <v>2010</v>
          </cell>
          <cell r="AD4">
            <v>2011</v>
          </cell>
          <cell r="AE4" t="str">
            <v>2012E</v>
          </cell>
          <cell r="AF4" t="str">
            <v>2013E</v>
          </cell>
          <cell r="AG4" t="str">
            <v>2014E</v>
          </cell>
          <cell r="AH4" t="str">
            <v>2015E</v>
          </cell>
          <cell r="AI4" t="str">
            <v>2016E</v>
          </cell>
          <cell r="AJ4" t="str">
            <v>2017E</v>
          </cell>
          <cell r="AK4" t="str">
            <v>2018E</v>
          </cell>
          <cell r="AL4" t="str">
            <v>2019E</v>
          </cell>
          <cell r="AN4" t="str">
            <v>($ Millions)</v>
          </cell>
          <cell r="AO4" t="str">
            <v>Q1</v>
          </cell>
          <cell r="AP4" t="str">
            <v>Q2</v>
          </cell>
          <cell r="AQ4" t="str">
            <v>Q3</v>
          </cell>
          <cell r="AR4" t="str">
            <v>Q4</v>
          </cell>
          <cell r="AS4" t="str">
            <v>Year</v>
          </cell>
          <cell r="AU4" t="str">
            <v>Q1</v>
          </cell>
          <cell r="AV4" t="str">
            <v>Q2</v>
          </cell>
          <cell r="AW4" t="str">
            <v>Q3</v>
          </cell>
          <cell r="AX4" t="str">
            <v>Q4</v>
          </cell>
          <cell r="AY4" t="str">
            <v>Year</v>
          </cell>
          <cell r="BA4" t="str">
            <v>Q1</v>
          </cell>
          <cell r="BB4" t="str">
            <v>Q2</v>
          </cell>
          <cell r="BC4" t="str">
            <v>Q3</v>
          </cell>
          <cell r="BD4" t="str">
            <v>Q4</v>
          </cell>
          <cell r="BE4" t="str">
            <v>Year</v>
          </cell>
          <cell r="BG4" t="str">
            <v>Q1</v>
          </cell>
          <cell r="BH4" t="str">
            <v>Q2</v>
          </cell>
          <cell r="BI4" t="str">
            <v>Q3</v>
          </cell>
          <cell r="BJ4" t="str">
            <v>Q4</v>
          </cell>
          <cell r="BK4" t="str">
            <v>Year</v>
          </cell>
          <cell r="BM4" t="str">
            <v>Q1</v>
          </cell>
          <cell r="BN4" t="str">
            <v>Q2</v>
          </cell>
          <cell r="BO4" t="str">
            <v>Q3</v>
          </cell>
          <cell r="BP4" t="str">
            <v>Q4</v>
          </cell>
          <cell r="BQ4" t="str">
            <v>Year</v>
          </cell>
          <cell r="BS4" t="str">
            <v>Q1P</v>
          </cell>
          <cell r="BT4" t="str">
            <v>Q2P</v>
          </cell>
          <cell r="BU4" t="str">
            <v>Q3P</v>
          </cell>
          <cell r="BV4" t="str">
            <v>Q4P</v>
          </cell>
          <cell r="BW4" t="str">
            <v>Year P</v>
          </cell>
          <cell r="BY4" t="str">
            <v>Q1</v>
          </cell>
          <cell r="BZ4" t="str">
            <v>Q2</v>
          </cell>
          <cell r="CA4" t="str">
            <v>Q3</v>
          </cell>
          <cell r="CB4" t="str">
            <v>Q3</v>
          </cell>
          <cell r="CC4" t="str">
            <v>Q3</v>
          </cell>
          <cell r="CD4" t="str">
            <v>Q4</v>
          </cell>
          <cell r="CE4" t="str">
            <v>Q4</v>
          </cell>
          <cell r="CF4" t="str">
            <v>Year</v>
          </cell>
          <cell r="CG4" t="str">
            <v>Year</v>
          </cell>
          <cell r="CH4" t="str">
            <v>Year</v>
          </cell>
          <cell r="CJ4" t="str">
            <v>Q1</v>
          </cell>
          <cell r="CK4" t="str">
            <v>Q2</v>
          </cell>
          <cell r="CL4" t="str">
            <v>Q3</v>
          </cell>
          <cell r="CM4" t="str">
            <v>Q4</v>
          </cell>
          <cell r="CN4" t="str">
            <v>Year</v>
          </cell>
          <cell r="CP4" t="str">
            <v>Q1</v>
          </cell>
          <cell r="CQ4" t="str">
            <v>Q2</v>
          </cell>
          <cell r="CR4" t="str">
            <v>Q3</v>
          </cell>
          <cell r="CS4" t="str">
            <v>Q4</v>
          </cell>
          <cell r="CT4" t="str">
            <v>Year</v>
          </cell>
          <cell r="CV4" t="str">
            <v>Q1</v>
          </cell>
          <cell r="CW4" t="str">
            <v>Q2</v>
          </cell>
          <cell r="CX4" t="str">
            <v>Q3</v>
          </cell>
          <cell r="CY4" t="str">
            <v>Q4</v>
          </cell>
          <cell r="CZ4" t="str">
            <v>Year</v>
          </cell>
          <cell r="DB4" t="str">
            <v>Q1</v>
          </cell>
          <cell r="DC4" t="str">
            <v>Q2</v>
          </cell>
          <cell r="DD4" t="str">
            <v>Q3</v>
          </cell>
          <cell r="DE4" t="str">
            <v>Q4</v>
          </cell>
          <cell r="DF4" t="str">
            <v>Year</v>
          </cell>
          <cell r="DH4" t="str">
            <v>Q1</v>
          </cell>
          <cell r="DI4" t="str">
            <v>Q2</v>
          </cell>
          <cell r="DJ4" t="str">
            <v>Q3</v>
          </cell>
          <cell r="DK4" t="str">
            <v>Q4</v>
          </cell>
          <cell r="DL4">
            <v>2000</v>
          </cell>
          <cell r="DN4" t="str">
            <v>Q1A</v>
          </cell>
          <cell r="DO4" t="str">
            <v>Q2A</v>
          </cell>
          <cell r="DP4" t="str">
            <v>Q3A</v>
          </cell>
          <cell r="DQ4" t="str">
            <v>Q4A</v>
          </cell>
          <cell r="DR4">
            <v>2001</v>
          </cell>
          <cell r="DT4" t="str">
            <v>Q1A</v>
          </cell>
          <cell r="DU4" t="str">
            <v>Q2A</v>
          </cell>
          <cell r="DV4" t="str">
            <v>Q3A</v>
          </cell>
          <cell r="DW4" t="str">
            <v>Q4A</v>
          </cell>
          <cell r="DX4">
            <v>2002</v>
          </cell>
          <cell r="DZ4" t="str">
            <v>Q1A</v>
          </cell>
          <cell r="EA4" t="str">
            <v>Q2A</v>
          </cell>
          <cell r="EB4" t="str">
            <v>Q3A</v>
          </cell>
          <cell r="EC4" t="str">
            <v>Q4A</v>
          </cell>
          <cell r="ED4">
            <v>2003</v>
          </cell>
          <cell r="EF4" t="str">
            <v>Q1A</v>
          </cell>
          <cell r="EG4" t="str">
            <v>Q2A</v>
          </cell>
          <cell r="EH4" t="str">
            <v>Q3A</v>
          </cell>
          <cell r="EI4" t="str">
            <v>Q4A</v>
          </cell>
          <cell r="EJ4">
            <v>2004</v>
          </cell>
          <cell r="EL4" t="str">
            <v>Q1A</v>
          </cell>
          <cell r="EM4" t="str">
            <v>Q2A</v>
          </cell>
          <cell r="EN4" t="str">
            <v>Q3A</v>
          </cell>
          <cell r="EO4" t="str">
            <v>Q4A</v>
          </cell>
          <cell r="EP4">
            <v>2005</v>
          </cell>
          <cell r="ER4" t="str">
            <v>Q1A</v>
          </cell>
          <cell r="ES4" t="str">
            <v>Q2A</v>
          </cell>
          <cell r="ET4" t="str">
            <v>Q3A</v>
          </cell>
          <cell r="EU4" t="str">
            <v>Q4A</v>
          </cell>
          <cell r="EV4">
            <v>2006</v>
          </cell>
          <cell r="EX4">
            <v>1</v>
          </cell>
          <cell r="EY4">
            <v>2</v>
          </cell>
          <cell r="EZ4">
            <v>3</v>
          </cell>
          <cell r="FA4">
            <v>4</v>
          </cell>
          <cell r="FB4" t="str">
            <v>Year</v>
          </cell>
          <cell r="FD4">
            <v>1</v>
          </cell>
          <cell r="FE4">
            <v>2</v>
          </cell>
          <cell r="FF4">
            <v>3</v>
          </cell>
          <cell r="FG4">
            <v>4</v>
          </cell>
          <cell r="FH4" t="str">
            <v>Year</v>
          </cell>
          <cell r="FJ4">
            <v>1</v>
          </cell>
          <cell r="FK4">
            <v>2</v>
          </cell>
          <cell r="FL4">
            <v>3</v>
          </cell>
          <cell r="FM4">
            <v>4</v>
          </cell>
          <cell r="FN4" t="str">
            <v>Year</v>
          </cell>
          <cell r="FP4">
            <v>1</v>
          </cell>
          <cell r="FQ4">
            <v>2</v>
          </cell>
          <cell r="FR4">
            <v>3</v>
          </cell>
          <cell r="FS4">
            <v>4</v>
          </cell>
          <cell r="FT4" t="str">
            <v>Year</v>
          </cell>
          <cell r="FV4">
            <v>1</v>
          </cell>
          <cell r="FW4">
            <v>2</v>
          </cell>
          <cell r="FX4">
            <v>3</v>
          </cell>
          <cell r="FY4">
            <v>4</v>
          </cell>
          <cell r="FZ4" t="str">
            <v>Year</v>
          </cell>
          <cell r="GB4">
            <v>1</v>
          </cell>
          <cell r="GC4">
            <v>2</v>
          </cell>
          <cell r="GD4">
            <v>3</v>
          </cell>
          <cell r="GE4">
            <v>4</v>
          </cell>
          <cell r="GF4" t="str">
            <v>Year</v>
          </cell>
        </row>
        <row r="5">
          <cell r="A5" t="str">
            <v>R=Restated  O=Originally Reported</v>
          </cell>
          <cell r="N5" t="str">
            <v>R-1999</v>
          </cell>
          <cell r="O5" t="str">
            <v>R-2000</v>
          </cell>
          <cell r="P5" t="str">
            <v>R-2001</v>
          </cell>
          <cell r="Q5" t="str">
            <v>R-2001</v>
          </cell>
          <cell r="R5" t="str">
            <v>R-2001</v>
          </cell>
          <cell r="S5" t="str">
            <v>R-2001</v>
          </cell>
          <cell r="T5" t="str">
            <v>R-2005</v>
          </cell>
          <cell r="U5" t="str">
            <v>R-2005</v>
          </cell>
          <cell r="V5" t="str">
            <v>R-2005</v>
          </cell>
          <cell r="W5" t="str">
            <v>R-2005</v>
          </cell>
          <cell r="X5" t="str">
            <v>O-2005</v>
          </cell>
          <cell r="Y5" t="str">
            <v>O-Q406</v>
          </cell>
          <cell r="Z5" t="str">
            <v>O-Q407</v>
          </cell>
          <cell r="DH5" t="str">
            <v>R-2001</v>
          </cell>
          <cell r="DI5" t="str">
            <v>R-2001</v>
          </cell>
          <cell r="DJ5" t="str">
            <v>R-2001</v>
          </cell>
          <cell r="DK5" t="str">
            <v>R-Q401</v>
          </cell>
          <cell r="DL5" t="str">
            <v>R-2001</v>
          </cell>
          <cell r="DN5" t="str">
            <v>R-Q102</v>
          </cell>
          <cell r="DO5" t="str">
            <v>R-Q202</v>
          </cell>
          <cell r="DP5" t="str">
            <v>R-Q302</v>
          </cell>
          <cell r="DQ5" t="str">
            <v>O-Q402</v>
          </cell>
          <cell r="DR5" t="str">
            <v>R-2005</v>
          </cell>
          <cell r="DT5" t="str">
            <v>O-Q102</v>
          </cell>
          <cell r="DU5" t="str">
            <v>O-Q202</v>
          </cell>
          <cell r="DV5" t="str">
            <v>O-Q302</v>
          </cell>
          <cell r="DW5" t="str">
            <v>O-Q402</v>
          </cell>
          <cell r="DX5" t="str">
            <v>R-2005</v>
          </cell>
          <cell r="DZ5" t="str">
            <v>O-Q103</v>
          </cell>
          <cell r="EA5" t="str">
            <v>O-Q203</v>
          </cell>
          <cell r="EB5" t="str">
            <v>O-Q303</v>
          </cell>
          <cell r="EC5" t="str">
            <v>O-Q403</v>
          </cell>
          <cell r="ED5" t="str">
            <v>R-2005</v>
          </cell>
          <cell r="EF5" t="str">
            <v>R-Q105</v>
          </cell>
          <cell r="EG5" t="str">
            <v>R-Q205</v>
          </cell>
          <cell r="EH5" t="str">
            <v>R-Q305</v>
          </cell>
          <cell r="EI5" t="str">
            <v>R-Q405</v>
          </cell>
          <cell r="EJ5" t="str">
            <v>R-2005</v>
          </cell>
          <cell r="EL5" t="str">
            <v>O-Q105</v>
          </cell>
          <cell r="EM5" t="str">
            <v>O-Q205</v>
          </cell>
          <cell r="EN5" t="str">
            <v>R-2005</v>
          </cell>
          <cell r="EO5" t="str">
            <v>O-Q405</v>
          </cell>
          <cell r="EP5" t="str">
            <v>O-2005</v>
          </cell>
          <cell r="ER5" t="str">
            <v>O-Q106</v>
          </cell>
          <cell r="ES5" t="str">
            <v>O-Q206</v>
          </cell>
          <cell r="ET5" t="str">
            <v>O-Q306</v>
          </cell>
          <cell r="EU5" t="str">
            <v>O-Q406</v>
          </cell>
          <cell r="EV5" t="str">
            <v>O-Q406</v>
          </cell>
          <cell r="FB5" t="str">
            <v>O-Q407</v>
          </cell>
          <cell r="GE5" t="str">
            <v>53rd Week</v>
          </cell>
        </row>
        <row r="7">
          <cell r="A7" t="str">
            <v>Retail Revenues</v>
          </cell>
          <cell r="C7">
            <v>7577.5860000000002</v>
          </cell>
          <cell r="D7">
            <v>7141.9830000000002</v>
          </cell>
          <cell r="E7">
            <v>6932.3230000000003</v>
          </cell>
          <cell r="F7">
            <v>6932.3230000000003</v>
          </cell>
          <cell r="G7">
            <v>7079.9410000000007</v>
          </cell>
          <cell r="H7">
            <v>7229.4059999999999</v>
          </cell>
          <cell r="I7">
            <v>7707.476999999999</v>
          </cell>
          <cell r="J7">
            <v>3.5963567590107104E-2</v>
          </cell>
          <cell r="K7">
            <v>13701.5</v>
          </cell>
          <cell r="L7">
            <v>13998.034</v>
          </cell>
          <cell r="N7">
            <v>14614</v>
          </cell>
          <cell r="O7">
            <v>14833</v>
          </cell>
          <cell r="P7">
            <v>15220</v>
          </cell>
          <cell r="Q7">
            <v>15365</v>
          </cell>
          <cell r="R7">
            <v>16029</v>
          </cell>
          <cell r="S7">
            <v>16638</v>
          </cell>
          <cell r="T7">
            <v>15785</v>
          </cell>
          <cell r="U7">
            <v>15571</v>
          </cell>
          <cell r="V7">
            <v>15412</v>
          </cell>
          <cell r="W7">
            <v>15776</v>
          </cell>
          <cell r="X7">
            <v>22390</v>
          </cell>
          <cell r="Y7">
            <v>26970</v>
          </cell>
          <cell r="Z7">
            <v>26313</v>
          </cell>
          <cell r="AA7">
            <v>24892</v>
          </cell>
          <cell r="AB7">
            <v>23895</v>
          </cell>
          <cell r="AC7">
            <v>25003</v>
          </cell>
          <cell r="AD7">
            <v>26405</v>
          </cell>
          <cell r="AE7">
            <v>27697.820605365057</v>
          </cell>
          <cell r="AF7">
            <v>28358.892641397051</v>
          </cell>
          <cell r="AG7">
            <v>28905.408744504351</v>
          </cell>
          <cell r="AH7">
            <v>29204.897015558319</v>
          </cell>
          <cell r="AI7">
            <v>29496.945985713905</v>
          </cell>
          <cell r="AJ7">
            <v>29791.915445571045</v>
          </cell>
          <cell r="AK7">
            <v>30089.834600026756</v>
          </cell>
          <cell r="AL7">
            <v>30390.732946027023</v>
          </cell>
          <cell r="AN7" t="str">
            <v>Retail Revenues</v>
          </cell>
          <cell r="AO7">
            <v>1590.46</v>
          </cell>
          <cell r="AP7">
            <v>1525.692</v>
          </cell>
          <cell r="AQ7">
            <v>1767.327</v>
          </cell>
          <cell r="AR7">
            <v>2258.5039999999999</v>
          </cell>
          <cell r="AS7">
            <v>7141.9830000000002</v>
          </cell>
          <cell r="AU7">
            <v>1593.4190000000001</v>
          </cell>
          <cell r="AV7">
            <v>1495.7429999999999</v>
          </cell>
          <cell r="AW7">
            <v>1708.9010000000001</v>
          </cell>
          <cell r="AX7">
            <v>2134.2600000000002</v>
          </cell>
          <cell r="AY7">
            <v>6932.3230000000003</v>
          </cell>
          <cell r="BA7">
            <v>1571.7260000000001</v>
          </cell>
          <cell r="BB7">
            <v>1457.212</v>
          </cell>
          <cell r="BC7">
            <v>1788.9649999999999</v>
          </cell>
          <cell r="BD7">
            <v>2262.038</v>
          </cell>
          <cell r="BE7">
            <v>7079.9410000000007</v>
          </cell>
          <cell r="BG7">
            <v>1590.259</v>
          </cell>
          <cell r="BH7">
            <v>1502.288</v>
          </cell>
          <cell r="BI7">
            <v>1789.3150000000001</v>
          </cell>
          <cell r="BJ7">
            <v>2347.5439999999999</v>
          </cell>
          <cell r="BK7">
            <v>7229.4059999999999</v>
          </cell>
          <cell r="BM7">
            <v>1653.6310000000001</v>
          </cell>
          <cell r="BN7">
            <v>1596.1</v>
          </cell>
          <cell r="BO7">
            <v>1926.8109999999999</v>
          </cell>
          <cell r="BP7">
            <v>2530.9349999999999</v>
          </cell>
          <cell r="BQ7">
            <v>7707.476999999999</v>
          </cell>
          <cell r="BS7">
            <v>2938</v>
          </cell>
          <cell r="BT7">
            <v>2930.8</v>
          </cell>
          <cell r="BU7">
            <v>3352.6</v>
          </cell>
          <cell r="BV7">
            <v>4480.1000000000004</v>
          </cell>
          <cell r="BW7">
            <v>13701.5</v>
          </cell>
          <cell r="BY7">
            <v>2988.0059999999999</v>
          </cell>
          <cell r="BZ7">
            <v>3047</v>
          </cell>
          <cell r="CA7">
            <v>3333.5279999999998</v>
          </cell>
          <cell r="CB7">
            <v>414.8</v>
          </cell>
          <cell r="CC7">
            <v>3748.3690000000001</v>
          </cell>
          <cell r="CD7">
            <v>4629.5</v>
          </cell>
          <cell r="CE7">
            <v>5264.9</v>
          </cell>
          <cell r="CF7">
            <v>13998.034</v>
          </cell>
          <cell r="CG7">
            <v>14633.433999999999</v>
          </cell>
          <cell r="CH7">
            <v>15048.233999999999</v>
          </cell>
          <cell r="CJ7">
            <v>3300.7</v>
          </cell>
          <cell r="CK7">
            <v>3284.2280000000001</v>
          </cell>
          <cell r="CL7">
            <v>3609.1480000000001</v>
          </cell>
          <cell r="CM7">
            <v>5034.9579999999996</v>
          </cell>
          <cell r="CN7">
            <v>15229.034</v>
          </cell>
          <cell r="CP7">
            <v>3409.0909999999999</v>
          </cell>
          <cell r="CQ7">
            <v>3452.8290000000002</v>
          </cell>
          <cell r="CR7">
            <v>3746.2759999999998</v>
          </cell>
          <cell r="CS7">
            <v>5060.116</v>
          </cell>
          <cell r="CT7">
            <v>15668.312</v>
          </cell>
          <cell r="CV7">
            <v>3357</v>
          </cell>
          <cell r="CW7">
            <v>3426</v>
          </cell>
          <cell r="CX7">
            <v>3548</v>
          </cell>
          <cell r="CY7">
            <v>5034</v>
          </cell>
          <cell r="CZ7">
            <v>15365</v>
          </cell>
          <cell r="DB7">
            <v>3470</v>
          </cell>
          <cell r="DC7">
            <v>3609</v>
          </cell>
          <cell r="DD7">
            <v>3691</v>
          </cell>
          <cell r="DE7">
            <v>5259</v>
          </cell>
          <cell r="DF7">
            <v>16029</v>
          </cell>
          <cell r="DH7">
            <v>3573</v>
          </cell>
          <cell r="DI7">
            <v>3679</v>
          </cell>
          <cell r="DJ7">
            <v>3782</v>
          </cell>
          <cell r="DK7">
            <v>5604</v>
          </cell>
          <cell r="DL7">
            <v>16638</v>
          </cell>
          <cell r="DN7">
            <v>3556</v>
          </cell>
          <cell r="DO7">
            <v>3488</v>
          </cell>
          <cell r="DP7">
            <v>3475</v>
          </cell>
          <cell r="DQ7">
            <v>5132</v>
          </cell>
          <cell r="DR7">
            <v>15785</v>
          </cell>
          <cell r="DT7">
            <v>3453</v>
          </cell>
          <cell r="DU7">
            <v>3486</v>
          </cell>
          <cell r="DV7">
            <v>3479</v>
          </cell>
          <cell r="DW7">
            <v>5017</v>
          </cell>
          <cell r="DX7">
            <v>15571</v>
          </cell>
          <cell r="DZ7">
            <v>3291</v>
          </cell>
          <cell r="EA7">
            <v>3434</v>
          </cell>
          <cell r="EB7">
            <v>3486</v>
          </cell>
          <cell r="EC7">
            <v>5053</v>
          </cell>
          <cell r="ED7">
            <v>15412</v>
          </cell>
          <cell r="EF7">
            <v>3550</v>
          </cell>
          <cell r="EG7">
            <v>3581</v>
          </cell>
          <cell r="EH7">
            <v>3525</v>
          </cell>
          <cell r="EI7">
            <v>5120</v>
          </cell>
          <cell r="EJ7">
            <v>15776</v>
          </cell>
          <cell r="EL7">
            <v>3641</v>
          </cell>
          <cell r="EM7">
            <v>3623</v>
          </cell>
          <cell r="EN7">
            <v>5555</v>
          </cell>
          <cell r="EO7">
            <v>9571</v>
          </cell>
          <cell r="EP7">
            <v>22390</v>
          </cell>
          <cell r="ER7">
            <v>5930</v>
          </cell>
          <cell r="ES7">
            <v>5995</v>
          </cell>
          <cell r="ET7">
            <v>5886</v>
          </cell>
          <cell r="EU7">
            <v>9159</v>
          </cell>
          <cell r="EV7">
            <v>26970</v>
          </cell>
          <cell r="EX7">
            <v>5921</v>
          </cell>
          <cell r="EY7">
            <v>5892</v>
          </cell>
          <cell r="EZ7">
            <v>5906</v>
          </cell>
          <cell r="FA7">
            <v>8594</v>
          </cell>
          <cell r="FB7">
            <v>26313</v>
          </cell>
          <cell r="FD7">
            <v>5747</v>
          </cell>
          <cell r="FE7">
            <v>5718</v>
          </cell>
          <cell r="FF7">
            <v>5493</v>
          </cell>
          <cell r="FG7">
            <v>7934</v>
          </cell>
          <cell r="FH7">
            <v>24892</v>
          </cell>
          <cell r="FJ7">
            <v>5288</v>
          </cell>
          <cell r="FK7">
            <v>5285</v>
          </cell>
          <cell r="FL7">
            <v>5385</v>
          </cell>
          <cell r="FM7">
            <v>7937</v>
          </cell>
          <cell r="FN7">
            <v>23895</v>
          </cell>
          <cell r="FP7">
            <v>5574</v>
          </cell>
          <cell r="FQ7">
            <v>5537</v>
          </cell>
          <cell r="FR7">
            <v>5623</v>
          </cell>
          <cell r="FS7">
            <v>8269</v>
          </cell>
          <cell r="FT7">
            <v>25003</v>
          </cell>
          <cell r="FV7">
            <v>5889</v>
          </cell>
          <cell r="FW7">
            <v>5939</v>
          </cell>
          <cell r="FX7">
            <v>5853</v>
          </cell>
          <cell r="FY7">
            <v>8724</v>
          </cell>
          <cell r="FZ7">
            <v>26405</v>
          </cell>
          <cell r="GB7">
            <v>6143</v>
          </cell>
          <cell r="GC7">
            <v>6118</v>
          </cell>
          <cell r="GD7">
            <v>6069.6866469352608</v>
          </cell>
          <cell r="GE7">
            <v>9367.1339584297966</v>
          </cell>
          <cell r="GF7">
            <v>27697.820605365057</v>
          </cell>
        </row>
        <row r="8">
          <cell r="A8" t="str">
            <v>Direct-to-consumer</v>
          </cell>
          <cell r="AN8" t="str">
            <v>Direct-to-consumer</v>
          </cell>
          <cell r="CP8" t="str">
            <v>--</v>
          </cell>
          <cell r="CQ8" t="str">
            <v>--</v>
          </cell>
          <cell r="CR8" t="str">
            <v>--</v>
          </cell>
          <cell r="CS8" t="str">
            <v>--</v>
          </cell>
          <cell r="CT8" t="str">
            <v>--</v>
          </cell>
          <cell r="DB8">
            <v>130</v>
          </cell>
          <cell r="DC8">
            <v>397</v>
          </cell>
          <cell r="DD8">
            <v>446</v>
          </cell>
          <cell r="DE8">
            <v>714</v>
          </cell>
          <cell r="DF8">
            <v>1687</v>
          </cell>
        </row>
        <row r="9">
          <cell r="A9" t="str">
            <v>Total Revenues</v>
          </cell>
          <cell r="K9">
            <v>13701.5</v>
          </cell>
          <cell r="L9">
            <v>13998.034</v>
          </cell>
          <cell r="N9">
            <v>14614</v>
          </cell>
          <cell r="O9">
            <v>14833</v>
          </cell>
          <cell r="P9">
            <v>15220</v>
          </cell>
          <cell r="Q9">
            <v>15365</v>
          </cell>
          <cell r="R9">
            <v>16029</v>
          </cell>
          <cell r="S9">
            <v>16638</v>
          </cell>
          <cell r="T9">
            <v>15785</v>
          </cell>
          <cell r="U9">
            <v>15571</v>
          </cell>
          <cell r="V9">
            <v>15412</v>
          </cell>
          <cell r="W9">
            <v>15776</v>
          </cell>
          <cell r="X9">
            <v>22390</v>
          </cell>
          <cell r="Y9">
            <v>26970</v>
          </cell>
          <cell r="Z9">
            <v>26313</v>
          </cell>
          <cell r="AA9">
            <v>24892</v>
          </cell>
          <cell r="AB9">
            <v>23895</v>
          </cell>
          <cell r="AC9">
            <v>25003</v>
          </cell>
          <cell r="AD9">
            <v>26405</v>
          </cell>
          <cell r="AE9">
            <v>27697.820605365057</v>
          </cell>
          <cell r="AF9">
            <v>28358.892641397051</v>
          </cell>
          <cell r="AG9">
            <v>28905.408744504351</v>
          </cell>
          <cell r="AH9">
            <v>29204.897015558319</v>
          </cell>
          <cell r="AI9">
            <v>29496.945985713905</v>
          </cell>
          <cell r="AJ9">
            <v>29791.915445571045</v>
          </cell>
          <cell r="AK9">
            <v>30089.834600026756</v>
          </cell>
          <cell r="AL9">
            <v>30390.732946027023</v>
          </cell>
          <cell r="AN9" t="str">
            <v>Total Revenues</v>
          </cell>
          <cell r="AO9">
            <v>1590.46</v>
          </cell>
          <cell r="AP9">
            <v>1525.692</v>
          </cell>
          <cell r="AQ9">
            <v>1767.327</v>
          </cell>
          <cell r="AR9">
            <v>2258.5039999999999</v>
          </cell>
          <cell r="AS9">
            <v>7141.9830000000002</v>
          </cell>
          <cell r="AU9">
            <v>1593.4190000000001</v>
          </cell>
          <cell r="AV9">
            <v>1495.7429999999999</v>
          </cell>
          <cell r="AW9">
            <v>1708.9010000000001</v>
          </cell>
          <cell r="AX9">
            <v>2134.2600000000002</v>
          </cell>
          <cell r="AY9">
            <v>6932.3230000000003</v>
          </cell>
          <cell r="BA9">
            <v>1571.7260000000001</v>
          </cell>
          <cell r="BB9">
            <v>1457.212</v>
          </cell>
          <cell r="BC9">
            <v>1788.9649999999999</v>
          </cell>
          <cell r="BD9">
            <v>2262.038</v>
          </cell>
          <cell r="BE9">
            <v>7079.9410000000007</v>
          </cell>
          <cell r="BG9">
            <v>1590.259</v>
          </cell>
          <cell r="BH9">
            <v>1502.288</v>
          </cell>
          <cell r="BI9">
            <v>1789.3150000000001</v>
          </cell>
          <cell r="BJ9">
            <v>2347.5439999999999</v>
          </cell>
          <cell r="BK9">
            <v>7229.4059999999999</v>
          </cell>
          <cell r="BM9">
            <v>1653.6310000000001</v>
          </cell>
          <cell r="BN9">
            <v>1596.1</v>
          </cell>
          <cell r="BO9">
            <v>1926.8109999999999</v>
          </cell>
          <cell r="BP9">
            <v>2530.9349999999999</v>
          </cell>
          <cell r="BQ9">
            <v>7707.476999999999</v>
          </cell>
          <cell r="BS9">
            <v>2938</v>
          </cell>
          <cell r="BT9">
            <v>2930.8</v>
          </cell>
          <cell r="BU9">
            <v>3352.6</v>
          </cell>
          <cell r="BV9">
            <v>4480.1000000000004</v>
          </cell>
          <cell r="BW9">
            <v>13701.5</v>
          </cell>
          <cell r="BY9">
            <v>2988.0059999999999</v>
          </cell>
          <cell r="BZ9">
            <v>3047</v>
          </cell>
          <cell r="CA9">
            <v>3333.5279999999998</v>
          </cell>
          <cell r="CB9">
            <v>414.8</v>
          </cell>
          <cell r="CC9">
            <v>3748.3690000000001</v>
          </cell>
          <cell r="CD9">
            <v>4629.5</v>
          </cell>
          <cell r="CE9">
            <v>5264.9</v>
          </cell>
          <cell r="CF9">
            <v>13998.034</v>
          </cell>
          <cell r="CG9">
            <v>14633.433999999999</v>
          </cell>
          <cell r="CH9">
            <v>15048.233999999999</v>
          </cell>
          <cell r="CJ9">
            <v>3300.7</v>
          </cell>
          <cell r="CK9">
            <v>3284.2280000000001</v>
          </cell>
          <cell r="CL9">
            <v>3609.1480000000001</v>
          </cell>
          <cell r="CM9">
            <v>5034.9579999999996</v>
          </cell>
          <cell r="CN9">
            <v>15229.034</v>
          </cell>
          <cell r="CP9">
            <v>3409.0909999999999</v>
          </cell>
          <cell r="CQ9">
            <v>3452.8290000000002</v>
          </cell>
          <cell r="CR9">
            <v>3746.2759999999998</v>
          </cell>
          <cell r="CS9">
            <v>5060.116</v>
          </cell>
          <cell r="CT9">
            <v>15668.312</v>
          </cell>
          <cell r="CV9">
            <v>3357</v>
          </cell>
          <cell r="CW9">
            <v>3426</v>
          </cell>
          <cell r="CX9">
            <v>3548</v>
          </cell>
          <cell r="CY9">
            <v>5034</v>
          </cell>
          <cell r="CZ9">
            <v>15365</v>
          </cell>
          <cell r="DB9">
            <v>3600</v>
          </cell>
          <cell r="DC9">
            <v>4006</v>
          </cell>
          <cell r="DD9">
            <v>4137</v>
          </cell>
          <cell r="DE9">
            <v>5973</v>
          </cell>
          <cell r="DF9">
            <v>17716</v>
          </cell>
          <cell r="DH9">
            <v>3573</v>
          </cell>
          <cell r="DI9">
            <v>3679</v>
          </cell>
          <cell r="DJ9">
            <v>3782</v>
          </cell>
          <cell r="DK9">
            <v>5604</v>
          </cell>
          <cell r="DL9">
            <v>16638</v>
          </cell>
          <cell r="DN9">
            <v>3556</v>
          </cell>
          <cell r="DO9">
            <v>3488</v>
          </cell>
          <cell r="DP9">
            <v>3475</v>
          </cell>
          <cell r="DQ9">
            <v>5132</v>
          </cell>
          <cell r="DR9">
            <v>15785</v>
          </cell>
          <cell r="DT9">
            <v>3453</v>
          </cell>
          <cell r="DU9">
            <v>3486</v>
          </cell>
          <cell r="DV9">
            <v>3479</v>
          </cell>
          <cell r="DW9">
            <v>5017</v>
          </cell>
          <cell r="DX9">
            <v>15571</v>
          </cell>
          <cell r="DZ9">
            <v>3291</v>
          </cell>
          <cell r="EA9">
            <v>3434</v>
          </cell>
          <cell r="EB9">
            <v>3486</v>
          </cell>
          <cell r="EC9">
            <v>5053</v>
          </cell>
          <cell r="ED9">
            <v>15412</v>
          </cell>
          <cell r="EF9">
            <v>3550</v>
          </cell>
          <cell r="EG9">
            <v>3581</v>
          </cell>
          <cell r="EH9">
            <v>3525</v>
          </cell>
          <cell r="EI9">
            <v>5120</v>
          </cell>
          <cell r="EJ9">
            <v>15776</v>
          </cell>
          <cell r="EK9" t="str">
            <v>Total Revenues</v>
          </cell>
          <cell r="EL9">
            <v>3641</v>
          </cell>
          <cell r="EM9">
            <v>3623</v>
          </cell>
          <cell r="EN9">
            <v>5555</v>
          </cell>
          <cell r="EO9">
            <v>9571</v>
          </cell>
          <cell r="EP9">
            <v>22390</v>
          </cell>
          <cell r="ER9">
            <v>5930</v>
          </cell>
          <cell r="ES9">
            <v>5995</v>
          </cell>
          <cell r="ET9">
            <v>5886</v>
          </cell>
          <cell r="EU9">
            <v>9159</v>
          </cell>
          <cell r="EV9">
            <v>26970</v>
          </cell>
          <cell r="EX9">
            <v>5921</v>
          </cell>
          <cell r="EY9">
            <v>5892</v>
          </cell>
          <cell r="EZ9">
            <v>5906</v>
          </cell>
          <cell r="FA9">
            <v>8594</v>
          </cell>
          <cell r="FB9">
            <v>26313</v>
          </cell>
          <cell r="FD9">
            <v>5747</v>
          </cell>
          <cell r="FE9">
            <v>5718</v>
          </cell>
          <cell r="FF9">
            <v>5493</v>
          </cell>
          <cell r="FG9">
            <v>7934</v>
          </cell>
          <cell r="FH9">
            <v>24892</v>
          </cell>
          <cell r="FJ9">
            <v>5288</v>
          </cell>
          <cell r="FK9">
            <v>5285</v>
          </cell>
          <cell r="FL9">
            <v>5385</v>
          </cell>
          <cell r="FM9">
            <v>7937</v>
          </cell>
          <cell r="FN9">
            <v>23895</v>
          </cell>
          <cell r="FP9">
            <v>5574</v>
          </cell>
          <cell r="FQ9">
            <v>5537</v>
          </cell>
          <cell r="FR9">
            <v>5623</v>
          </cell>
          <cell r="FS9">
            <v>8269</v>
          </cell>
          <cell r="FT9">
            <v>25003</v>
          </cell>
          <cell r="FV9">
            <v>5889</v>
          </cell>
          <cell r="FW9">
            <v>5939</v>
          </cell>
          <cell r="FX9">
            <v>5853</v>
          </cell>
          <cell r="FY9">
            <v>8724</v>
          </cell>
          <cell r="FZ9">
            <v>26405</v>
          </cell>
          <cell r="GB9">
            <v>6143</v>
          </cell>
          <cell r="GC9">
            <v>6118</v>
          </cell>
          <cell r="GD9">
            <v>6069.6866469352608</v>
          </cell>
          <cell r="GE9">
            <v>9367.1339584297966</v>
          </cell>
          <cell r="GF9">
            <v>27697.820605365057</v>
          </cell>
          <cell r="GS9" t="str">
            <v>mstag:revenueNet</v>
          </cell>
          <cell r="GT9">
            <v>6</v>
          </cell>
          <cell r="GU9" t="str">
            <v>ISO4217:USD</v>
          </cell>
          <cell r="GV9" t="b">
            <v>0</v>
          </cell>
          <cell r="GW9" t="b">
            <v>0</v>
          </cell>
        </row>
        <row r="10">
          <cell r="A10" t="str">
            <v>Y/Y Growth</v>
          </cell>
          <cell r="C10" t="str">
            <v>--</v>
          </cell>
          <cell r="D10">
            <v>-5.7485721706094783E-2</v>
          </cell>
          <cell r="E10" t="str">
            <v>--</v>
          </cell>
          <cell r="F10">
            <v>-2.935599258637267E-2</v>
          </cell>
          <cell r="G10">
            <v>2.1294160701975429E-2</v>
          </cell>
          <cell r="H10">
            <v>2.1111051631644839E-2</v>
          </cell>
          <cell r="I10">
            <v>6.6128669492348191E-2</v>
          </cell>
          <cell r="K10" t="str">
            <v xml:space="preserve">--  </v>
          </cell>
          <cell r="L10">
            <v>2.164244790716352E-2</v>
          </cell>
          <cell r="N10" t="str">
            <v>NA</v>
          </cell>
          <cell r="O10">
            <v>1.4985630217599466E-2</v>
          </cell>
          <cell r="P10">
            <v>2.6090473943234604E-2</v>
          </cell>
          <cell r="Q10">
            <v>9.5269382391589552E-3</v>
          </cell>
          <cell r="R10">
            <v>4.3215099251545652E-2</v>
          </cell>
          <cell r="S10">
            <v>3.7993636533782515E-2</v>
          </cell>
          <cell r="T10">
            <v>-5.126818127178745E-2</v>
          </cell>
          <cell r="U10">
            <v>-1.3557174532784266E-2</v>
          </cell>
          <cell r="V10">
            <v>-1.0211290218996805E-2</v>
          </cell>
          <cell r="W10">
            <v>2.361796003114458E-2</v>
          </cell>
          <cell r="X10">
            <v>0.41924442190669375</v>
          </cell>
          <cell r="Y10">
            <v>0.20455560518088434</v>
          </cell>
          <cell r="Z10">
            <v>-2.4360400444938812E-2</v>
          </cell>
          <cell r="AA10">
            <v>-5.4003724394785846E-2</v>
          </cell>
          <cell r="AB10">
            <v>-4.0053029085650005E-2</v>
          </cell>
          <cell r="AC10">
            <v>4.6369533375183014E-2</v>
          </cell>
          <cell r="AD10">
            <v>5.60732712074552E-2</v>
          </cell>
          <cell r="AE10">
            <v>4.8961204520547419E-2</v>
          </cell>
          <cell r="AF10">
            <v>2.3867294306323394E-2</v>
          </cell>
          <cell r="AG10">
            <v>1.9271419022529823E-2</v>
          </cell>
          <cell r="AH10">
            <v>1.0360976857347159E-2</v>
          </cell>
          <cell r="AI10">
            <v>1.0000000000000009E-2</v>
          </cell>
          <cell r="AJ10">
            <v>1.0000000000000009E-2</v>
          </cell>
          <cell r="AK10">
            <v>1.0000000000000009E-2</v>
          </cell>
          <cell r="AL10">
            <v>1.0000000000000009E-2</v>
          </cell>
          <cell r="AN10" t="str">
            <v>Y/Y Growth</v>
          </cell>
          <cell r="AS10">
            <v>-5.7485721706094783E-2</v>
          </cell>
          <cell r="AU10">
            <v>1.86046804069262E-3</v>
          </cell>
          <cell r="AV10">
            <v>-1.9629781109162359E-2</v>
          </cell>
          <cell r="AW10">
            <v>-3.3058964187159479E-2</v>
          </cell>
          <cell r="AX10">
            <v>-5.5011636021012E-2</v>
          </cell>
          <cell r="AY10">
            <v>-2.935599258637267E-2</v>
          </cell>
          <cell r="BA10">
            <v>-1.3614121583839567E-2</v>
          </cell>
          <cell r="BB10">
            <v>-2.5760441466214368E-2</v>
          </cell>
          <cell r="BC10">
            <v>4.6851163408529795E-2</v>
          </cell>
          <cell r="BD10">
            <v>5.9869931498505169E-2</v>
          </cell>
          <cell r="BE10">
            <v>2.1294160701975429E-2</v>
          </cell>
          <cell r="BG10">
            <v>1.1791495464221979E-2</v>
          </cell>
          <cell r="BH10">
            <v>3.0933042000752087E-2</v>
          </cell>
          <cell r="BI10">
            <v>1.9564384993575601E-4</v>
          </cell>
          <cell r="BJ10">
            <v>3.7800425987538633E-2</v>
          </cell>
          <cell r="BK10">
            <v>2.1111051631644839E-2</v>
          </cell>
          <cell r="BM10">
            <v>3.9850112465956933E-2</v>
          </cell>
          <cell r="BN10">
            <v>6.2446082242552547E-2</v>
          </cell>
          <cell r="BO10">
            <v>7.6842814149548744E-2</v>
          </cell>
          <cell r="BP10">
            <v>7.8120367498969223E-2</v>
          </cell>
          <cell r="BQ10">
            <v>6.6128669492348191E-2</v>
          </cell>
          <cell r="BS10" t="str">
            <v xml:space="preserve"> --  </v>
          </cell>
          <cell r="BT10" t="str">
            <v xml:space="preserve"> --  </v>
          </cell>
          <cell r="BU10" t="str">
            <v xml:space="preserve"> --  </v>
          </cell>
          <cell r="BV10" t="str">
            <v xml:space="preserve"> --  </v>
          </cell>
          <cell r="BW10" t="str">
            <v xml:space="preserve"> --  </v>
          </cell>
          <cell r="BY10">
            <v>1.7020422055820328E-2</v>
          </cell>
          <cell r="BZ10">
            <v>3.9647877712569946E-2</v>
          </cell>
          <cell r="CA10">
            <v>-5.6887192030066203E-3</v>
          </cell>
          <cell r="CC10">
            <v>0.11804838036151044</v>
          </cell>
          <cell r="CD10">
            <v>3.3347469922546225E-2</v>
          </cell>
          <cell r="CE10">
            <v>0.1751746612798819</v>
          </cell>
          <cell r="CF10">
            <v>2.164244790716352E-2</v>
          </cell>
          <cell r="CG10">
            <v>6.8016932452651169E-2</v>
          </cell>
          <cell r="CH10">
            <v>9.8290990037587012E-2</v>
          </cell>
          <cell r="CJ10">
            <v>0.10464972292558983</v>
          </cell>
          <cell r="CK10">
            <v>7.7856252051197838E-2</v>
          </cell>
          <cell r="CL10">
            <v>-3.7141754186954423E-2</v>
          </cell>
          <cell r="CM10">
            <v>-4.3674523732644466E-2</v>
          </cell>
          <cell r="CN10">
            <v>1.2014698867654605E-2</v>
          </cell>
          <cell r="CP10">
            <v>3.2838791771442555E-2</v>
          </cell>
          <cell r="CQ10">
            <v>5.1336569811840205E-2</v>
          </cell>
          <cell r="CR10">
            <v>3.799456270565793E-2</v>
          </cell>
          <cell r="CS10">
            <v>4.9966653147852647E-3</v>
          </cell>
          <cell r="CT10">
            <v>2.8844771112862544E-2</v>
          </cell>
          <cell r="CV10">
            <v>-1.528002625919922E-2</v>
          </cell>
          <cell r="CW10">
            <v>-7.7701502159533975E-3</v>
          </cell>
          <cell r="CX10">
            <v>-5.2926159204500611E-2</v>
          </cell>
          <cell r="CY10">
            <v>-5.1611465033607473E-3</v>
          </cell>
          <cell r="CZ10">
            <v>-1.9358307391376894E-2</v>
          </cell>
          <cell r="DB10">
            <v>3.3661006851355424E-2</v>
          </cell>
          <cell r="DC10">
            <v>5.3415061295972066E-2</v>
          </cell>
          <cell r="DD10">
            <v>4.0304396843291901E-2</v>
          </cell>
          <cell r="DE10">
            <v>4.4696066746126251E-2</v>
          </cell>
          <cell r="DF10">
            <v>4.3215099251545652E-2</v>
          </cell>
          <cell r="DH10">
            <v>2.9682997118155585E-2</v>
          </cell>
          <cell r="DI10">
            <v>1.9395954558049322E-2</v>
          </cell>
          <cell r="DJ10">
            <v>2.4654565158493735E-2</v>
          </cell>
          <cell r="DK10">
            <v>6.560182544209936E-2</v>
          </cell>
          <cell r="DL10">
            <v>3.7993636533782515E-2</v>
          </cell>
          <cell r="DN10">
            <v>-4.7579065211307281E-3</v>
          </cell>
          <cell r="DO10">
            <v>-5.191628159826045E-2</v>
          </cell>
          <cell r="DP10">
            <v>-8.1173982020095181E-2</v>
          </cell>
          <cell r="DQ10">
            <v>-8.4225553176302648E-2</v>
          </cell>
          <cell r="DR10">
            <v>-5.126818127178745E-2</v>
          </cell>
          <cell r="DT10">
            <v>-2.8965129358830111E-2</v>
          </cell>
          <cell r="DU10">
            <v>-5.7339449541282672E-4</v>
          </cell>
          <cell r="DV10">
            <v>1.1510791366906581E-3</v>
          </cell>
          <cell r="DW10">
            <v>-2.2408417770849565E-2</v>
          </cell>
          <cell r="DX10">
            <v>-1.3557174532784266E-2</v>
          </cell>
          <cell r="DZ10">
            <v>-4.6915725456125101E-2</v>
          </cell>
          <cell r="EA10">
            <v>-1.4916810097532984E-2</v>
          </cell>
          <cell r="EB10">
            <v>2.012072434607548E-3</v>
          </cell>
          <cell r="EC10">
            <v>7.1756029499701057E-3</v>
          </cell>
          <cell r="ED10">
            <v>-1.0211290218996805E-2</v>
          </cell>
          <cell r="EF10">
            <v>7.8699483439683915E-2</v>
          </cell>
          <cell r="EG10">
            <v>4.2807221898660375E-2</v>
          </cell>
          <cell r="EH10">
            <v>1.1187607573149849E-2</v>
          </cell>
          <cell r="EI10">
            <v>1.3259449831783066E-2</v>
          </cell>
          <cell r="EJ10">
            <v>2.361796003114458E-2</v>
          </cell>
          <cell r="EK10" t="str">
            <v>Y/Y Growth</v>
          </cell>
          <cell r="EL10">
            <v>2.5633802816901419E-2</v>
          </cell>
          <cell r="EM10">
            <v>1.1728567439262871E-2</v>
          </cell>
          <cell r="EN10">
            <v>0.57588652482269498</v>
          </cell>
          <cell r="EO10">
            <v>0.86933593750000004</v>
          </cell>
          <cell r="EP10">
            <v>0.41924442190669375</v>
          </cell>
          <cell r="ER10">
            <v>0.62867344136226322</v>
          </cell>
          <cell r="ES10">
            <v>0.65470604471432514</v>
          </cell>
          <cell r="ET10">
            <v>5.9585958595859578E-2</v>
          </cell>
          <cell r="EU10">
            <v>-4.3046703583742518E-2</v>
          </cell>
          <cell r="EV10">
            <v>0.20455560518088434</v>
          </cell>
          <cell r="EX10">
            <v>-1.5177065767284503E-3</v>
          </cell>
          <cell r="EY10">
            <v>-1.7180984153461254E-2</v>
          </cell>
          <cell r="EZ10">
            <v>3.397893306150257E-3</v>
          </cell>
          <cell r="FA10">
            <v>-6.1687957200567745E-2</v>
          </cell>
          <cell r="FB10">
            <v>-2.4360400444938812E-2</v>
          </cell>
          <cell r="FD10">
            <v>-2.9386927883803371E-2</v>
          </cell>
          <cell r="FE10">
            <v>-2.9531568228105876E-2</v>
          </cell>
          <cell r="FF10">
            <v>-6.9928885878767333E-2</v>
          </cell>
          <cell r="FG10">
            <v>-7.6797765883174329E-2</v>
          </cell>
          <cell r="FH10">
            <v>-5.4003724394785846E-2</v>
          </cell>
          <cell r="FJ10">
            <v>-7.9867757090655966E-2</v>
          </cell>
          <cell r="FK10">
            <v>-7.5725778244141284E-2</v>
          </cell>
          <cell r="FL10">
            <v>-1.9661387220098359E-2</v>
          </cell>
          <cell r="FM10">
            <v>3.7811948575749987E-4</v>
          </cell>
          <cell r="FN10">
            <v>-4.0053029085650005E-2</v>
          </cell>
          <cell r="FP10">
            <v>5.4084720121028829E-2</v>
          </cell>
          <cell r="FQ10">
            <v>4.7682119205298079E-2</v>
          </cell>
          <cell r="FR10">
            <v>4.4196843082636939E-2</v>
          </cell>
          <cell r="FS10">
            <v>4.182940657679235E-2</v>
          </cell>
          <cell r="FT10">
            <v>4.6369533375183014E-2</v>
          </cell>
          <cell r="FV10">
            <v>5.6512378902045191E-2</v>
          </cell>
          <cell r="FW10">
            <v>7.2602492324363332E-2</v>
          </cell>
          <cell r="FX10">
            <v>4.0903432331495626E-2</v>
          </cell>
          <cell r="FY10">
            <v>5.5024791389527206E-2</v>
          </cell>
          <cell r="FZ10">
            <v>5.60732712074552E-2</v>
          </cell>
          <cell r="GB10">
            <v>4.313126167430803E-2</v>
          </cell>
          <cell r="GC10">
            <v>3.0139754167368249E-2</v>
          </cell>
          <cell r="GD10">
            <v>3.7021467099822347E-2</v>
          </cell>
          <cell r="GE10">
            <v>7.372007776590972E-2</v>
          </cell>
          <cell r="GF10">
            <v>4.8961204520547419E-2</v>
          </cell>
        </row>
        <row r="11">
          <cell r="A11" t="str">
            <v xml:space="preserve">  % Same-Store</v>
          </cell>
          <cell r="C11" t="str">
            <v>--</v>
          </cell>
          <cell r="D11">
            <v>-4.2999999999999997E-2</v>
          </cell>
          <cell r="E11" t="str">
            <v>--</v>
          </cell>
          <cell r="F11">
            <v>1.4E-2</v>
          </cell>
          <cell r="G11">
            <v>5.1999999999999998E-2</v>
          </cell>
          <cell r="H11">
            <v>1.9E-2</v>
          </cell>
          <cell r="I11">
            <v>3.1E-2</v>
          </cell>
          <cell r="K11">
            <v>3.0898675327518884E-2</v>
          </cell>
          <cell r="L11">
            <v>2.7118808112624956E-2</v>
          </cell>
          <cell r="N11">
            <v>2.7E-2</v>
          </cell>
          <cell r="O11">
            <v>3.1E-2</v>
          </cell>
          <cell r="P11">
            <v>2.7E-2</v>
          </cell>
          <cell r="Q11">
            <v>2.1999999999999999E-2</v>
          </cell>
          <cell r="R11">
            <v>4.4999999999999998E-2</v>
          </cell>
          <cell r="S11">
            <v>0.02</v>
          </cell>
          <cell r="T11">
            <v>-5.2999999999999999E-2</v>
          </cell>
          <cell r="U11">
            <v>-0.03</v>
          </cell>
          <cell r="V11">
            <v>-9.0000000000000011E-3</v>
          </cell>
          <cell r="W11">
            <v>2.5999999999999999E-2</v>
          </cell>
          <cell r="X11">
            <v>1.2999999999999999E-2</v>
          </cell>
          <cell r="Y11">
            <v>4.3999999999999997E-2</v>
          </cell>
          <cell r="Z11">
            <v>-1.2999999999999999E-2</v>
          </cell>
          <cell r="AA11">
            <v>-4.4999999999999998E-2</v>
          </cell>
          <cell r="AB11">
            <v>-5.2999999999999999E-2</v>
          </cell>
          <cell r="AC11">
            <v>4.610434747830261E-2</v>
          </cell>
          <cell r="AD11">
            <v>5.2999999999999999E-2</v>
          </cell>
          <cell r="AE11">
            <v>4.02253638971692E-2</v>
          </cell>
          <cell r="AF11">
            <v>3.5000000000000003E-2</v>
          </cell>
          <cell r="AG11">
            <v>0.02</v>
          </cell>
          <cell r="AH11">
            <v>0.01</v>
          </cell>
          <cell r="AI11">
            <v>0.01</v>
          </cell>
          <cell r="AJ11">
            <v>0.01</v>
          </cell>
          <cell r="AK11">
            <v>0.01</v>
          </cell>
          <cell r="AL11">
            <v>0.01</v>
          </cell>
          <cell r="AN11" t="str">
            <v xml:space="preserve">  % Same-Store</v>
          </cell>
          <cell r="AS11">
            <v>-4.2999999999999997E-2</v>
          </cell>
          <cell r="AU11">
            <v>2.9000000000000001E-2</v>
          </cell>
          <cell r="AV11">
            <v>1.4E-2</v>
          </cell>
          <cell r="AW11">
            <v>1.7999999999999999E-2</v>
          </cell>
          <cell r="AX11">
            <v>-1E-3</v>
          </cell>
          <cell r="AY11">
            <v>1.4E-2</v>
          </cell>
          <cell r="BA11">
            <v>4.3999999999999997E-2</v>
          </cell>
          <cell r="BB11">
            <v>1.7000000000000001E-2</v>
          </cell>
          <cell r="BC11">
            <v>5.7000000000000002E-2</v>
          </cell>
          <cell r="BD11">
            <v>7.4999999999999997E-2</v>
          </cell>
          <cell r="BE11">
            <v>5.1999999999999998E-2</v>
          </cell>
          <cell r="BG11">
            <v>0.02</v>
          </cell>
          <cell r="BH11">
            <v>0.04</v>
          </cell>
          <cell r="BI11">
            <v>0</v>
          </cell>
          <cell r="BJ11">
            <v>2.1000000000000001E-2</v>
          </cell>
          <cell r="BK11">
            <v>1.9E-2</v>
          </cell>
          <cell r="BM11">
            <v>2.1000000000000001E-2</v>
          </cell>
          <cell r="BN11">
            <v>2.1999999999999999E-2</v>
          </cell>
          <cell r="BO11">
            <v>3.4000000000000002E-2</v>
          </cell>
          <cell r="BP11">
            <v>4.1000000000000002E-2</v>
          </cell>
          <cell r="BQ11">
            <v>3.1E-2</v>
          </cell>
          <cell r="BS11">
            <v>3.9E-2</v>
          </cell>
          <cell r="BT11">
            <v>8.0000000000000002E-3</v>
          </cell>
          <cell r="BU11">
            <v>3.6999999999999998E-2</v>
          </cell>
          <cell r="BV11">
            <v>3.5999999999999997E-2</v>
          </cell>
          <cell r="BW11">
            <v>3.0898675327518884E-2</v>
          </cell>
          <cell r="BY11">
            <v>1.2999999999999999E-2</v>
          </cell>
          <cell r="BZ11">
            <v>6.2E-2</v>
          </cell>
          <cell r="CA11">
            <v>1.4999999999999999E-2</v>
          </cell>
          <cell r="CC11">
            <v>1.4999999999999999E-2</v>
          </cell>
          <cell r="CD11">
            <v>2.1999999999999999E-2</v>
          </cell>
          <cell r="CE11">
            <v>2.1999999999999999E-2</v>
          </cell>
          <cell r="CF11">
            <v>2.7118808112624956E-2</v>
          </cell>
          <cell r="CG11">
            <v>2.7118808112624956E-2</v>
          </cell>
          <cell r="CH11">
            <v>2.7118808112624956E-2</v>
          </cell>
          <cell r="CJ11">
            <v>4.5999999999999999E-2</v>
          </cell>
          <cell r="CK11">
            <v>8.0000000000000002E-3</v>
          </cell>
          <cell r="CL11">
            <v>2.5000000000000001E-2</v>
          </cell>
          <cell r="CM11">
            <v>0.04</v>
          </cell>
          <cell r="CN11">
            <v>3.0844572544785176E-2</v>
          </cell>
          <cell r="CP11">
            <v>2.5000000000000001E-2</v>
          </cell>
          <cell r="CQ11">
            <v>4.3999999999999997E-2</v>
          </cell>
          <cell r="CR11">
            <v>3.1E-2</v>
          </cell>
          <cell r="CS11">
            <v>1.4E-2</v>
          </cell>
          <cell r="CT11">
            <v>2.7069152758765591E-2</v>
          </cell>
          <cell r="CV11">
            <v>2.4E-2</v>
          </cell>
          <cell r="CW11">
            <v>3.0187969924812031E-2</v>
          </cell>
          <cell r="CX11">
            <v>-1.2999999999999999E-2</v>
          </cell>
          <cell r="CY11">
            <v>4.1000000000000002E-2</v>
          </cell>
          <cell r="CZ11">
            <v>4.4999999999999998E-2</v>
          </cell>
          <cell r="DB11">
            <v>0.04</v>
          </cell>
          <cell r="DC11">
            <v>5.8999999999999997E-2</v>
          </cell>
          <cell r="DD11">
            <v>3.9E-2</v>
          </cell>
          <cell r="DE11">
            <v>4.3999999999999997E-2</v>
          </cell>
          <cell r="DF11">
            <v>4.4999999999999998E-2</v>
          </cell>
          <cell r="DH11">
            <v>2.9000000000000001E-2</v>
          </cell>
          <cell r="DI11">
            <v>1.9E-2</v>
          </cell>
          <cell r="DJ11">
            <v>1.9E-2</v>
          </cell>
          <cell r="DK11">
            <v>1.6E-2</v>
          </cell>
          <cell r="DL11">
            <v>0.02</v>
          </cell>
          <cell r="DN11">
            <v>-1.4999999999999999E-2</v>
          </cell>
          <cell r="DO11">
            <v>-4.8000000000000001E-2</v>
          </cell>
          <cell r="DP11">
            <v>-8.5999999999999993E-2</v>
          </cell>
          <cell r="DQ11">
            <v>-0.06</v>
          </cell>
          <cell r="DR11">
            <v>-5.2999999999999999E-2</v>
          </cell>
          <cell r="DT11">
            <v>-2.9000000000000001E-2</v>
          </cell>
          <cell r="DU11">
            <v>-2.8000000000000001E-2</v>
          </cell>
          <cell r="DV11">
            <v>-0.02</v>
          </cell>
          <cell r="DW11">
            <v>-3.9E-2</v>
          </cell>
          <cell r="DX11">
            <v>-0.03</v>
          </cell>
          <cell r="DZ11">
            <v>-0.05</v>
          </cell>
          <cell r="EA11">
            <v>-1.2E-2</v>
          </cell>
          <cell r="EB11">
            <v>2E-3</v>
          </cell>
          <cell r="EC11">
            <v>1.3999999999999999E-2</v>
          </cell>
          <cell r="ED11">
            <v>-9.0000000000000011E-3</v>
          </cell>
          <cell r="EF11">
            <v>6.9000000000000006E-2</v>
          </cell>
          <cell r="EG11">
            <v>3.3000000000000002E-2</v>
          </cell>
          <cell r="EH11">
            <v>4.0000000000000001E-3</v>
          </cell>
          <cell r="EI11">
            <v>8.0000000000000002E-3</v>
          </cell>
          <cell r="EJ11">
            <v>2.5999999999999999E-2</v>
          </cell>
          <cell r="EK11" t="str">
            <v xml:space="preserve">  % Same-Store</v>
          </cell>
          <cell r="EL11">
            <v>2.5999999999999999E-2</v>
          </cell>
          <cell r="EM11">
            <v>1.0999999999999999E-2</v>
          </cell>
          <cell r="EN11">
            <v>6.0000000000000001E-3</v>
          </cell>
          <cell r="EO11">
            <v>1.0999999999999999E-2</v>
          </cell>
          <cell r="EP11">
            <v>1.2999999999999999E-2</v>
          </cell>
          <cell r="ER11">
            <v>0</v>
          </cell>
          <cell r="ES11">
            <v>4.5999999999999999E-2</v>
          </cell>
          <cell r="ET11">
            <v>5.8999999999999997E-2</v>
          </cell>
          <cell r="EU11">
            <v>6.0999999999999999E-2</v>
          </cell>
          <cell r="EV11">
            <v>4.3999999999999997E-2</v>
          </cell>
          <cell r="EX11">
            <v>6.0000000000000001E-3</v>
          </cell>
          <cell r="EY11">
            <v>-2.5999999999999999E-2</v>
          </cell>
          <cell r="EZ11">
            <v>-8.0000000000000002E-3</v>
          </cell>
          <cell r="FA11">
            <v>-0.02</v>
          </cell>
          <cell r="FB11">
            <v>-1.2999999999999999E-2</v>
          </cell>
          <cell r="FD11">
            <v>-2.5999999999999999E-2</v>
          </cell>
          <cell r="FE11">
            <v>-2.1000000000000001E-2</v>
          </cell>
          <cell r="FF11">
            <v>-0.06</v>
          </cell>
          <cell r="FG11">
            <v>-7.0000000000000007E-2</v>
          </cell>
          <cell r="FH11">
            <v>-4.4999999999999998E-2</v>
          </cell>
          <cell r="FJ11">
            <v>-0.09</v>
          </cell>
          <cell r="FK11">
            <v>-9.5000000000000001E-2</v>
          </cell>
          <cell r="FL11">
            <v>-3.5999999999999997E-2</v>
          </cell>
          <cell r="FM11">
            <v>-8.0000000000000002E-3</v>
          </cell>
          <cell r="FN11">
            <v>-5.2999999999999999E-2</v>
          </cell>
          <cell r="FP11">
            <v>5.5E-2</v>
          </cell>
          <cell r="FQ11">
            <v>4.9000000000000002E-2</v>
          </cell>
          <cell r="FR11">
            <v>3.9E-2</v>
          </cell>
          <cell r="FS11">
            <v>4.2999999999999997E-2</v>
          </cell>
          <cell r="FT11">
            <v>4.610434747830261E-2</v>
          </cell>
          <cell r="FV11">
            <v>5.3999999999999999E-2</v>
          </cell>
          <cell r="FW11">
            <v>6.4000000000000001E-2</v>
          </cell>
          <cell r="FX11">
            <v>0.04</v>
          </cell>
          <cell r="FY11">
            <v>5.1999999999999998E-2</v>
          </cell>
          <cell r="FZ11">
            <v>5.2999999999999999E-2</v>
          </cell>
          <cell r="GB11">
            <v>4.3999999999999997E-2</v>
          </cell>
          <cell r="GC11">
            <v>0.03</v>
          </cell>
          <cell r="GD11">
            <v>4.4170626829774157E-2</v>
          </cell>
          <cell r="GE11">
            <v>4.1872044415560798E-2</v>
          </cell>
          <cell r="GF11">
            <v>4.02253638971692E-2</v>
          </cell>
          <cell r="GS11" t="str">
            <v>mstag:comparableStoreSalesGrowth</v>
          </cell>
          <cell r="GT11">
            <v>0</v>
          </cell>
          <cell r="GU11" t="str">
            <v>ms_eqr_gcim_Decimal:ms_eqr_gcim_decimal</v>
          </cell>
          <cell r="GV11" t="b">
            <v>0</v>
          </cell>
          <cell r="GW11" t="b">
            <v>0</v>
          </cell>
        </row>
        <row r="13">
          <cell r="A13" t="str">
            <v>Cost of Goods Sold</v>
          </cell>
          <cell r="C13">
            <v>5447.1210000000001</v>
          </cell>
          <cell r="D13">
            <v>4394.9759999999997</v>
          </cell>
          <cell r="E13">
            <v>4202.223</v>
          </cell>
          <cell r="F13">
            <v>4173.2920000000004</v>
          </cell>
          <cell r="G13">
            <v>4220.8230000000003</v>
          </cell>
          <cell r="H13">
            <v>4371.2170000000006</v>
          </cell>
          <cell r="I13">
            <v>4738.326</v>
          </cell>
          <cell r="K13">
            <v>8409.8680000000004</v>
          </cell>
          <cell r="L13">
            <v>8578.85</v>
          </cell>
          <cell r="N13">
            <v>9038</v>
          </cell>
          <cell r="O13">
            <v>9018</v>
          </cell>
          <cell r="P13">
            <v>9200</v>
          </cell>
          <cell r="Q13">
            <v>9218</v>
          </cell>
          <cell r="R13">
            <v>9576</v>
          </cell>
          <cell r="S13">
            <v>9955</v>
          </cell>
          <cell r="T13">
            <v>9603</v>
          </cell>
          <cell r="U13">
            <v>9324</v>
          </cell>
          <cell r="V13">
            <v>9175</v>
          </cell>
          <cell r="W13">
            <v>9346</v>
          </cell>
          <cell r="X13">
            <v>13272</v>
          </cell>
          <cell r="Y13">
            <v>16019</v>
          </cell>
          <cell r="Z13">
            <v>15677</v>
          </cell>
          <cell r="AA13">
            <v>15009</v>
          </cell>
          <cell r="AB13">
            <v>14278</v>
          </cell>
          <cell r="AC13">
            <v>14824</v>
          </cell>
          <cell r="AD13">
            <v>15738</v>
          </cell>
          <cell r="AE13">
            <v>16473.116703251519</v>
          </cell>
          <cell r="AF13">
            <v>16781.208749826241</v>
          </cell>
          <cell r="AG13">
            <v>17061.248342231931</v>
          </cell>
          <cell r="AH13">
            <v>17267.224438478806</v>
          </cell>
          <cell r="AI13">
            <v>17498.890574835023</v>
          </cell>
          <cell r="AJ13">
            <v>17673.879480583375</v>
          </cell>
          <cell r="AK13">
            <v>17850.618275389206</v>
          </cell>
          <cell r="AL13">
            <v>18029.124458143102</v>
          </cell>
          <cell r="AN13" t="str">
            <v>Cost of Goods Sold</v>
          </cell>
          <cell r="AO13">
            <v>955.19299999999998</v>
          </cell>
          <cell r="AP13">
            <v>949.21100000000001</v>
          </cell>
          <cell r="AQ13">
            <v>1068.867</v>
          </cell>
          <cell r="AR13">
            <v>1421.7049999999999</v>
          </cell>
          <cell r="AS13">
            <v>4394.9759999999997</v>
          </cell>
          <cell r="AU13">
            <v>954.02099999999996</v>
          </cell>
          <cell r="AV13">
            <v>897.43100000000004</v>
          </cell>
          <cell r="AW13">
            <v>1031.549</v>
          </cell>
          <cell r="AX13">
            <v>1319.222</v>
          </cell>
          <cell r="AY13">
            <v>4202.223</v>
          </cell>
          <cell r="BA13">
            <v>924.86599999999999</v>
          </cell>
          <cell r="BB13">
            <v>867.78200000000004</v>
          </cell>
          <cell r="BC13">
            <v>1063.415</v>
          </cell>
          <cell r="BD13">
            <v>1364.76</v>
          </cell>
          <cell r="BE13">
            <v>4220.8230000000003</v>
          </cell>
          <cell r="BG13">
            <v>947.86799999999994</v>
          </cell>
          <cell r="BH13">
            <v>900.06400000000008</v>
          </cell>
          <cell r="BI13">
            <v>1077.3520000000001</v>
          </cell>
          <cell r="BJ13">
            <v>1445.933</v>
          </cell>
          <cell r="BK13">
            <v>4371.2170000000006</v>
          </cell>
          <cell r="BM13">
            <v>1002.9349999999999</v>
          </cell>
          <cell r="BN13">
            <v>974.73500000000001</v>
          </cell>
          <cell r="BO13">
            <v>1182.5509999999999</v>
          </cell>
          <cell r="BP13">
            <v>1578.105</v>
          </cell>
          <cell r="BQ13">
            <v>4738.326</v>
          </cell>
          <cell r="BS13">
            <v>1781.979</v>
          </cell>
          <cell r="BT13">
            <v>1814.82</v>
          </cell>
          <cell r="BU13">
            <v>2045.9162000000001</v>
          </cell>
          <cell r="BV13">
            <v>2767.1528000000003</v>
          </cell>
          <cell r="BW13">
            <v>8409.8680000000004</v>
          </cell>
          <cell r="BY13">
            <v>1822.16</v>
          </cell>
          <cell r="BZ13">
            <v>1862.915</v>
          </cell>
          <cell r="CA13">
            <v>2039.616</v>
          </cell>
          <cell r="CB13">
            <v>288.96100000000024</v>
          </cell>
          <cell r="CC13">
            <v>2328.5770000000002</v>
          </cell>
          <cell r="CD13">
            <v>2854.1590000000001</v>
          </cell>
          <cell r="CE13">
            <v>3304.3710000000001</v>
          </cell>
          <cell r="CF13">
            <v>8578.85</v>
          </cell>
          <cell r="CG13">
            <v>9029.0619999999999</v>
          </cell>
          <cell r="CH13">
            <v>9318.023000000001</v>
          </cell>
          <cell r="CJ13">
            <v>2014.6479999999999</v>
          </cell>
          <cell r="CK13">
            <v>1995.5730000000001</v>
          </cell>
          <cell r="CL13">
            <v>2189.9029999999998</v>
          </cell>
          <cell r="CM13">
            <v>3088.5619999999999</v>
          </cell>
          <cell r="CN13">
            <v>9288.6859999999997</v>
          </cell>
          <cell r="CP13">
            <v>2086.8649999999998</v>
          </cell>
          <cell r="CQ13">
            <v>2098.6709999999998</v>
          </cell>
          <cell r="CR13">
            <v>2286.9189999999999</v>
          </cell>
          <cell r="CS13">
            <v>3108.3119999999999</v>
          </cell>
          <cell r="CT13">
            <v>9580.7669999999998</v>
          </cell>
          <cell r="CV13">
            <v>2022</v>
          </cell>
          <cell r="CW13">
            <v>2017</v>
          </cell>
          <cell r="CX13">
            <v>2145</v>
          </cell>
          <cell r="CY13">
            <v>3034</v>
          </cell>
          <cell r="CZ13">
            <v>9218</v>
          </cell>
          <cell r="DB13">
            <v>2174</v>
          </cell>
          <cell r="DC13">
            <v>2319</v>
          </cell>
          <cell r="DD13">
            <v>2454</v>
          </cell>
          <cell r="DE13">
            <v>3496</v>
          </cell>
          <cell r="DF13">
            <v>10443</v>
          </cell>
          <cell r="DH13">
            <v>2152</v>
          </cell>
          <cell r="DI13">
            <v>2173</v>
          </cell>
          <cell r="DJ13">
            <v>2295</v>
          </cell>
          <cell r="DK13">
            <v>3335</v>
          </cell>
          <cell r="DL13">
            <v>9955</v>
          </cell>
          <cell r="DN13">
            <v>2158</v>
          </cell>
          <cell r="DO13">
            <v>2128</v>
          </cell>
          <cell r="DP13">
            <v>2134</v>
          </cell>
          <cell r="DQ13">
            <v>3111</v>
          </cell>
          <cell r="DR13">
            <v>9603</v>
          </cell>
          <cell r="DT13">
            <v>2078</v>
          </cell>
          <cell r="DU13">
            <v>2051</v>
          </cell>
          <cell r="DV13">
            <v>2112</v>
          </cell>
          <cell r="DW13">
            <v>3014</v>
          </cell>
          <cell r="DX13">
            <v>9324</v>
          </cell>
          <cell r="DZ13">
            <v>2002</v>
          </cell>
          <cell r="EA13">
            <v>2025</v>
          </cell>
          <cell r="EB13">
            <v>2091</v>
          </cell>
          <cell r="EC13">
            <v>2981</v>
          </cell>
          <cell r="ED13">
            <v>9175</v>
          </cell>
          <cell r="EF13">
            <v>2119</v>
          </cell>
          <cell r="EG13">
            <v>2098</v>
          </cell>
          <cell r="EH13">
            <v>2107</v>
          </cell>
          <cell r="EI13">
            <v>3022</v>
          </cell>
          <cell r="EJ13">
            <v>9346</v>
          </cell>
          <cell r="EK13" t="str">
            <v>Cost of Goods Sold</v>
          </cell>
          <cell r="EL13">
            <v>2176</v>
          </cell>
          <cell r="EM13">
            <v>2126</v>
          </cell>
          <cell r="EN13">
            <v>3312</v>
          </cell>
          <cell r="EO13">
            <v>5658</v>
          </cell>
          <cell r="EP13">
            <v>13272</v>
          </cell>
          <cell r="ER13">
            <v>3627</v>
          </cell>
          <cell r="ES13">
            <v>3470</v>
          </cell>
          <cell r="ET13">
            <v>3513</v>
          </cell>
          <cell r="EU13">
            <v>5409</v>
          </cell>
          <cell r="EV13">
            <v>16019</v>
          </cell>
          <cell r="EX13">
            <v>3564</v>
          </cell>
          <cell r="EY13">
            <v>3507</v>
          </cell>
          <cell r="EZ13">
            <v>3585</v>
          </cell>
          <cell r="FA13">
            <v>5021</v>
          </cell>
          <cell r="FB13">
            <v>15677</v>
          </cell>
          <cell r="FD13">
            <v>3527</v>
          </cell>
          <cell r="FE13">
            <v>3346</v>
          </cell>
          <cell r="FF13">
            <v>3324</v>
          </cell>
          <cell r="FG13">
            <v>4812</v>
          </cell>
          <cell r="FH13">
            <v>15009</v>
          </cell>
          <cell r="FJ13">
            <v>3279</v>
          </cell>
          <cell r="FK13">
            <v>3117</v>
          </cell>
          <cell r="FL13">
            <v>3241</v>
          </cell>
          <cell r="FM13">
            <v>4641</v>
          </cell>
          <cell r="FN13">
            <v>14278</v>
          </cell>
          <cell r="FP13">
            <v>3378</v>
          </cell>
          <cell r="FQ13">
            <v>3214</v>
          </cell>
          <cell r="FR13">
            <v>3377</v>
          </cell>
          <cell r="FS13">
            <v>4855</v>
          </cell>
          <cell r="FT13">
            <v>14824</v>
          </cell>
          <cell r="FV13">
            <v>3586</v>
          </cell>
          <cell r="FW13">
            <v>3457</v>
          </cell>
          <cell r="FX13">
            <v>3544</v>
          </cell>
          <cell r="FY13">
            <v>5151</v>
          </cell>
          <cell r="FZ13">
            <v>15738</v>
          </cell>
          <cell r="GB13">
            <v>3757</v>
          </cell>
          <cell r="GC13">
            <v>3555</v>
          </cell>
          <cell r="GD13">
            <v>3666.0995494313679</v>
          </cell>
          <cell r="GE13">
            <v>5495.0171538201503</v>
          </cell>
          <cell r="GF13">
            <v>16473.116703251519</v>
          </cell>
          <cell r="GS13" t="str">
            <v>mstag:costOfSalesWithoutDepreciation</v>
          </cell>
          <cell r="GT13">
            <v>6</v>
          </cell>
          <cell r="GU13" t="str">
            <v>ISO4217:USD</v>
          </cell>
          <cell r="GV13" t="b">
            <v>0</v>
          </cell>
          <cell r="GW13" t="b">
            <v>0</v>
          </cell>
        </row>
        <row r="14">
          <cell r="A14" t="str">
            <v>Gross Profit</v>
          </cell>
          <cell r="C14">
            <v>2130.4650000000001</v>
          </cell>
          <cell r="D14">
            <v>2747.0070000000005</v>
          </cell>
          <cell r="E14">
            <v>2730.1000000000004</v>
          </cell>
          <cell r="F14">
            <v>2759.0309999999999</v>
          </cell>
          <cell r="G14">
            <v>2859.1180000000004</v>
          </cell>
          <cell r="H14">
            <v>2858.1889999999994</v>
          </cell>
          <cell r="I14">
            <v>2969.1509999999989</v>
          </cell>
          <cell r="K14">
            <v>5291.6319999999996</v>
          </cell>
          <cell r="L14">
            <v>5419.1839999999993</v>
          </cell>
          <cell r="N14">
            <v>5576</v>
          </cell>
          <cell r="O14">
            <v>5815</v>
          </cell>
          <cell r="P14">
            <v>6020</v>
          </cell>
          <cell r="Q14">
            <v>6147</v>
          </cell>
          <cell r="R14">
            <v>6453</v>
          </cell>
          <cell r="S14">
            <v>6683</v>
          </cell>
          <cell r="T14">
            <v>6182</v>
          </cell>
          <cell r="U14">
            <v>6247</v>
          </cell>
          <cell r="V14">
            <v>6237</v>
          </cell>
          <cell r="W14">
            <v>6430</v>
          </cell>
          <cell r="X14">
            <v>9118</v>
          </cell>
          <cell r="Y14">
            <v>10951</v>
          </cell>
          <cell r="Z14">
            <v>10636</v>
          </cell>
          <cell r="AA14">
            <v>9883</v>
          </cell>
          <cell r="AB14">
            <v>9617</v>
          </cell>
          <cell r="AC14">
            <v>10179</v>
          </cell>
          <cell r="AD14">
            <v>10667</v>
          </cell>
          <cell r="AE14">
            <v>11224.703902113539</v>
          </cell>
          <cell r="AF14">
            <v>11577.68389157081</v>
          </cell>
          <cell r="AG14">
            <v>11844.16040227242</v>
          </cell>
          <cell r="AH14">
            <v>11937.672577079513</v>
          </cell>
          <cell r="AI14">
            <v>11998.055410878882</v>
          </cell>
          <cell r="AJ14">
            <v>12118.03596498767</v>
          </cell>
          <cell r="AK14">
            <v>12239.216324637549</v>
          </cell>
          <cell r="AL14">
            <v>12361.608487883921</v>
          </cell>
          <cell r="AN14" t="str">
            <v>Gross Profit</v>
          </cell>
          <cell r="AO14">
            <v>635.26700000000005</v>
          </cell>
          <cell r="AP14">
            <v>576.48099999999999</v>
          </cell>
          <cell r="AQ14">
            <v>698.46</v>
          </cell>
          <cell r="AR14">
            <v>836.79899999999998</v>
          </cell>
          <cell r="AS14">
            <v>2747.0070000000001</v>
          </cell>
          <cell r="AU14">
            <v>639.39800000000014</v>
          </cell>
          <cell r="AV14">
            <v>598.3119999999999</v>
          </cell>
          <cell r="AW14">
            <v>677.35200000000009</v>
          </cell>
          <cell r="AX14">
            <v>815.03800000000024</v>
          </cell>
          <cell r="AY14">
            <v>2730.1000000000004</v>
          </cell>
          <cell r="BA14">
            <v>646.86000000000013</v>
          </cell>
          <cell r="BB14">
            <v>589.42999999999995</v>
          </cell>
          <cell r="BC14">
            <v>725.55</v>
          </cell>
          <cell r="BD14">
            <v>897.27800000000002</v>
          </cell>
          <cell r="BE14">
            <v>2859.1179999999999</v>
          </cell>
          <cell r="BG14">
            <v>642.39100000000008</v>
          </cell>
          <cell r="BH14">
            <v>602.22399999999993</v>
          </cell>
          <cell r="BI14">
            <v>711.96299999999997</v>
          </cell>
          <cell r="BJ14">
            <v>901.61099999999988</v>
          </cell>
          <cell r="BK14">
            <v>2858.1889999999994</v>
          </cell>
          <cell r="BM14">
            <v>650.69600000000014</v>
          </cell>
          <cell r="BN14">
            <v>621.3649999999999</v>
          </cell>
          <cell r="BO14">
            <v>744.26</v>
          </cell>
          <cell r="BP14">
            <v>952.82999999999993</v>
          </cell>
          <cell r="BQ14">
            <v>2969.1509999999989</v>
          </cell>
          <cell r="BS14">
            <v>1156.021</v>
          </cell>
          <cell r="BT14">
            <v>1115.9800000000002</v>
          </cell>
          <cell r="BU14">
            <v>1306.6837999999998</v>
          </cell>
          <cell r="BV14">
            <v>1712.9472000000001</v>
          </cell>
          <cell r="BW14">
            <v>5291.6319999999996</v>
          </cell>
          <cell r="BY14">
            <v>1165.8459999999998</v>
          </cell>
          <cell r="BZ14">
            <v>1184.085</v>
          </cell>
          <cell r="CA14">
            <v>1293.9119999999998</v>
          </cell>
          <cell r="CB14">
            <v>125.83899999999977</v>
          </cell>
          <cell r="CC14">
            <v>1419.7919999999999</v>
          </cell>
          <cell r="CD14">
            <v>1775.3409999999999</v>
          </cell>
          <cell r="CE14">
            <v>1960.5289999999995</v>
          </cell>
          <cell r="CF14">
            <v>5419.1839999999993</v>
          </cell>
          <cell r="CG14">
            <v>5604.3719999999994</v>
          </cell>
          <cell r="CH14">
            <v>5730.2109999999975</v>
          </cell>
          <cell r="CJ14">
            <v>1286.0519999999999</v>
          </cell>
          <cell r="CK14">
            <v>1288.655</v>
          </cell>
          <cell r="CL14">
            <v>1419.2450000000003</v>
          </cell>
          <cell r="CM14">
            <v>1946.3959999999997</v>
          </cell>
          <cell r="CN14">
            <v>5940.348</v>
          </cell>
          <cell r="CP14">
            <v>1322.2260000000001</v>
          </cell>
          <cell r="CQ14">
            <v>1354.1580000000004</v>
          </cell>
          <cell r="CR14">
            <v>1459.357</v>
          </cell>
          <cell r="CS14">
            <v>1951.8040000000001</v>
          </cell>
          <cell r="CT14">
            <v>6087.5450000000001</v>
          </cell>
          <cell r="CV14">
            <v>1335</v>
          </cell>
          <cell r="CW14">
            <v>1409</v>
          </cell>
          <cell r="CX14">
            <v>1403</v>
          </cell>
          <cell r="CY14">
            <v>2000</v>
          </cell>
          <cell r="CZ14">
            <v>6147</v>
          </cell>
          <cell r="DB14">
            <v>1426</v>
          </cell>
          <cell r="DC14">
            <v>1687</v>
          </cell>
          <cell r="DD14">
            <v>1683</v>
          </cell>
          <cell r="DE14">
            <v>2477</v>
          </cell>
          <cell r="DF14">
            <v>7273</v>
          </cell>
          <cell r="DH14">
            <v>1421</v>
          </cell>
          <cell r="DI14">
            <v>1506</v>
          </cell>
          <cell r="DJ14">
            <v>1487</v>
          </cell>
          <cell r="DK14">
            <v>2269</v>
          </cell>
          <cell r="DL14">
            <v>6683</v>
          </cell>
          <cell r="DN14">
            <v>1398</v>
          </cell>
          <cell r="DO14">
            <v>1360</v>
          </cell>
          <cell r="DP14">
            <v>1341</v>
          </cell>
          <cell r="DQ14">
            <v>2021</v>
          </cell>
          <cell r="DR14">
            <v>6182</v>
          </cell>
          <cell r="DT14">
            <v>1375</v>
          </cell>
          <cell r="DU14">
            <v>1435</v>
          </cell>
          <cell r="DV14">
            <v>1367</v>
          </cell>
          <cell r="DW14">
            <v>2003</v>
          </cell>
          <cell r="DX14">
            <v>6247</v>
          </cell>
          <cell r="DZ14">
            <v>1289</v>
          </cell>
          <cell r="EA14">
            <v>1409</v>
          </cell>
          <cell r="EB14">
            <v>1395</v>
          </cell>
          <cell r="EC14">
            <v>2072</v>
          </cell>
          <cell r="ED14">
            <v>6237</v>
          </cell>
          <cell r="EF14">
            <v>1431</v>
          </cell>
          <cell r="EG14">
            <v>1483</v>
          </cell>
          <cell r="EH14">
            <v>1418</v>
          </cell>
          <cell r="EI14">
            <v>2098</v>
          </cell>
          <cell r="EJ14">
            <v>6430</v>
          </cell>
          <cell r="EK14" t="str">
            <v>Gross Profit</v>
          </cell>
          <cell r="EL14">
            <v>1465</v>
          </cell>
          <cell r="EM14">
            <v>1497</v>
          </cell>
          <cell r="EN14">
            <v>2243</v>
          </cell>
          <cell r="EO14">
            <v>3913</v>
          </cell>
          <cell r="EP14">
            <v>9118</v>
          </cell>
          <cell r="ER14">
            <v>2303</v>
          </cell>
          <cell r="ES14">
            <v>2525</v>
          </cell>
          <cell r="ET14">
            <v>2373</v>
          </cell>
          <cell r="EU14">
            <v>3750</v>
          </cell>
          <cell r="EV14">
            <v>10951</v>
          </cell>
          <cell r="EX14">
            <v>2357</v>
          </cell>
          <cell r="EY14">
            <v>2385</v>
          </cell>
          <cell r="EZ14">
            <v>2321</v>
          </cell>
          <cell r="FA14">
            <v>3573</v>
          </cell>
          <cell r="FB14">
            <v>10636</v>
          </cell>
          <cell r="FD14">
            <v>2220</v>
          </cell>
          <cell r="FE14">
            <v>2372</v>
          </cell>
          <cell r="FF14">
            <v>2169</v>
          </cell>
          <cell r="FG14">
            <v>3122</v>
          </cell>
          <cell r="FH14">
            <v>9883</v>
          </cell>
          <cell r="FJ14">
            <v>2009</v>
          </cell>
          <cell r="FK14">
            <v>2168</v>
          </cell>
          <cell r="FL14">
            <v>2144</v>
          </cell>
          <cell r="FM14">
            <v>3296</v>
          </cell>
          <cell r="FN14">
            <v>9617</v>
          </cell>
          <cell r="FP14">
            <v>2196</v>
          </cell>
          <cell r="FQ14">
            <v>2323</v>
          </cell>
          <cell r="FR14">
            <v>2246</v>
          </cell>
          <cell r="FS14">
            <v>3414</v>
          </cell>
          <cell r="FT14">
            <v>10179</v>
          </cell>
          <cell r="FV14">
            <v>2303</v>
          </cell>
          <cell r="FW14">
            <v>2482</v>
          </cell>
          <cell r="FX14">
            <v>2309</v>
          </cell>
          <cell r="FY14">
            <v>3573</v>
          </cell>
          <cell r="FZ14">
            <v>10667</v>
          </cell>
          <cell r="GB14">
            <v>2386</v>
          </cell>
          <cell r="GC14">
            <v>2563</v>
          </cell>
          <cell r="GD14">
            <v>2403.5870975038929</v>
          </cell>
          <cell r="GE14">
            <v>3872.1168046096464</v>
          </cell>
          <cell r="GF14">
            <v>11224.703902113539</v>
          </cell>
        </row>
        <row r="16">
          <cell r="A16" t="str">
            <v>SG&amp;A Expense</v>
          </cell>
          <cell r="C16">
            <v>1881.0170000000001</v>
          </cell>
          <cell r="D16">
            <v>2611.8339999999998</v>
          </cell>
          <cell r="E16">
            <v>2463.1280000000002</v>
          </cell>
          <cell r="F16">
            <v>2458.1280000000002</v>
          </cell>
          <cell r="G16">
            <v>2420.6839999999997</v>
          </cell>
          <cell r="H16">
            <v>2347.5460000000003</v>
          </cell>
          <cell r="I16">
            <v>2328.047</v>
          </cell>
          <cell r="K16">
            <v>4608.8310000000001</v>
          </cell>
          <cell r="L16">
            <v>4424.5330000000004</v>
          </cell>
          <cell r="N16">
            <v>4913</v>
          </cell>
          <cell r="O16">
            <v>4922</v>
          </cell>
          <cell r="P16">
            <v>4679</v>
          </cell>
          <cell r="Q16">
            <v>4692</v>
          </cell>
          <cell r="R16">
            <v>4760</v>
          </cell>
          <cell r="S16">
            <v>4912</v>
          </cell>
          <cell r="T16">
            <v>4806</v>
          </cell>
          <cell r="U16">
            <v>4836</v>
          </cell>
          <cell r="V16">
            <v>4837</v>
          </cell>
          <cell r="W16">
            <v>4931</v>
          </cell>
          <cell r="X16">
            <v>6980</v>
          </cell>
          <cell r="Y16">
            <v>8678</v>
          </cell>
          <cell r="Z16">
            <v>8554</v>
          </cell>
          <cell r="AA16">
            <v>8458</v>
          </cell>
          <cell r="AB16">
            <v>8163</v>
          </cell>
          <cell r="AC16">
            <v>8260</v>
          </cell>
          <cell r="AD16">
            <v>8281</v>
          </cell>
          <cell r="AE16">
            <v>8553.4072798862726</v>
          </cell>
          <cell r="AF16">
            <v>8800.0923077192638</v>
          </cell>
          <cell r="AG16">
            <v>8940.7771652737574</v>
          </cell>
          <cell r="AH16">
            <v>9004.2074535542979</v>
          </cell>
          <cell r="AI16">
            <v>9064.7525821041272</v>
          </cell>
          <cell r="AJ16">
            <v>9125.6081924795981</v>
          </cell>
          <cell r="AK16">
            <v>9186.7744398043687</v>
          </cell>
          <cell r="AL16">
            <v>9248.2514512563848</v>
          </cell>
          <cell r="AN16" t="str">
            <v>SG&amp;A Expense</v>
          </cell>
          <cell r="AO16">
            <v>608.81899999999996</v>
          </cell>
          <cell r="AP16">
            <v>616.54300000000001</v>
          </cell>
          <cell r="AQ16">
            <v>656.14200000000005</v>
          </cell>
          <cell r="AR16">
            <v>730.33</v>
          </cell>
          <cell r="AS16">
            <v>2611.8340000000003</v>
          </cell>
          <cell r="AU16">
            <v>597.87800000000004</v>
          </cell>
          <cell r="AV16">
            <v>589.803</v>
          </cell>
          <cell r="AW16">
            <v>624.08500000000004</v>
          </cell>
          <cell r="AX16">
            <v>651.36199999999997</v>
          </cell>
          <cell r="AY16">
            <v>2463.1280000000002</v>
          </cell>
          <cell r="BA16">
            <v>562.19899999999996</v>
          </cell>
          <cell r="BB16">
            <v>557.755</v>
          </cell>
          <cell r="BC16">
            <v>614.78200000000004</v>
          </cell>
          <cell r="BD16">
            <v>685.94799999999998</v>
          </cell>
          <cell r="BE16">
            <v>2420.6839999999997</v>
          </cell>
          <cell r="BG16">
            <v>555.61</v>
          </cell>
          <cell r="BH16">
            <v>540.18899999999996</v>
          </cell>
          <cell r="BI16">
            <v>604.58100000000002</v>
          </cell>
          <cell r="BJ16">
            <v>647.16600000000005</v>
          </cell>
          <cell r="BK16">
            <v>2347.5460000000003</v>
          </cell>
          <cell r="BM16">
            <v>542.08799999999997</v>
          </cell>
          <cell r="BN16">
            <v>534.79100000000005</v>
          </cell>
          <cell r="BO16">
            <v>611.56299999999999</v>
          </cell>
          <cell r="BP16">
            <v>639.6049999999999</v>
          </cell>
          <cell r="BQ16">
            <v>2328.047</v>
          </cell>
          <cell r="BS16">
            <v>1095.52</v>
          </cell>
          <cell r="BT16">
            <v>1083.9040000000002</v>
          </cell>
          <cell r="BU16">
            <v>1182.6087999999997</v>
          </cell>
          <cell r="BV16">
            <v>1246.7982</v>
          </cell>
          <cell r="BW16">
            <v>4608.8310000000001</v>
          </cell>
          <cell r="BY16">
            <v>1069.9590000000001</v>
          </cell>
          <cell r="BZ16">
            <v>1067.8869999999999</v>
          </cell>
          <cell r="CA16">
            <v>1107.3150000000001</v>
          </cell>
          <cell r="CB16">
            <v>168.36500000000001</v>
          </cell>
          <cell r="CC16">
            <v>1275.68</v>
          </cell>
          <cell r="CD16">
            <v>1179.3720000000001</v>
          </cell>
          <cell r="CE16">
            <v>1334.8050000000001</v>
          </cell>
          <cell r="CF16">
            <v>4424.5330000000004</v>
          </cell>
          <cell r="CG16">
            <v>4579.9660000000003</v>
          </cell>
          <cell r="CH16">
            <v>4748.3310000000001</v>
          </cell>
          <cell r="CJ16">
            <v>1153.0650000000001</v>
          </cell>
          <cell r="CK16">
            <v>1113.9839999999999</v>
          </cell>
          <cell r="CL16">
            <v>1187.6289999999999</v>
          </cell>
          <cell r="CM16">
            <v>1283.8050000000001</v>
          </cell>
          <cell r="CN16">
            <v>4738.4830000000002</v>
          </cell>
          <cell r="CP16">
            <v>1174.1659999999999</v>
          </cell>
          <cell r="CQ16">
            <v>1142.298</v>
          </cell>
          <cell r="CR16">
            <v>1191.396</v>
          </cell>
          <cell r="CS16">
            <v>1238.9000000000001</v>
          </cell>
          <cell r="CT16">
            <v>4746.76</v>
          </cell>
          <cell r="CV16">
            <v>1154</v>
          </cell>
          <cell r="CW16">
            <v>1142</v>
          </cell>
          <cell r="CX16">
            <v>1146</v>
          </cell>
          <cell r="CY16">
            <v>1250</v>
          </cell>
          <cell r="CZ16">
            <v>4692</v>
          </cell>
          <cell r="DB16">
            <v>1201</v>
          </cell>
          <cell r="DC16">
            <v>1369</v>
          </cell>
          <cell r="DD16">
            <v>1381</v>
          </cell>
          <cell r="DE16">
            <v>1621</v>
          </cell>
          <cell r="DF16">
            <v>5572</v>
          </cell>
          <cell r="DH16">
            <v>1152</v>
          </cell>
          <cell r="DI16">
            <v>1104</v>
          </cell>
          <cell r="DJ16">
            <v>1218</v>
          </cell>
          <cell r="DK16">
            <v>1438</v>
          </cell>
          <cell r="DL16">
            <v>4912</v>
          </cell>
          <cell r="DN16">
            <v>1168</v>
          </cell>
          <cell r="DO16">
            <v>1106</v>
          </cell>
          <cell r="DP16">
            <v>1185</v>
          </cell>
          <cell r="DQ16">
            <v>1285</v>
          </cell>
          <cell r="DR16">
            <v>4806</v>
          </cell>
          <cell r="DT16">
            <v>1154</v>
          </cell>
          <cell r="DU16">
            <v>1135</v>
          </cell>
          <cell r="DV16">
            <v>1179</v>
          </cell>
          <cell r="DW16">
            <v>1301</v>
          </cell>
          <cell r="DX16">
            <v>4836</v>
          </cell>
          <cell r="DZ16">
            <v>1135</v>
          </cell>
          <cell r="EA16">
            <v>1135</v>
          </cell>
          <cell r="EB16">
            <v>1193</v>
          </cell>
          <cell r="EC16">
            <v>1302</v>
          </cell>
          <cell r="ED16">
            <v>4837</v>
          </cell>
          <cell r="EF16">
            <v>1195</v>
          </cell>
          <cell r="EG16">
            <v>1207</v>
          </cell>
          <cell r="EH16">
            <v>1207</v>
          </cell>
          <cell r="EI16">
            <v>1322</v>
          </cell>
          <cell r="EJ16">
            <v>4931</v>
          </cell>
          <cell r="EK16" t="str">
            <v>SG&amp;A Expense</v>
          </cell>
          <cell r="EL16">
            <v>1213</v>
          </cell>
          <cell r="EM16">
            <v>1206</v>
          </cell>
          <cell r="EN16">
            <v>1973</v>
          </cell>
          <cell r="EO16">
            <v>2588</v>
          </cell>
          <cell r="EP16">
            <v>6980</v>
          </cell>
          <cell r="ER16">
            <v>2154</v>
          </cell>
          <cell r="ES16">
            <v>2117</v>
          </cell>
          <cell r="ET16">
            <v>2094</v>
          </cell>
          <cell r="EU16">
            <v>2313</v>
          </cell>
          <cell r="EV16">
            <v>8678</v>
          </cell>
          <cell r="EX16">
            <v>2113</v>
          </cell>
          <cell r="EY16">
            <v>2038</v>
          </cell>
          <cell r="EZ16">
            <v>2121</v>
          </cell>
          <cell r="FA16">
            <v>2282</v>
          </cell>
          <cell r="FB16">
            <v>8554</v>
          </cell>
          <cell r="FD16">
            <v>2080</v>
          </cell>
          <cell r="FE16">
            <v>2037</v>
          </cell>
          <cell r="FF16">
            <v>2085</v>
          </cell>
          <cell r="FG16">
            <v>2256</v>
          </cell>
          <cell r="FH16">
            <v>8458</v>
          </cell>
          <cell r="FJ16">
            <v>1985</v>
          </cell>
          <cell r="FK16">
            <v>1886</v>
          </cell>
          <cell r="FL16">
            <v>2056</v>
          </cell>
          <cell r="FM16">
            <v>2236</v>
          </cell>
          <cell r="FN16">
            <v>8163</v>
          </cell>
          <cell r="FP16">
            <v>1993</v>
          </cell>
          <cell r="FQ16">
            <v>1953</v>
          </cell>
          <cell r="FR16">
            <v>2069</v>
          </cell>
          <cell r="FS16">
            <v>2245</v>
          </cell>
          <cell r="FT16">
            <v>8260</v>
          </cell>
          <cell r="FV16">
            <v>1973</v>
          </cell>
          <cell r="FW16">
            <v>1976</v>
          </cell>
          <cell r="FX16">
            <v>2018</v>
          </cell>
          <cell r="FY16">
            <v>2314</v>
          </cell>
          <cell r="FZ16">
            <v>8281</v>
          </cell>
          <cell r="GB16">
            <v>1995</v>
          </cell>
          <cell r="GC16">
            <v>2009</v>
          </cell>
          <cell r="GD16">
            <v>2122.0121029772449</v>
          </cell>
          <cell r="GE16">
            <v>2427.3951769090281</v>
          </cell>
          <cell r="GF16">
            <v>8553.4072798862726</v>
          </cell>
          <cell r="GS16" t="str">
            <v>mstag:sellingGeneralAndAdministrativeExpenses</v>
          </cell>
          <cell r="GT16">
            <v>6</v>
          </cell>
          <cell r="GU16" t="str">
            <v>ISO4217:USD</v>
          </cell>
          <cell r="GV16" t="b">
            <v>0</v>
          </cell>
          <cell r="GW16" t="b">
            <v>0</v>
          </cell>
        </row>
        <row r="17">
          <cell r="A17" t="str">
            <v>Operating Income</v>
          </cell>
          <cell r="C17">
            <v>249.44800000000009</v>
          </cell>
          <cell r="D17">
            <v>135.17300000000068</v>
          </cell>
          <cell r="E17">
            <v>266.97200000000021</v>
          </cell>
          <cell r="F17">
            <v>300.90299999999979</v>
          </cell>
          <cell r="G17">
            <v>438.43400000000065</v>
          </cell>
          <cell r="H17">
            <v>510.64299999999912</v>
          </cell>
          <cell r="I17">
            <v>641.1039999999989</v>
          </cell>
          <cell r="J17">
            <v>0.28676919756182384</v>
          </cell>
          <cell r="K17">
            <v>682.80099999999948</v>
          </cell>
          <cell r="L17">
            <v>994.65099999999893</v>
          </cell>
          <cell r="N17">
            <v>663</v>
          </cell>
          <cell r="O17">
            <v>893</v>
          </cell>
          <cell r="P17">
            <v>1341</v>
          </cell>
          <cell r="Q17">
            <v>1455</v>
          </cell>
          <cell r="R17">
            <v>1693</v>
          </cell>
          <cell r="S17">
            <v>1771</v>
          </cell>
          <cell r="T17">
            <v>1376</v>
          </cell>
          <cell r="U17">
            <v>1411</v>
          </cell>
          <cell r="V17">
            <v>1400</v>
          </cell>
          <cell r="W17">
            <v>1499</v>
          </cell>
          <cell r="X17">
            <v>2138</v>
          </cell>
          <cell r="Y17">
            <v>2273</v>
          </cell>
          <cell r="Z17">
            <v>2082</v>
          </cell>
          <cell r="AA17">
            <v>1425</v>
          </cell>
          <cell r="AB17">
            <v>1454</v>
          </cell>
          <cell r="AC17">
            <v>1919</v>
          </cell>
          <cell r="AD17">
            <v>2386</v>
          </cell>
          <cell r="AE17">
            <v>2671.2966222272662</v>
          </cell>
          <cell r="AF17">
            <v>2777.5915838515466</v>
          </cell>
          <cell r="AG17">
            <v>2903.3832369986631</v>
          </cell>
          <cell r="AH17">
            <v>2933.4651235252149</v>
          </cell>
          <cell r="AI17">
            <v>2933.3028287747547</v>
          </cell>
          <cell r="AJ17">
            <v>2992.4277725080719</v>
          </cell>
          <cell r="AK17">
            <v>3052.4418848331807</v>
          </cell>
          <cell r="AL17">
            <v>3113.3570366275362</v>
          </cell>
          <cell r="AN17" t="str">
            <v>Operating Income</v>
          </cell>
          <cell r="AO17">
            <v>26.448000000000093</v>
          </cell>
          <cell r="AP17">
            <v>-40.062000000000012</v>
          </cell>
          <cell r="AQ17">
            <v>42.317999999999984</v>
          </cell>
          <cell r="AR17">
            <v>106.46899999999994</v>
          </cell>
          <cell r="AS17">
            <v>135.173</v>
          </cell>
          <cell r="AU17">
            <v>41.520000000000095</v>
          </cell>
          <cell r="AV17">
            <v>8.5089999999999009</v>
          </cell>
          <cell r="AW17">
            <v>53.267000000000053</v>
          </cell>
          <cell r="AX17">
            <v>163.67600000000027</v>
          </cell>
          <cell r="AY17">
            <v>266.97200000000032</v>
          </cell>
          <cell r="BA17">
            <v>84.661000000000172</v>
          </cell>
          <cell r="BB17">
            <v>31.674999999999955</v>
          </cell>
          <cell r="BC17">
            <v>110.76799999999992</v>
          </cell>
          <cell r="BD17">
            <v>211.33000000000004</v>
          </cell>
          <cell r="BE17">
            <v>438.43400000000008</v>
          </cell>
          <cell r="BG17">
            <v>86.781000000000063</v>
          </cell>
          <cell r="BH17">
            <v>62.034999999999968</v>
          </cell>
          <cell r="BI17">
            <v>107.38199999999995</v>
          </cell>
          <cell r="BJ17">
            <v>254.44499999999982</v>
          </cell>
          <cell r="BK17">
            <v>510.64299999999912</v>
          </cell>
          <cell r="BM17">
            <v>108.60800000000017</v>
          </cell>
          <cell r="BN17">
            <v>86.573999999999842</v>
          </cell>
          <cell r="BO17">
            <v>132.697</v>
          </cell>
          <cell r="BP17">
            <v>313.22500000000002</v>
          </cell>
          <cell r="BQ17">
            <v>641.1039999999989</v>
          </cell>
          <cell r="BS17">
            <v>60.500999999999976</v>
          </cell>
          <cell r="BT17">
            <v>32.076000000000022</v>
          </cell>
          <cell r="BU17">
            <v>124.07500000000005</v>
          </cell>
          <cell r="BV17">
            <v>466.14900000000011</v>
          </cell>
          <cell r="BW17">
            <v>682.80099999999948</v>
          </cell>
          <cell r="BY17">
            <v>95.886999999999716</v>
          </cell>
          <cell r="BZ17">
            <v>116.19800000000009</v>
          </cell>
          <cell r="CA17">
            <v>186.59699999999975</v>
          </cell>
          <cell r="CB17">
            <v>-42.526000000000238</v>
          </cell>
          <cell r="CC17">
            <v>144.11199999999985</v>
          </cell>
          <cell r="CD17">
            <v>595.96899999999982</v>
          </cell>
          <cell r="CE17">
            <v>625.72399999999948</v>
          </cell>
          <cell r="CF17">
            <v>994.65099999999893</v>
          </cell>
          <cell r="CG17">
            <v>1024.405999999999</v>
          </cell>
          <cell r="CH17">
            <v>981.87999999999738</v>
          </cell>
          <cell r="CJ17">
            <v>132.98699999999985</v>
          </cell>
          <cell r="CK17">
            <v>174.67100000000005</v>
          </cell>
          <cell r="CL17">
            <v>231.61600000000044</v>
          </cell>
          <cell r="CM17">
            <v>662.59099999999967</v>
          </cell>
          <cell r="CN17">
            <v>1201.8649999999998</v>
          </cell>
          <cell r="CP17">
            <v>148.06000000000017</v>
          </cell>
          <cell r="CQ17">
            <v>211.86000000000035</v>
          </cell>
          <cell r="CR17">
            <v>267.96100000000001</v>
          </cell>
          <cell r="CS17">
            <v>712.904</v>
          </cell>
          <cell r="CT17">
            <v>1340.7850000000005</v>
          </cell>
          <cell r="CV17">
            <v>181</v>
          </cell>
          <cell r="CW17">
            <v>267</v>
          </cell>
          <cell r="CX17">
            <v>257</v>
          </cell>
          <cell r="CY17">
            <v>750</v>
          </cell>
          <cell r="CZ17">
            <v>1455</v>
          </cell>
          <cell r="DB17">
            <v>225</v>
          </cell>
          <cell r="DC17">
            <v>318</v>
          </cell>
          <cell r="DD17">
            <v>302</v>
          </cell>
          <cell r="DE17">
            <v>856</v>
          </cell>
          <cell r="DF17">
            <v>1701</v>
          </cell>
          <cell r="DH17">
            <v>269</v>
          </cell>
          <cell r="DI17">
            <v>402</v>
          </cell>
          <cell r="DJ17">
            <v>269</v>
          </cell>
          <cell r="DK17">
            <v>831</v>
          </cell>
          <cell r="DL17">
            <v>1771</v>
          </cell>
          <cell r="DN17">
            <v>230</v>
          </cell>
          <cell r="DO17">
            <v>254</v>
          </cell>
          <cell r="DP17">
            <v>156</v>
          </cell>
          <cell r="DQ17">
            <v>736</v>
          </cell>
          <cell r="DR17">
            <v>1376</v>
          </cell>
          <cell r="DT17">
            <v>221</v>
          </cell>
          <cell r="DU17">
            <v>300</v>
          </cell>
          <cell r="DV17">
            <v>188</v>
          </cell>
          <cell r="DW17">
            <v>702</v>
          </cell>
          <cell r="DX17">
            <v>1411</v>
          </cell>
          <cell r="DZ17">
            <v>154</v>
          </cell>
          <cell r="EA17">
            <v>274</v>
          </cell>
          <cell r="EB17">
            <v>202</v>
          </cell>
          <cell r="EC17">
            <v>770</v>
          </cell>
          <cell r="ED17">
            <v>1400</v>
          </cell>
          <cell r="EF17">
            <v>236</v>
          </cell>
          <cell r="EG17">
            <v>276</v>
          </cell>
          <cell r="EH17">
            <v>211</v>
          </cell>
          <cell r="EI17">
            <v>776</v>
          </cell>
          <cell r="EJ17">
            <v>1499</v>
          </cell>
          <cell r="EK17" t="str">
            <v>Operating Income</v>
          </cell>
          <cell r="EL17">
            <v>252</v>
          </cell>
          <cell r="EM17">
            <v>291</v>
          </cell>
          <cell r="EN17">
            <v>270</v>
          </cell>
          <cell r="EO17">
            <v>1325</v>
          </cell>
          <cell r="EP17">
            <v>2138</v>
          </cell>
          <cell r="ER17">
            <v>149</v>
          </cell>
          <cell r="ES17">
            <v>408</v>
          </cell>
          <cell r="ET17">
            <v>279</v>
          </cell>
          <cell r="EU17">
            <v>1437</v>
          </cell>
          <cell r="EV17">
            <v>2273</v>
          </cell>
          <cell r="EX17">
            <v>244</v>
          </cell>
          <cell r="EY17">
            <v>347</v>
          </cell>
          <cell r="EZ17">
            <v>200</v>
          </cell>
          <cell r="FA17">
            <v>1291</v>
          </cell>
          <cell r="FB17">
            <v>2082</v>
          </cell>
          <cell r="FD17">
            <v>140</v>
          </cell>
          <cell r="FE17">
            <v>335</v>
          </cell>
          <cell r="FF17">
            <v>84</v>
          </cell>
          <cell r="FG17">
            <v>866</v>
          </cell>
          <cell r="FH17">
            <v>1425</v>
          </cell>
          <cell r="FJ17">
            <v>24</v>
          </cell>
          <cell r="FK17">
            <v>282</v>
          </cell>
          <cell r="FL17">
            <v>88</v>
          </cell>
          <cell r="FM17">
            <v>1060</v>
          </cell>
          <cell r="FN17">
            <v>1454</v>
          </cell>
          <cell r="FP17">
            <v>203</v>
          </cell>
          <cell r="FQ17">
            <v>370</v>
          </cell>
          <cell r="FR17">
            <v>177</v>
          </cell>
          <cell r="FS17">
            <v>1169</v>
          </cell>
          <cell r="FT17">
            <v>1919</v>
          </cell>
          <cell r="FV17">
            <v>330</v>
          </cell>
          <cell r="FW17">
            <v>506</v>
          </cell>
          <cell r="FX17">
            <v>291</v>
          </cell>
          <cell r="FY17">
            <v>1259</v>
          </cell>
          <cell r="FZ17">
            <v>2386</v>
          </cell>
          <cell r="GB17">
            <v>391</v>
          </cell>
          <cell r="GC17">
            <v>554</v>
          </cell>
          <cell r="GD17">
            <v>281.57499452664797</v>
          </cell>
          <cell r="GE17">
            <v>1444.7216277006182</v>
          </cell>
          <cell r="GF17">
            <v>2671.2966222272662</v>
          </cell>
        </row>
        <row r="19">
          <cell r="A19" t="str">
            <v xml:space="preserve">Interest Expense, net </v>
          </cell>
          <cell r="C19">
            <v>806.66499999999996</v>
          </cell>
          <cell r="D19">
            <v>555.94200000000001</v>
          </cell>
          <cell r="E19">
            <v>436.99700000000001</v>
          </cell>
          <cell r="F19">
            <v>224.37599999999998</v>
          </cell>
          <cell r="G19">
            <v>197.85400000000001</v>
          </cell>
          <cell r="H19">
            <v>164.13899999999998</v>
          </cell>
          <cell r="I19">
            <v>199.44799999999998</v>
          </cell>
          <cell r="K19">
            <v>448</v>
          </cell>
          <cell r="L19">
            <v>413.26499999999999</v>
          </cell>
          <cell r="N19">
            <v>461</v>
          </cell>
          <cell r="O19">
            <v>452</v>
          </cell>
          <cell r="P19">
            <v>383</v>
          </cell>
          <cell r="Q19">
            <v>292</v>
          </cell>
          <cell r="R19">
            <v>307</v>
          </cell>
          <cell r="S19">
            <v>321</v>
          </cell>
          <cell r="T19">
            <v>324</v>
          </cell>
          <cell r="U19">
            <v>295</v>
          </cell>
          <cell r="V19">
            <v>257</v>
          </cell>
          <cell r="W19">
            <v>225</v>
          </cell>
          <cell r="X19">
            <v>397</v>
          </cell>
          <cell r="Y19">
            <v>461</v>
          </cell>
          <cell r="Z19">
            <v>543</v>
          </cell>
          <cell r="AA19">
            <v>560</v>
          </cell>
          <cell r="AB19">
            <v>556</v>
          </cell>
          <cell r="AC19">
            <v>574</v>
          </cell>
          <cell r="AD19">
            <v>443</v>
          </cell>
          <cell r="AE19">
            <v>437.94267925414607</v>
          </cell>
          <cell r="AF19">
            <v>437.64689230808881</v>
          </cell>
          <cell r="AG19">
            <v>333.89684092277935</v>
          </cell>
          <cell r="AH19">
            <v>328.47781900841903</v>
          </cell>
          <cell r="AI19">
            <v>261.10044333485752</v>
          </cell>
          <cell r="AJ19">
            <v>217.66232702027793</v>
          </cell>
          <cell r="AK19">
            <v>193.03041288077011</v>
          </cell>
          <cell r="AL19">
            <v>185.41379199688066</v>
          </cell>
          <cell r="AN19" t="str">
            <v xml:space="preserve">Interest Expense, net </v>
          </cell>
          <cell r="AO19">
            <v>150.16</v>
          </cell>
          <cell r="AP19">
            <v>137.041</v>
          </cell>
          <cell r="AQ19">
            <v>134.49700000000001</v>
          </cell>
          <cell r="AR19">
            <v>134.244</v>
          </cell>
          <cell r="AS19">
            <v>555.94200000000001</v>
          </cell>
          <cell r="AU19">
            <v>115.88100000000001</v>
          </cell>
          <cell r="AV19">
            <v>110.38499999999999</v>
          </cell>
          <cell r="AW19">
            <v>109.601</v>
          </cell>
          <cell r="AX19">
            <v>101.13</v>
          </cell>
          <cell r="AY19">
            <v>436.99700000000001</v>
          </cell>
          <cell r="BA19">
            <v>57.285000000000011</v>
          </cell>
          <cell r="BB19">
            <v>49.753999999999998</v>
          </cell>
          <cell r="BC19">
            <v>43.933</v>
          </cell>
          <cell r="BD19">
            <v>46.881999999999998</v>
          </cell>
          <cell r="BE19">
            <v>197.85400000000001</v>
          </cell>
          <cell r="BG19">
            <v>43.271999999999998</v>
          </cell>
          <cell r="BH19">
            <v>40.268999999999998</v>
          </cell>
          <cell r="BI19">
            <v>39.991999999999997</v>
          </cell>
          <cell r="BJ19">
            <v>40.606000000000002</v>
          </cell>
          <cell r="BK19">
            <v>164.13899999999998</v>
          </cell>
          <cell r="BM19">
            <v>45.338999999999999</v>
          </cell>
          <cell r="BN19">
            <v>48.698</v>
          </cell>
          <cell r="BO19">
            <v>50.985999999999997</v>
          </cell>
          <cell r="BP19">
            <v>54.424999999999997</v>
          </cell>
          <cell r="BQ19">
            <v>199.44799999999998</v>
          </cell>
          <cell r="BS19">
            <v>103.04</v>
          </cell>
          <cell r="BT19">
            <v>109.75999999999999</v>
          </cell>
          <cell r="BU19">
            <v>114.24000000000001</v>
          </cell>
          <cell r="BV19">
            <v>120.96000000000001</v>
          </cell>
          <cell r="BW19">
            <v>448</v>
          </cell>
          <cell r="BY19">
            <v>97.552000000000007</v>
          </cell>
          <cell r="BZ19">
            <v>103.21599999999999</v>
          </cell>
          <cell r="CA19">
            <v>104.617</v>
          </cell>
          <cell r="CB19">
            <v>25.671999999999983</v>
          </cell>
          <cell r="CC19">
            <v>130.28899999999999</v>
          </cell>
          <cell r="CD19">
            <v>107.88</v>
          </cell>
          <cell r="CE19">
            <v>129.971</v>
          </cell>
          <cell r="CF19">
            <v>413.26499999999999</v>
          </cell>
          <cell r="CG19">
            <v>435.35599999999999</v>
          </cell>
          <cell r="CH19">
            <v>461.02799999999996</v>
          </cell>
          <cell r="CJ19">
            <v>112.28100000000001</v>
          </cell>
          <cell r="CK19">
            <v>115.614</v>
          </cell>
          <cell r="CL19">
            <v>113.361</v>
          </cell>
          <cell r="CM19">
            <v>110.508</v>
          </cell>
          <cell r="CN19">
            <v>451.76400000000001</v>
          </cell>
          <cell r="CP19">
            <v>104.377</v>
          </cell>
          <cell r="CQ19">
            <v>99.263000000000005</v>
          </cell>
          <cell r="CR19">
            <v>91.878</v>
          </cell>
          <cell r="CS19">
            <v>86.977000000000004</v>
          </cell>
          <cell r="CT19">
            <v>382.495</v>
          </cell>
          <cell r="CV19">
            <v>77</v>
          </cell>
          <cell r="CW19">
            <v>74</v>
          </cell>
          <cell r="CX19">
            <v>72</v>
          </cell>
          <cell r="CY19">
            <v>69</v>
          </cell>
          <cell r="CZ19">
            <v>292</v>
          </cell>
          <cell r="DB19">
            <v>75</v>
          </cell>
          <cell r="DC19">
            <v>85</v>
          </cell>
          <cell r="DD19">
            <v>91</v>
          </cell>
          <cell r="DE19">
            <v>104</v>
          </cell>
          <cell r="DF19">
            <v>355</v>
          </cell>
          <cell r="DH19">
            <v>69</v>
          </cell>
          <cell r="DI19">
            <v>78</v>
          </cell>
          <cell r="DJ19">
            <v>84</v>
          </cell>
          <cell r="DK19">
            <v>90</v>
          </cell>
          <cell r="DL19">
            <v>321</v>
          </cell>
          <cell r="DN19">
            <v>78</v>
          </cell>
          <cell r="DO19">
            <v>78</v>
          </cell>
          <cell r="DP19">
            <v>80</v>
          </cell>
          <cell r="DQ19">
            <v>88</v>
          </cell>
          <cell r="DR19">
            <v>324</v>
          </cell>
          <cell r="DT19">
            <v>74</v>
          </cell>
          <cell r="DU19">
            <v>78</v>
          </cell>
          <cell r="DV19">
            <v>73</v>
          </cell>
          <cell r="DW19">
            <v>70</v>
          </cell>
          <cell r="DX19">
            <v>295</v>
          </cell>
          <cell r="DZ19">
            <v>70</v>
          </cell>
          <cell r="EA19">
            <v>65</v>
          </cell>
          <cell r="EB19">
            <v>61</v>
          </cell>
          <cell r="EC19">
            <v>61</v>
          </cell>
          <cell r="ED19">
            <v>257</v>
          </cell>
          <cell r="EF19">
            <v>60</v>
          </cell>
          <cell r="EG19">
            <v>60</v>
          </cell>
          <cell r="EH19">
            <v>55</v>
          </cell>
          <cell r="EI19">
            <v>50</v>
          </cell>
          <cell r="EJ19">
            <v>225</v>
          </cell>
          <cell r="EK19" t="str">
            <v xml:space="preserve">Interest Expense, net </v>
          </cell>
          <cell r="EL19">
            <v>54</v>
          </cell>
          <cell r="EM19">
            <v>54</v>
          </cell>
          <cell r="EN19">
            <v>145</v>
          </cell>
          <cell r="EO19">
            <v>144</v>
          </cell>
          <cell r="EP19">
            <v>397</v>
          </cell>
          <cell r="ER19">
            <v>138</v>
          </cell>
          <cell r="ES19">
            <v>116</v>
          </cell>
          <cell r="ET19">
            <v>104</v>
          </cell>
          <cell r="EU19">
            <v>103</v>
          </cell>
          <cell r="EV19">
            <v>461</v>
          </cell>
          <cell r="EX19">
            <v>125</v>
          </cell>
          <cell r="EY19">
            <v>137</v>
          </cell>
          <cell r="EZ19">
            <v>145</v>
          </cell>
          <cell r="FA19">
            <v>136</v>
          </cell>
          <cell r="FB19">
            <v>543</v>
          </cell>
          <cell r="FD19">
            <v>136</v>
          </cell>
          <cell r="FE19">
            <v>138</v>
          </cell>
          <cell r="FF19">
            <v>143</v>
          </cell>
          <cell r="FG19">
            <v>143</v>
          </cell>
          <cell r="FH19">
            <v>560</v>
          </cell>
          <cell r="FJ19">
            <v>141</v>
          </cell>
          <cell r="FK19">
            <v>139</v>
          </cell>
          <cell r="FL19">
            <v>137</v>
          </cell>
          <cell r="FM19">
            <v>139</v>
          </cell>
          <cell r="FN19">
            <v>556</v>
          </cell>
          <cell r="FP19">
            <v>162</v>
          </cell>
          <cell r="FQ19">
            <v>130</v>
          </cell>
          <cell r="FR19">
            <v>164</v>
          </cell>
          <cell r="FS19">
            <v>118</v>
          </cell>
          <cell r="FT19">
            <v>574</v>
          </cell>
          <cell r="FV19">
            <v>116</v>
          </cell>
          <cell r="FW19">
            <v>111</v>
          </cell>
          <cell r="FX19">
            <v>108</v>
          </cell>
          <cell r="FY19">
            <v>108</v>
          </cell>
          <cell r="FZ19">
            <v>443</v>
          </cell>
          <cell r="GB19">
            <v>112</v>
          </cell>
          <cell r="GC19">
            <v>105</v>
          </cell>
          <cell r="GD19">
            <v>106.92000000000002</v>
          </cell>
          <cell r="GE19">
            <v>114.02267925414607</v>
          </cell>
          <cell r="GF19">
            <v>437.94267925414607</v>
          </cell>
          <cell r="GS19" t="str">
            <v>mstag:interestExpense</v>
          </cell>
          <cell r="GT19">
            <v>6</v>
          </cell>
          <cell r="GU19" t="str">
            <v>ISO4217:USD</v>
          </cell>
          <cell r="GV19" t="b">
            <v>0</v>
          </cell>
          <cell r="GW19" t="b">
            <v>0</v>
          </cell>
        </row>
        <row r="20">
          <cell r="A20" t="str">
            <v>LIFO Charge</v>
          </cell>
          <cell r="C20">
            <v>0</v>
          </cell>
          <cell r="D20">
            <v>0</v>
          </cell>
          <cell r="E20">
            <v>0</v>
          </cell>
          <cell r="F20">
            <v>23.248000000000001</v>
          </cell>
          <cell r="G20">
            <v>8.5730000000000022</v>
          </cell>
          <cell r="H20">
            <v>2.7240000000000002</v>
          </cell>
          <cell r="I20">
            <v>-11.271000000000001</v>
          </cell>
          <cell r="K20">
            <v>-2.0990000000000002</v>
          </cell>
          <cell r="L20">
            <v>-0.2390000000000001</v>
          </cell>
          <cell r="AN20" t="str">
            <v>LIFO Charge</v>
          </cell>
          <cell r="AO20">
            <v>0</v>
          </cell>
          <cell r="AP20">
            <v>0</v>
          </cell>
          <cell r="AQ20">
            <v>0</v>
          </cell>
          <cell r="AR20">
            <v>0</v>
          </cell>
          <cell r="AS20">
            <v>0</v>
          </cell>
          <cell r="AU20">
            <v>0</v>
          </cell>
          <cell r="AV20">
            <v>0</v>
          </cell>
          <cell r="AW20">
            <v>0</v>
          </cell>
          <cell r="AX20">
            <v>10.055999999999999</v>
          </cell>
          <cell r="AY20">
            <v>23.248000000000001</v>
          </cell>
          <cell r="BA20">
            <v>4.4000000000000004</v>
          </cell>
          <cell r="BB20">
            <v>4.4000000000000004</v>
          </cell>
          <cell r="BC20">
            <v>11.3</v>
          </cell>
          <cell r="BD20">
            <v>-11.526999999999999</v>
          </cell>
          <cell r="BE20">
            <v>8.5730000000000022</v>
          </cell>
          <cell r="BG20">
            <v>3.85</v>
          </cell>
          <cell r="BH20">
            <v>3.6749999999999998</v>
          </cell>
          <cell r="BI20">
            <v>4.375</v>
          </cell>
          <cell r="BJ20">
            <v>-9.1760000000000002</v>
          </cell>
          <cell r="BK20">
            <v>2.7240000000000002</v>
          </cell>
          <cell r="BM20">
            <v>5.2009999999999996</v>
          </cell>
          <cell r="BN20">
            <v>0.60399999999999998</v>
          </cell>
          <cell r="BO20">
            <v>3.375</v>
          </cell>
          <cell r="BP20">
            <v>-20.451000000000001</v>
          </cell>
          <cell r="BQ20">
            <v>-11.271000000000001</v>
          </cell>
          <cell r="BS20">
            <v>10.201000000000001</v>
          </cell>
          <cell r="BT20">
            <v>2.2759999999999998</v>
          </cell>
          <cell r="BU20">
            <v>5.875</v>
          </cell>
          <cell r="BV20">
            <v>-20.451000000000001</v>
          </cell>
          <cell r="BW20">
            <v>-2.0990000000000002</v>
          </cell>
          <cell r="BY20">
            <v>1.7609999999999999</v>
          </cell>
          <cell r="BZ20">
            <v>0</v>
          </cell>
          <cell r="CA20">
            <v>0</v>
          </cell>
          <cell r="CB20">
            <v>0</v>
          </cell>
          <cell r="CC20">
            <v>0</v>
          </cell>
          <cell r="CD20">
            <v>-2</v>
          </cell>
          <cell r="CE20">
            <v>-1.7609999999999999</v>
          </cell>
          <cell r="CF20">
            <v>-0.2390000000000001</v>
          </cell>
          <cell r="CG20">
            <v>0</v>
          </cell>
          <cell r="CH20">
            <v>0</v>
          </cell>
        </row>
        <row r="21">
          <cell r="A21" t="str">
            <v>Pre-Tax Extraordinary Charges (FYins)</v>
          </cell>
          <cell r="C21">
            <v>1209.9270000000001</v>
          </cell>
          <cell r="D21">
            <v>127.032</v>
          </cell>
          <cell r="E21">
            <v>1679.9359999999999</v>
          </cell>
          <cell r="F21">
            <v>0</v>
          </cell>
          <cell r="G21">
            <v>0</v>
          </cell>
          <cell r="H21">
            <v>-24</v>
          </cell>
          <cell r="I21">
            <v>25.204999999999998</v>
          </cell>
          <cell r="K21">
            <v>144.60500000000002</v>
          </cell>
          <cell r="L21">
            <v>276.92599999999999</v>
          </cell>
          <cell r="N21">
            <v>0</v>
          </cell>
          <cell r="O21">
            <v>0</v>
          </cell>
          <cell r="P21">
            <v>0</v>
          </cell>
          <cell r="Q21">
            <v>0</v>
          </cell>
          <cell r="R21">
            <v>0</v>
          </cell>
          <cell r="S21">
            <v>80</v>
          </cell>
          <cell r="T21">
            <v>272</v>
          </cell>
          <cell r="U21">
            <v>68</v>
          </cell>
          <cell r="V21">
            <v>59</v>
          </cell>
          <cell r="W21">
            <v>158</v>
          </cell>
          <cell r="X21">
            <v>-303</v>
          </cell>
          <cell r="Y21">
            <v>437</v>
          </cell>
          <cell r="Z21">
            <v>219</v>
          </cell>
          <cell r="AA21">
            <v>421</v>
          </cell>
          <cell r="AB21">
            <v>391</v>
          </cell>
          <cell r="AC21">
            <v>25</v>
          </cell>
          <cell r="AD21">
            <v>-25</v>
          </cell>
          <cell r="AE21">
            <v>0</v>
          </cell>
          <cell r="AF21">
            <v>0</v>
          </cell>
          <cell r="AG21">
            <v>0</v>
          </cell>
          <cell r="AH21">
            <v>0</v>
          </cell>
          <cell r="AI21">
            <v>0</v>
          </cell>
          <cell r="AJ21">
            <v>0</v>
          </cell>
          <cell r="AK21">
            <v>0</v>
          </cell>
          <cell r="AL21">
            <v>0</v>
          </cell>
          <cell r="AN21" t="str">
            <v>Pre-Tax Extraordinary Charges (FYins)</v>
          </cell>
          <cell r="AO21">
            <v>19.689</v>
          </cell>
          <cell r="AP21">
            <v>9.3439999999999994</v>
          </cell>
          <cell r="AQ21">
            <v>29.286000000000001</v>
          </cell>
          <cell r="AR21">
            <v>68.712999999999994</v>
          </cell>
          <cell r="AS21">
            <v>127.032</v>
          </cell>
          <cell r="AU21">
            <v>10.657</v>
          </cell>
          <cell r="AV21">
            <v>108.504</v>
          </cell>
          <cell r="AW21">
            <v>23.658000000000001</v>
          </cell>
          <cell r="AX21">
            <v>1537.117</v>
          </cell>
          <cell r="AY21">
            <v>1679.9359999999999</v>
          </cell>
          <cell r="BA21">
            <v>0</v>
          </cell>
          <cell r="BB21">
            <v>0</v>
          </cell>
          <cell r="BC21">
            <v>0</v>
          </cell>
          <cell r="BD21">
            <v>0</v>
          </cell>
          <cell r="BE21">
            <v>0</v>
          </cell>
          <cell r="BG21">
            <v>0</v>
          </cell>
          <cell r="BH21">
            <v>0</v>
          </cell>
          <cell r="BI21">
            <v>0</v>
          </cell>
          <cell r="BJ21">
            <v>-24</v>
          </cell>
          <cell r="BK21">
            <v>-24</v>
          </cell>
          <cell r="BM21">
            <v>0</v>
          </cell>
          <cell r="BN21">
            <v>27.004999999999999</v>
          </cell>
          <cell r="BO21">
            <v>0</v>
          </cell>
          <cell r="BP21">
            <v>-1.8000000000000007</v>
          </cell>
          <cell r="BQ21">
            <v>25.204999999999998</v>
          </cell>
          <cell r="BS21">
            <v>0</v>
          </cell>
          <cell r="BT21">
            <v>7.5050000000000026</v>
          </cell>
          <cell r="BU21">
            <v>80</v>
          </cell>
          <cell r="BV21">
            <v>57.100000000000009</v>
          </cell>
          <cell r="BW21">
            <v>144.60500000000002</v>
          </cell>
          <cell r="BY21">
            <v>83.322000000000003</v>
          </cell>
          <cell r="BZ21">
            <v>114.604</v>
          </cell>
          <cell r="CA21">
            <v>39</v>
          </cell>
          <cell r="CB21">
            <v>0</v>
          </cell>
          <cell r="CC21">
            <v>39.134</v>
          </cell>
          <cell r="CD21">
            <v>40</v>
          </cell>
          <cell r="CE21">
            <v>82.450999999999993</v>
          </cell>
          <cell r="CF21">
            <v>276.92599999999999</v>
          </cell>
          <cell r="CG21">
            <v>319.37699999999995</v>
          </cell>
          <cell r="CH21">
            <v>319.37699999999995</v>
          </cell>
          <cell r="CJ21">
            <v>77.7</v>
          </cell>
          <cell r="CK21">
            <v>98.917000000000002</v>
          </cell>
          <cell r="CL21">
            <v>44.304000000000002</v>
          </cell>
          <cell r="CM21">
            <v>87.721999999999994</v>
          </cell>
          <cell r="CN21">
            <v>308.64300000000003</v>
          </cell>
          <cell r="CP21">
            <v>0</v>
          </cell>
          <cell r="CQ21">
            <v>0</v>
          </cell>
          <cell r="CR21">
            <v>0</v>
          </cell>
          <cell r="CS21">
            <v>0</v>
          </cell>
          <cell r="CT21">
            <v>0</v>
          </cell>
          <cell r="CV21">
            <v>0</v>
          </cell>
          <cell r="CW21">
            <v>0</v>
          </cell>
          <cell r="CX21">
            <v>0</v>
          </cell>
          <cell r="CY21">
            <v>0</v>
          </cell>
          <cell r="CZ21">
            <v>0</v>
          </cell>
          <cell r="DB21">
            <v>0</v>
          </cell>
          <cell r="DC21">
            <v>0</v>
          </cell>
          <cell r="DD21">
            <v>0</v>
          </cell>
          <cell r="DE21">
            <v>0</v>
          </cell>
          <cell r="DF21">
            <v>0</v>
          </cell>
          <cell r="DH21">
            <v>0</v>
          </cell>
          <cell r="DI21">
            <v>0</v>
          </cell>
          <cell r="DJ21">
            <v>0</v>
          </cell>
          <cell r="DK21">
            <v>80</v>
          </cell>
          <cell r="DL21">
            <v>80</v>
          </cell>
          <cell r="DN21">
            <v>52</v>
          </cell>
          <cell r="DO21">
            <v>41</v>
          </cell>
          <cell r="DP21">
            <v>30</v>
          </cell>
          <cell r="DQ21">
            <v>149</v>
          </cell>
          <cell r="DR21">
            <v>272</v>
          </cell>
          <cell r="DT21">
            <v>0</v>
          </cell>
          <cell r="DU21">
            <v>0</v>
          </cell>
          <cell r="DV21">
            <v>0</v>
          </cell>
          <cell r="DW21">
            <v>68</v>
          </cell>
          <cell r="DX21">
            <v>68</v>
          </cell>
          <cell r="DZ21">
            <v>8</v>
          </cell>
          <cell r="EA21">
            <v>10</v>
          </cell>
          <cell r="EB21">
            <v>29</v>
          </cell>
          <cell r="EC21">
            <v>12</v>
          </cell>
          <cell r="ED21">
            <v>59</v>
          </cell>
          <cell r="EF21">
            <v>19</v>
          </cell>
          <cell r="EG21">
            <v>90</v>
          </cell>
          <cell r="EH21">
            <v>36</v>
          </cell>
          <cell r="EI21">
            <v>13</v>
          </cell>
          <cell r="EJ21">
            <v>158</v>
          </cell>
          <cell r="EK21" t="str">
            <v>Pre-Tax Extraordinary Charges (FYins)</v>
          </cell>
          <cell r="EL21">
            <v>0</v>
          </cell>
          <cell r="EM21">
            <v>0</v>
          </cell>
          <cell r="EN21">
            <v>-417</v>
          </cell>
          <cell r="EO21">
            <v>114</v>
          </cell>
          <cell r="EP21">
            <v>-303</v>
          </cell>
          <cell r="ER21">
            <v>129</v>
          </cell>
          <cell r="ES21">
            <v>-14</v>
          </cell>
          <cell r="ET21">
            <v>145</v>
          </cell>
          <cell r="EU21">
            <v>177</v>
          </cell>
          <cell r="EV21">
            <v>437</v>
          </cell>
          <cell r="EX21">
            <v>36</v>
          </cell>
          <cell r="EY21">
            <v>97</v>
          </cell>
          <cell r="EZ21">
            <v>17</v>
          </cell>
          <cell r="FA21">
            <v>69</v>
          </cell>
          <cell r="FB21">
            <v>219</v>
          </cell>
          <cell r="FD21">
            <v>110</v>
          </cell>
          <cell r="FE21">
            <v>76</v>
          </cell>
          <cell r="FF21">
            <v>16</v>
          </cell>
          <cell r="FG21">
            <v>219</v>
          </cell>
          <cell r="FH21">
            <v>421</v>
          </cell>
          <cell r="FJ21">
            <v>138</v>
          </cell>
          <cell r="FK21">
            <v>34</v>
          </cell>
          <cell r="FL21">
            <v>33</v>
          </cell>
          <cell r="FM21">
            <v>186</v>
          </cell>
          <cell r="FN21">
            <v>391</v>
          </cell>
          <cell r="FP21">
            <v>0</v>
          </cell>
          <cell r="FQ21">
            <v>0</v>
          </cell>
          <cell r="FR21">
            <v>0</v>
          </cell>
          <cell r="FS21">
            <v>25</v>
          </cell>
          <cell r="FT21">
            <v>25</v>
          </cell>
          <cell r="FV21">
            <v>0</v>
          </cell>
          <cell r="FW21">
            <v>0</v>
          </cell>
          <cell r="FX21">
            <v>0</v>
          </cell>
          <cell r="FY21">
            <v>-25</v>
          </cell>
          <cell r="FZ21">
            <v>-25</v>
          </cell>
          <cell r="GB21">
            <v>0</v>
          </cell>
          <cell r="GC21">
            <v>0</v>
          </cell>
          <cell r="GD21">
            <v>0</v>
          </cell>
          <cell r="GE21">
            <v>0</v>
          </cell>
          <cell r="GF21">
            <v>0</v>
          </cell>
        </row>
        <row r="23">
          <cell r="A23" t="str">
            <v>Pretax Income</v>
          </cell>
          <cell r="C23">
            <v>-1767.144</v>
          </cell>
          <cell r="D23">
            <v>-547.80099999999936</v>
          </cell>
          <cell r="E23">
            <v>-1849.9609999999998</v>
          </cell>
          <cell r="F23">
            <v>53.278999999999812</v>
          </cell>
          <cell r="G23">
            <v>232.00700000000063</v>
          </cell>
          <cell r="H23">
            <v>367.77999999999912</v>
          </cell>
          <cell r="I23">
            <v>427.72199999999896</v>
          </cell>
          <cell r="J23">
            <v>1.0023277888444908</v>
          </cell>
          <cell r="K23">
            <v>92.294999999999447</v>
          </cell>
          <cell r="L23">
            <v>304.69899999999899</v>
          </cell>
          <cell r="N23">
            <v>202</v>
          </cell>
          <cell r="O23">
            <v>441</v>
          </cell>
          <cell r="P23">
            <v>958</v>
          </cell>
          <cell r="Q23">
            <v>1163</v>
          </cell>
          <cell r="R23">
            <v>1386</v>
          </cell>
          <cell r="S23">
            <v>1370</v>
          </cell>
          <cell r="T23">
            <v>780</v>
          </cell>
          <cell r="U23">
            <v>1048</v>
          </cell>
          <cell r="V23">
            <v>1084</v>
          </cell>
          <cell r="W23">
            <v>1116</v>
          </cell>
          <cell r="X23">
            <v>2044</v>
          </cell>
          <cell r="Y23">
            <v>1375</v>
          </cell>
          <cell r="Z23">
            <v>1320</v>
          </cell>
          <cell r="AA23">
            <v>444</v>
          </cell>
          <cell r="AB23">
            <v>507</v>
          </cell>
          <cell r="AC23">
            <v>1320</v>
          </cell>
          <cell r="AD23">
            <v>1968</v>
          </cell>
          <cell r="AE23">
            <v>2233.35394297312</v>
          </cell>
          <cell r="AF23">
            <v>2339.9446915434578</v>
          </cell>
          <cell r="AG23">
            <v>2569.4863960758839</v>
          </cell>
          <cell r="AH23">
            <v>2604.987304516796</v>
          </cell>
          <cell r="AI23">
            <v>2672.2023854398972</v>
          </cell>
          <cell r="AJ23">
            <v>2774.7654454877938</v>
          </cell>
          <cell r="AK23">
            <v>2859.4114719524105</v>
          </cell>
          <cell r="AL23">
            <v>2927.9432446306555</v>
          </cell>
          <cell r="AN23" t="str">
            <v>Pretax Income</v>
          </cell>
          <cell r="AO23">
            <v>-143.4009999999999</v>
          </cell>
          <cell r="AP23">
            <v>-186.447</v>
          </cell>
          <cell r="AQ23">
            <v>-121.46500000000003</v>
          </cell>
          <cell r="AR23">
            <v>-96.488000000000056</v>
          </cell>
          <cell r="AS23">
            <v>-547.80100000000004</v>
          </cell>
          <cell r="AT23">
            <v>0</v>
          </cell>
          <cell r="AU23">
            <v>-85.017999999999915</v>
          </cell>
          <cell r="AV23">
            <v>-210.38000000000011</v>
          </cell>
          <cell r="AW23">
            <v>-79.991999999999962</v>
          </cell>
          <cell r="AX23">
            <v>-1484.6269999999995</v>
          </cell>
          <cell r="AY23">
            <v>-1873.2089999999998</v>
          </cell>
          <cell r="AZ23">
            <v>0</v>
          </cell>
          <cell r="BA23">
            <v>22.976000000000163</v>
          </cell>
          <cell r="BB23">
            <v>-22.479000000000042</v>
          </cell>
          <cell r="BC23">
            <v>55.534999999999911</v>
          </cell>
          <cell r="BD23">
            <v>175.97500000000005</v>
          </cell>
          <cell r="BE23">
            <v>232.00700000000006</v>
          </cell>
          <cell r="BF23">
            <v>0</v>
          </cell>
          <cell r="BG23">
            <v>39.659000000000063</v>
          </cell>
          <cell r="BH23">
            <v>18.090999999999973</v>
          </cell>
          <cell r="BI23">
            <v>63.014999999999951</v>
          </cell>
          <cell r="BJ23">
            <v>247.01499999999982</v>
          </cell>
          <cell r="BK23">
            <v>367.77999999999918</v>
          </cell>
          <cell r="BL23">
            <v>0</v>
          </cell>
          <cell r="BM23">
            <v>58.068000000000175</v>
          </cell>
          <cell r="BN23">
            <v>10.26699999999984</v>
          </cell>
          <cell r="BO23">
            <v>78.336000000000013</v>
          </cell>
          <cell r="BP23">
            <v>281.05100000000004</v>
          </cell>
          <cell r="BQ23">
            <v>427.72199999999896</v>
          </cell>
          <cell r="BR23">
            <v>0</v>
          </cell>
          <cell r="BS23">
            <v>-52.740000000000038</v>
          </cell>
          <cell r="BT23">
            <v>-87.464999999999975</v>
          </cell>
          <cell r="BU23">
            <v>-76.039999999999964</v>
          </cell>
          <cell r="BV23">
            <v>308.54000000000008</v>
          </cell>
          <cell r="BW23">
            <v>92.294999999999391</v>
          </cell>
          <cell r="BX23">
            <v>0</v>
          </cell>
          <cell r="BY23">
            <v>-86.748000000000275</v>
          </cell>
          <cell r="BZ23">
            <v>-101.6219999999999</v>
          </cell>
          <cell r="CA23">
            <v>42.979999999999734</v>
          </cell>
          <cell r="CB23">
            <v>-68.198000000000221</v>
          </cell>
          <cell r="CC23">
            <v>-25.311000000000149</v>
          </cell>
          <cell r="CD23">
            <v>450.08899999999983</v>
          </cell>
          <cell r="CE23">
            <v>415.06299999999948</v>
          </cell>
          <cell r="CF23">
            <v>304.69899999999893</v>
          </cell>
          <cell r="CG23">
            <v>269.67299999999909</v>
          </cell>
          <cell r="CH23">
            <v>201.47499999999741</v>
          </cell>
          <cell r="CJ23">
            <v>-56.994000000000142</v>
          </cell>
          <cell r="CK23">
            <v>-39.859999999999957</v>
          </cell>
          <cell r="CL23">
            <v>73.95100000000042</v>
          </cell>
          <cell r="CM23">
            <v>464.36099999999965</v>
          </cell>
          <cell r="CN23">
            <v>441.45799999999974</v>
          </cell>
          <cell r="CP23">
            <v>43.683000000000177</v>
          </cell>
          <cell r="CQ23">
            <v>112.59700000000035</v>
          </cell>
          <cell r="CR23">
            <v>176.08300000000003</v>
          </cell>
          <cell r="CS23">
            <v>625.92700000000002</v>
          </cell>
          <cell r="CT23">
            <v>958.29000000000053</v>
          </cell>
          <cell r="CU23">
            <v>0</v>
          </cell>
          <cell r="CV23">
            <v>104</v>
          </cell>
          <cell r="CW23">
            <v>193</v>
          </cell>
          <cell r="CX23">
            <v>185</v>
          </cell>
          <cell r="CY23">
            <v>681</v>
          </cell>
          <cell r="CZ23">
            <v>1163</v>
          </cell>
          <cell r="DB23">
            <v>150</v>
          </cell>
          <cell r="DC23">
            <v>233</v>
          </cell>
          <cell r="DD23">
            <v>211</v>
          </cell>
          <cell r="DE23">
            <v>752</v>
          </cell>
          <cell r="DF23">
            <v>1346</v>
          </cell>
          <cell r="DH23">
            <v>200</v>
          </cell>
          <cell r="DI23">
            <v>324</v>
          </cell>
          <cell r="DJ23">
            <v>185</v>
          </cell>
          <cell r="DK23">
            <v>661</v>
          </cell>
          <cell r="DL23">
            <v>1370</v>
          </cell>
          <cell r="DN23">
            <v>100</v>
          </cell>
          <cell r="DO23">
            <v>135</v>
          </cell>
          <cell r="DP23">
            <v>46</v>
          </cell>
          <cell r="DQ23">
            <v>499</v>
          </cell>
          <cell r="DR23">
            <v>780</v>
          </cell>
          <cell r="DT23">
            <v>147</v>
          </cell>
          <cell r="DU23">
            <v>222</v>
          </cell>
          <cell r="DV23">
            <v>115</v>
          </cell>
          <cell r="DW23">
            <v>564</v>
          </cell>
          <cell r="DX23">
            <v>1048</v>
          </cell>
          <cell r="DZ23">
            <v>76</v>
          </cell>
          <cell r="EA23">
            <v>199</v>
          </cell>
          <cell r="EB23">
            <v>112</v>
          </cell>
          <cell r="EC23">
            <v>697</v>
          </cell>
          <cell r="ED23">
            <v>1084</v>
          </cell>
          <cell r="EF23">
            <v>157</v>
          </cell>
          <cell r="EG23">
            <v>126</v>
          </cell>
          <cell r="EH23">
            <v>120</v>
          </cell>
          <cell r="EI23">
            <v>713</v>
          </cell>
          <cell r="EJ23">
            <v>1116</v>
          </cell>
          <cell r="EK23" t="str">
            <v>Pretax Income</v>
          </cell>
          <cell r="EL23">
            <v>198</v>
          </cell>
          <cell r="EM23">
            <v>237</v>
          </cell>
          <cell r="EN23">
            <v>542</v>
          </cell>
          <cell r="EO23">
            <v>1067</v>
          </cell>
          <cell r="EP23">
            <v>2044</v>
          </cell>
          <cell r="ER23">
            <v>-118</v>
          </cell>
          <cell r="ES23">
            <v>306</v>
          </cell>
          <cell r="ET23">
            <v>30</v>
          </cell>
          <cell r="EU23">
            <v>1157</v>
          </cell>
          <cell r="EV23">
            <v>1375</v>
          </cell>
          <cell r="EX23">
            <v>83</v>
          </cell>
          <cell r="EY23">
            <v>113</v>
          </cell>
          <cell r="EZ23">
            <v>38</v>
          </cell>
          <cell r="FA23">
            <v>1086</v>
          </cell>
          <cell r="FB23">
            <v>1320</v>
          </cell>
          <cell r="FD23">
            <v>-106</v>
          </cell>
          <cell r="FE23">
            <v>121</v>
          </cell>
          <cell r="FF23">
            <v>-75</v>
          </cell>
          <cell r="FG23">
            <v>504</v>
          </cell>
          <cell r="FH23">
            <v>444</v>
          </cell>
          <cell r="FJ23">
            <v>-255</v>
          </cell>
          <cell r="FK23">
            <v>109</v>
          </cell>
          <cell r="FL23">
            <v>-82</v>
          </cell>
          <cell r="FM23">
            <v>735</v>
          </cell>
          <cell r="FN23">
            <v>507</v>
          </cell>
          <cell r="FP23">
            <v>41</v>
          </cell>
          <cell r="FQ23">
            <v>240</v>
          </cell>
          <cell r="FR23">
            <v>13</v>
          </cell>
          <cell r="FS23">
            <v>1026</v>
          </cell>
          <cell r="FT23">
            <v>1320</v>
          </cell>
          <cell r="FV23">
            <v>214</v>
          </cell>
          <cell r="FW23">
            <v>395</v>
          </cell>
          <cell r="FX23">
            <v>183</v>
          </cell>
          <cell r="FY23">
            <v>1176</v>
          </cell>
          <cell r="FZ23">
            <v>1968</v>
          </cell>
          <cell r="GB23">
            <v>279</v>
          </cell>
          <cell r="GC23">
            <v>449</v>
          </cell>
          <cell r="GD23">
            <v>174.65499452664795</v>
          </cell>
          <cell r="GE23">
            <v>1330.6989484464721</v>
          </cell>
          <cell r="GF23">
            <v>2233.35394297312</v>
          </cell>
        </row>
        <row r="24">
          <cell r="A24" t="str">
            <v>Income Taxes (Benefit)</v>
          </cell>
          <cell r="C24">
            <v>6.7830000000000004</v>
          </cell>
          <cell r="D24">
            <v>-276.35500000000002</v>
          </cell>
          <cell r="E24">
            <v>-613.98900000000003</v>
          </cell>
          <cell r="F24">
            <v>28.096</v>
          </cell>
          <cell r="G24">
            <v>99.299000000000007</v>
          </cell>
          <cell r="H24">
            <v>156.745</v>
          </cell>
          <cell r="I24">
            <v>180.869</v>
          </cell>
          <cell r="K24">
            <v>55.495050000000049</v>
          </cell>
          <cell r="L24">
            <v>155.708</v>
          </cell>
          <cell r="N24">
            <v>127</v>
          </cell>
          <cell r="O24">
            <v>175</v>
          </cell>
          <cell r="P24">
            <v>383</v>
          </cell>
          <cell r="Q24">
            <v>478</v>
          </cell>
          <cell r="R24">
            <v>561</v>
          </cell>
          <cell r="S24">
            <v>549</v>
          </cell>
          <cell r="T24">
            <v>306</v>
          </cell>
          <cell r="U24">
            <v>410</v>
          </cell>
          <cell r="V24">
            <v>429</v>
          </cell>
          <cell r="W24">
            <v>427</v>
          </cell>
          <cell r="X24">
            <v>765.40858992805761</v>
          </cell>
          <cell r="Y24">
            <v>511.75</v>
          </cell>
          <cell r="Z24">
            <v>489</v>
          </cell>
          <cell r="AA24">
            <v>-135</v>
          </cell>
          <cell r="AB24">
            <v>178</v>
          </cell>
          <cell r="AC24">
            <v>473</v>
          </cell>
          <cell r="AD24">
            <v>712</v>
          </cell>
          <cell r="AE24">
            <v>824.98095890005447</v>
          </cell>
          <cell r="AF24">
            <v>865.77953587107936</v>
          </cell>
          <cell r="AG24">
            <v>950.70996654807709</v>
          </cell>
          <cell r="AH24">
            <v>963.84530267121454</v>
          </cell>
          <cell r="AI24">
            <v>988.71488261276193</v>
          </cell>
          <cell r="AJ24">
            <v>1026.6632148304836</v>
          </cell>
          <cell r="AK24">
            <v>1057.9822446223918</v>
          </cell>
          <cell r="AL24">
            <v>1083.3390005133426</v>
          </cell>
          <cell r="AN24" t="str">
            <v>Income Taxes (Benefit)</v>
          </cell>
          <cell r="AO24">
            <v>-43.960999999999999</v>
          </cell>
          <cell r="AP24">
            <v>-60.075000000000003</v>
          </cell>
          <cell r="AQ24">
            <v>-34.662999999999997</v>
          </cell>
          <cell r="AR24">
            <v>-137.65600000000001</v>
          </cell>
          <cell r="AS24">
            <v>-276.35500000000002</v>
          </cell>
          <cell r="AU24">
            <v>-20.856999999999999</v>
          </cell>
          <cell r="AV24">
            <v>-66.552000000000007</v>
          </cell>
          <cell r="AW24">
            <v>-18.997</v>
          </cell>
          <cell r="AX24">
            <v>-507.58300000000003</v>
          </cell>
          <cell r="AY24">
            <v>-613.98900000000003</v>
          </cell>
          <cell r="BA24">
            <v>11.164</v>
          </cell>
          <cell r="BB24">
            <v>-6.69</v>
          </cell>
          <cell r="BC24">
            <v>23.952999999999999</v>
          </cell>
          <cell r="BD24">
            <v>70.872</v>
          </cell>
          <cell r="BE24">
            <v>99.299000000000007</v>
          </cell>
          <cell r="BG24">
            <v>17.959</v>
          </cell>
          <cell r="BH24">
            <v>9.2379999999999995</v>
          </cell>
          <cell r="BI24">
            <v>28.490999999999996</v>
          </cell>
          <cell r="BJ24">
            <v>101.057</v>
          </cell>
          <cell r="BK24">
            <v>156.745</v>
          </cell>
          <cell r="BM24">
            <v>25.846</v>
          </cell>
          <cell r="BN24">
            <v>6.4950000000000001</v>
          </cell>
          <cell r="BO24">
            <v>33.993000000000002</v>
          </cell>
          <cell r="BP24">
            <v>114.535</v>
          </cell>
          <cell r="BQ24">
            <v>180.869</v>
          </cell>
          <cell r="BS24">
            <v>-15.693600000000016</v>
          </cell>
          <cell r="BT24">
            <v>-29.236349999999991</v>
          </cell>
          <cell r="BU24">
            <v>-24.780599999999986</v>
          </cell>
          <cell r="BV24">
            <v>125.20560000000003</v>
          </cell>
          <cell r="BW24">
            <v>55.495050000000049</v>
          </cell>
          <cell r="BY24">
            <v>-29.748999999999999</v>
          </cell>
          <cell r="BZ24">
            <v>-34.447000000000003</v>
          </cell>
          <cell r="CA24">
            <v>21.084</v>
          </cell>
          <cell r="CB24">
            <v>0</v>
          </cell>
          <cell r="CC24">
            <v>21.084</v>
          </cell>
          <cell r="CD24">
            <v>198.82</v>
          </cell>
          <cell r="CE24">
            <v>170.41800000000001</v>
          </cell>
          <cell r="CF24">
            <v>155.708</v>
          </cell>
          <cell r="CG24">
            <v>127.30600000000001</v>
          </cell>
          <cell r="CH24">
            <v>127.30600000000001</v>
          </cell>
          <cell r="CJ24">
            <v>-19.071000000000002</v>
          </cell>
          <cell r="CK24">
            <v>-12.667</v>
          </cell>
          <cell r="CL24">
            <v>32.15</v>
          </cell>
          <cell r="CM24">
            <v>175.15899999999999</v>
          </cell>
          <cell r="CN24">
            <v>175.571</v>
          </cell>
          <cell r="CP24">
            <v>19.623999999999999</v>
          </cell>
          <cell r="CQ24">
            <v>46.226999999999997</v>
          </cell>
          <cell r="CR24">
            <v>70.968999999999994</v>
          </cell>
          <cell r="CS24">
            <v>246.84700000000001</v>
          </cell>
          <cell r="CT24">
            <v>383.66700000000003</v>
          </cell>
          <cell r="CV24">
            <v>43.765999999999998</v>
          </cell>
          <cell r="CW24">
            <v>86</v>
          </cell>
          <cell r="CX24">
            <v>75</v>
          </cell>
          <cell r="CY24">
            <v>273</v>
          </cell>
          <cell r="CZ24">
            <v>477.76599999999996</v>
          </cell>
          <cell r="DB24">
            <v>63</v>
          </cell>
          <cell r="DC24">
            <v>96</v>
          </cell>
          <cell r="DD24">
            <v>88</v>
          </cell>
          <cell r="DE24">
            <v>304</v>
          </cell>
          <cell r="DF24">
            <v>551</v>
          </cell>
          <cell r="DH24">
            <v>82</v>
          </cell>
          <cell r="DI24">
            <v>130</v>
          </cell>
          <cell r="DJ24">
            <v>76</v>
          </cell>
          <cell r="DK24">
            <v>261</v>
          </cell>
          <cell r="DL24">
            <v>549</v>
          </cell>
          <cell r="DN24">
            <v>42</v>
          </cell>
          <cell r="DO24">
            <v>55</v>
          </cell>
          <cell r="DP24">
            <v>20</v>
          </cell>
          <cell r="DQ24">
            <v>189</v>
          </cell>
          <cell r="DR24">
            <v>306</v>
          </cell>
          <cell r="DT24">
            <v>58</v>
          </cell>
          <cell r="DU24">
            <v>89</v>
          </cell>
          <cell r="DV24">
            <v>40</v>
          </cell>
          <cell r="DW24">
            <v>223</v>
          </cell>
          <cell r="DX24">
            <v>410</v>
          </cell>
          <cell r="DZ24">
            <v>30</v>
          </cell>
          <cell r="EA24">
            <v>79</v>
          </cell>
          <cell r="EB24">
            <v>45</v>
          </cell>
          <cell r="EC24">
            <v>275</v>
          </cell>
          <cell r="ED24">
            <v>429</v>
          </cell>
          <cell r="EF24">
            <v>60</v>
          </cell>
          <cell r="EG24">
            <v>48</v>
          </cell>
          <cell r="EH24">
            <v>46</v>
          </cell>
          <cell r="EI24">
            <v>273</v>
          </cell>
          <cell r="EJ24">
            <v>427</v>
          </cell>
          <cell r="EK24" t="str">
            <v>Income Taxes (Benefit)</v>
          </cell>
          <cell r="EL24">
            <v>74.646000000000001</v>
          </cell>
          <cell r="EM24">
            <v>89</v>
          </cell>
          <cell r="EN24">
            <v>202.76258992805757</v>
          </cell>
          <cell r="EO24">
            <v>399</v>
          </cell>
          <cell r="EP24">
            <v>765.40858992805761</v>
          </cell>
          <cell r="ER24">
            <v>-44</v>
          </cell>
          <cell r="ES24">
            <v>114.75</v>
          </cell>
          <cell r="ET24">
            <v>10</v>
          </cell>
          <cell r="EU24">
            <v>431</v>
          </cell>
          <cell r="EV24">
            <v>511.75</v>
          </cell>
          <cell r="EX24">
            <v>31</v>
          </cell>
          <cell r="EY24">
            <v>39</v>
          </cell>
          <cell r="EZ24">
            <v>5</v>
          </cell>
          <cell r="FA24">
            <v>414</v>
          </cell>
          <cell r="FB24">
            <v>489</v>
          </cell>
          <cell r="FD24">
            <v>-47</v>
          </cell>
          <cell r="FE24">
            <v>48</v>
          </cell>
          <cell r="FF24">
            <v>-31</v>
          </cell>
          <cell r="FG24">
            <v>-105</v>
          </cell>
          <cell r="FH24">
            <v>-135</v>
          </cell>
          <cell r="FJ24">
            <v>-167</v>
          </cell>
          <cell r="FK24">
            <v>102</v>
          </cell>
          <cell r="FL24">
            <v>-47</v>
          </cell>
          <cell r="FM24">
            <v>290</v>
          </cell>
          <cell r="FN24">
            <v>178</v>
          </cell>
          <cell r="FP24">
            <v>18</v>
          </cell>
          <cell r="FQ24">
            <v>93</v>
          </cell>
          <cell r="FR24">
            <v>3</v>
          </cell>
          <cell r="FS24">
            <v>359</v>
          </cell>
          <cell r="FT24">
            <v>473</v>
          </cell>
          <cell r="FV24">
            <v>83</v>
          </cell>
          <cell r="FW24">
            <v>154</v>
          </cell>
          <cell r="FX24">
            <v>44</v>
          </cell>
          <cell r="FY24">
            <v>431</v>
          </cell>
          <cell r="FZ24">
            <v>712</v>
          </cell>
          <cell r="GB24">
            <v>98</v>
          </cell>
          <cell r="GC24">
            <v>170</v>
          </cell>
          <cell r="GD24">
            <v>64.622347974859736</v>
          </cell>
          <cell r="GE24">
            <v>492.35861092519468</v>
          </cell>
          <cell r="GF24">
            <v>824.98095890005447</v>
          </cell>
          <cell r="GS24" t="str">
            <v>mstag:taxExpenseIncome</v>
          </cell>
          <cell r="GT24">
            <v>6</v>
          </cell>
          <cell r="GU24" t="str">
            <v>ISO4217:USD</v>
          </cell>
          <cell r="GV24" t="b">
            <v>0</v>
          </cell>
          <cell r="GW24" t="b">
            <v>0</v>
          </cell>
        </row>
        <row r="25">
          <cell r="A25" t="str">
            <v>Net Income Before Post-Tax Items</v>
          </cell>
          <cell r="C25">
            <v>-1773.9269999999999</v>
          </cell>
          <cell r="D25">
            <v>-271.44599999999934</v>
          </cell>
          <cell r="E25">
            <v>-1235.9719999999998</v>
          </cell>
          <cell r="F25">
            <v>25.182999999999812</v>
          </cell>
          <cell r="G25">
            <v>132.70800000000062</v>
          </cell>
          <cell r="H25">
            <v>211.03499999999912</v>
          </cell>
          <cell r="I25">
            <v>246.85299999999896</v>
          </cell>
          <cell r="J25">
            <v>1.1401472134972468</v>
          </cell>
          <cell r="K25">
            <v>36.799949999999399</v>
          </cell>
          <cell r="L25">
            <v>148.99099999999899</v>
          </cell>
          <cell r="N25">
            <v>75</v>
          </cell>
          <cell r="O25">
            <v>266</v>
          </cell>
          <cell r="P25">
            <v>575</v>
          </cell>
          <cell r="Q25">
            <v>685</v>
          </cell>
          <cell r="R25">
            <v>825</v>
          </cell>
          <cell r="S25">
            <v>821</v>
          </cell>
          <cell r="T25">
            <v>474</v>
          </cell>
          <cell r="U25">
            <v>638</v>
          </cell>
          <cell r="V25">
            <v>655</v>
          </cell>
          <cell r="W25">
            <v>689</v>
          </cell>
          <cell r="X25">
            <v>1278.5914100719424</v>
          </cell>
          <cell r="Y25">
            <v>863.25</v>
          </cell>
          <cell r="Z25">
            <v>831</v>
          </cell>
          <cell r="AA25">
            <v>579</v>
          </cell>
          <cell r="AB25">
            <v>329</v>
          </cell>
          <cell r="AC25">
            <v>847</v>
          </cell>
          <cell r="AD25">
            <v>1256</v>
          </cell>
          <cell r="AE25">
            <v>1408.3729840730655</v>
          </cell>
          <cell r="AF25">
            <v>1474.1651556723784</v>
          </cell>
          <cell r="AG25">
            <v>1618.7764295278068</v>
          </cell>
          <cell r="AH25">
            <v>1641.1420018455815</v>
          </cell>
          <cell r="AI25">
            <v>1683.4875028271354</v>
          </cell>
          <cell r="AJ25">
            <v>1748.1022306573102</v>
          </cell>
          <cell r="AK25">
            <v>1801.4292273300186</v>
          </cell>
          <cell r="AL25">
            <v>1844.6042441173129</v>
          </cell>
          <cell r="AN25" t="str">
            <v>Net Income Before Post-Tax Items</v>
          </cell>
          <cell r="AO25">
            <v>-99.439999999999898</v>
          </cell>
          <cell r="AP25">
            <v>-126.372</v>
          </cell>
          <cell r="AQ25">
            <v>-86.802000000000035</v>
          </cell>
          <cell r="AR25">
            <v>41.16799999999995</v>
          </cell>
          <cell r="AS25">
            <v>-271.44599999999997</v>
          </cell>
          <cell r="AU25">
            <v>-64.160999999999916</v>
          </cell>
          <cell r="AV25">
            <v>-143.82800000000009</v>
          </cell>
          <cell r="AW25">
            <v>-60.994999999999962</v>
          </cell>
          <cell r="AX25">
            <v>-977.04399999999941</v>
          </cell>
          <cell r="AY25">
            <v>-1246.0279999999993</v>
          </cell>
          <cell r="BA25">
            <v>11.812000000000163</v>
          </cell>
          <cell r="BB25">
            <v>-15.789000000000041</v>
          </cell>
          <cell r="BC25">
            <v>31.581999999999912</v>
          </cell>
          <cell r="BD25">
            <v>105.10300000000005</v>
          </cell>
          <cell r="BE25">
            <v>132.70800000000008</v>
          </cell>
          <cell r="BG25">
            <v>21.700000000000063</v>
          </cell>
          <cell r="BH25">
            <v>8.8529999999999731</v>
          </cell>
          <cell r="BI25">
            <v>34.523999999999958</v>
          </cell>
          <cell r="BJ25">
            <v>145.9579999999998</v>
          </cell>
          <cell r="BK25">
            <v>211.03499999999917</v>
          </cell>
          <cell r="BM25">
            <v>32.222000000000179</v>
          </cell>
          <cell r="BN25">
            <v>3.7719999999998395</v>
          </cell>
          <cell r="BO25">
            <v>44.343000000000011</v>
          </cell>
          <cell r="BP25">
            <v>166.51600000000005</v>
          </cell>
          <cell r="BQ25">
            <v>246.85299999999896</v>
          </cell>
          <cell r="BS25">
            <v>-37.04640000000002</v>
          </cell>
          <cell r="BT25">
            <v>-58.228649999999988</v>
          </cell>
          <cell r="BU25">
            <v>-51.259399999999978</v>
          </cell>
          <cell r="BV25">
            <v>183.33440000000004</v>
          </cell>
          <cell r="BW25">
            <v>36.799949999999342</v>
          </cell>
          <cell r="BY25">
            <v>-56.999000000000279</v>
          </cell>
          <cell r="BZ25">
            <v>-67.174999999999898</v>
          </cell>
          <cell r="CA25">
            <v>21.895999999999734</v>
          </cell>
          <cell r="CB25">
            <v>-68.198000000000221</v>
          </cell>
          <cell r="CC25">
            <v>-46.395000000000152</v>
          </cell>
          <cell r="CD25">
            <v>251.26899999999983</v>
          </cell>
          <cell r="CE25">
            <v>244.64499999999947</v>
          </cell>
          <cell r="CF25">
            <v>148.99099999999893</v>
          </cell>
          <cell r="CG25">
            <v>142.36699999999902</v>
          </cell>
          <cell r="CH25">
            <v>74.168999999998789</v>
          </cell>
          <cell r="CJ25">
            <v>-37.923000000000144</v>
          </cell>
          <cell r="CK25">
            <v>-27.192999999999955</v>
          </cell>
          <cell r="CL25">
            <v>41.801000000000421</v>
          </cell>
          <cell r="CM25">
            <v>289.20199999999966</v>
          </cell>
          <cell r="CN25">
            <v>265.88699999999972</v>
          </cell>
          <cell r="CP25">
            <v>24.059000000000179</v>
          </cell>
          <cell r="CQ25">
            <v>66.370000000000346</v>
          </cell>
          <cell r="CR25">
            <v>105.11400000000003</v>
          </cell>
          <cell r="CS25">
            <v>379.08000000000004</v>
          </cell>
          <cell r="CT25">
            <v>574.62300000000062</v>
          </cell>
          <cell r="CV25">
            <v>60.234000000000002</v>
          </cell>
          <cell r="CW25">
            <v>107</v>
          </cell>
          <cell r="CX25">
            <v>110</v>
          </cell>
          <cell r="CY25">
            <v>408</v>
          </cell>
          <cell r="CZ25">
            <v>685.23400000000004</v>
          </cell>
          <cell r="DB25">
            <v>87</v>
          </cell>
          <cell r="DC25">
            <v>137</v>
          </cell>
          <cell r="DD25">
            <v>123</v>
          </cell>
          <cell r="DE25">
            <v>448</v>
          </cell>
          <cell r="DF25">
            <v>795</v>
          </cell>
          <cell r="DH25">
            <v>118</v>
          </cell>
          <cell r="DI25">
            <v>194</v>
          </cell>
          <cell r="DJ25">
            <v>109</v>
          </cell>
          <cell r="DK25">
            <v>400</v>
          </cell>
          <cell r="DL25">
            <v>821</v>
          </cell>
          <cell r="DN25">
            <v>58</v>
          </cell>
          <cell r="DO25">
            <v>80</v>
          </cell>
          <cell r="DP25">
            <v>26</v>
          </cell>
          <cell r="DQ25">
            <v>310</v>
          </cell>
          <cell r="DR25">
            <v>474</v>
          </cell>
          <cell r="DT25">
            <v>89</v>
          </cell>
          <cell r="DU25">
            <v>133</v>
          </cell>
          <cell r="DV25">
            <v>75</v>
          </cell>
          <cell r="DW25">
            <v>341</v>
          </cell>
          <cell r="DX25">
            <v>638</v>
          </cell>
          <cell r="DZ25">
            <v>46</v>
          </cell>
          <cell r="EA25">
            <v>120</v>
          </cell>
          <cell r="EB25">
            <v>67</v>
          </cell>
          <cell r="EC25">
            <v>422</v>
          </cell>
          <cell r="ED25">
            <v>655</v>
          </cell>
          <cell r="EF25">
            <v>97</v>
          </cell>
          <cell r="EG25">
            <v>78</v>
          </cell>
          <cell r="EH25">
            <v>74</v>
          </cell>
          <cell r="EI25">
            <v>440</v>
          </cell>
          <cell r="EJ25">
            <v>689</v>
          </cell>
          <cell r="EK25" t="str">
            <v>Net Income Before Post-Tax Items</v>
          </cell>
          <cell r="EL25">
            <v>123.354</v>
          </cell>
          <cell r="EM25">
            <v>148</v>
          </cell>
          <cell r="EN25">
            <v>339.23741007194246</v>
          </cell>
          <cell r="EO25">
            <v>668</v>
          </cell>
          <cell r="EP25">
            <v>1278.5914100719424</v>
          </cell>
          <cell r="ER25">
            <v>-74</v>
          </cell>
          <cell r="ES25">
            <v>191.25</v>
          </cell>
          <cell r="ET25">
            <v>20</v>
          </cell>
          <cell r="EU25">
            <v>726</v>
          </cell>
          <cell r="EV25">
            <v>863.25</v>
          </cell>
          <cell r="EX25">
            <v>52</v>
          </cell>
          <cell r="EY25">
            <v>74</v>
          </cell>
          <cell r="EZ25">
            <v>33</v>
          </cell>
          <cell r="FA25">
            <v>672</v>
          </cell>
          <cell r="FB25">
            <v>831</v>
          </cell>
          <cell r="FD25">
            <v>-59</v>
          </cell>
          <cell r="FE25">
            <v>73</v>
          </cell>
          <cell r="FF25">
            <v>-44</v>
          </cell>
          <cell r="FG25">
            <v>609</v>
          </cell>
          <cell r="FH25">
            <v>579</v>
          </cell>
          <cell r="FJ25">
            <v>-88</v>
          </cell>
          <cell r="FK25">
            <v>7</v>
          </cell>
          <cell r="FL25">
            <v>-35</v>
          </cell>
          <cell r="FM25">
            <v>445</v>
          </cell>
          <cell r="FN25">
            <v>329</v>
          </cell>
          <cell r="FP25">
            <v>23</v>
          </cell>
          <cell r="FQ25">
            <v>147</v>
          </cell>
          <cell r="FR25">
            <v>10</v>
          </cell>
          <cell r="FS25">
            <v>667</v>
          </cell>
          <cell r="FT25">
            <v>847</v>
          </cell>
          <cell r="FV25">
            <v>131</v>
          </cell>
          <cell r="FW25">
            <v>241</v>
          </cell>
          <cell r="FX25">
            <v>139</v>
          </cell>
          <cell r="FY25">
            <v>745</v>
          </cell>
          <cell r="FZ25">
            <v>1256</v>
          </cell>
          <cell r="GB25">
            <v>181</v>
          </cell>
          <cell r="GC25">
            <v>279</v>
          </cell>
          <cell r="GD25">
            <v>110.03264655178822</v>
          </cell>
          <cell r="GE25">
            <v>838.34033752127743</v>
          </cell>
          <cell r="GF25">
            <v>1408.3729840730655</v>
          </cell>
        </row>
        <row r="26">
          <cell r="A26" t="str">
            <v>Discontinued Operations Charges (FYins)</v>
          </cell>
          <cell r="N26">
            <v>0</v>
          </cell>
          <cell r="O26">
            <v>0</v>
          </cell>
          <cell r="P26">
            <v>0</v>
          </cell>
          <cell r="Q26">
            <v>0</v>
          </cell>
          <cell r="R26">
            <v>30</v>
          </cell>
          <cell r="S26">
            <v>1005</v>
          </cell>
          <cell r="T26">
            <v>797</v>
          </cell>
          <cell r="U26">
            <v>-180</v>
          </cell>
          <cell r="V26">
            <v>0</v>
          </cell>
          <cell r="W26">
            <v>0</v>
          </cell>
          <cell r="X26">
            <v>-33</v>
          </cell>
          <cell r="Y26">
            <v>-7</v>
          </cell>
          <cell r="Z26">
            <v>16</v>
          </cell>
          <cell r="AA26">
            <v>0</v>
          </cell>
          <cell r="AB26">
            <v>0</v>
          </cell>
          <cell r="AC26">
            <v>0</v>
          </cell>
          <cell r="AD26">
            <v>0</v>
          </cell>
          <cell r="AE26">
            <v>0</v>
          </cell>
          <cell r="AF26">
            <v>0</v>
          </cell>
          <cell r="AG26">
            <v>0</v>
          </cell>
          <cell r="AH26">
            <v>0</v>
          </cell>
          <cell r="AI26">
            <v>0</v>
          </cell>
          <cell r="AJ26">
            <v>0</v>
          </cell>
          <cell r="AK26">
            <v>0</v>
          </cell>
          <cell r="AL26">
            <v>0</v>
          </cell>
          <cell r="AN26" t="str">
            <v>Discontinued Operations Charges (FYins)</v>
          </cell>
          <cell r="DB26">
            <v>0</v>
          </cell>
          <cell r="DC26">
            <v>0</v>
          </cell>
          <cell r="DD26">
            <v>0</v>
          </cell>
          <cell r="DE26">
            <v>0</v>
          </cell>
          <cell r="DF26">
            <v>0</v>
          </cell>
          <cell r="DH26">
            <v>29</v>
          </cell>
          <cell r="DI26">
            <v>131</v>
          </cell>
          <cell r="DJ26">
            <v>777</v>
          </cell>
          <cell r="DK26">
            <v>68</v>
          </cell>
          <cell r="DL26">
            <v>1005</v>
          </cell>
          <cell r="DN26">
            <v>0</v>
          </cell>
          <cell r="DO26">
            <v>14</v>
          </cell>
          <cell r="DP26">
            <v>13</v>
          </cell>
          <cell r="DQ26">
            <v>770</v>
          </cell>
          <cell r="DR26">
            <v>797</v>
          </cell>
          <cell r="DT26">
            <v>0</v>
          </cell>
          <cell r="DU26">
            <v>-149</v>
          </cell>
          <cell r="DV26">
            <v>-31</v>
          </cell>
          <cell r="DW26">
            <v>0</v>
          </cell>
          <cell r="DX26">
            <v>-180</v>
          </cell>
          <cell r="DZ26">
            <v>0</v>
          </cell>
          <cell r="EA26">
            <v>0</v>
          </cell>
          <cell r="EB26">
            <v>0</v>
          </cell>
          <cell r="EC26">
            <v>0</v>
          </cell>
          <cell r="ED26">
            <v>0</v>
          </cell>
          <cell r="EF26">
            <v>0</v>
          </cell>
          <cell r="EG26">
            <v>0</v>
          </cell>
          <cell r="EH26">
            <v>0</v>
          </cell>
          <cell r="EI26">
            <v>0</v>
          </cell>
          <cell r="EJ26">
            <v>0</v>
          </cell>
          <cell r="EK26" t="str">
            <v>Discontinued Operations Charges (FYins)</v>
          </cell>
          <cell r="EL26">
            <v>0</v>
          </cell>
          <cell r="EM26">
            <v>0</v>
          </cell>
          <cell r="EN26">
            <v>-12</v>
          </cell>
          <cell r="EO26">
            <v>-21</v>
          </cell>
          <cell r="EP26">
            <v>-33</v>
          </cell>
          <cell r="ER26">
            <v>-22</v>
          </cell>
          <cell r="ES26">
            <v>-35</v>
          </cell>
          <cell r="ET26">
            <v>23</v>
          </cell>
          <cell r="EU26">
            <v>27</v>
          </cell>
          <cell r="EV26">
            <v>-7</v>
          </cell>
          <cell r="EX26">
            <v>16</v>
          </cell>
          <cell r="EY26">
            <v>0</v>
          </cell>
          <cell r="EZ26">
            <v>0</v>
          </cell>
          <cell r="FA26">
            <v>0</v>
          </cell>
          <cell r="FB26">
            <v>16</v>
          </cell>
          <cell r="FD26">
            <v>0</v>
          </cell>
          <cell r="FE26">
            <v>0</v>
          </cell>
          <cell r="FF26">
            <v>0</v>
          </cell>
          <cell r="FG26">
            <v>0</v>
          </cell>
          <cell r="FH26">
            <v>0</v>
          </cell>
          <cell r="FJ26">
            <v>0</v>
          </cell>
          <cell r="FK26">
            <v>0</v>
          </cell>
          <cell r="FL26">
            <v>0</v>
          </cell>
          <cell r="FM26">
            <v>0</v>
          </cell>
          <cell r="FN26">
            <v>0</v>
          </cell>
          <cell r="FP26">
            <v>0</v>
          </cell>
          <cell r="FQ26">
            <v>0</v>
          </cell>
          <cell r="FR26">
            <v>0</v>
          </cell>
          <cell r="FS26">
            <v>0</v>
          </cell>
          <cell r="FT26">
            <v>0</v>
          </cell>
          <cell r="FV26">
            <v>0</v>
          </cell>
          <cell r="FW26">
            <v>0</v>
          </cell>
          <cell r="FX26">
            <v>0</v>
          </cell>
          <cell r="FY26">
            <v>0</v>
          </cell>
          <cell r="FZ26">
            <v>0</v>
          </cell>
          <cell r="GB26">
            <v>0</v>
          </cell>
          <cell r="GC26">
            <v>0</v>
          </cell>
          <cell r="GD26">
            <v>0</v>
          </cell>
          <cell r="GE26">
            <v>0</v>
          </cell>
          <cell r="GF26">
            <v>0</v>
          </cell>
          <cell r="GS26" t="str">
            <v>mstag:incomeLossFromDiscontinuedOperationsNetOfTax</v>
          </cell>
          <cell r="GT26">
            <v>6</v>
          </cell>
          <cell r="GU26" t="str">
            <v>ISO4217:USD</v>
          </cell>
          <cell r="GV26" t="b">
            <v>1</v>
          </cell>
          <cell r="GW26" t="b">
            <v>0</v>
          </cell>
        </row>
        <row r="27">
          <cell r="A27" t="str">
            <v>Post-Tax Extraordinary Charges (FYins)</v>
          </cell>
          <cell r="C27">
            <v>0</v>
          </cell>
          <cell r="D27">
            <v>0</v>
          </cell>
          <cell r="E27">
            <v>2072.364</v>
          </cell>
          <cell r="F27">
            <v>0</v>
          </cell>
          <cell r="G27">
            <v>-19.698999999999998</v>
          </cell>
          <cell r="H27">
            <v>-17.786999999999999</v>
          </cell>
          <cell r="I27">
            <v>0</v>
          </cell>
          <cell r="K27">
            <v>0</v>
          </cell>
          <cell r="L27">
            <v>0</v>
          </cell>
          <cell r="N27">
            <v>0</v>
          </cell>
          <cell r="O27">
            <v>0</v>
          </cell>
          <cell r="P27">
            <v>39</v>
          </cell>
          <cell r="Q27">
            <v>23</v>
          </cell>
          <cell r="R27">
            <v>0</v>
          </cell>
          <cell r="S27">
            <v>0</v>
          </cell>
          <cell r="T27">
            <v>-47</v>
          </cell>
          <cell r="U27">
            <v>0</v>
          </cell>
          <cell r="V27">
            <v>-38</v>
          </cell>
          <cell r="W27">
            <v>0</v>
          </cell>
          <cell r="X27">
            <v>-95</v>
          </cell>
          <cell r="Y27">
            <v>-124.625</v>
          </cell>
          <cell r="Z27">
            <v>-78</v>
          </cell>
          <cell r="AA27">
            <v>5382</v>
          </cell>
          <cell r="AB27">
            <v>0</v>
          </cell>
          <cell r="AC27">
            <v>41.4</v>
          </cell>
          <cell r="AD27">
            <v>0</v>
          </cell>
          <cell r="AE27">
            <v>0</v>
          </cell>
          <cell r="AF27">
            <v>0</v>
          </cell>
          <cell r="AG27">
            <v>0</v>
          </cell>
          <cell r="AH27">
            <v>0</v>
          </cell>
          <cell r="AI27">
            <v>0</v>
          </cell>
          <cell r="AJ27">
            <v>0</v>
          </cell>
          <cell r="AK27">
            <v>0</v>
          </cell>
          <cell r="AL27">
            <v>0</v>
          </cell>
          <cell r="AN27" t="str">
            <v>Post-Tax Extraordinary Charges (FYins)</v>
          </cell>
          <cell r="AO27">
            <v>0</v>
          </cell>
          <cell r="AP27">
            <v>0</v>
          </cell>
          <cell r="AQ27">
            <v>0</v>
          </cell>
          <cell r="AR27">
            <v>0</v>
          </cell>
          <cell r="AS27">
            <v>0</v>
          </cell>
          <cell r="AU27">
            <v>0</v>
          </cell>
          <cell r="AV27">
            <v>0</v>
          </cell>
          <cell r="AW27">
            <v>0</v>
          </cell>
          <cell r="AX27">
            <v>2165.5149999999999</v>
          </cell>
          <cell r="AY27">
            <v>2165.5149999999999</v>
          </cell>
          <cell r="BA27">
            <v>0</v>
          </cell>
          <cell r="BB27">
            <v>-13.574</v>
          </cell>
          <cell r="BC27">
            <v>0</v>
          </cell>
          <cell r="BD27">
            <v>-6.125</v>
          </cell>
          <cell r="BE27">
            <v>-19.698999999999998</v>
          </cell>
          <cell r="BG27">
            <v>-3.5449999999999999</v>
          </cell>
          <cell r="BH27">
            <v>0</v>
          </cell>
          <cell r="BI27">
            <v>-14.242000000000001</v>
          </cell>
          <cell r="BJ27">
            <v>0</v>
          </cell>
          <cell r="BK27">
            <v>-17.786999999999999</v>
          </cell>
          <cell r="BM27">
            <v>0</v>
          </cell>
          <cell r="BN27">
            <v>0</v>
          </cell>
          <cell r="BO27">
            <v>0</v>
          </cell>
          <cell r="BP27">
            <v>0</v>
          </cell>
          <cell r="BQ27">
            <v>0</v>
          </cell>
          <cell r="BS27">
            <v>0</v>
          </cell>
          <cell r="BT27">
            <v>0</v>
          </cell>
          <cell r="BU27">
            <v>0</v>
          </cell>
          <cell r="BV27">
            <v>0</v>
          </cell>
          <cell r="BW27">
            <v>0</v>
          </cell>
          <cell r="BY27">
            <v>0</v>
          </cell>
          <cell r="BZ27">
            <v>0</v>
          </cell>
          <cell r="CA27">
            <v>0</v>
          </cell>
          <cell r="CB27">
            <v>0</v>
          </cell>
          <cell r="CC27">
            <v>0</v>
          </cell>
          <cell r="CD27">
            <v>0</v>
          </cell>
          <cell r="CE27">
            <v>0</v>
          </cell>
          <cell r="CF27">
            <v>0</v>
          </cell>
          <cell r="CG27">
            <v>0</v>
          </cell>
          <cell r="CH27">
            <v>0</v>
          </cell>
          <cell r="CJ27">
            <v>0</v>
          </cell>
          <cell r="CK27">
            <v>0</v>
          </cell>
          <cell r="CL27">
            <v>0</v>
          </cell>
          <cell r="CM27">
            <v>0</v>
          </cell>
          <cell r="CN27">
            <v>0</v>
          </cell>
          <cell r="CP27">
            <v>0</v>
          </cell>
          <cell r="CQ27">
            <v>-38.673000000000002</v>
          </cell>
          <cell r="CR27">
            <v>0</v>
          </cell>
          <cell r="CS27">
            <v>0</v>
          </cell>
          <cell r="CT27">
            <v>-38.673000000000002</v>
          </cell>
          <cell r="CV27">
            <v>0</v>
          </cell>
          <cell r="CW27">
            <v>0</v>
          </cell>
          <cell r="CX27">
            <v>23</v>
          </cell>
          <cell r="CY27">
            <v>0</v>
          </cell>
          <cell r="CZ27">
            <v>23</v>
          </cell>
          <cell r="DB27">
            <v>0</v>
          </cell>
          <cell r="DC27">
            <v>0</v>
          </cell>
          <cell r="DD27">
            <v>0</v>
          </cell>
          <cell r="DE27">
            <v>0</v>
          </cell>
          <cell r="DF27">
            <v>0</v>
          </cell>
          <cell r="DH27">
            <v>0</v>
          </cell>
          <cell r="DI27">
            <v>0</v>
          </cell>
          <cell r="DJ27">
            <v>0</v>
          </cell>
          <cell r="DK27">
            <v>0</v>
          </cell>
          <cell r="DL27">
            <v>0</v>
          </cell>
          <cell r="DN27">
            <v>0</v>
          </cell>
          <cell r="DO27">
            <v>-44</v>
          </cell>
          <cell r="DP27">
            <v>10</v>
          </cell>
          <cell r="DQ27">
            <v>-13</v>
          </cell>
          <cell r="DR27">
            <v>-47</v>
          </cell>
          <cell r="DT27">
            <v>0</v>
          </cell>
          <cell r="DU27">
            <v>0</v>
          </cell>
          <cell r="DV27">
            <v>0</v>
          </cell>
          <cell r="DW27">
            <v>0</v>
          </cell>
          <cell r="DX27">
            <v>0</v>
          </cell>
          <cell r="DZ27">
            <v>0</v>
          </cell>
          <cell r="EA27">
            <v>0</v>
          </cell>
          <cell r="EB27">
            <v>0</v>
          </cell>
          <cell r="EC27">
            <v>-38</v>
          </cell>
          <cell r="ED27">
            <v>-38</v>
          </cell>
          <cell r="EF27">
            <v>0</v>
          </cell>
          <cell r="EG27">
            <v>0</v>
          </cell>
          <cell r="EH27">
            <v>0</v>
          </cell>
          <cell r="EI27">
            <v>0</v>
          </cell>
          <cell r="EJ27">
            <v>0</v>
          </cell>
          <cell r="EK27" t="str">
            <v>Post-Tax Extraordinary Charges (FYins)</v>
          </cell>
          <cell r="EL27">
            <v>0</v>
          </cell>
          <cell r="EM27">
            <v>0</v>
          </cell>
          <cell r="EN27">
            <v>-85</v>
          </cell>
          <cell r="EO27">
            <v>-10</v>
          </cell>
          <cell r="EP27">
            <v>-95</v>
          </cell>
          <cell r="ER27">
            <v>0</v>
          </cell>
          <cell r="ES27">
            <v>-90.625</v>
          </cell>
          <cell r="ET27">
            <v>0</v>
          </cell>
          <cell r="EU27">
            <v>-34</v>
          </cell>
          <cell r="EV27">
            <v>-124.625</v>
          </cell>
          <cell r="EX27">
            <v>0</v>
          </cell>
          <cell r="EY27">
            <v>0</v>
          </cell>
          <cell r="EZ27">
            <v>0</v>
          </cell>
          <cell r="FA27">
            <v>-78</v>
          </cell>
          <cell r="FB27">
            <v>-78</v>
          </cell>
          <cell r="FD27">
            <v>0</v>
          </cell>
          <cell r="FE27">
            <v>0</v>
          </cell>
          <cell r="FF27">
            <v>0</v>
          </cell>
          <cell r="FG27">
            <v>5382</v>
          </cell>
          <cell r="FH27">
            <v>5382</v>
          </cell>
          <cell r="FJ27">
            <v>0</v>
          </cell>
          <cell r="FK27">
            <v>0</v>
          </cell>
          <cell r="FL27">
            <v>0</v>
          </cell>
          <cell r="FM27">
            <v>0</v>
          </cell>
          <cell r="FN27">
            <v>0</v>
          </cell>
          <cell r="FP27">
            <v>17</v>
          </cell>
          <cell r="FQ27">
            <v>0</v>
          </cell>
          <cell r="FR27">
            <v>24.4</v>
          </cell>
          <cell r="FS27">
            <v>0</v>
          </cell>
          <cell r="FT27">
            <v>41.4</v>
          </cell>
          <cell r="FV27">
            <v>0</v>
          </cell>
          <cell r="FW27">
            <v>0</v>
          </cell>
          <cell r="FX27">
            <v>0</v>
          </cell>
          <cell r="FY27">
            <v>0</v>
          </cell>
          <cell r="FZ27">
            <v>0</v>
          </cell>
          <cell r="GB27">
            <v>0</v>
          </cell>
          <cell r="GC27">
            <v>0</v>
          </cell>
          <cell r="GD27">
            <v>0</v>
          </cell>
          <cell r="GE27">
            <v>0</v>
          </cell>
          <cell r="GF27">
            <v>0</v>
          </cell>
        </row>
        <row r="28">
          <cell r="A28" t="str">
            <v>Net Income, Reported</v>
          </cell>
          <cell r="C28">
            <v>-1773.9269999999999</v>
          </cell>
          <cell r="D28">
            <v>-271.44599999999934</v>
          </cell>
          <cell r="E28">
            <v>836.39200000000028</v>
          </cell>
          <cell r="F28">
            <v>25.182999999999812</v>
          </cell>
          <cell r="G28">
            <v>113.00900000000063</v>
          </cell>
          <cell r="H28">
            <v>193.24799999999911</v>
          </cell>
          <cell r="I28">
            <v>246.85299999999896</v>
          </cell>
          <cell r="K28">
            <v>36.799949999999399</v>
          </cell>
          <cell r="L28">
            <v>148.99099999999899</v>
          </cell>
          <cell r="N28">
            <v>75</v>
          </cell>
          <cell r="O28">
            <v>266</v>
          </cell>
          <cell r="P28">
            <v>536</v>
          </cell>
          <cell r="Q28">
            <v>662</v>
          </cell>
          <cell r="R28">
            <v>795</v>
          </cell>
          <cell r="S28">
            <v>-184</v>
          </cell>
          <cell r="T28">
            <v>-276</v>
          </cell>
          <cell r="U28">
            <v>818</v>
          </cell>
          <cell r="V28">
            <v>693</v>
          </cell>
          <cell r="W28">
            <v>689</v>
          </cell>
          <cell r="X28">
            <v>1406.5914100719424</v>
          </cell>
          <cell r="Y28">
            <v>994.875</v>
          </cell>
          <cell r="Z28">
            <v>893</v>
          </cell>
          <cell r="AA28">
            <v>-4803</v>
          </cell>
          <cell r="AB28">
            <v>329</v>
          </cell>
          <cell r="AC28">
            <v>805.6</v>
          </cell>
          <cell r="AD28">
            <v>1256</v>
          </cell>
          <cell r="AE28">
            <v>1408.3729840730655</v>
          </cell>
          <cell r="AF28">
            <v>1474.1651556723784</v>
          </cell>
          <cell r="AG28">
            <v>1618.7764295278068</v>
          </cell>
          <cell r="AH28">
            <v>1641.1420018455815</v>
          </cell>
          <cell r="AI28">
            <v>1683.4875028271354</v>
          </cell>
          <cell r="AJ28">
            <v>1748.1022306573102</v>
          </cell>
          <cell r="AK28">
            <v>1801.4292273300186</v>
          </cell>
          <cell r="AL28">
            <v>1844.6042441173129</v>
          </cell>
          <cell r="AN28" t="str">
            <v>Net Income, Reported</v>
          </cell>
          <cell r="AO28">
            <v>-99.439999999999898</v>
          </cell>
          <cell r="AP28">
            <v>-126.372</v>
          </cell>
          <cell r="AQ28">
            <v>-86.802000000000035</v>
          </cell>
          <cell r="AR28">
            <v>41.16799999999995</v>
          </cell>
          <cell r="AS28">
            <v>-271.44599999999997</v>
          </cell>
          <cell r="AU28">
            <v>-64.160999999999916</v>
          </cell>
          <cell r="AV28">
            <v>-143.82800000000009</v>
          </cell>
          <cell r="AW28">
            <v>-60.994999999999962</v>
          </cell>
          <cell r="AX28">
            <v>-3142.5589999999993</v>
          </cell>
          <cell r="AY28">
            <v>-3411.5429999999992</v>
          </cell>
          <cell r="BA28">
            <v>11.812000000000163</v>
          </cell>
          <cell r="BB28">
            <v>-2.2150000000000407</v>
          </cell>
          <cell r="BC28">
            <v>31.581999999999912</v>
          </cell>
          <cell r="BD28">
            <v>111.22800000000005</v>
          </cell>
          <cell r="BE28">
            <v>152.4070000000001</v>
          </cell>
          <cell r="BG28">
            <v>25.245000000000061</v>
          </cell>
          <cell r="BH28">
            <v>8.8529999999999731</v>
          </cell>
          <cell r="BI28">
            <v>48.765999999999963</v>
          </cell>
          <cell r="BJ28">
            <v>145.9579999999998</v>
          </cell>
          <cell r="BK28">
            <v>228.82199999999918</v>
          </cell>
          <cell r="BM28">
            <v>32.222000000000179</v>
          </cell>
          <cell r="BN28">
            <v>3.7719999999998395</v>
          </cell>
          <cell r="BO28">
            <v>44.343000000000011</v>
          </cell>
          <cell r="BP28">
            <v>166.51600000000005</v>
          </cell>
          <cell r="BQ28">
            <v>246.85299999999896</v>
          </cell>
          <cell r="BS28">
            <v>-37.04640000000002</v>
          </cell>
          <cell r="BT28">
            <v>-58.228649999999988</v>
          </cell>
          <cell r="BU28">
            <v>-51.259399999999978</v>
          </cell>
          <cell r="BV28">
            <v>183.33440000000004</v>
          </cell>
          <cell r="BW28">
            <v>36.799949999999342</v>
          </cell>
          <cell r="BY28">
            <v>-56.999000000000279</v>
          </cell>
          <cell r="BZ28">
            <v>-67.174999999999898</v>
          </cell>
          <cell r="CA28">
            <v>21.895999999999734</v>
          </cell>
          <cell r="CB28">
            <v>-68.198000000000221</v>
          </cell>
          <cell r="CC28">
            <v>-46.395000000000152</v>
          </cell>
          <cell r="CD28">
            <v>251.26899999999983</v>
          </cell>
          <cell r="CE28">
            <v>244.64499999999947</v>
          </cell>
          <cell r="CF28">
            <v>148.99099999999893</v>
          </cell>
          <cell r="CG28">
            <v>142.36699999999902</v>
          </cell>
          <cell r="CH28">
            <v>74.168999999998789</v>
          </cell>
          <cell r="CJ28">
            <v>-37.923000000000144</v>
          </cell>
          <cell r="CK28">
            <v>-27.192999999999955</v>
          </cell>
          <cell r="CL28">
            <v>41.801000000000421</v>
          </cell>
          <cell r="CM28">
            <v>289.20199999999966</v>
          </cell>
          <cell r="CN28">
            <v>265.88699999999972</v>
          </cell>
          <cell r="CP28">
            <v>24.059000000000179</v>
          </cell>
          <cell r="CQ28">
            <v>105.04300000000035</v>
          </cell>
          <cell r="CR28">
            <v>105.11400000000003</v>
          </cell>
          <cell r="CS28">
            <v>379.08000000000004</v>
          </cell>
          <cell r="CT28">
            <v>613.29600000000062</v>
          </cell>
          <cell r="CV28">
            <v>60.234000000000002</v>
          </cell>
          <cell r="CW28">
            <v>107</v>
          </cell>
          <cell r="CX28">
            <v>87</v>
          </cell>
          <cell r="CY28">
            <v>408</v>
          </cell>
          <cell r="CZ28">
            <v>662.23400000000004</v>
          </cell>
          <cell r="DB28">
            <v>87</v>
          </cell>
          <cell r="DC28">
            <v>137</v>
          </cell>
          <cell r="DD28">
            <v>123</v>
          </cell>
          <cell r="DE28">
            <v>448</v>
          </cell>
          <cell r="DF28">
            <v>795</v>
          </cell>
          <cell r="DH28">
            <v>89</v>
          </cell>
          <cell r="DI28">
            <v>63</v>
          </cell>
          <cell r="DJ28">
            <v>-668</v>
          </cell>
          <cell r="DK28">
            <v>332</v>
          </cell>
          <cell r="DL28">
            <v>-184</v>
          </cell>
          <cell r="DN28">
            <v>58</v>
          </cell>
          <cell r="DO28">
            <v>110</v>
          </cell>
          <cell r="DP28">
            <v>3</v>
          </cell>
          <cell r="DQ28">
            <v>-447</v>
          </cell>
          <cell r="DR28">
            <v>-276</v>
          </cell>
          <cell r="DT28">
            <v>89</v>
          </cell>
          <cell r="DU28">
            <v>282</v>
          </cell>
          <cell r="DV28">
            <v>106</v>
          </cell>
          <cell r="DW28">
            <v>341</v>
          </cell>
          <cell r="DX28">
            <v>818</v>
          </cell>
          <cell r="DZ28">
            <v>46</v>
          </cell>
          <cell r="EA28">
            <v>120</v>
          </cell>
          <cell r="EB28">
            <v>67</v>
          </cell>
          <cell r="EC28">
            <v>460</v>
          </cell>
          <cell r="ED28">
            <v>693</v>
          </cell>
          <cell r="EF28">
            <v>97</v>
          </cell>
          <cell r="EG28">
            <v>78</v>
          </cell>
          <cell r="EH28">
            <v>74</v>
          </cell>
          <cell r="EI28">
            <v>440</v>
          </cell>
          <cell r="EJ28">
            <v>689</v>
          </cell>
          <cell r="EK28" t="str">
            <v>Net Income, Reported</v>
          </cell>
          <cell r="EL28">
            <v>123.354</v>
          </cell>
          <cell r="EM28">
            <v>148</v>
          </cell>
          <cell r="EN28">
            <v>436.23741007194246</v>
          </cell>
          <cell r="EO28">
            <v>699</v>
          </cell>
          <cell r="EP28">
            <v>1406.5914100719424</v>
          </cell>
          <cell r="ER28">
            <v>-52</v>
          </cell>
          <cell r="ES28">
            <v>316.875</v>
          </cell>
          <cell r="ET28">
            <v>-3</v>
          </cell>
          <cell r="EU28">
            <v>733</v>
          </cell>
          <cell r="EV28">
            <v>994.875</v>
          </cell>
          <cell r="EX28">
            <v>36</v>
          </cell>
          <cell r="EY28">
            <v>74</v>
          </cell>
          <cell r="EZ28">
            <v>33</v>
          </cell>
          <cell r="FA28">
            <v>750</v>
          </cell>
          <cell r="FB28">
            <v>893</v>
          </cell>
          <cell r="FD28">
            <v>-59</v>
          </cell>
          <cell r="FE28">
            <v>73</v>
          </cell>
          <cell r="FF28">
            <v>-44</v>
          </cell>
          <cell r="FG28">
            <v>-4773</v>
          </cell>
          <cell r="FH28">
            <v>-4803</v>
          </cell>
          <cell r="FJ28">
            <v>-88</v>
          </cell>
          <cell r="FK28">
            <v>7</v>
          </cell>
          <cell r="FL28">
            <v>-35</v>
          </cell>
          <cell r="FM28">
            <v>445</v>
          </cell>
          <cell r="FN28">
            <v>329</v>
          </cell>
          <cell r="FP28">
            <v>23</v>
          </cell>
          <cell r="FQ28">
            <v>147</v>
          </cell>
          <cell r="FR28">
            <v>10</v>
          </cell>
          <cell r="FS28">
            <v>667</v>
          </cell>
          <cell r="FT28">
            <v>847</v>
          </cell>
          <cell r="FV28">
            <v>131</v>
          </cell>
          <cell r="FW28">
            <v>241</v>
          </cell>
          <cell r="FX28">
            <v>139</v>
          </cell>
          <cell r="FY28">
            <v>745</v>
          </cell>
          <cell r="FZ28">
            <v>1256</v>
          </cell>
          <cell r="GB28">
            <v>181</v>
          </cell>
          <cell r="GC28">
            <v>279</v>
          </cell>
          <cell r="GD28">
            <v>110.03264655178822</v>
          </cell>
          <cell r="GE28">
            <v>838.34033752127743</v>
          </cell>
          <cell r="GF28">
            <v>1408.3729840730655</v>
          </cell>
          <cell r="GS28" t="str">
            <v>mstag:netIncomeAsReported</v>
          </cell>
          <cell r="GT28">
            <v>6</v>
          </cell>
          <cell r="GU28" t="str">
            <v>ISO4217:USD</v>
          </cell>
          <cell r="GV28" t="b">
            <v>0</v>
          </cell>
        </row>
        <row r="30">
          <cell r="A30" t="str">
            <v>EPS, Before All Extraordinary Items</v>
          </cell>
          <cell r="C30" t="str">
            <v xml:space="preserve">--  </v>
          </cell>
          <cell r="D30" t="str">
            <v xml:space="preserve">--  </v>
          </cell>
          <cell r="E30" t="str">
            <v xml:space="preserve">--  </v>
          </cell>
          <cell r="F30">
            <v>0.22616075437808544</v>
          </cell>
          <cell r="G30">
            <v>1.0148989672204816</v>
          </cell>
          <cell r="H30">
            <v>1.5301560656568385</v>
          </cell>
          <cell r="I30">
            <v>1.9499735372413873</v>
          </cell>
          <cell r="K30">
            <v>0.20197557628978816</v>
          </cell>
          <cell r="L30">
            <v>0.81437207573570658</v>
          </cell>
          <cell r="N30">
            <v>0.19396284189183596</v>
          </cell>
          <cell r="O30">
            <v>0.59802158273381312</v>
          </cell>
          <cell r="P30">
            <v>1.2657726276118944</v>
          </cell>
          <cell r="Q30">
            <v>1.5161575918548031</v>
          </cell>
          <cell r="R30">
            <v>1.8784153005464481</v>
          </cell>
          <cell r="S30">
            <v>2.100160980880764</v>
          </cell>
          <cell r="T30">
            <v>1.6014336365037769</v>
          </cell>
          <cell r="U30">
            <v>1.7093897259149216</v>
          </cell>
          <cell r="V30">
            <v>1.8506172802885585</v>
          </cell>
          <cell r="W30">
            <v>2.2069208613414109</v>
          </cell>
          <cell r="X30">
            <v>2.5058780966631615</v>
          </cell>
          <cell r="Y30">
            <v>2.0770614304446693</v>
          </cell>
          <cell r="Z30">
            <v>2.129219701162147</v>
          </cell>
          <cell r="AA30">
            <v>1.2932312985703269</v>
          </cell>
          <cell r="AB30">
            <v>1.3637977980348048</v>
          </cell>
          <cell r="AC30">
            <v>2.1076672104404568</v>
          </cell>
          <cell r="AD30">
            <v>2.879879182156134</v>
          </cell>
          <cell r="AE30">
            <v>3.4254564468311228</v>
          </cell>
          <cell r="AF30">
            <v>3.9453943917559142</v>
          </cell>
          <cell r="AG30">
            <v>4.7983581094155907</v>
          </cell>
          <cell r="AH30">
            <v>5.2958753573867723</v>
          </cell>
          <cell r="AI30">
            <v>5.6959829769682733</v>
          </cell>
          <cell r="AJ30">
            <v>6.1538937066977288</v>
          </cell>
          <cell r="AK30">
            <v>6.8001516881883797</v>
          </cell>
          <cell r="AL30">
            <v>7.5529335978779351</v>
          </cell>
          <cell r="AN30" t="str">
            <v>EPS, Before All Extraordinary Items</v>
          </cell>
          <cell r="AO30">
            <v>-1.2429999999999988</v>
          </cell>
          <cell r="AP30">
            <v>-1.57965</v>
          </cell>
          <cell r="AQ30">
            <v>-1.0850250000000004</v>
          </cell>
          <cell r="AR30">
            <v>0.51459999999999939</v>
          </cell>
          <cell r="AS30">
            <v>-3.3930749999999996</v>
          </cell>
          <cell r="AU30">
            <v>-0.80231336751281623</v>
          </cell>
          <cell r="AV30">
            <v>-1.7985244466675014</v>
          </cell>
          <cell r="AW30">
            <v>-0.7627235213204947</v>
          </cell>
          <cell r="AX30">
            <v>-39.296723771414271</v>
          </cell>
          <cell r="AY30">
            <v>-42.660285106915083</v>
          </cell>
          <cell r="BA30">
            <v>0.14770538952107243</v>
          </cell>
          <cell r="BB30">
            <v>-1.9535728775290969E-2</v>
          </cell>
          <cell r="BC30">
            <v>0.25065079365079296</v>
          </cell>
          <cell r="BD30">
            <v>0.88256577903323108</v>
          </cell>
          <cell r="BE30">
            <v>1.3687202514593633</v>
          </cell>
          <cell r="BG30">
            <v>0.20002535476867783</v>
          </cell>
          <cell r="BH30">
            <v>7.0090017338431732E-2</v>
          </cell>
          <cell r="BI30">
            <v>0.38607880548804113</v>
          </cell>
          <cell r="BJ30">
            <v>1.1552976934888934</v>
          </cell>
          <cell r="BK30">
            <v>1.8118343851203089</v>
          </cell>
          <cell r="BM30">
            <v>0.25479187753036581</v>
          </cell>
          <cell r="BN30">
            <v>2.9799807233483223E-2</v>
          </cell>
          <cell r="BO30">
            <v>0.3502606635071091</v>
          </cell>
          <cell r="BP30">
            <v>1.3138393561622224</v>
          </cell>
          <cell r="BQ30">
            <v>1.9499735372413873</v>
          </cell>
          <cell r="BS30">
            <v>-0.20332821075740956</v>
          </cell>
          <cell r="BT30">
            <v>-0.31958644346871568</v>
          </cell>
          <cell r="BU30">
            <v>-0.28133589462129516</v>
          </cell>
          <cell r="BV30">
            <v>1.0062261251372122</v>
          </cell>
          <cell r="BW30">
            <v>0.20197557628978785</v>
          </cell>
          <cell r="BY30">
            <v>-0.31201213036862024</v>
          </cell>
          <cell r="BZ30">
            <v>-0.36741781983263083</v>
          </cell>
          <cell r="CA30">
            <v>0.11965027322404226</v>
          </cell>
          <cell r="CB30">
            <v>-0.34615287005689976</v>
          </cell>
          <cell r="CC30">
            <v>-0.23548729297471871</v>
          </cell>
          <cell r="CD30">
            <v>1.3712712428644704</v>
          </cell>
          <cell r="CE30">
            <v>1.207342410588703</v>
          </cell>
          <cell r="CF30">
            <v>0.81437207573570625</v>
          </cell>
          <cell r="CG30">
            <v>0.7435356421009699</v>
          </cell>
          <cell r="CH30">
            <v>0.38729941567494397</v>
          </cell>
          <cell r="CJ30">
            <v>-0.18345991969425834</v>
          </cell>
          <cell r="CK30">
            <v>-0.13094773743998667</v>
          </cell>
          <cell r="CL30">
            <v>0.19647851243942646</v>
          </cell>
          <cell r="CM30">
            <v>1.295707885304658</v>
          </cell>
          <cell r="CN30">
            <v>1.1955350719424447</v>
          </cell>
          <cell r="CP30">
            <v>0.11263576779026301</v>
          </cell>
          <cell r="CQ30">
            <v>0.29367256637168293</v>
          </cell>
          <cell r="CR30">
            <v>0.46448961555457374</v>
          </cell>
          <cell r="CS30">
            <v>1.6504702194357368</v>
          </cell>
          <cell r="CT30">
            <v>2.5298854420738444</v>
          </cell>
          <cell r="CV30">
            <v>0.26007772020725389</v>
          </cell>
          <cell r="CW30">
            <v>0.4604130808950086</v>
          </cell>
          <cell r="CX30">
            <v>0.48076923076923067</v>
          </cell>
          <cell r="CY30">
            <v>1.8793182865039153</v>
          </cell>
          <cell r="CZ30">
            <v>3.0333510402833115</v>
          </cell>
          <cell r="DB30">
            <v>0.20101663585951943</v>
          </cell>
          <cell r="DC30">
            <v>0.30869761153672826</v>
          </cell>
          <cell r="DD30">
            <v>0.27967257844474763</v>
          </cell>
          <cell r="DE30">
            <v>1.0186448385629832</v>
          </cell>
          <cell r="DF30">
            <v>1.8103153819879312</v>
          </cell>
          <cell r="DH30">
            <v>0.27276930189551551</v>
          </cell>
          <cell r="DI30">
            <v>0.46522781774580335</v>
          </cell>
          <cell r="DJ30">
            <v>0.27100944803580307</v>
          </cell>
          <cell r="DK30">
            <v>1.1121316908003744</v>
          </cell>
          <cell r="DL30">
            <v>2.100160980880764</v>
          </cell>
          <cell r="DN30">
            <v>0.21597256246937779</v>
          </cell>
          <cell r="DO30">
            <v>0.26126326727529131</v>
          </cell>
          <cell r="DP30">
            <v>0.11037133026498057</v>
          </cell>
          <cell r="DQ30">
            <v>1.0059098707159446</v>
          </cell>
          <cell r="DR30">
            <v>1.6014336365037769</v>
          </cell>
          <cell r="DT30">
            <v>0.21813725490196079</v>
          </cell>
          <cell r="DU30">
            <v>0.32678132678132676</v>
          </cell>
          <cell r="DV30">
            <v>0.19142419601837671</v>
          </cell>
          <cell r="DW30">
            <v>0.99768531377886427</v>
          </cell>
          <cell r="DX30">
            <v>1.7093897259149216</v>
          </cell>
          <cell r="DZ30">
            <v>0.13414803499513958</v>
          </cell>
          <cell r="EA30">
            <v>0.3366189923978869</v>
          </cell>
          <cell r="EB30">
            <v>0.22710881606277405</v>
          </cell>
          <cell r="EC30">
            <v>1.1671164307843058</v>
          </cell>
          <cell r="ED30">
            <v>1.8506172802885585</v>
          </cell>
          <cell r="EF30">
            <v>0.29516518323340046</v>
          </cell>
          <cell r="EG30">
            <v>0.36734693877551022</v>
          </cell>
          <cell r="EH30">
            <v>0.27580275229357798</v>
          </cell>
          <cell r="EI30">
            <v>1.2993690266609828</v>
          </cell>
          <cell r="EJ30">
            <v>2.2069208613414109</v>
          </cell>
          <cell r="EK30" t="str">
            <v>EPS, Before All Extraordinary Items</v>
          </cell>
          <cell r="EL30">
            <v>0.35692708333333328</v>
          </cell>
          <cell r="EM30">
            <v>0.42117245304496292</v>
          </cell>
          <cell r="EN30">
            <v>0.1606847608789124</v>
          </cell>
          <cell r="EO30">
            <v>1.3341216109951204</v>
          </cell>
          <cell r="EP30">
            <v>2.5058780966631615</v>
          </cell>
          <cell r="ER30">
            <v>1.2362553915314987E-2</v>
          </cell>
          <cell r="ES30">
            <v>0.32635908440629469</v>
          </cell>
          <cell r="ET30">
            <v>0.20415978662787176</v>
          </cell>
          <cell r="EU30">
            <v>1.5983670475799727</v>
          </cell>
          <cell r="EV30">
            <v>2.0770614304446693</v>
          </cell>
          <cell r="EX30">
            <v>0.16</v>
          </cell>
          <cell r="EY30">
            <v>0.34</v>
          </cell>
          <cell r="EZ30">
            <v>0.08</v>
          </cell>
          <cell r="FA30">
            <v>1.67</v>
          </cell>
          <cell r="FB30">
            <v>2.129219701162147</v>
          </cell>
          <cell r="FD30">
            <v>0.01</v>
          </cell>
          <cell r="FE30">
            <v>0.28999999999999998</v>
          </cell>
          <cell r="FF30">
            <v>-0.08</v>
          </cell>
          <cell r="FG30">
            <v>1.06</v>
          </cell>
          <cell r="FH30">
            <v>1.2932312985703269</v>
          </cell>
          <cell r="FJ30">
            <v>-0.16</v>
          </cell>
          <cell r="FK30">
            <v>0.2</v>
          </cell>
          <cell r="FL30">
            <v>-0.03</v>
          </cell>
          <cell r="FM30">
            <v>1.35</v>
          </cell>
          <cell r="FN30">
            <v>1.3637977980348048</v>
          </cell>
          <cell r="FP30">
            <v>9.3852651337400284E-2</v>
          </cell>
          <cell r="FQ30">
            <v>0.35</v>
          </cell>
          <cell r="FR30">
            <v>8.0449017773620193E-2</v>
          </cell>
          <cell r="FS30">
            <v>1.59</v>
          </cell>
          <cell r="FT30">
            <v>2.1076672104404568</v>
          </cell>
          <cell r="FV30">
            <v>0.30465116279069765</v>
          </cell>
          <cell r="FW30">
            <v>0.55453290381960418</v>
          </cell>
          <cell r="FX30">
            <v>0.32190829087540529</v>
          </cell>
          <cell r="FY30">
            <v>1.7048911771589044</v>
          </cell>
          <cell r="FZ30">
            <v>2.879879182156134</v>
          </cell>
          <cell r="GB30">
            <v>0.42718904885532216</v>
          </cell>
          <cell r="GC30">
            <v>0.66890433948693373</v>
          </cell>
          <cell r="GD30">
            <v>0.27084783703217807</v>
          </cell>
          <cell r="GE30">
            <v>2.1088022722950708</v>
          </cell>
          <cell r="GF30">
            <v>3.4254564468311224</v>
          </cell>
          <cell r="GS30" t="str">
            <v>mstag:adjEpsForConsensus</v>
          </cell>
          <cell r="GT30">
            <v>0</v>
          </cell>
          <cell r="GU30" t="str">
            <v>ISO4217:USD</v>
          </cell>
          <cell r="GV30" t="b">
            <v>0</v>
          </cell>
          <cell r="GW30" t="b">
            <v>0</v>
          </cell>
        </row>
        <row r="31">
          <cell r="A31" t="str">
            <v>EPS, Extraordinary/Discontinued</v>
          </cell>
          <cell r="K31">
            <v>-0.57276646542261256</v>
          </cell>
          <cell r="L31">
            <v>-0.9233288512833967</v>
          </cell>
          <cell r="N31">
            <v>0</v>
          </cell>
          <cell r="O31">
            <v>0</v>
          </cell>
          <cell r="P31">
            <v>-8.5852404307589364E-2</v>
          </cell>
          <cell r="Q31">
            <v>-5.090748118636565E-2</v>
          </cell>
          <cell r="R31">
            <v>-6.8306010928961755E-2</v>
          </cell>
          <cell r="S31">
            <v>-2.5448739718173199</v>
          </cell>
          <cell r="T31">
            <v>-2.2928164020348389</v>
          </cell>
          <cell r="U31">
            <v>0.34873079238926785</v>
          </cell>
          <cell r="V31">
            <v>6.29590299118425E-3</v>
          </cell>
          <cell r="W31">
            <v>-0.27369976145364439</v>
          </cell>
          <cell r="X31">
            <v>0.7306414847264896</v>
          </cell>
          <cell r="Y31">
            <v>-0.26060168971069103</v>
          </cell>
          <cell r="Z31">
            <v>-0.1348828629404164</v>
          </cell>
          <cell r="AA31">
            <v>-12.690277036246071</v>
          </cell>
          <cell r="AB31">
            <v>-0.58482301408784143</v>
          </cell>
          <cell r="AC31">
            <v>-0.13766721044045682</v>
          </cell>
          <cell r="AD31">
            <v>4.0120817843865897E-2</v>
          </cell>
          <cell r="AE31">
            <v>4.5435531688777786E-3</v>
          </cell>
          <cell r="AF31">
            <v>0</v>
          </cell>
          <cell r="AG31">
            <v>0</v>
          </cell>
          <cell r="AH31">
            <v>0</v>
          </cell>
          <cell r="AI31">
            <v>0</v>
          </cell>
          <cell r="AJ31">
            <v>0</v>
          </cell>
          <cell r="AK31">
            <v>0</v>
          </cell>
          <cell r="AL31">
            <v>0</v>
          </cell>
          <cell r="AN31" t="str">
            <v>EPS, Extraordinary/Discontinued</v>
          </cell>
          <cell r="AO31">
            <v>0.17066427012363927</v>
          </cell>
          <cell r="AP31">
            <v>7.9165927046291967E-2</v>
          </cell>
          <cell r="AQ31">
            <v>0.2616065710286915</v>
          </cell>
          <cell r="AR31">
            <v>-0.36646743429234646</v>
          </cell>
          <cell r="AS31">
            <v>0.14496933390627625</v>
          </cell>
          <cell r="AU31">
            <v>0.10056992116474267</v>
          </cell>
          <cell r="AV31">
            <v>0.92759338606906783</v>
          </cell>
          <cell r="AW31">
            <v>0.22557897123962739</v>
          </cell>
          <cell r="AX31">
            <v>12.649594309088322</v>
          </cell>
          <cell r="AY31">
            <v>13.90333658756176</v>
          </cell>
          <cell r="BA31">
            <v>0</v>
          </cell>
          <cell r="BB31">
            <v>-0.12</v>
          </cell>
          <cell r="BC31">
            <v>0</v>
          </cell>
          <cell r="BD31">
            <v>-0.05</v>
          </cell>
          <cell r="BE31">
            <v>-0.16999999999999998</v>
          </cell>
          <cell r="BG31">
            <v>-2.8088329675379727E-2</v>
          </cell>
          <cell r="BH31">
            <v>0</v>
          </cell>
          <cell r="BI31">
            <v>-0.11275344190133876</v>
          </cell>
          <cell r="BJ31">
            <v>0.11</v>
          </cell>
          <cell r="BK31">
            <v>-3.0841771576718482E-2</v>
          </cell>
          <cell r="BM31">
            <v>0</v>
          </cell>
          <cell r="BN31">
            <v>-0.12758141225173411</v>
          </cell>
          <cell r="BO31">
            <v>0</v>
          </cell>
          <cell r="BP31">
            <v>0</v>
          </cell>
          <cell r="BQ31">
            <v>-0.12758141225173411</v>
          </cell>
          <cell r="BS31">
            <v>0</v>
          </cell>
          <cell r="BT31">
            <v>-0.11375987925356752</v>
          </cell>
          <cell r="BU31">
            <v>-0.26783754116355651</v>
          </cell>
          <cell r="BV31">
            <v>-0.19116904500548851</v>
          </cell>
          <cell r="BW31">
            <v>-0.57276646542261256</v>
          </cell>
          <cell r="BY31">
            <v>-0.27822347029263966</v>
          </cell>
          <cell r="BZ31">
            <v>-0.38236853908001966</v>
          </cell>
          <cell r="CA31">
            <v>-0.12076142131979695</v>
          </cell>
          <cell r="CB31">
            <v>0</v>
          </cell>
          <cell r="CC31">
            <v>-0.12117634517766497</v>
          </cell>
          <cell r="CD31">
            <v>-0.13316015237014156</v>
          </cell>
          <cell r="CE31">
            <v>-0.24821034293864214</v>
          </cell>
          <cell r="CF31">
            <v>-0.9233288512833967</v>
          </cell>
          <cell r="CG31">
            <v>-1.0174801146897994</v>
          </cell>
          <cell r="CH31">
            <v>-1.0173207208242168</v>
          </cell>
          <cell r="CJ31">
            <v>-0.22177446664409073</v>
          </cell>
          <cell r="CK31">
            <v>-0.28818222312111447</v>
          </cell>
          <cell r="CL31">
            <v>-0.12598728090584768</v>
          </cell>
          <cell r="CM31">
            <v>-0.23777692652329746</v>
          </cell>
          <cell r="CN31">
            <v>-0.83960888039568349</v>
          </cell>
          <cell r="CP31">
            <v>0</v>
          </cell>
          <cell r="CQ31">
            <v>-0.17111946902654868</v>
          </cell>
          <cell r="CR31">
            <v>0</v>
          </cell>
          <cell r="CS31">
            <v>0</v>
          </cell>
          <cell r="CT31">
            <v>-0.17026512983525147</v>
          </cell>
          <cell r="CV31">
            <v>0</v>
          </cell>
          <cell r="CW31">
            <v>0</v>
          </cell>
          <cell r="CX31">
            <v>-0.10052447552447552</v>
          </cell>
          <cell r="CY31">
            <v>0</v>
          </cell>
          <cell r="CZ31">
            <v>-0.1018149623727313</v>
          </cell>
          <cell r="DB31">
            <v>0</v>
          </cell>
          <cell r="DC31">
            <v>0</v>
          </cell>
          <cell r="DD31">
            <v>0</v>
          </cell>
          <cell r="DE31">
            <v>0</v>
          </cell>
          <cell r="DF31">
            <v>0</v>
          </cell>
          <cell r="DH31">
            <v>-6.7036523347202961E-2</v>
          </cell>
          <cell r="DI31">
            <v>-0.31414868105515587</v>
          </cell>
          <cell r="DJ31">
            <v>-1.9318746892093486</v>
          </cell>
          <cell r="DK31">
            <v>-0.28871899238767618</v>
          </cell>
          <cell r="DL31">
            <v>-2.5448739718173199</v>
          </cell>
          <cell r="DN31">
            <v>-7.3885350318471349E-2</v>
          </cell>
          <cell r="DO31">
            <v>1.4287834929117501E-2</v>
          </cell>
          <cell r="DP31">
            <v>-0.10266321104606999</v>
          </cell>
          <cell r="DQ31">
            <v>-2.122851399951327</v>
          </cell>
          <cell r="DR31">
            <v>-2.2928164020348389</v>
          </cell>
          <cell r="DT31">
            <v>0</v>
          </cell>
          <cell r="DU31">
            <v>0.36609336609336607</v>
          </cell>
          <cell r="DV31">
            <v>7.9122001020929048E-2</v>
          </cell>
          <cell r="DW31">
            <v>-0.10734588819139679</v>
          </cell>
          <cell r="DX31">
            <v>0.34873079238926785</v>
          </cell>
          <cell r="DZ31">
            <v>-1.2776003332870435E-2</v>
          </cell>
          <cell r="EA31">
            <v>-1.6106171885066356E-2</v>
          </cell>
          <cell r="EB31">
            <v>-4.6710323871067008E-2</v>
          </cell>
          <cell r="EC31">
            <v>8.3563286453323213E-2</v>
          </cell>
          <cell r="ED31">
            <v>6.29590299118425E-3</v>
          </cell>
          <cell r="EF31">
            <v>-3.1864423189969363E-2</v>
          </cell>
          <cell r="EG31">
            <v>-0.15306122448979592</v>
          </cell>
          <cell r="EH31">
            <v>-6.3646788990825695E-2</v>
          </cell>
          <cell r="EI31">
            <v>-2.3266938493929443E-2</v>
          </cell>
          <cell r="EJ31">
            <v>-0.27369976145364439</v>
          </cell>
          <cell r="EK31" t="str">
            <v>EPS, Extraordinary/Discontinued</v>
          </cell>
          <cell r="EL31">
            <v>0</v>
          </cell>
          <cell r="EM31">
            <v>0</v>
          </cell>
          <cell r="EN31">
            <v>0.73526391456151163</v>
          </cell>
          <cell r="EO31">
            <v>-7.2844093853294434E-2</v>
          </cell>
          <cell r="EP31">
            <v>0.7306414847264896</v>
          </cell>
          <cell r="ER31">
            <v>-0.10555251807302107</v>
          </cell>
          <cell r="ES31">
            <v>0.24029864091559369</v>
          </cell>
          <cell r="ET31">
            <v>-0.21761532399830275</v>
          </cell>
          <cell r="EU31">
            <v>-0.19871075580987546</v>
          </cell>
          <cell r="EV31">
            <v>-0.26060168971069103</v>
          </cell>
          <cell r="EX31">
            <v>-8.3109782144382749E-2</v>
          </cell>
          <cell r="EY31">
            <v>-0.17624695729143616</v>
          </cell>
          <cell r="EZ31">
            <v>-3.9981575310916589E-3</v>
          </cell>
          <cell r="FA31">
            <v>0.17943409247757075</v>
          </cell>
          <cell r="FB31">
            <v>-0.1348828629404164</v>
          </cell>
          <cell r="FD31">
            <v>-0.15</v>
          </cell>
          <cell r="FE31">
            <v>-0.12</v>
          </cell>
          <cell r="FF31">
            <v>-0.02</v>
          </cell>
          <cell r="FG31">
            <v>-12.39</v>
          </cell>
          <cell r="FH31">
            <v>-12.690277036246071</v>
          </cell>
          <cell r="FJ31">
            <v>-0.05</v>
          </cell>
          <cell r="FK31">
            <v>-0.18</v>
          </cell>
          <cell r="FL31">
            <v>-0.05</v>
          </cell>
          <cell r="FM31">
            <v>-0.3</v>
          </cell>
          <cell r="FN31">
            <v>-0.58482301408784143</v>
          </cell>
          <cell r="FP31">
            <v>-4.3852651337400281E-2</v>
          </cell>
          <cell r="FQ31">
            <v>-5.3341148886283385E-3</v>
          </cell>
          <cell r="FR31">
            <v>-6.0449017773620189E-2</v>
          </cell>
          <cell r="FS31">
            <v>-4.0000000000000036E-2</v>
          </cell>
          <cell r="FT31">
            <v>-0.13766721044045682</v>
          </cell>
          <cell r="FV31">
            <v>-4.6511627906976605E-3</v>
          </cell>
          <cell r="FW31">
            <v>0</v>
          </cell>
          <cell r="FX31">
            <v>-1.908290875405283E-3</v>
          </cell>
          <cell r="FY31">
            <v>3.5108822841095622E-2</v>
          </cell>
          <cell r="FZ31">
            <v>4.0120817843865897E-2</v>
          </cell>
          <cell r="GB31">
            <v>2.8109511446778312E-3</v>
          </cell>
          <cell r="GC31">
            <v>1.09566051306631E-3</v>
          </cell>
          <cell r="GD31">
            <v>-8.4783703217805595E-4</v>
          </cell>
          <cell r="GE31">
            <v>1.1977277049290969E-3</v>
          </cell>
          <cell r="GF31">
            <v>4.5435531688777786E-3</v>
          </cell>
        </row>
        <row r="32">
          <cell r="A32" t="str">
            <v>EPS Basic, Reported</v>
          </cell>
          <cell r="C32" t="str">
            <v xml:space="preserve">--  </v>
          </cell>
          <cell r="D32" t="str">
            <v xml:space="preserve">--  </v>
          </cell>
          <cell r="E32" t="str">
            <v xml:space="preserve">--  </v>
          </cell>
          <cell r="F32">
            <v>0.22616075437808544</v>
          </cell>
          <cell r="G32">
            <v>1.1918096093399249</v>
          </cell>
          <cell r="H32">
            <v>1.78</v>
          </cell>
          <cell r="I32">
            <v>2.0775398323761891</v>
          </cell>
          <cell r="J32">
            <v>1.0943248139788602</v>
          </cell>
          <cell r="K32">
            <v>0.77474204171240069</v>
          </cell>
          <cell r="L32">
            <v>1.7377009270191033</v>
          </cell>
          <cell r="N32">
            <v>0.19424315098649622</v>
          </cell>
          <cell r="O32">
            <v>0.64003849855630413</v>
          </cell>
          <cell r="P32">
            <v>1.279376733483867</v>
          </cell>
          <cell r="Q32">
            <v>1.5799522673031026</v>
          </cell>
          <cell r="R32">
            <v>1.8892585551330798</v>
          </cell>
          <cell r="S32">
            <v>-0.44921875</v>
          </cell>
          <cell r="T32">
            <v>-0.70525105404369481</v>
          </cell>
          <cell r="U32">
            <v>2.0735107731305451</v>
          </cell>
          <cell r="V32">
            <v>1.8790672451193058</v>
          </cell>
          <cell r="W32">
            <v>1.966447173043975</v>
          </cell>
          <cell r="X32">
            <v>3.3018577701219307</v>
          </cell>
          <cell r="Y32">
            <v>1.8423611111111111</v>
          </cell>
          <cell r="Z32">
            <v>1.9545877791262072</v>
          </cell>
          <cell r="AA32">
            <v>-11.403810767495697</v>
          </cell>
          <cell r="AB32">
            <v>0.78012923113403276</v>
          </cell>
          <cell r="AC32">
            <v>1.996229083195852</v>
          </cell>
          <cell r="AD32">
            <v>2.9587750294464077</v>
          </cell>
          <cell r="AE32">
            <v>3.4768289072784784</v>
          </cell>
          <cell r="AF32">
            <v>4.0106022836648636</v>
          </cell>
          <cell r="AG32">
            <v>4.8863487599011481</v>
          </cell>
          <cell r="AH32">
            <v>5.401769994132783</v>
          </cell>
          <cell r="AI32">
            <v>5.8155175230849547</v>
          </cell>
          <cell r="AJ32">
            <v>6.2883768989543398</v>
          </cell>
          <cell r="AK32">
            <v>6.9597548987727658</v>
          </cell>
          <cell r="AL32">
            <v>7.7456035591899965</v>
          </cell>
          <cell r="AN32" t="str">
            <v>EPS Basic, Reported</v>
          </cell>
          <cell r="AO32">
            <v>-1.0723357298763596</v>
          </cell>
          <cell r="AP32">
            <v>-1.5004840729537079</v>
          </cell>
          <cell r="AQ32">
            <v>-0.82341842897130901</v>
          </cell>
          <cell r="AR32">
            <v>0.14813256570765293</v>
          </cell>
          <cell r="AS32">
            <v>-2.6062398109441198</v>
          </cell>
          <cell r="AU32">
            <v>-0.70174344634807351</v>
          </cell>
          <cell r="AV32">
            <v>-0.8709310605984335</v>
          </cell>
          <cell r="AW32">
            <v>-0.53714455008086737</v>
          </cell>
          <cell r="AX32">
            <v>0.43196269723388214</v>
          </cell>
          <cell r="AY32">
            <v>-1.4596868454619985</v>
          </cell>
          <cell r="BA32">
            <v>0.14770538952107243</v>
          </cell>
          <cell r="BB32">
            <v>-0.13925490818648498</v>
          </cell>
          <cell r="BC32">
            <v>0.25065079365079296</v>
          </cell>
          <cell r="BD32">
            <v>0.83396546799124038</v>
          </cell>
          <cell r="BE32">
            <v>1.19180960933992</v>
          </cell>
          <cell r="BG32">
            <v>0.17</v>
          </cell>
          <cell r="BH32">
            <v>7.0000000000000007E-2</v>
          </cell>
          <cell r="BI32">
            <v>0.27</v>
          </cell>
          <cell r="BJ32">
            <v>1.04</v>
          </cell>
          <cell r="BK32">
            <v>1.56</v>
          </cell>
          <cell r="BM32">
            <v>0.25</v>
          </cell>
          <cell r="BN32">
            <v>0.15738121948521733</v>
          </cell>
          <cell r="BO32">
            <v>0.35</v>
          </cell>
          <cell r="BP32">
            <v>1.31</v>
          </cell>
          <cell r="BQ32">
            <v>2.0775398323761891</v>
          </cell>
          <cell r="BS32">
            <v>-0.20332821075740956</v>
          </cell>
          <cell r="BT32">
            <v>-0.20582656421514811</v>
          </cell>
          <cell r="BU32">
            <v>-1.3498353457738645E-2</v>
          </cell>
          <cell r="BV32">
            <v>1.1973951701427006</v>
          </cell>
          <cell r="BW32">
            <v>0.77474204171240035</v>
          </cell>
          <cell r="BY32">
            <v>-3.378866007598056E-2</v>
          </cell>
          <cell r="BZ32">
            <v>1.4950719247388836E-2</v>
          </cell>
          <cell r="CA32">
            <v>0.24965027322404229</v>
          </cell>
          <cell r="CB32">
            <v>-0.34615287005689976</v>
          </cell>
          <cell r="CC32">
            <v>-0.11432140373673416</v>
          </cell>
          <cell r="CD32">
            <v>1.5044313952346118</v>
          </cell>
          <cell r="CE32">
            <v>1.4555527535273449</v>
          </cell>
          <cell r="CF32">
            <v>1.7377009270191031</v>
          </cell>
          <cell r="CG32">
            <v>1.7610157567907692</v>
          </cell>
          <cell r="CH32">
            <v>1.4012846587259669</v>
          </cell>
          <cell r="CJ32">
            <v>0.04</v>
          </cell>
          <cell r="CK32">
            <v>0.16</v>
          </cell>
          <cell r="CL32">
            <v>0.33</v>
          </cell>
          <cell r="CM32">
            <v>1.65</v>
          </cell>
          <cell r="CN32">
            <v>2.1800000000000002</v>
          </cell>
          <cell r="CP32">
            <v>0.11539088729016872</v>
          </cell>
          <cell r="CQ32">
            <v>0.3169531996179577</v>
          </cell>
          <cell r="CR32">
            <v>0.50221691352126152</v>
          </cell>
          <cell r="CS32">
            <v>1.8039573994232363</v>
          </cell>
          <cell r="CT32">
            <v>2.743131704196645</v>
          </cell>
          <cell r="CV32">
            <v>0.28887565258661607</v>
          </cell>
          <cell r="CW32">
            <v>0.50731353919239908</v>
          </cell>
          <cell r="CX32">
            <v>0.41527446300715992</v>
          </cell>
          <cell r="CY32">
            <v>1.9474940334128878</v>
          </cell>
          <cell r="CZ32">
            <v>3.1610214797136038</v>
          </cell>
          <cell r="DB32">
            <v>0.21113397129186603</v>
          </cell>
          <cell r="DC32">
            <v>0.32534587898999523</v>
          </cell>
          <cell r="DD32">
            <v>0.29230038022813687</v>
          </cell>
          <cell r="DE32">
            <v>1.0551106924163918</v>
          </cell>
          <cell r="DF32">
            <v>1.8892585551330801</v>
          </cell>
          <cell r="DH32">
            <v>0.21211654135338345</v>
          </cell>
          <cell r="DI32">
            <v>0.15346853823814133</v>
          </cell>
          <cell r="DJ32">
            <v>-1.6608652411735456</v>
          </cell>
          <cell r="DK32">
            <v>0.83543029693004534</v>
          </cell>
          <cell r="DL32">
            <v>-0.44921875</v>
          </cell>
          <cell r="DN32">
            <v>0.14946464646464647</v>
          </cell>
          <cell r="DO32">
            <v>0.28163103802672151</v>
          </cell>
          <cell r="DP32">
            <v>7.7760497667185065E-3</v>
          </cell>
          <cell r="DQ32">
            <v>-1.1333671399594321</v>
          </cell>
          <cell r="DR32">
            <v>-0.70525105404369481</v>
          </cell>
          <cell r="DT32">
            <v>0.22073412698412698</v>
          </cell>
          <cell r="DU32">
            <v>0.69975186104218368</v>
          </cell>
          <cell r="DV32">
            <v>0.27179487179487177</v>
          </cell>
          <cell r="DW32">
            <v>0.89113776846516501</v>
          </cell>
          <cell r="DX32">
            <v>2.0735107731305451</v>
          </cell>
          <cell r="DZ32">
            <v>0.12156448202959831</v>
          </cell>
          <cell r="EA32">
            <v>0.32327586206896552</v>
          </cell>
          <cell r="EB32">
            <v>0.18346111719605696</v>
          </cell>
          <cell r="EC32">
            <v>1.2749445676274944</v>
          </cell>
          <cell r="ED32">
            <v>1.8790672451193058</v>
          </cell>
          <cell r="EF32">
            <v>0.26869806094182824</v>
          </cell>
          <cell r="EG32">
            <v>0.21775544388609716</v>
          </cell>
          <cell r="EH32">
            <v>0.21511627906976744</v>
          </cell>
          <cell r="EI32">
            <v>1.3040901007705987</v>
          </cell>
          <cell r="EJ32">
            <v>1.966447173043975</v>
          </cell>
          <cell r="EK32" t="str">
            <v>EPS Basic, Reported</v>
          </cell>
          <cell r="EL32">
            <v>0.36538507109004736</v>
          </cell>
          <cell r="EM32">
            <v>0.43324299065420563</v>
          </cell>
          <cell r="EN32">
            <v>0.91167692805003653</v>
          </cell>
          <cell r="EO32">
            <v>1.2806888970318799</v>
          </cell>
          <cell r="EP32">
            <v>3.3018577701219307</v>
          </cell>
          <cell r="ER32">
            <v>-9.4511086877499081E-2</v>
          </cell>
          <cell r="ES32">
            <v>0.57384099963781232</v>
          </cell>
          <cell r="ET32">
            <v>-5.538120731031936E-3</v>
          </cell>
          <cell r="EU32">
            <v>1.4205426356589148</v>
          </cell>
          <cell r="EV32">
            <v>1.8423611111111111</v>
          </cell>
          <cell r="EX32">
            <v>7.6890217855617254E-2</v>
          </cell>
          <cell r="EY32">
            <v>0.16375304270856386</v>
          </cell>
          <cell r="EZ32">
            <v>7.6001842468908343E-2</v>
          </cell>
          <cell r="FA32">
            <v>1.7978979422385495</v>
          </cell>
          <cell r="FB32">
            <v>1.9545877791262072</v>
          </cell>
          <cell r="FD32">
            <v>-0.14000000000000001</v>
          </cell>
          <cell r="FE32">
            <v>0.17</v>
          </cell>
          <cell r="FF32">
            <v>-0.1</v>
          </cell>
          <cell r="FG32">
            <v>-11.33</v>
          </cell>
          <cell r="FH32">
            <v>-11.403810767495697</v>
          </cell>
          <cell r="FJ32">
            <v>-0.21</v>
          </cell>
          <cell r="FK32">
            <v>0.02</v>
          </cell>
          <cell r="FL32">
            <v>-0.08</v>
          </cell>
          <cell r="FM32">
            <v>1.05</v>
          </cell>
          <cell r="FN32">
            <v>0.78012923113403276</v>
          </cell>
          <cell r="FP32">
            <v>5.4424988168480827E-2</v>
          </cell>
          <cell r="FQ32">
            <v>0.3475177304964539</v>
          </cell>
          <cell r="FR32">
            <v>2.3612750885478158E-2</v>
          </cell>
          <cell r="FS32">
            <v>1.5757146231986769</v>
          </cell>
          <cell r="FT32">
            <v>1.996229083195852</v>
          </cell>
          <cell r="FV32">
            <v>0.30816278522700541</v>
          </cell>
          <cell r="FW32">
            <v>0.56374269005847955</v>
          </cell>
          <cell r="FX32">
            <v>0.32682812132612271</v>
          </cell>
          <cell r="FY32">
            <v>1.7738095238095237</v>
          </cell>
          <cell r="FZ32">
            <v>2.9587750294464077</v>
          </cell>
          <cell r="GB32">
            <v>0.43394869335890673</v>
          </cell>
          <cell r="GC32">
            <v>0.67850194552529186</v>
          </cell>
          <cell r="GD32">
            <v>0.27483932381768389</v>
          </cell>
          <cell r="GE32">
            <v>2.1405708013402154</v>
          </cell>
          <cell r="GF32">
            <v>3.4768289072784784</v>
          </cell>
        </row>
        <row r="33">
          <cell r="A33" t="str">
            <v>EPS Diluted, Reported</v>
          </cell>
          <cell r="N33">
            <v>0.19396284189183596</v>
          </cell>
          <cell r="O33">
            <v>0.62193570143884891</v>
          </cell>
          <cell r="P33">
            <v>1.2039336603062509</v>
          </cell>
          <cell r="Q33">
            <v>1.4807436918990704</v>
          </cell>
          <cell r="R33">
            <v>1.8101092896174864</v>
          </cell>
          <cell r="S33">
            <v>-0.44471299093655592</v>
          </cell>
          <cell r="T33">
            <v>-0.69138276553106215</v>
          </cell>
          <cell r="U33">
            <v>2.0581205183041891</v>
          </cell>
          <cell r="V33">
            <v>1.8569131832797428</v>
          </cell>
          <cell r="W33">
            <v>1.9312210998877666</v>
          </cell>
          <cell r="X33">
            <v>3.236519581389651</v>
          </cell>
          <cell r="Y33">
            <v>1.8164597407339782</v>
          </cell>
          <cell r="Z33">
            <v>1.9323052621090515</v>
          </cell>
          <cell r="AA33">
            <v>-11.397045737675745</v>
          </cell>
          <cell r="AB33">
            <v>0.7789747839469634</v>
          </cell>
          <cell r="AC33">
            <v>1.97</v>
          </cell>
          <cell r="AD33">
            <v>2.92</v>
          </cell>
          <cell r="AE33">
            <v>3.43</v>
          </cell>
          <cell r="AF33">
            <v>3.9453943917559142</v>
          </cell>
          <cell r="AG33">
            <v>4.7983581094155907</v>
          </cell>
          <cell r="AH33">
            <v>5.2958753573867723</v>
          </cell>
          <cell r="AI33">
            <v>5.6959829769682733</v>
          </cell>
          <cell r="AJ33">
            <v>6.1538937066977288</v>
          </cell>
          <cell r="AK33">
            <v>6.8001516881883797</v>
          </cell>
          <cell r="AL33">
            <v>7.5529335978779351</v>
          </cell>
          <cell r="AN33" t="str">
            <v>EPS Diluted, Reported</v>
          </cell>
          <cell r="CJ33">
            <v>4.3952880847563512E-2</v>
          </cell>
          <cell r="CK33">
            <v>0.1572344856811278</v>
          </cell>
          <cell r="CL33">
            <v>0.33496867229766447</v>
          </cell>
          <cell r="CM33">
            <v>1.5454023745519698</v>
          </cell>
          <cell r="CN33">
            <v>2.071115175359711</v>
          </cell>
          <cell r="CP33">
            <v>0.12199906367041283</v>
          </cell>
          <cell r="CQ33">
            <v>0.30544247787610773</v>
          </cell>
          <cell r="CR33">
            <v>0.47624392399469739</v>
          </cell>
          <cell r="CS33">
            <v>1.6620515499825848</v>
          </cell>
          <cell r="CT33">
            <v>2.5768180897619937</v>
          </cell>
          <cell r="CV33">
            <v>0.26107772020725389</v>
          </cell>
          <cell r="CW33">
            <v>0.4604130808950086</v>
          </cell>
          <cell r="CX33">
            <v>0.38024475524475521</v>
          </cell>
          <cell r="CY33">
            <v>1.8793182865039153</v>
          </cell>
          <cell r="CZ33">
            <v>2.9315360779105801</v>
          </cell>
          <cell r="DB33">
            <v>0.2020166358595194</v>
          </cell>
          <cell r="DC33">
            <v>0.30869761153672826</v>
          </cell>
          <cell r="DD33">
            <v>0.27967257844474763</v>
          </cell>
          <cell r="DE33">
            <v>1.0186448385629832</v>
          </cell>
          <cell r="DF33">
            <v>1.8103153819879312</v>
          </cell>
          <cell r="DH33">
            <v>0.20673277854831251</v>
          </cell>
          <cell r="DI33">
            <v>0.15107913669064749</v>
          </cell>
          <cell r="DJ33">
            <v>-1.6608652411735456</v>
          </cell>
          <cell r="DK33">
            <v>0.82341269841269848</v>
          </cell>
          <cell r="DL33">
            <v>-0.44471299093655592</v>
          </cell>
          <cell r="DN33">
            <v>0.14308721215090642</v>
          </cell>
          <cell r="DO33">
            <v>0.27555110220440882</v>
          </cell>
          <cell r="DP33">
            <v>7.7081192189105861E-3</v>
          </cell>
          <cell r="DQ33">
            <v>-1.1169415292353824</v>
          </cell>
          <cell r="DR33">
            <v>-0.69138276553106215</v>
          </cell>
          <cell r="DT33">
            <v>0.21613725490196078</v>
          </cell>
          <cell r="DU33">
            <v>0.69287469287469283</v>
          </cell>
          <cell r="DV33">
            <v>0.27054619703930577</v>
          </cell>
          <cell r="DW33">
            <v>0.89033942558746737</v>
          </cell>
          <cell r="DX33">
            <v>2.0581205183041891</v>
          </cell>
          <cell r="DZ33">
            <v>0.12137203166226913</v>
          </cell>
          <cell r="EA33">
            <v>0.32051282051282054</v>
          </cell>
          <cell r="EB33">
            <v>0.18039849219170706</v>
          </cell>
          <cell r="EC33">
            <v>1.2506797172376292</v>
          </cell>
          <cell r="ED33">
            <v>1.8569131832797428</v>
          </cell>
          <cell r="EF33">
            <v>0.26330076004343106</v>
          </cell>
          <cell r="EG33">
            <v>0.21428571428571427</v>
          </cell>
          <cell r="EH33">
            <v>0.2121559633027523</v>
          </cell>
          <cell r="EI33">
            <v>1.2761020881670533</v>
          </cell>
          <cell r="EJ33">
            <v>1.9312210998877666</v>
          </cell>
          <cell r="EK33" t="str">
            <v>EPS Diluted, Reported</v>
          </cell>
          <cell r="EL33">
            <v>0.35692708333333328</v>
          </cell>
          <cell r="EM33">
            <v>0.42117245304496304</v>
          </cell>
          <cell r="EN33">
            <v>0.89594867544042411</v>
          </cell>
          <cell r="EO33">
            <v>1.261277517141826</v>
          </cell>
          <cell r="EP33">
            <v>3.236519581389651</v>
          </cell>
          <cell r="ER33">
            <v>-9.3189964157706098E-2</v>
          </cell>
          <cell r="ES33">
            <v>0.56665772532188841</v>
          </cell>
          <cell r="ET33">
            <v>-5.4555373704309879E-3</v>
          </cell>
          <cell r="EU33">
            <v>1.3996562917700972</v>
          </cell>
          <cell r="EV33">
            <v>1.8164597407339782</v>
          </cell>
          <cell r="EX33">
            <v>7.5566750629722929E-2</v>
          </cell>
          <cell r="EY33">
            <v>0.16164263870685888</v>
          </cell>
          <cell r="EZ33">
            <v>7.532526820360648E-2</v>
          </cell>
          <cell r="FA33">
            <v>1.7778979422385495</v>
          </cell>
          <cell r="FB33">
            <v>1.9323052621090515</v>
          </cell>
          <cell r="FD33">
            <v>-0.14000000000000001</v>
          </cell>
          <cell r="FE33">
            <v>0.17</v>
          </cell>
          <cell r="FF33">
            <v>-0.1</v>
          </cell>
          <cell r="FG33">
            <v>-11.33</v>
          </cell>
          <cell r="FH33">
            <v>-11.397045737675745</v>
          </cell>
          <cell r="FJ33">
            <v>-0.21</v>
          </cell>
          <cell r="FK33">
            <v>0.02</v>
          </cell>
          <cell r="FL33">
            <v>-0.08</v>
          </cell>
          <cell r="FM33">
            <v>1.05</v>
          </cell>
          <cell r="FN33">
            <v>0.7789747839469634</v>
          </cell>
          <cell r="FP33">
            <v>0.05</v>
          </cell>
          <cell r="FQ33">
            <v>0.34466588511137164</v>
          </cell>
          <cell r="FR33">
            <v>0.02</v>
          </cell>
          <cell r="FS33">
            <v>1.55</v>
          </cell>
          <cell r="FT33">
            <v>1.97</v>
          </cell>
          <cell r="FV33">
            <v>0.3</v>
          </cell>
          <cell r="FW33">
            <v>0.55453290381960418</v>
          </cell>
          <cell r="FX33">
            <v>0.32</v>
          </cell>
          <cell r="FY33">
            <v>1.74</v>
          </cell>
          <cell r="FZ33">
            <v>2.92</v>
          </cell>
          <cell r="GB33">
            <v>0.43</v>
          </cell>
          <cell r="GC33">
            <v>0.67</v>
          </cell>
          <cell r="GD33">
            <v>0.27</v>
          </cell>
          <cell r="GE33">
            <v>2.11</v>
          </cell>
          <cell r="GF33">
            <v>3.43</v>
          </cell>
        </row>
        <row r="34">
          <cell r="A34" t="str">
            <v>Net Income, For Consensus</v>
          </cell>
          <cell r="W34">
            <v>786.54659498207877</v>
          </cell>
          <cell r="X34">
            <v>1089.0546208098101</v>
          </cell>
          <cell r="Y34">
            <v>1137.6065454545455</v>
          </cell>
          <cell r="Z34">
            <v>968.87045454545455</v>
          </cell>
          <cell r="AA34">
            <v>545</v>
          </cell>
          <cell r="AB34">
            <v>575.99999999999989</v>
          </cell>
          <cell r="AC34">
            <v>863</v>
          </cell>
          <cell r="AD34">
            <v>1239.5</v>
          </cell>
          <cell r="AE34">
            <v>1407.0129840730656</v>
          </cell>
          <cell r="AF34">
            <v>1474.1651556723784</v>
          </cell>
          <cell r="AG34">
            <v>1618.7764295278068</v>
          </cell>
          <cell r="AH34">
            <v>1641.1420018455815</v>
          </cell>
          <cell r="AI34">
            <v>1683.4875028271351</v>
          </cell>
          <cell r="AJ34">
            <v>1748.1022306573102</v>
          </cell>
          <cell r="AK34">
            <v>1801.4292273300186</v>
          </cell>
          <cell r="AL34">
            <v>1844.6042441173129</v>
          </cell>
          <cell r="ER34">
            <v>11</v>
          </cell>
          <cell r="ES34">
            <v>292</v>
          </cell>
          <cell r="ET34">
            <v>175</v>
          </cell>
          <cell r="EU34">
            <v>1334</v>
          </cell>
          <cell r="EV34">
            <v>1812</v>
          </cell>
          <cell r="EX34">
            <v>119</v>
          </cell>
          <cell r="EY34">
            <v>210</v>
          </cell>
          <cell r="EZ34">
            <v>55</v>
          </cell>
          <cell r="FA34">
            <v>1155</v>
          </cell>
          <cell r="FB34">
            <v>1539</v>
          </cell>
          <cell r="FD34">
            <v>4</v>
          </cell>
          <cell r="FE34">
            <v>120.99999999999999</v>
          </cell>
          <cell r="FF34">
            <v>-34</v>
          </cell>
          <cell r="FG34">
            <v>448</v>
          </cell>
          <cell r="FH34">
            <v>545</v>
          </cell>
          <cell r="FJ34">
            <v>-67.999999999999986</v>
          </cell>
          <cell r="FK34">
            <v>84</v>
          </cell>
          <cell r="FL34">
            <v>-12.000000000000002</v>
          </cell>
          <cell r="FM34">
            <v>572</v>
          </cell>
          <cell r="FN34">
            <v>575.99999999999989</v>
          </cell>
          <cell r="FP34">
            <v>23.000000000000004</v>
          </cell>
          <cell r="FQ34">
            <v>147</v>
          </cell>
          <cell r="FR34">
            <v>10</v>
          </cell>
          <cell r="FS34">
            <v>682.99999999999989</v>
          </cell>
          <cell r="FT34">
            <v>863</v>
          </cell>
          <cell r="FV34">
            <v>131</v>
          </cell>
          <cell r="FW34">
            <v>240.99999999999997</v>
          </cell>
          <cell r="FX34">
            <v>139</v>
          </cell>
          <cell r="FY34">
            <v>728.49999999999989</v>
          </cell>
          <cell r="FZ34">
            <v>1239.5</v>
          </cell>
          <cell r="GB34">
            <v>181</v>
          </cell>
          <cell r="GC34">
            <v>279.00000000000006</v>
          </cell>
          <cell r="GD34">
            <v>110.03264655178822</v>
          </cell>
          <cell r="GE34">
            <v>838.34033752127743</v>
          </cell>
          <cell r="GF34">
            <v>1408.3729840730653</v>
          </cell>
          <cell r="GS34" t="str">
            <v>mstag:netIncomeAdjustedForConsensus</v>
          </cell>
          <cell r="GT34">
            <v>6</v>
          </cell>
          <cell r="GU34" t="str">
            <v>ISO4217:USD</v>
          </cell>
          <cell r="GV34" t="b">
            <v>0</v>
          </cell>
        </row>
        <row r="35">
          <cell r="A35" t="str">
            <v>Average Basic Shares Outstanding</v>
          </cell>
          <cell r="C35" t="str">
            <v xml:space="preserve">--  </v>
          </cell>
          <cell r="D35" t="str">
            <v xml:space="preserve">--  </v>
          </cell>
          <cell r="E35" t="str">
            <v xml:space="preserve">--  </v>
          </cell>
          <cell r="F35">
            <v>111.35</v>
          </cell>
          <cell r="G35">
            <v>111.35</v>
          </cell>
          <cell r="H35">
            <v>126.29300000000001</v>
          </cell>
          <cell r="I35">
            <v>126.593</v>
          </cell>
          <cell r="K35">
            <v>182.2</v>
          </cell>
          <cell r="L35">
            <v>182.952</v>
          </cell>
          <cell r="N35">
            <v>386.11399999999998</v>
          </cell>
          <cell r="O35">
            <v>415.6</v>
          </cell>
          <cell r="P35">
            <v>418.95400000000001</v>
          </cell>
          <cell r="Q35">
            <v>419</v>
          </cell>
          <cell r="R35">
            <v>420.8</v>
          </cell>
          <cell r="S35">
            <v>409.6</v>
          </cell>
          <cell r="T35">
            <v>391.35</v>
          </cell>
          <cell r="U35">
            <v>394.5</v>
          </cell>
          <cell r="V35">
            <v>368.8</v>
          </cell>
          <cell r="W35">
            <v>350.2</v>
          </cell>
          <cell r="X35">
            <v>426</v>
          </cell>
          <cell r="Y35">
            <v>540</v>
          </cell>
          <cell r="Z35">
            <v>446.6</v>
          </cell>
          <cell r="AA35">
            <v>421.17499999999995</v>
          </cell>
          <cell r="AB35">
            <v>421.72500000000002</v>
          </cell>
          <cell r="AC35">
            <v>424.3</v>
          </cell>
          <cell r="AD35">
            <v>424.5</v>
          </cell>
          <cell r="AE35">
            <v>405.07399749373434</v>
          </cell>
          <cell r="AF35">
            <v>367.56702644803153</v>
          </cell>
          <cell r="AG35">
            <v>331.28548719485082</v>
          </cell>
          <cell r="AH35">
            <v>303.81560185423177</v>
          </cell>
          <cell r="AI35">
            <v>289.4819757905392</v>
          </cell>
          <cell r="AJ35">
            <v>277.98941741993752</v>
          </cell>
          <cell r="AK35">
            <v>258.83515346893466</v>
          </cell>
          <cell r="AL35">
            <v>238.1485484018516</v>
          </cell>
          <cell r="AN35" t="str">
            <v>Average Basic Shares Outstanding</v>
          </cell>
          <cell r="AO35">
            <v>80</v>
          </cell>
          <cell r="AP35">
            <v>80</v>
          </cell>
          <cell r="AQ35">
            <v>80</v>
          </cell>
          <cell r="AR35">
            <v>80</v>
          </cell>
          <cell r="AS35">
            <v>80</v>
          </cell>
          <cell r="AU35">
            <v>79.97</v>
          </cell>
          <cell r="AV35">
            <v>79.97</v>
          </cell>
          <cell r="AW35">
            <v>79.97</v>
          </cell>
          <cell r="AX35">
            <v>79.97</v>
          </cell>
          <cell r="AY35">
            <v>79.97</v>
          </cell>
          <cell r="BA35">
            <v>79.97</v>
          </cell>
          <cell r="BB35">
            <v>113.38200000000001</v>
          </cell>
          <cell r="BC35">
            <v>126</v>
          </cell>
          <cell r="BD35">
            <v>126.02800000000001</v>
          </cell>
          <cell r="BE35">
            <v>111.35</v>
          </cell>
          <cell r="BG35">
            <v>126.209</v>
          </cell>
          <cell r="BH35">
            <v>126.309</v>
          </cell>
          <cell r="BI35">
            <v>126.31100000000001</v>
          </cell>
          <cell r="BJ35">
            <v>126.33799999999999</v>
          </cell>
          <cell r="BK35">
            <v>126.29300000000001</v>
          </cell>
          <cell r="BM35">
            <v>126.464</v>
          </cell>
          <cell r="BN35">
            <v>126.578</v>
          </cell>
          <cell r="BO35">
            <v>126.6</v>
          </cell>
          <cell r="BP35">
            <v>126.74</v>
          </cell>
          <cell r="BQ35">
            <v>126.593</v>
          </cell>
          <cell r="BS35">
            <v>182.2</v>
          </cell>
          <cell r="BT35">
            <v>182.2</v>
          </cell>
          <cell r="BU35">
            <v>182.2</v>
          </cell>
          <cell r="BV35">
            <v>182.2</v>
          </cell>
          <cell r="BW35">
            <v>182.2</v>
          </cell>
          <cell r="BY35">
            <v>182.68199999999999</v>
          </cell>
          <cell r="BZ35">
            <v>182.83</v>
          </cell>
          <cell r="CA35">
            <v>183</v>
          </cell>
          <cell r="CB35">
            <v>197.017</v>
          </cell>
          <cell r="CC35">
            <v>197.017</v>
          </cell>
          <cell r="CD35">
            <v>183.238</v>
          </cell>
          <cell r="CE35">
            <v>202.631</v>
          </cell>
          <cell r="CF35">
            <v>182.952</v>
          </cell>
          <cell r="CG35">
            <v>191.47300000000001</v>
          </cell>
          <cell r="CH35">
            <v>191.50299999999999</v>
          </cell>
          <cell r="CJ35">
            <v>206.71</v>
          </cell>
          <cell r="CK35">
            <v>207.66300000000001</v>
          </cell>
          <cell r="CL35">
            <v>207.82</v>
          </cell>
          <cell r="CM35">
            <v>208.26</v>
          </cell>
          <cell r="CN35">
            <v>207.8</v>
          </cell>
          <cell r="CP35">
            <v>208.5</v>
          </cell>
          <cell r="CQ35">
            <v>209.4</v>
          </cell>
          <cell r="CR35">
            <v>209.3</v>
          </cell>
          <cell r="CS35">
            <v>210.13800000000001</v>
          </cell>
          <cell r="CT35">
            <v>209.477</v>
          </cell>
          <cell r="CV35">
            <v>210.7</v>
          </cell>
          <cell r="CW35">
            <v>210.5</v>
          </cell>
          <cell r="CX35">
            <v>209.5</v>
          </cell>
          <cell r="CY35">
            <v>209.5</v>
          </cell>
          <cell r="CZ35">
            <v>209.5</v>
          </cell>
          <cell r="DB35">
            <v>418</v>
          </cell>
          <cell r="DC35">
            <v>419.8</v>
          </cell>
          <cell r="DD35">
            <v>420.8</v>
          </cell>
          <cell r="DE35">
            <v>424.6</v>
          </cell>
          <cell r="DF35">
            <v>420.79999999999995</v>
          </cell>
          <cell r="DH35">
            <v>425.6</v>
          </cell>
          <cell r="DI35">
            <v>413.2</v>
          </cell>
          <cell r="DJ35">
            <v>402.2</v>
          </cell>
          <cell r="DK35">
            <v>397.4</v>
          </cell>
          <cell r="DL35">
            <v>409.6</v>
          </cell>
          <cell r="DN35">
            <v>396</v>
          </cell>
          <cell r="DO35">
            <v>389.2</v>
          </cell>
          <cell r="DP35">
            <v>385.8</v>
          </cell>
          <cell r="DQ35">
            <v>394.4</v>
          </cell>
          <cell r="DR35">
            <v>391.35</v>
          </cell>
          <cell r="DT35">
            <v>403.2</v>
          </cell>
          <cell r="DU35">
            <v>403</v>
          </cell>
          <cell r="DV35">
            <v>390</v>
          </cell>
          <cell r="DW35">
            <v>381.8</v>
          </cell>
          <cell r="DX35">
            <v>394.5</v>
          </cell>
          <cell r="DZ35">
            <v>378.4</v>
          </cell>
          <cell r="EA35">
            <v>371.2</v>
          </cell>
          <cell r="EB35">
            <v>365.2</v>
          </cell>
          <cell r="EC35">
            <v>360.8</v>
          </cell>
          <cell r="ED35">
            <v>368.8</v>
          </cell>
          <cell r="EF35">
            <v>361</v>
          </cell>
          <cell r="EG35">
            <v>358.2</v>
          </cell>
          <cell r="EH35">
            <v>344</v>
          </cell>
          <cell r="EI35">
            <v>337.4</v>
          </cell>
          <cell r="EJ35">
            <v>350.2</v>
          </cell>
          <cell r="EK35" t="str">
            <v>Average Basic Shares Outstanding</v>
          </cell>
          <cell r="EL35">
            <v>337.6</v>
          </cell>
          <cell r="EM35">
            <v>342.4</v>
          </cell>
          <cell r="EN35">
            <v>478.5</v>
          </cell>
          <cell r="EO35">
            <v>545.79999999999995</v>
          </cell>
          <cell r="EP35">
            <v>426</v>
          </cell>
          <cell r="ER35">
            <v>550.20000000000005</v>
          </cell>
          <cell r="ES35">
            <v>552.20000000000005</v>
          </cell>
          <cell r="ET35">
            <v>541.70000000000005</v>
          </cell>
          <cell r="EU35">
            <v>516</v>
          </cell>
          <cell r="EV35">
            <v>540</v>
          </cell>
          <cell r="EX35">
            <v>468.2</v>
          </cell>
          <cell r="EY35">
            <v>451.9</v>
          </cell>
          <cell r="EZ35">
            <v>434.2</v>
          </cell>
          <cell r="FA35">
            <v>432.1</v>
          </cell>
          <cell r="FB35">
            <v>446.6</v>
          </cell>
          <cell r="FD35">
            <v>420.9</v>
          </cell>
          <cell r="FE35">
            <v>421.1</v>
          </cell>
          <cell r="FF35">
            <v>421.3</v>
          </cell>
          <cell r="FG35">
            <v>421.4</v>
          </cell>
          <cell r="FH35">
            <v>421.17499999999995</v>
          </cell>
          <cell r="FJ35">
            <v>421.4</v>
          </cell>
          <cell r="FK35">
            <v>421.5</v>
          </cell>
          <cell r="FL35">
            <v>421.8</v>
          </cell>
          <cell r="FM35">
            <v>422.2</v>
          </cell>
          <cell r="FN35">
            <v>421.72500000000002</v>
          </cell>
          <cell r="FP35">
            <v>422.6</v>
          </cell>
          <cell r="FQ35">
            <v>423</v>
          </cell>
          <cell r="FR35">
            <v>423.5</v>
          </cell>
          <cell r="FS35">
            <v>423.3</v>
          </cell>
          <cell r="FT35">
            <v>424.3</v>
          </cell>
          <cell r="FV35">
            <v>425.1</v>
          </cell>
          <cell r="FW35">
            <v>427.5</v>
          </cell>
          <cell r="FX35">
            <v>425.3</v>
          </cell>
          <cell r="FY35">
            <v>420</v>
          </cell>
          <cell r="FZ35">
            <v>424.5</v>
          </cell>
          <cell r="GB35">
            <v>417.1</v>
          </cell>
          <cell r="GC35">
            <v>411.2</v>
          </cell>
          <cell r="GD35">
            <v>400.35263157894735</v>
          </cell>
          <cell r="GE35">
            <v>391.64335839598999</v>
          </cell>
          <cell r="GF35">
            <v>405.07399749373434</v>
          </cell>
          <cell r="GS35" t="str">
            <v>mstag:averageBasicSharesOutstanding</v>
          </cell>
          <cell r="GT35">
            <v>6</v>
          </cell>
          <cell r="GU35" t="str">
            <v>ms_eqr_gcim_Decimal:ms_eqr_gcim_decimal</v>
          </cell>
          <cell r="GV35" t="b">
            <v>0</v>
          </cell>
          <cell r="GW35" t="b">
            <v>0</v>
          </cell>
        </row>
        <row r="36">
          <cell r="A36" t="str">
            <v>Average Fully Diluted Shares Outstanding</v>
          </cell>
          <cell r="K36">
            <v>182.2</v>
          </cell>
          <cell r="L36">
            <v>182.952</v>
          </cell>
          <cell r="N36">
            <v>386.67200000000003</v>
          </cell>
          <cell r="O36">
            <v>444.8</v>
          </cell>
          <cell r="P36">
            <v>454.26799999999997</v>
          </cell>
          <cell r="Q36">
            <v>451.8</v>
          </cell>
          <cell r="R36">
            <v>439.2</v>
          </cell>
          <cell r="S36">
            <v>413.75</v>
          </cell>
          <cell r="T36">
            <v>399.2</v>
          </cell>
          <cell r="U36">
            <v>397.45</v>
          </cell>
          <cell r="V36">
            <v>373.2</v>
          </cell>
          <cell r="W36">
            <v>356.4</v>
          </cell>
          <cell r="X36">
            <v>434.6</v>
          </cell>
          <cell r="Y36">
            <v>547.70000000000005</v>
          </cell>
          <cell r="Z36">
            <v>451.75000000000006</v>
          </cell>
          <cell r="AA36">
            <v>421.42499999999995</v>
          </cell>
          <cell r="AB36">
            <v>422.35</v>
          </cell>
          <cell r="AC36">
            <v>429.1</v>
          </cell>
          <cell r="AD36">
            <v>430.4</v>
          </cell>
          <cell r="AE36">
            <v>411.14899749373433</v>
          </cell>
          <cell r="AF36">
            <v>373.64202644803152</v>
          </cell>
          <cell r="AG36">
            <v>337.3604871948508</v>
          </cell>
          <cell r="AH36">
            <v>309.89060185423176</v>
          </cell>
          <cell r="AI36">
            <v>295.55697579053918</v>
          </cell>
          <cell r="AJ36">
            <v>284.06441741993751</v>
          </cell>
          <cell r="AK36">
            <v>264.91015346893465</v>
          </cell>
          <cell r="AL36">
            <v>244.22354840185159</v>
          </cell>
          <cell r="AN36" t="str">
            <v>Average Fully Diluted Shares Outstanding</v>
          </cell>
          <cell r="AO36">
            <v>80</v>
          </cell>
          <cell r="AP36">
            <v>80</v>
          </cell>
          <cell r="AQ36">
            <v>80</v>
          </cell>
          <cell r="AR36">
            <v>80</v>
          </cell>
          <cell r="AS36">
            <v>80</v>
          </cell>
          <cell r="AU36">
            <v>79.97</v>
          </cell>
          <cell r="AV36">
            <v>79.97</v>
          </cell>
          <cell r="AW36">
            <v>79.97</v>
          </cell>
          <cell r="AX36">
            <v>79.97</v>
          </cell>
          <cell r="AY36">
            <v>79.97</v>
          </cell>
          <cell r="BA36">
            <v>79.97</v>
          </cell>
          <cell r="BB36">
            <v>113.38200000000001</v>
          </cell>
          <cell r="BC36">
            <v>126</v>
          </cell>
          <cell r="BD36">
            <v>126.02800000000001</v>
          </cell>
          <cell r="BE36">
            <v>111.35</v>
          </cell>
          <cell r="BG36">
            <v>126.209</v>
          </cell>
          <cell r="BH36">
            <v>126.309</v>
          </cell>
          <cell r="BI36">
            <v>126.31100000000001</v>
          </cell>
          <cell r="BJ36">
            <v>126.33799999999999</v>
          </cell>
          <cell r="BK36">
            <v>126.29300000000001</v>
          </cell>
          <cell r="BM36">
            <v>126.464</v>
          </cell>
          <cell r="BN36">
            <v>126.578</v>
          </cell>
          <cell r="BO36">
            <v>126.6</v>
          </cell>
          <cell r="BP36">
            <v>126.74</v>
          </cell>
          <cell r="BQ36">
            <v>126.593</v>
          </cell>
          <cell r="BS36">
            <v>182.2</v>
          </cell>
          <cell r="BT36">
            <v>182.2</v>
          </cell>
          <cell r="BU36">
            <v>182.2</v>
          </cell>
          <cell r="BV36">
            <v>182.2</v>
          </cell>
          <cell r="BW36">
            <v>182.2</v>
          </cell>
          <cell r="BY36">
            <v>182.68199999999999</v>
          </cell>
          <cell r="BZ36">
            <v>182.83</v>
          </cell>
          <cell r="CA36">
            <v>183</v>
          </cell>
          <cell r="CB36">
            <v>197.017</v>
          </cell>
          <cell r="CC36">
            <v>197.017</v>
          </cell>
          <cell r="CD36">
            <v>183.238</v>
          </cell>
          <cell r="CE36">
            <v>202.631</v>
          </cell>
          <cell r="CF36">
            <v>182.952</v>
          </cell>
          <cell r="CG36">
            <v>191.47300000000001</v>
          </cell>
          <cell r="CH36">
            <v>191.50299999999999</v>
          </cell>
          <cell r="CJ36">
            <v>206.71</v>
          </cell>
          <cell r="CK36">
            <v>207.66300000000001</v>
          </cell>
          <cell r="CL36">
            <v>212.751</v>
          </cell>
          <cell r="CM36">
            <v>223.2</v>
          </cell>
          <cell r="CN36">
            <v>222.4</v>
          </cell>
          <cell r="CP36">
            <v>213.6</v>
          </cell>
          <cell r="CQ36">
            <v>226</v>
          </cell>
          <cell r="CR36">
            <v>226.3</v>
          </cell>
          <cell r="CS36">
            <v>229.68</v>
          </cell>
          <cell r="CT36">
            <v>227.13399999999999</v>
          </cell>
          <cell r="CV36">
            <v>231.6</v>
          </cell>
          <cell r="CW36">
            <v>232.4</v>
          </cell>
          <cell r="CX36">
            <v>228.8</v>
          </cell>
          <cell r="CY36">
            <v>217.1</v>
          </cell>
          <cell r="CZ36">
            <v>225.9</v>
          </cell>
          <cell r="DB36">
            <v>432.8</v>
          </cell>
          <cell r="DC36">
            <v>443.8</v>
          </cell>
          <cell r="DD36">
            <v>439.8</v>
          </cell>
          <cell r="DE36">
            <v>439.8</v>
          </cell>
          <cell r="DF36">
            <v>439.15000000000003</v>
          </cell>
          <cell r="DH36">
            <v>432.6</v>
          </cell>
          <cell r="DI36">
            <v>417</v>
          </cell>
          <cell r="DJ36">
            <v>402.2</v>
          </cell>
          <cell r="DK36">
            <v>403.2</v>
          </cell>
          <cell r="DL36">
            <v>413.75</v>
          </cell>
          <cell r="DN36">
            <v>408.2</v>
          </cell>
          <cell r="DO36">
            <v>399.2</v>
          </cell>
          <cell r="DP36">
            <v>389.2</v>
          </cell>
          <cell r="DQ36">
            <v>400.2</v>
          </cell>
          <cell r="DR36">
            <v>399.2</v>
          </cell>
          <cell r="DT36">
            <v>408</v>
          </cell>
          <cell r="DU36">
            <v>407</v>
          </cell>
          <cell r="DV36">
            <v>391.8</v>
          </cell>
          <cell r="DW36">
            <v>383</v>
          </cell>
          <cell r="DX36">
            <v>397.45</v>
          </cell>
          <cell r="DZ36">
            <v>379</v>
          </cell>
          <cell r="EA36">
            <v>374.4</v>
          </cell>
          <cell r="EB36">
            <v>371.4</v>
          </cell>
          <cell r="EC36">
            <v>367.8</v>
          </cell>
          <cell r="ED36">
            <v>373.2</v>
          </cell>
          <cell r="EF36">
            <v>368.4</v>
          </cell>
          <cell r="EG36">
            <v>364</v>
          </cell>
          <cell r="EH36">
            <v>348.8</v>
          </cell>
          <cell r="EI36">
            <v>344.8</v>
          </cell>
          <cell r="EJ36">
            <v>356.4</v>
          </cell>
          <cell r="EK36" t="str">
            <v>Average Fully Diluted Shares Outstanding</v>
          </cell>
          <cell r="EL36">
            <v>345.6</v>
          </cell>
          <cell r="EM36">
            <v>351.4</v>
          </cell>
          <cell r="EN36">
            <v>486.9</v>
          </cell>
          <cell r="EO36">
            <v>554.20000000000005</v>
          </cell>
          <cell r="EP36">
            <v>434.6</v>
          </cell>
          <cell r="ER36">
            <v>558</v>
          </cell>
          <cell r="ES36">
            <v>559.20000000000005</v>
          </cell>
          <cell r="ET36">
            <v>549.9</v>
          </cell>
          <cell r="EU36">
            <v>523.70000000000005</v>
          </cell>
          <cell r="EV36">
            <v>547.70000000000005</v>
          </cell>
          <cell r="EX36">
            <v>476.4</v>
          </cell>
          <cell r="EY36">
            <v>457.8</v>
          </cell>
          <cell r="EZ36">
            <v>438.1</v>
          </cell>
          <cell r="FA36">
            <v>434.7</v>
          </cell>
          <cell r="FB36">
            <v>451.75000000000006</v>
          </cell>
          <cell r="FD36">
            <v>420.9</v>
          </cell>
          <cell r="FE36">
            <v>422.1</v>
          </cell>
          <cell r="FF36">
            <v>421.3</v>
          </cell>
          <cell r="FG36">
            <v>421.4</v>
          </cell>
          <cell r="FH36">
            <v>421.42499999999995</v>
          </cell>
          <cell r="FJ36">
            <v>421.4</v>
          </cell>
          <cell r="FK36">
            <v>422.1</v>
          </cell>
          <cell r="FL36">
            <v>421.8</v>
          </cell>
          <cell r="FM36">
            <v>424.1</v>
          </cell>
          <cell r="FN36">
            <v>422.35</v>
          </cell>
          <cell r="FP36">
            <v>426.2</v>
          </cell>
          <cell r="FQ36">
            <v>426.5</v>
          </cell>
          <cell r="FR36">
            <v>427.6</v>
          </cell>
          <cell r="FS36">
            <v>429</v>
          </cell>
          <cell r="FT36">
            <v>429.1</v>
          </cell>
          <cell r="FV36">
            <v>430</v>
          </cell>
          <cell r="FW36">
            <v>434.6</v>
          </cell>
          <cell r="FX36">
            <v>431.8</v>
          </cell>
          <cell r="FY36">
            <v>427.3</v>
          </cell>
          <cell r="FZ36">
            <v>430.4</v>
          </cell>
          <cell r="GB36">
            <v>423.7</v>
          </cell>
          <cell r="GC36">
            <v>417.1</v>
          </cell>
          <cell r="GD36">
            <v>406.25263157894739</v>
          </cell>
          <cell r="GE36">
            <v>397.54335839599003</v>
          </cell>
          <cell r="GF36">
            <v>411.14899749373433</v>
          </cell>
          <cell r="GS36" t="str">
            <v>mstag:averageDilutedSharesOutstanding</v>
          </cell>
          <cell r="GT36">
            <v>6</v>
          </cell>
          <cell r="GU36" t="str">
            <v>ms_eqr_gcim_Decimal:ms_eqr_gcim_decimal</v>
          </cell>
          <cell r="GV36" t="b">
            <v>0</v>
          </cell>
          <cell r="GW36" t="b">
            <v>0</v>
          </cell>
        </row>
        <row r="37">
          <cell r="A37" t="str">
            <v>Period End Basic Shares Outstanding</v>
          </cell>
          <cell r="N37">
            <v>414.918274</v>
          </cell>
          <cell r="O37">
            <v>416.75912199999999</v>
          </cell>
          <cell r="P37">
            <v>421.21032200000002</v>
          </cell>
          <cell r="Q37">
            <v>417.15312399999999</v>
          </cell>
          <cell r="R37">
            <v>423.09761800000001</v>
          </cell>
          <cell r="S37">
            <v>395.34445399999998</v>
          </cell>
          <cell r="T37">
            <v>402.252748</v>
          </cell>
          <cell r="U37">
            <v>374.65489600000001</v>
          </cell>
          <cell r="V37">
            <v>357</v>
          </cell>
          <cell r="W37">
            <v>335.19655599999999</v>
          </cell>
          <cell r="X37">
            <v>546.79999999999995</v>
          </cell>
          <cell r="Y37">
            <v>496.9</v>
          </cell>
          <cell r="Z37">
            <v>419.7</v>
          </cell>
          <cell r="AA37">
            <v>420.57529799999998</v>
          </cell>
          <cell r="AB37">
            <v>421.53</v>
          </cell>
          <cell r="AC37">
            <v>423.3</v>
          </cell>
          <cell r="AD37">
            <v>414.2</v>
          </cell>
          <cell r="AE37">
            <v>386.88145363408523</v>
          </cell>
          <cell r="AF37">
            <v>348.25259926197782</v>
          </cell>
          <cell r="AG37">
            <v>314.31837512772381</v>
          </cell>
          <cell r="AH37">
            <v>293.31282858073979</v>
          </cell>
          <cell r="AI37">
            <v>285.65112300033866</v>
          </cell>
          <cell r="AJ37">
            <v>270.32771183953639</v>
          </cell>
          <cell r="AK37">
            <v>247.34259509833296</v>
          </cell>
          <cell r="AL37">
            <v>228.95450170537021</v>
          </cell>
          <cell r="AN37" t="str">
            <v>Period End Basic Shares Outstanding</v>
          </cell>
          <cell r="CN37">
            <v>208.379561</v>
          </cell>
          <cell r="CT37">
            <v>210.60516100000001</v>
          </cell>
          <cell r="CZ37">
            <v>208.576562</v>
          </cell>
          <cell r="DH37">
            <v>415.872772</v>
          </cell>
          <cell r="DI37">
            <v>403.836004</v>
          </cell>
          <cell r="DJ37">
            <v>397.47889600000002</v>
          </cell>
          <cell r="DK37">
            <v>395.34445399999998</v>
          </cell>
          <cell r="DL37">
            <v>395.34445399999998</v>
          </cell>
          <cell r="DN37">
            <v>389.8</v>
          </cell>
          <cell r="DO37">
            <v>385.4</v>
          </cell>
          <cell r="DP37">
            <v>383.4</v>
          </cell>
          <cell r="DQ37">
            <v>402.252748</v>
          </cell>
          <cell r="DR37">
            <v>402.252748</v>
          </cell>
          <cell r="DT37">
            <v>403</v>
          </cell>
          <cell r="DU37">
            <v>392.4</v>
          </cell>
          <cell r="DV37">
            <v>380.4</v>
          </cell>
          <cell r="DW37">
            <v>374.65489600000001</v>
          </cell>
          <cell r="DX37">
            <v>374.65489600000001</v>
          </cell>
          <cell r="DZ37">
            <v>370.72</v>
          </cell>
          <cell r="EA37">
            <v>365.62</v>
          </cell>
          <cell r="EB37">
            <v>361.58</v>
          </cell>
          <cell r="EC37">
            <v>357</v>
          </cell>
          <cell r="ED37">
            <v>357</v>
          </cell>
          <cell r="EF37">
            <v>359.61200000000002</v>
          </cell>
          <cell r="EG37">
            <v>345.39600000000002</v>
          </cell>
          <cell r="EH37">
            <v>338.4</v>
          </cell>
          <cell r="EI37">
            <v>335.19655599999999</v>
          </cell>
          <cell r="EJ37">
            <v>335.19655599999999</v>
          </cell>
          <cell r="EK37" t="str">
            <v>Period End Basic Shares Outstanding</v>
          </cell>
          <cell r="EL37">
            <v>340.8</v>
          </cell>
          <cell r="EM37">
            <v>340.85399999999998</v>
          </cell>
          <cell r="EN37">
            <v>544.43164000000002</v>
          </cell>
          <cell r="EO37">
            <v>546.79999999999995</v>
          </cell>
          <cell r="EP37">
            <v>546.79999999999995</v>
          </cell>
          <cell r="ER37">
            <v>553.21778400000005</v>
          </cell>
          <cell r="ES37">
            <v>545</v>
          </cell>
          <cell r="ET37">
            <v>530</v>
          </cell>
          <cell r="EU37">
            <v>496.9</v>
          </cell>
          <cell r="EV37">
            <v>496.9</v>
          </cell>
          <cell r="EX37">
            <v>459.62333699999999</v>
          </cell>
          <cell r="EY37">
            <v>435.6</v>
          </cell>
          <cell r="EZ37">
            <v>432.98764799999998</v>
          </cell>
          <cell r="FA37">
            <v>419.7</v>
          </cell>
          <cell r="FB37">
            <v>419.7</v>
          </cell>
          <cell r="FD37">
            <v>420.477236</v>
          </cell>
          <cell r="FE37">
            <v>420.54819300000003</v>
          </cell>
          <cell r="FF37">
            <v>420.56348700000001</v>
          </cell>
          <cell r="FG37">
            <v>420.57529799999998</v>
          </cell>
          <cell r="FH37">
            <v>420.57529799999998</v>
          </cell>
          <cell r="FJ37">
            <v>420.56635599999998</v>
          </cell>
          <cell r="FK37">
            <v>420.5</v>
          </cell>
          <cell r="FL37">
            <v>421</v>
          </cell>
          <cell r="FM37">
            <v>421.53</v>
          </cell>
          <cell r="FN37">
            <v>421.53</v>
          </cell>
          <cell r="FP37">
            <v>422.10645299999999</v>
          </cell>
          <cell r="FQ37">
            <v>422.67482899999999</v>
          </cell>
          <cell r="FR37">
            <v>423</v>
          </cell>
          <cell r="FS37">
            <v>423.3</v>
          </cell>
          <cell r="FT37">
            <v>423.3</v>
          </cell>
          <cell r="FV37">
            <v>425.2</v>
          </cell>
          <cell r="FW37">
            <v>427.5</v>
          </cell>
          <cell r="FX37">
            <v>420.6</v>
          </cell>
          <cell r="FY37">
            <v>414.2</v>
          </cell>
          <cell r="FZ37">
            <v>414.2</v>
          </cell>
          <cell r="GB37">
            <v>414.6</v>
          </cell>
          <cell r="GC37">
            <v>404.3</v>
          </cell>
          <cell r="GD37">
            <v>396.40526315789475</v>
          </cell>
          <cell r="GE37">
            <v>386.88145363408523</v>
          </cell>
          <cell r="GF37">
            <v>386.88145363408523</v>
          </cell>
          <cell r="GS37" t="str">
            <v>mstag:periodEndBasicSharesOutstanding</v>
          </cell>
          <cell r="GT37">
            <v>6</v>
          </cell>
          <cell r="GU37" t="str">
            <v>ms_eqr_gcim_Decimal:ms_eqr_gcim_decimal</v>
          </cell>
          <cell r="GV37" t="b">
            <v>0</v>
          </cell>
          <cell r="GW37" t="b">
            <v>0</v>
          </cell>
        </row>
        <row r="38">
          <cell r="A38" t="str">
            <v>Average Repurchase Price</v>
          </cell>
          <cell r="Y38">
            <v>38.059090830879164</v>
          </cell>
          <cell r="Z38">
            <v>34.721403433168142</v>
          </cell>
          <cell r="AD38">
            <v>0</v>
          </cell>
          <cell r="AE38">
            <v>38.72816212438854</v>
          </cell>
          <cell r="AF38">
            <v>44.008553389238294</v>
          </cell>
          <cell r="AG38">
            <v>50.096916707872467</v>
          </cell>
          <cell r="AH38">
            <v>57.127768483238825</v>
          </cell>
          <cell r="AI38">
            <v>65.259620687985446</v>
          </cell>
          <cell r="AJ38">
            <v>65.259620687985446</v>
          </cell>
          <cell r="AK38">
            <v>65.259620687985446</v>
          </cell>
          <cell r="AL38">
            <v>65.259620687985446</v>
          </cell>
          <cell r="AN38" t="str">
            <v>Average Repurchase Price</v>
          </cell>
          <cell r="ER38">
            <v>33.869</v>
          </cell>
          <cell r="ES38">
            <v>35.432098765432102</v>
          </cell>
          <cell r="ET38">
            <v>41.758793969849251</v>
          </cell>
          <cell r="EU38">
            <v>41.176470588235297</v>
          </cell>
          <cell r="EV38">
            <v>38.059090830879164</v>
          </cell>
          <cell r="EX38">
            <v>44.244444444444447</v>
          </cell>
          <cell r="EY38">
            <v>38.991596638655459</v>
          </cell>
          <cell r="EZ38">
            <v>31.111111111111111</v>
          </cell>
          <cell r="FA38">
            <v>24.53846153846154</v>
          </cell>
          <cell r="FB38">
            <v>34.721403433168142</v>
          </cell>
          <cell r="GB38">
            <v>39.629629629629626</v>
          </cell>
          <cell r="GC38">
            <v>35.283018867924532</v>
          </cell>
          <cell r="GD38">
            <v>38</v>
          </cell>
          <cell r="GE38">
            <v>42</v>
          </cell>
          <cell r="GF38">
            <v>38.72816212438854</v>
          </cell>
        </row>
        <row r="40">
          <cell r="A40" t="str">
            <v>Depreciation &amp; Amortization (Reported)</v>
          </cell>
          <cell r="C40">
            <v>235.45400000000001</v>
          </cell>
          <cell r="D40">
            <v>212.18600000000001</v>
          </cell>
          <cell r="E40">
            <v>212.18600000000001</v>
          </cell>
          <cell r="F40">
            <v>212.18600000000001</v>
          </cell>
          <cell r="G40">
            <v>205.554</v>
          </cell>
          <cell r="H40">
            <v>207.91399999999999</v>
          </cell>
          <cell r="I40">
            <v>251.40600000000001</v>
          </cell>
          <cell r="K40">
            <v>551.07000000000005</v>
          </cell>
          <cell r="L40">
            <v>474.94499999999999</v>
          </cell>
          <cell r="N40">
            <v>497</v>
          </cell>
          <cell r="O40">
            <v>533</v>
          </cell>
          <cell r="P40">
            <v>590</v>
          </cell>
          <cell r="Q40">
            <v>624</v>
          </cell>
          <cell r="R40">
            <v>665</v>
          </cell>
          <cell r="S40">
            <v>651</v>
          </cell>
          <cell r="T40">
            <v>689</v>
          </cell>
          <cell r="U40">
            <v>680</v>
          </cell>
          <cell r="V40">
            <v>710</v>
          </cell>
          <cell r="W40">
            <v>737</v>
          </cell>
          <cell r="X40">
            <v>978</v>
          </cell>
          <cell r="Y40">
            <v>1265</v>
          </cell>
          <cell r="Z40">
            <v>1304</v>
          </cell>
          <cell r="AA40">
            <v>1278</v>
          </cell>
          <cell r="AB40">
            <v>1210</v>
          </cell>
          <cell r="AC40">
            <v>1150</v>
          </cell>
          <cell r="AD40">
            <v>1085</v>
          </cell>
          <cell r="AE40">
            <v>1058.1233144856478</v>
          </cell>
          <cell r="AF40">
            <v>1083.3778550448592</v>
          </cell>
          <cell r="AG40">
            <v>1104.2560836491582</v>
          </cell>
          <cell r="AH40">
            <v>1115.6972553764319</v>
          </cell>
          <cell r="AI40">
            <v>1126.8542279301962</v>
          </cell>
          <cell r="AJ40">
            <v>1138.1227702094982</v>
          </cell>
          <cell r="AK40">
            <v>1149.5039979115932</v>
          </cell>
          <cell r="AL40">
            <v>1160.9990378907089</v>
          </cell>
          <cell r="AN40" t="str">
            <v>Depreciation &amp; Amortization (Reported)</v>
          </cell>
          <cell r="DH40">
            <v>175</v>
          </cell>
          <cell r="DI40">
            <v>174</v>
          </cell>
          <cell r="DJ40">
            <v>177</v>
          </cell>
          <cell r="DK40">
            <v>166</v>
          </cell>
          <cell r="DL40">
            <v>651</v>
          </cell>
          <cell r="DN40">
            <v>169</v>
          </cell>
          <cell r="DO40">
            <v>168</v>
          </cell>
          <cell r="DP40">
            <v>174</v>
          </cell>
          <cell r="DQ40">
            <v>178</v>
          </cell>
          <cell r="DR40">
            <v>689</v>
          </cell>
          <cell r="DT40">
            <v>165</v>
          </cell>
          <cell r="DU40">
            <v>168</v>
          </cell>
          <cell r="DV40">
            <v>167</v>
          </cell>
          <cell r="DW40">
            <v>180</v>
          </cell>
          <cell r="DX40">
            <v>680</v>
          </cell>
          <cell r="DZ40">
            <v>180</v>
          </cell>
          <cell r="EA40">
            <v>173</v>
          </cell>
          <cell r="EB40">
            <v>176</v>
          </cell>
          <cell r="EC40">
            <v>181</v>
          </cell>
          <cell r="ED40">
            <v>710</v>
          </cell>
          <cell r="EF40">
            <v>177</v>
          </cell>
          <cell r="EG40">
            <v>178</v>
          </cell>
          <cell r="EH40">
            <v>178</v>
          </cell>
          <cell r="EI40">
            <v>204</v>
          </cell>
          <cell r="EJ40">
            <v>737</v>
          </cell>
          <cell r="EK40" t="str">
            <v>Depreciation &amp; Amortization (Reported)</v>
          </cell>
          <cell r="EL40">
            <v>177</v>
          </cell>
          <cell r="EM40">
            <v>178</v>
          </cell>
          <cell r="EN40">
            <v>295</v>
          </cell>
          <cell r="EO40">
            <v>328</v>
          </cell>
          <cell r="EP40">
            <v>978</v>
          </cell>
          <cell r="ER40">
            <v>316</v>
          </cell>
          <cell r="ES40">
            <v>314</v>
          </cell>
          <cell r="ET40">
            <v>315</v>
          </cell>
          <cell r="EU40">
            <v>320</v>
          </cell>
          <cell r="EV40">
            <v>1265</v>
          </cell>
          <cell r="EX40">
            <v>329</v>
          </cell>
          <cell r="EY40">
            <v>327</v>
          </cell>
          <cell r="EZ40">
            <v>321</v>
          </cell>
          <cell r="FA40">
            <v>327</v>
          </cell>
          <cell r="FB40">
            <v>1304</v>
          </cell>
          <cell r="FD40">
            <v>315</v>
          </cell>
          <cell r="FE40">
            <v>315</v>
          </cell>
          <cell r="FF40">
            <v>320</v>
          </cell>
          <cell r="FG40">
            <v>328</v>
          </cell>
          <cell r="FH40">
            <v>1278</v>
          </cell>
          <cell r="FJ40">
            <v>303</v>
          </cell>
          <cell r="FK40">
            <v>301</v>
          </cell>
          <cell r="FL40">
            <v>301</v>
          </cell>
          <cell r="FM40">
            <v>305</v>
          </cell>
          <cell r="FN40">
            <v>1210</v>
          </cell>
          <cell r="FP40">
            <v>287</v>
          </cell>
          <cell r="FQ40">
            <v>288</v>
          </cell>
          <cell r="FR40">
            <v>290</v>
          </cell>
          <cell r="FS40">
            <v>285</v>
          </cell>
          <cell r="FT40">
            <v>1150</v>
          </cell>
          <cell r="FV40">
            <v>268</v>
          </cell>
          <cell r="FW40">
            <v>268</v>
          </cell>
          <cell r="FX40">
            <v>282</v>
          </cell>
          <cell r="FY40">
            <v>267</v>
          </cell>
          <cell r="FZ40">
            <v>1085</v>
          </cell>
          <cell r="GB40">
            <v>256</v>
          </cell>
          <cell r="GC40">
            <v>257</v>
          </cell>
          <cell r="GD40">
            <v>275.44005372214991</v>
          </cell>
          <cell r="GE40">
            <v>269.68326076349791</v>
          </cell>
          <cell r="GF40">
            <v>1058.1233144856478</v>
          </cell>
        </row>
        <row r="41">
          <cell r="A41" t="str">
            <v>% of Sales</v>
          </cell>
          <cell r="N41">
            <v>3.4008485014369781E-2</v>
          </cell>
          <cell r="O41">
            <v>3.5933391761612622E-2</v>
          </cell>
          <cell r="P41">
            <v>3.8764783180026283E-2</v>
          </cell>
          <cell r="Q41">
            <v>4.0611780019524896E-2</v>
          </cell>
          <cell r="R41">
            <v>4.148730426102689E-2</v>
          </cell>
          <cell r="S41">
            <v>3.9127298954201223E-2</v>
          </cell>
          <cell r="T41">
            <v>4.3649033892936333E-2</v>
          </cell>
          <cell r="U41">
            <v>4.3670926722753835E-2</v>
          </cell>
          <cell r="V41">
            <v>4.6067998961847913E-2</v>
          </cell>
          <cell r="W41">
            <v>4.6716531440162273E-2</v>
          </cell>
          <cell r="X41">
            <v>4.3680214381420279E-2</v>
          </cell>
          <cell r="Y41">
            <v>4.6903967371153134E-2</v>
          </cell>
          <cell r="Z41">
            <v>4.9557253068825295E-2</v>
          </cell>
          <cell r="AA41">
            <v>5.134179656114414E-2</v>
          </cell>
          <cell r="AB41">
            <v>5.0638208830299229E-2</v>
          </cell>
          <cell r="AC41">
            <v>4.5994480662320522E-2</v>
          </cell>
          <cell r="AD41">
            <v>4.1090702518462412E-2</v>
          </cell>
          <cell r="AE41">
            <v>3.8202403342907414E-2</v>
          </cell>
          <cell r="AF41">
            <v>3.8202403342907414E-2</v>
          </cell>
          <cell r="AG41">
            <v>3.8202403342907414E-2</v>
          </cell>
          <cell r="AH41">
            <v>3.8202403342907414E-2</v>
          </cell>
          <cell r="AI41">
            <v>3.8202403342907414E-2</v>
          </cell>
          <cell r="AJ41">
            <v>3.8202403342907407E-2</v>
          </cell>
          <cell r="AK41">
            <v>3.8202403342907407E-2</v>
          </cell>
          <cell r="AL41">
            <v>3.8202403342907407E-2</v>
          </cell>
          <cell r="AN41" t="str">
            <v>% of Sales</v>
          </cell>
          <cell r="DH41">
            <v>4.897844948222782E-2</v>
          </cell>
          <cell r="DI41">
            <v>4.7295460723022563E-2</v>
          </cell>
          <cell r="DJ41">
            <v>4.6800634584875725E-2</v>
          </cell>
          <cell r="DK41">
            <v>2.9621698786581014E-2</v>
          </cell>
          <cell r="DL41">
            <v>3.9127298954201223E-2</v>
          </cell>
          <cell r="DN41">
            <v>4.7525309336332956E-2</v>
          </cell>
          <cell r="DO41">
            <v>4.8165137614678902E-2</v>
          </cell>
          <cell r="DP41">
            <v>5.0071942446043169E-2</v>
          </cell>
          <cell r="DQ41">
            <v>3.4684333593141076E-2</v>
          </cell>
          <cell r="DR41">
            <v>4.3649033892936333E-2</v>
          </cell>
          <cell r="DT41">
            <v>4.778453518679409E-2</v>
          </cell>
          <cell r="DU41">
            <v>4.8192771084337352E-2</v>
          </cell>
          <cell r="DV41">
            <v>4.8002299511353839E-2</v>
          </cell>
          <cell r="DW41">
            <v>3.5878014749850508E-2</v>
          </cell>
          <cell r="DX41">
            <v>4.3670926722753835E-2</v>
          </cell>
          <cell r="DZ41">
            <v>5.4694621695533276E-2</v>
          </cell>
          <cell r="EA41">
            <v>5.0378567268491554E-2</v>
          </cell>
          <cell r="EB41">
            <v>5.0487664945496273E-2</v>
          </cell>
          <cell r="EC41">
            <v>3.5820304769443895E-2</v>
          </cell>
          <cell r="ED41">
            <v>4.6067998961847913E-2</v>
          </cell>
          <cell r="EF41">
            <v>4.9859154929577466E-2</v>
          </cell>
          <cell r="EG41">
            <v>4.9706785814018432E-2</v>
          </cell>
          <cell r="EH41">
            <v>5.0496453900709219E-2</v>
          </cell>
          <cell r="EI41">
            <v>3.9843749999999997E-2</v>
          </cell>
          <cell r="EJ41">
            <v>4.6716531440162273E-2</v>
          </cell>
          <cell r="EK41" t="str">
            <v>% of Sales</v>
          </cell>
          <cell r="EL41">
            <v>4.861301840153804E-2</v>
          </cell>
          <cell r="EM41">
            <v>4.9130554788849021E-2</v>
          </cell>
          <cell r="EN41">
            <v>5.3105310531053107E-2</v>
          </cell>
          <cell r="EO41">
            <v>3.4270191202591158E-2</v>
          </cell>
          <cell r="EP41">
            <v>4.3680214381420279E-2</v>
          </cell>
          <cell r="ER41">
            <v>5.3288364249578418E-2</v>
          </cell>
          <cell r="ES41">
            <v>5.237698081734779E-2</v>
          </cell>
          <cell r="ET41">
            <v>5.3516819571865444E-2</v>
          </cell>
          <cell r="EU41">
            <v>3.493831204279943E-2</v>
          </cell>
          <cell r="EV41">
            <v>4.6903967371153134E-2</v>
          </cell>
          <cell r="EX41">
            <v>5.5564938355007601E-2</v>
          </cell>
          <cell r="EY41">
            <v>5.54989816700611E-2</v>
          </cell>
          <cell r="EZ41">
            <v>5.4351506942092787E-2</v>
          </cell>
          <cell r="FA41">
            <v>3.8049802187572722E-2</v>
          </cell>
          <cell r="FB41">
            <v>4.9557253068825295E-2</v>
          </cell>
          <cell r="FD41">
            <v>5.4811205846528627E-2</v>
          </cell>
          <cell r="FE41">
            <v>5.5089192025183628E-2</v>
          </cell>
          <cell r="FF41">
            <v>5.8255962133624613E-2</v>
          </cell>
          <cell r="FG41">
            <v>4.1341063776153264E-2</v>
          </cell>
          <cell r="FH41">
            <v>5.134179656114414E-2</v>
          </cell>
          <cell r="FJ41">
            <v>5.7299546142208772E-2</v>
          </cell>
          <cell r="FK41">
            <v>5.6953642384105961E-2</v>
          </cell>
          <cell r="FL41">
            <v>5.5896007428040857E-2</v>
          </cell>
          <cell r="FM41">
            <v>3.8427617487715761E-2</v>
          </cell>
          <cell r="FN41">
            <v>5.0638208830299229E-2</v>
          </cell>
          <cell r="FP41">
            <v>5.1489056332974521E-2</v>
          </cell>
          <cell r="FQ41">
            <v>5.2013725844320027E-2</v>
          </cell>
          <cell r="FR41">
            <v>5.1573892939711895E-2</v>
          </cell>
          <cell r="FS41">
            <v>3.4466078123110415E-2</v>
          </cell>
          <cell r="FT41">
            <v>4.5994480662320522E-2</v>
          </cell>
          <cell r="FV41">
            <v>4.5508575309899817E-2</v>
          </cell>
          <cell r="FW41">
            <v>4.512544199360162E-2</v>
          </cell>
          <cell r="FX41">
            <v>4.8180420297283442E-2</v>
          </cell>
          <cell r="FY41">
            <v>3.0605226960110043E-2</v>
          </cell>
          <cell r="FZ41">
            <v>4.1090702518462412E-2</v>
          </cell>
          <cell r="GB41">
            <v>4.1673449454663843E-2</v>
          </cell>
          <cell r="GC41">
            <v>4.2007191892775415E-2</v>
          </cell>
          <cell r="GD41">
            <v>4.5379616732146563E-2</v>
          </cell>
          <cell r="GE41">
            <v>2.8790370881885484E-2</v>
          </cell>
          <cell r="GF41">
            <v>3.8202403342907414E-2</v>
          </cell>
        </row>
        <row r="42">
          <cell r="A42" t="str">
            <v>EBITDA (FIFO)</v>
          </cell>
          <cell r="C42" t="str">
            <v xml:space="preserve">NM </v>
          </cell>
          <cell r="D42" t="str">
            <v xml:space="preserve">NM </v>
          </cell>
          <cell r="E42">
            <v>479.15800000000024</v>
          </cell>
          <cell r="F42">
            <v>513.08899999999983</v>
          </cell>
          <cell r="G42">
            <v>643.98800000000062</v>
          </cell>
          <cell r="H42">
            <v>718.55699999999911</v>
          </cell>
          <cell r="I42">
            <v>892.50999999999885</v>
          </cell>
          <cell r="J42">
            <v>0.20265241838785197</v>
          </cell>
          <cell r="K42">
            <v>1233.8709999999996</v>
          </cell>
          <cell r="L42">
            <v>1469.5959999999989</v>
          </cell>
          <cell r="N42">
            <v>1160</v>
          </cell>
          <cell r="O42">
            <v>1426</v>
          </cell>
          <cell r="P42">
            <v>1931</v>
          </cell>
          <cell r="Q42">
            <v>2079</v>
          </cell>
          <cell r="R42">
            <v>2358</v>
          </cell>
          <cell r="S42">
            <v>2422</v>
          </cell>
          <cell r="T42">
            <v>2065</v>
          </cell>
          <cell r="U42">
            <v>2091</v>
          </cell>
          <cell r="V42">
            <v>2110</v>
          </cell>
          <cell r="W42">
            <v>2236</v>
          </cell>
          <cell r="X42">
            <v>3116</v>
          </cell>
          <cell r="Y42">
            <v>3538</v>
          </cell>
          <cell r="Z42">
            <v>3386</v>
          </cell>
          <cell r="AA42">
            <v>2703</v>
          </cell>
          <cell r="AB42">
            <v>2664</v>
          </cell>
          <cell r="AC42">
            <v>3069</v>
          </cell>
          <cell r="AD42">
            <v>3471</v>
          </cell>
          <cell r="AE42">
            <v>3729.419936712914</v>
          </cell>
          <cell r="AF42">
            <v>3860.9694388964058</v>
          </cell>
          <cell r="AG42">
            <v>4007.6393206478215</v>
          </cell>
          <cell r="AH42">
            <v>4049.1623789016467</v>
          </cell>
          <cell r="AI42">
            <v>4060.1570567049512</v>
          </cell>
          <cell r="AJ42">
            <v>4130.5505427175704</v>
          </cell>
          <cell r="AK42">
            <v>4201.9458827447743</v>
          </cell>
          <cell r="AL42">
            <v>4274.3560745182449</v>
          </cell>
          <cell r="AN42" t="str">
            <v>EBITDA (FIFO)</v>
          </cell>
          <cell r="DH42">
            <v>444</v>
          </cell>
          <cell r="DI42">
            <v>576</v>
          </cell>
          <cell r="DJ42">
            <v>446</v>
          </cell>
          <cell r="DK42">
            <v>997</v>
          </cell>
          <cell r="DL42">
            <v>2422</v>
          </cell>
          <cell r="DN42">
            <v>399</v>
          </cell>
          <cell r="DO42">
            <v>422</v>
          </cell>
          <cell r="DP42">
            <v>330</v>
          </cell>
          <cell r="DQ42">
            <v>914</v>
          </cell>
          <cell r="DR42">
            <v>2065</v>
          </cell>
          <cell r="DT42">
            <v>386</v>
          </cell>
          <cell r="DU42">
            <v>468</v>
          </cell>
          <cell r="DV42">
            <v>355</v>
          </cell>
          <cell r="DW42">
            <v>882</v>
          </cell>
          <cell r="DX42">
            <v>2091</v>
          </cell>
          <cell r="DZ42">
            <v>334</v>
          </cell>
          <cell r="EA42">
            <v>447</v>
          </cell>
          <cell r="EB42">
            <v>378</v>
          </cell>
          <cell r="EC42">
            <v>951</v>
          </cell>
          <cell r="ED42">
            <v>2110</v>
          </cell>
          <cell r="EF42">
            <v>413</v>
          </cell>
          <cell r="EG42">
            <v>454</v>
          </cell>
          <cell r="EH42">
            <v>389</v>
          </cell>
          <cell r="EI42">
            <v>980</v>
          </cell>
          <cell r="EJ42">
            <v>2236</v>
          </cell>
          <cell r="EK42" t="str">
            <v>EBITDA (FIFO)</v>
          </cell>
          <cell r="EL42">
            <v>429</v>
          </cell>
          <cell r="EM42">
            <v>469</v>
          </cell>
          <cell r="EN42">
            <v>565</v>
          </cell>
          <cell r="EO42">
            <v>1653</v>
          </cell>
          <cell r="EP42">
            <v>3116</v>
          </cell>
          <cell r="ER42">
            <v>465</v>
          </cell>
          <cell r="ES42">
            <v>722</v>
          </cell>
          <cell r="ET42">
            <v>594</v>
          </cell>
          <cell r="EU42">
            <v>1757</v>
          </cell>
          <cell r="EV42">
            <v>3538</v>
          </cell>
          <cell r="EX42">
            <v>573</v>
          </cell>
          <cell r="EY42">
            <v>674</v>
          </cell>
          <cell r="EZ42">
            <v>521</v>
          </cell>
          <cell r="FA42">
            <v>1618</v>
          </cell>
          <cell r="FB42">
            <v>3386</v>
          </cell>
          <cell r="FD42">
            <v>455</v>
          </cell>
          <cell r="FE42">
            <v>650</v>
          </cell>
          <cell r="FF42">
            <v>404</v>
          </cell>
          <cell r="FG42">
            <v>1194</v>
          </cell>
          <cell r="FH42">
            <v>2703</v>
          </cell>
          <cell r="FJ42">
            <v>327</v>
          </cell>
          <cell r="FK42">
            <v>583</v>
          </cell>
          <cell r="FL42">
            <v>389</v>
          </cell>
          <cell r="FM42">
            <v>1365</v>
          </cell>
          <cell r="FN42">
            <v>2664</v>
          </cell>
          <cell r="FP42">
            <v>490</v>
          </cell>
          <cell r="FQ42">
            <v>658</v>
          </cell>
          <cell r="FR42">
            <v>467</v>
          </cell>
          <cell r="FS42">
            <v>1454</v>
          </cell>
          <cell r="FT42">
            <v>3069</v>
          </cell>
          <cell r="FV42">
            <v>598</v>
          </cell>
          <cell r="FW42">
            <v>774</v>
          </cell>
          <cell r="FX42">
            <v>573</v>
          </cell>
          <cell r="FY42">
            <v>1526</v>
          </cell>
          <cell r="FZ42">
            <v>3471</v>
          </cell>
          <cell r="GB42">
            <v>647</v>
          </cell>
          <cell r="GC42">
            <v>811</v>
          </cell>
          <cell r="GD42">
            <v>557.01504824879794</v>
          </cell>
          <cell r="GE42">
            <v>1714.4048884641161</v>
          </cell>
          <cell r="GF42">
            <v>3729.419936712914</v>
          </cell>
          <cell r="GS42" t="str">
            <v>mstag:tag013</v>
          </cell>
          <cell r="GT42">
            <v>6</v>
          </cell>
          <cell r="GU42" t="str">
            <v>ISO4217:USD</v>
          </cell>
          <cell r="GV42" t="b">
            <v>0</v>
          </cell>
          <cell r="GW42" t="b">
            <v>0</v>
          </cell>
        </row>
        <row r="43">
          <cell r="A43" t="str">
            <v>EBITDA Margin</v>
          </cell>
          <cell r="E43">
            <v>6.9119399081664284E-2</v>
          </cell>
          <cell r="F43">
            <v>7.4014006560282869E-2</v>
          </cell>
          <cell r="G43">
            <v>9.0959515058105789E-2</v>
          </cell>
          <cell r="H43">
            <v>9.9393643129186429E-2</v>
          </cell>
          <cell r="I43">
            <v>0.11579794529390085</v>
          </cell>
          <cell r="K43">
            <v>9.0053716746341619E-2</v>
          </cell>
          <cell r="L43">
            <v>0.10498588587511638</v>
          </cell>
          <cell r="N43">
            <v>7.9375940878609552E-2</v>
          </cell>
          <cell r="O43">
            <v>9.6136991842513314E-2</v>
          </cell>
          <cell r="P43">
            <v>0.12687253613666227</v>
          </cell>
          <cell r="Q43">
            <v>0.13530751708428246</v>
          </cell>
          <cell r="R43">
            <v>0.14710836608646827</v>
          </cell>
          <cell r="S43">
            <v>0.14557038105541531</v>
          </cell>
          <cell r="T43">
            <v>0.13082039911308205</v>
          </cell>
          <cell r="U43">
            <v>0.13428809967246805</v>
          </cell>
          <cell r="V43">
            <v>0.13690630677394239</v>
          </cell>
          <cell r="W43">
            <v>0.14173427991886409</v>
          </cell>
          <cell r="X43">
            <v>0.13916927199642698</v>
          </cell>
          <cell r="Y43">
            <v>0.13118279569892474</v>
          </cell>
          <cell r="Z43">
            <v>0.12868164025386691</v>
          </cell>
          <cell r="AA43">
            <v>0.10858910493331191</v>
          </cell>
          <cell r="AB43">
            <v>0.11148775894538607</v>
          </cell>
          <cell r="AC43">
            <v>0.1227452705675319</v>
          </cell>
          <cell r="AD43">
            <v>0.13145237644385532</v>
          </cell>
          <cell r="AE43">
            <v>0.13464669259900278</v>
          </cell>
          <cell r="AF43">
            <v>0.13614669259900275</v>
          </cell>
          <cell r="AG43">
            <v>0.13864669259900278</v>
          </cell>
          <cell r="AH43">
            <v>0.13864669259900272</v>
          </cell>
          <cell r="AI43">
            <v>0.13764669259900278</v>
          </cell>
          <cell r="AJ43">
            <v>0.13864669259900272</v>
          </cell>
          <cell r="AK43">
            <v>0.13964669259900278</v>
          </cell>
          <cell r="AL43">
            <v>0.14064669259900264</v>
          </cell>
          <cell r="AN43" t="str">
            <v>EBITDA Margin</v>
          </cell>
          <cell r="DH43">
            <v>0.12426532325776658</v>
          </cell>
          <cell r="DI43">
            <v>0.15656428377276435</v>
          </cell>
          <cell r="DJ43">
            <v>0.11792702273929138</v>
          </cell>
          <cell r="DK43">
            <v>0.17790863668807994</v>
          </cell>
          <cell r="DL43">
            <v>0.14557038105541531</v>
          </cell>
          <cell r="DN43">
            <v>0.11220472440944881</v>
          </cell>
          <cell r="DO43">
            <v>0.12098623853211009</v>
          </cell>
          <cell r="DP43">
            <v>9.4964028776978418E-2</v>
          </cell>
          <cell r="DQ43">
            <v>0.17809820732657833</v>
          </cell>
          <cell r="DR43">
            <v>0.13082039911308205</v>
          </cell>
          <cell r="DT43">
            <v>0.11178685201274255</v>
          </cell>
          <cell r="DU43">
            <v>0.13425129087779691</v>
          </cell>
          <cell r="DV43">
            <v>0.10204081632653061</v>
          </cell>
          <cell r="DW43">
            <v>0.17580227227426748</v>
          </cell>
          <cell r="DX43">
            <v>0.13428809967246805</v>
          </cell>
          <cell r="DZ43">
            <v>0.10148890914615619</v>
          </cell>
          <cell r="EA43">
            <v>0.13016889924286545</v>
          </cell>
          <cell r="EB43">
            <v>0.10843373493975904</v>
          </cell>
          <cell r="EC43">
            <v>0.18820502671680189</v>
          </cell>
          <cell r="ED43">
            <v>0.13690630677394239</v>
          </cell>
          <cell r="EF43">
            <v>0.11633802816901409</v>
          </cell>
          <cell r="EG43">
            <v>0.12678022898631666</v>
          </cell>
          <cell r="EH43">
            <v>0.11035460992907802</v>
          </cell>
          <cell r="EI43">
            <v>0.19140625</v>
          </cell>
          <cell r="EJ43">
            <v>0.14173427991886409</v>
          </cell>
          <cell r="EK43" t="str">
            <v>EBITDA Margin</v>
          </cell>
          <cell r="EL43">
            <v>0.11782477341389729</v>
          </cell>
          <cell r="EM43">
            <v>0.12945073143803479</v>
          </cell>
          <cell r="EN43">
            <v>0.10171017101710171</v>
          </cell>
          <cell r="EO43">
            <v>0.17270922578622924</v>
          </cell>
          <cell r="EP43">
            <v>0.13916927199642698</v>
          </cell>
          <cell r="ER43">
            <v>7.8414839797639121E-2</v>
          </cell>
          <cell r="ES43">
            <v>0.12043369474562135</v>
          </cell>
          <cell r="ET43">
            <v>0.10091743119266056</v>
          </cell>
          <cell r="EU43">
            <v>0.19183316955999563</v>
          </cell>
          <cell r="EV43">
            <v>0.13118279569892474</v>
          </cell>
          <cell r="EX43">
            <v>9.6774193548387094E-2</v>
          </cell>
          <cell r="EY43">
            <v>0.11439239646978955</v>
          </cell>
          <cell r="EZ43">
            <v>8.8215374195733151E-2</v>
          </cell>
          <cell r="FA43">
            <v>0.18827088666511518</v>
          </cell>
          <cell r="FB43">
            <v>0.12868164025386691</v>
          </cell>
          <cell r="FD43">
            <v>7.9171741778319121E-2</v>
          </cell>
          <cell r="FE43">
            <v>0.1136761105281567</v>
          </cell>
          <cell r="FF43">
            <v>7.3548152193701075E-2</v>
          </cell>
          <cell r="FG43">
            <v>0.15049155533148476</v>
          </cell>
          <cell r="FH43">
            <v>0.10858910493331191</v>
          </cell>
          <cell r="FJ43">
            <v>6.1838124054462935E-2</v>
          </cell>
          <cell r="FK43">
            <v>0.11031220435193945</v>
          </cell>
          <cell r="FL43">
            <v>7.2237697307335189E-2</v>
          </cell>
          <cell r="FM43">
            <v>0.17197933728108858</v>
          </cell>
          <cell r="FN43">
            <v>0.11148775894538607</v>
          </cell>
          <cell r="FP43">
            <v>8.7908144958737E-2</v>
          </cell>
          <cell r="FQ43">
            <v>0.11883691529709228</v>
          </cell>
          <cell r="FR43">
            <v>8.3051751733949852E-2</v>
          </cell>
          <cell r="FS43">
            <v>0.17583746523158786</v>
          </cell>
          <cell r="FT43">
            <v>0.1227452705675319</v>
          </cell>
          <cell r="FV43">
            <v>0.10154525386313466</v>
          </cell>
          <cell r="FW43">
            <v>0.13032497053375988</v>
          </cell>
          <cell r="FX43">
            <v>9.7898513582778068E-2</v>
          </cell>
          <cell r="FY43">
            <v>0.17491976157725814</v>
          </cell>
          <cell r="FZ43">
            <v>0.13145237644385532</v>
          </cell>
          <cell r="GB43">
            <v>0.10532313202018558</v>
          </cell>
          <cell r="GC43">
            <v>0.13255966001961425</v>
          </cell>
          <cell r="GD43">
            <v>9.1769984292360302E-2</v>
          </cell>
          <cell r="GE43">
            <v>0.18302341955100002</v>
          </cell>
          <cell r="GF43">
            <v>0.13464669259900278</v>
          </cell>
        </row>
        <row r="44">
          <cell r="A44" t="str">
            <v>EBITDA (FIFO)/Share</v>
          </cell>
          <cell r="C44" t="str">
            <v xml:space="preserve">NM </v>
          </cell>
          <cell r="D44" t="str">
            <v xml:space="preserve">NM </v>
          </cell>
          <cell r="E44" t="str">
            <v xml:space="preserve">NM </v>
          </cell>
          <cell r="F44">
            <v>4.6078940278401426</v>
          </cell>
          <cell r="G44">
            <v>5.783457566232606</v>
          </cell>
          <cell r="H44">
            <v>5.8796370345149693</v>
          </cell>
          <cell r="I44">
            <v>6.8511292093559586</v>
          </cell>
          <cell r="K44">
            <v>6.7720691547749707</v>
          </cell>
          <cell r="L44">
            <v>8.0326861690497999</v>
          </cell>
          <cell r="N44">
            <v>2.9999586212603964</v>
          </cell>
          <cell r="O44">
            <v>3.2059352517985609</v>
          </cell>
          <cell r="P44">
            <v>4.2507946850757703</v>
          </cell>
          <cell r="Q44">
            <v>4.6015936254980074</v>
          </cell>
          <cell r="R44">
            <v>5.3688524590163933</v>
          </cell>
          <cell r="S44">
            <v>5.853776435045317</v>
          </cell>
          <cell r="T44">
            <v>5.1728456913827658</v>
          </cell>
          <cell r="U44">
            <v>5.2610391244181658</v>
          </cell>
          <cell r="V44">
            <v>5.6538049303322619</v>
          </cell>
          <cell r="W44">
            <v>6.2738496071829406</v>
          </cell>
          <cell r="X44">
            <v>7.1698113207547163</v>
          </cell>
          <cell r="Y44">
            <v>6.4597407339784549</v>
          </cell>
          <cell r="Z44">
            <v>7.4952960708356384</v>
          </cell>
          <cell r="AA44">
            <v>6.4139526606157684</v>
          </cell>
          <cell r="AB44">
            <v>6.3075648159109736</v>
          </cell>
          <cell r="AC44">
            <v>7.1521789792589132</v>
          </cell>
          <cell r="AD44">
            <v>8.0645910780669148</v>
          </cell>
          <cell r="AE44">
            <v>9.0707260857902199</v>
          </cell>
          <cell r="AF44">
            <v>10.333338237135949</v>
          </cell>
          <cell r="AG44">
            <v>11.879397477669373</v>
          </cell>
          <cell r="AH44">
            <v>13.066425230947521</v>
          </cell>
          <cell r="AI44">
            <v>13.737307488158827</v>
          </cell>
          <cell r="AJ44">
            <v>14.540893858632437</v>
          </cell>
          <cell r="AK44">
            <v>15.861777390263473</v>
          </cell>
          <cell r="AL44">
            <v>17.501817914319677</v>
          </cell>
          <cell r="AN44" t="str">
            <v>EBITDA (FIFO)/Share</v>
          </cell>
          <cell r="DH44">
            <v>1.0263522884882108</v>
          </cell>
          <cell r="DI44">
            <v>1.3812949640287771</v>
          </cell>
          <cell r="DJ44">
            <v>1.1089010442565888</v>
          </cell>
          <cell r="DK44">
            <v>2.472718253968254</v>
          </cell>
          <cell r="DL44">
            <v>5.853776435045317</v>
          </cell>
          <cell r="DN44">
            <v>0.97746202841744245</v>
          </cell>
          <cell r="DO44">
            <v>1.0571142284569139</v>
          </cell>
          <cell r="DP44">
            <v>0.84789311408016443</v>
          </cell>
          <cell r="DQ44">
            <v>2.2838580709645178</v>
          </cell>
          <cell r="DR44">
            <v>5.1728456913827658</v>
          </cell>
          <cell r="DT44">
            <v>0.94607843137254899</v>
          </cell>
          <cell r="DU44">
            <v>1.1498771498771498</v>
          </cell>
          <cell r="DV44">
            <v>0.9060745278203165</v>
          </cell>
          <cell r="DW44">
            <v>2.3028720626631856</v>
          </cell>
          <cell r="DX44">
            <v>5.2610391244181658</v>
          </cell>
          <cell r="DZ44">
            <v>0.8812664907651715</v>
          </cell>
          <cell r="EA44">
            <v>1.1939102564102564</v>
          </cell>
          <cell r="EB44">
            <v>1.0177705977382876</v>
          </cell>
          <cell r="EC44">
            <v>2.5856443719412723</v>
          </cell>
          <cell r="ED44">
            <v>5.6538049303322619</v>
          </cell>
          <cell r="EF44">
            <v>1.1210640608034745</v>
          </cell>
          <cell r="EG44">
            <v>1.2472527472527473</v>
          </cell>
          <cell r="EH44">
            <v>1.1152522935779816</v>
          </cell>
          <cell r="EI44">
            <v>2.8422273781902549</v>
          </cell>
          <cell r="EJ44">
            <v>6.2738496071829406</v>
          </cell>
          <cell r="EK44" t="str">
            <v>EBITDA (FIFO)/Share</v>
          </cell>
          <cell r="EL44">
            <v>1.2413194444444444</v>
          </cell>
          <cell r="EM44">
            <v>1.3346613545816735</v>
          </cell>
          <cell r="EN44">
            <v>1.1604025467241734</v>
          </cell>
          <cell r="EO44">
            <v>2.9826777336701551</v>
          </cell>
          <cell r="EP44">
            <v>7.1698113207547163</v>
          </cell>
          <cell r="ER44">
            <v>0.83333333333333337</v>
          </cell>
          <cell r="ES44">
            <v>1.2911301859799713</v>
          </cell>
          <cell r="ET44">
            <v>1.0801963993453356</v>
          </cell>
          <cell r="EU44">
            <v>3.354974221882757</v>
          </cell>
          <cell r="EV44">
            <v>6.4597407339784549</v>
          </cell>
          <cell r="EX44">
            <v>1.2027707808564232</v>
          </cell>
          <cell r="EY44">
            <v>1.472258628221931</v>
          </cell>
          <cell r="EZ44">
            <v>1.1892262040629993</v>
          </cell>
          <cell r="FA44">
            <v>3.72210720036807</v>
          </cell>
          <cell r="FB44">
            <v>7.4952960708356384</v>
          </cell>
          <cell r="FD44">
            <v>1.0810168686148729</v>
          </cell>
          <cell r="FE44">
            <v>1.5399194503672116</v>
          </cell>
          <cell r="FF44">
            <v>0.95893662473296937</v>
          </cell>
          <cell r="FG44">
            <v>2.8334124347413385</v>
          </cell>
          <cell r="FH44">
            <v>6.4139526606157684</v>
          </cell>
          <cell r="FJ44">
            <v>0.77598481252966311</v>
          </cell>
          <cell r="FK44">
            <v>1.3811892916370527</v>
          </cell>
          <cell r="FL44">
            <v>0.92223802750118533</v>
          </cell>
          <cell r="FM44">
            <v>3.2185805234614477</v>
          </cell>
          <cell r="FN44">
            <v>6.3075648159109736</v>
          </cell>
          <cell r="FP44">
            <v>1.1496949788831534</v>
          </cell>
          <cell r="FQ44">
            <v>1.5427901524032825</v>
          </cell>
          <cell r="FR44">
            <v>1.0921421889616463</v>
          </cell>
          <cell r="FS44">
            <v>3.3892773892773893</v>
          </cell>
          <cell r="FT44">
            <v>7.1521789792589132</v>
          </cell>
          <cell r="FV44">
            <v>1.3906976744186046</v>
          </cell>
          <cell r="FW44">
            <v>1.7809479981592269</v>
          </cell>
          <cell r="FX44">
            <v>1.3270032422417786</v>
          </cell>
          <cell r="FY44">
            <v>3.5712614088462438</v>
          </cell>
          <cell r="FZ44">
            <v>8.0645910780669148</v>
          </cell>
          <cell r="GB44">
            <v>1.5270238376209582</v>
          </cell>
          <cell r="GC44">
            <v>1.9443778470390793</v>
          </cell>
          <cell r="GD44">
            <v>1.3711050832677567</v>
          </cell>
          <cell r="GE44">
            <v>4.3124978754051018</v>
          </cell>
          <cell r="GF44">
            <v>9.0707260857902199</v>
          </cell>
        </row>
        <row r="46">
          <cell r="A46" t="str">
            <v>Pre-Tax Extraordinary Charges/(FYins)</v>
          </cell>
          <cell r="N46">
            <v>0</v>
          </cell>
          <cell r="O46">
            <v>0</v>
          </cell>
          <cell r="P46">
            <v>64.977391304347833</v>
          </cell>
          <cell r="Q46">
            <v>39.049635036496348</v>
          </cell>
          <cell r="R46">
            <v>0</v>
          </cell>
          <cell r="S46">
            <v>80</v>
          </cell>
          <cell r="T46">
            <v>194.65822784810126</v>
          </cell>
          <cell r="U46">
            <v>68</v>
          </cell>
          <cell r="V46">
            <v>-3.8885496183206101</v>
          </cell>
          <cell r="W46">
            <v>158</v>
          </cell>
          <cell r="X46">
            <v>-454.87025227165736</v>
          </cell>
          <cell r="Y46">
            <v>238.49507674485955</v>
          </cell>
          <cell r="Z46">
            <v>95.101083032490976</v>
          </cell>
          <cell r="AA46">
            <v>4548.1295336787571</v>
          </cell>
          <cell r="AB46">
            <v>391</v>
          </cell>
          <cell r="AC46">
            <v>89.519480519480524</v>
          </cell>
          <cell r="AD46">
            <v>-25</v>
          </cell>
          <cell r="AE46">
            <v>0</v>
          </cell>
          <cell r="AF46">
            <v>0</v>
          </cell>
          <cell r="AG46">
            <v>0</v>
          </cell>
          <cell r="AH46">
            <v>0</v>
          </cell>
          <cell r="AI46">
            <v>0</v>
          </cell>
          <cell r="AJ46">
            <v>0</v>
          </cell>
          <cell r="AK46">
            <v>0</v>
          </cell>
          <cell r="AL46">
            <v>0</v>
          </cell>
          <cell r="AN46" t="str">
            <v>Pre-Tax Extraordinary Charges/(FYins)</v>
          </cell>
          <cell r="FY46">
            <v>1151</v>
          </cell>
          <cell r="GS46" t="str">
            <v>mstag:incomeLossFromExtraordinaryItemsPretax</v>
          </cell>
          <cell r="GT46">
            <v>6</v>
          </cell>
          <cell r="GU46" t="str">
            <v>ISO4217:USD</v>
          </cell>
          <cell r="GV46" t="b">
            <v>1</v>
          </cell>
          <cell r="GW46" t="b">
            <v>0</v>
          </cell>
        </row>
        <row r="47">
          <cell r="A47" t="str">
            <v>Taxes (Benefit) on Extraordinary Charges</v>
          </cell>
          <cell r="N47">
            <v>0</v>
          </cell>
          <cell r="O47">
            <v>0</v>
          </cell>
          <cell r="P47">
            <v>-25.97739130434783</v>
          </cell>
          <cell r="Q47">
            <v>-16.049635036496348</v>
          </cell>
          <cell r="R47">
            <v>0</v>
          </cell>
          <cell r="S47">
            <v>0</v>
          </cell>
          <cell r="T47">
            <v>30.341772151898731</v>
          </cell>
          <cell r="U47">
            <v>0</v>
          </cell>
          <cell r="V47">
            <v>24.888549618320614</v>
          </cell>
          <cell r="W47">
            <v>0</v>
          </cell>
          <cell r="X47">
            <v>56.870252271657364</v>
          </cell>
          <cell r="Y47">
            <v>73.879923255140454</v>
          </cell>
          <cell r="Z47">
            <v>45.898916967509031</v>
          </cell>
          <cell r="AA47">
            <v>1254.8704663212436</v>
          </cell>
          <cell r="AB47">
            <v>0</v>
          </cell>
          <cell r="AC47">
            <v>-23.119480519480522</v>
          </cell>
          <cell r="AD47">
            <v>0</v>
          </cell>
          <cell r="AE47">
            <v>0</v>
          </cell>
          <cell r="AF47">
            <v>0</v>
          </cell>
          <cell r="AG47">
            <v>0</v>
          </cell>
          <cell r="AH47">
            <v>0</v>
          </cell>
          <cell r="AI47">
            <v>0</v>
          </cell>
          <cell r="AJ47">
            <v>0</v>
          </cell>
          <cell r="AK47">
            <v>0</v>
          </cell>
          <cell r="AL47">
            <v>0</v>
          </cell>
          <cell r="AN47" t="str">
            <v>Taxes (Benefit) on Extraordinary Charges</v>
          </cell>
          <cell r="FY47">
            <v>0.6329278887923544</v>
          </cell>
          <cell r="GS47" t="str">
            <v>mstag:taxOnIncomeLossFromExtraordinaryItems</v>
          </cell>
          <cell r="GT47">
            <v>6</v>
          </cell>
          <cell r="GU47" t="str">
            <v>ISO4217:USD</v>
          </cell>
          <cell r="GV47" t="b">
            <v>0</v>
          </cell>
        </row>
        <row r="48">
          <cell r="A48" t="str">
            <v>Post-Tax Extraordinary Charges/(FYins)</v>
          </cell>
          <cell r="N48">
            <v>0</v>
          </cell>
          <cell r="O48">
            <v>0</v>
          </cell>
          <cell r="P48">
            <v>39</v>
          </cell>
          <cell r="Q48">
            <v>23</v>
          </cell>
          <cell r="R48">
            <v>0</v>
          </cell>
          <cell r="S48">
            <v>80</v>
          </cell>
          <cell r="T48">
            <v>225</v>
          </cell>
          <cell r="U48">
            <v>68</v>
          </cell>
          <cell r="V48">
            <v>21.000000000000004</v>
          </cell>
          <cell r="W48">
            <v>158</v>
          </cell>
          <cell r="X48">
            <v>-398</v>
          </cell>
          <cell r="Y48">
            <v>312.375</v>
          </cell>
          <cell r="Z48">
            <v>141</v>
          </cell>
          <cell r="AA48">
            <v>5803.0000000000009</v>
          </cell>
          <cell r="AB48">
            <v>391</v>
          </cell>
          <cell r="AC48">
            <v>66.400000000000006</v>
          </cell>
          <cell r="AD48">
            <v>-25</v>
          </cell>
          <cell r="AE48">
            <v>0</v>
          </cell>
          <cell r="AF48">
            <v>0</v>
          </cell>
          <cell r="AG48">
            <v>0</v>
          </cell>
          <cell r="AH48">
            <v>0</v>
          </cell>
          <cell r="AI48">
            <v>0</v>
          </cell>
          <cell r="AJ48">
            <v>0</v>
          </cell>
          <cell r="AK48">
            <v>0</v>
          </cell>
          <cell r="AL48">
            <v>0</v>
          </cell>
          <cell r="AN48" t="str">
            <v>Post-Tax Extraordinary Charges/(FYins)</v>
          </cell>
        </row>
        <row r="50">
          <cell r="A50" t="str">
            <v>Extraordinary Charges (FYins)</v>
          </cell>
          <cell r="AN50" t="str">
            <v>Extraordinary Charges (FYins)</v>
          </cell>
          <cell r="FD50">
            <v>110</v>
          </cell>
          <cell r="FE50">
            <v>76</v>
          </cell>
          <cell r="FF50">
            <v>16</v>
          </cell>
          <cell r="FG50">
            <v>219</v>
          </cell>
          <cell r="FH50">
            <v>421</v>
          </cell>
          <cell r="FJ50">
            <v>138</v>
          </cell>
          <cell r="FK50">
            <v>34</v>
          </cell>
          <cell r="FL50">
            <v>33</v>
          </cell>
          <cell r="FM50">
            <v>186</v>
          </cell>
          <cell r="FN50">
            <v>391</v>
          </cell>
          <cell r="FP50">
            <v>0</v>
          </cell>
          <cell r="FQ50">
            <v>0</v>
          </cell>
          <cell r="FR50">
            <v>0</v>
          </cell>
          <cell r="FS50">
            <v>25</v>
          </cell>
          <cell r="FT50">
            <v>25</v>
          </cell>
          <cell r="FV50">
            <v>0</v>
          </cell>
          <cell r="FW50">
            <v>0</v>
          </cell>
          <cell r="FX50">
            <v>0</v>
          </cell>
          <cell r="FY50">
            <v>-25</v>
          </cell>
          <cell r="FZ50">
            <v>-25</v>
          </cell>
          <cell r="GB50">
            <v>0</v>
          </cell>
          <cell r="GC50">
            <v>0</v>
          </cell>
          <cell r="GD50">
            <v>0</v>
          </cell>
          <cell r="GE50">
            <v>0</v>
          </cell>
          <cell r="GF50">
            <v>0</v>
          </cell>
        </row>
        <row r="51">
          <cell r="A51" t="str">
            <v>Taxes on Extraordinary Charges (FYins)</v>
          </cell>
          <cell r="AN51" t="str">
            <v>Taxes on Extraordinary Charges (FYins)</v>
          </cell>
          <cell r="FD51">
            <v>41</v>
          </cell>
          <cell r="FE51">
            <v>28</v>
          </cell>
          <cell r="FF51">
            <v>6</v>
          </cell>
          <cell r="FG51">
            <v>81</v>
          </cell>
          <cell r="FH51">
            <v>156</v>
          </cell>
          <cell r="FJ51">
            <v>118</v>
          </cell>
          <cell r="FK51">
            <v>-43</v>
          </cell>
          <cell r="FL51">
            <v>10</v>
          </cell>
          <cell r="FM51">
            <v>59</v>
          </cell>
          <cell r="FN51">
            <v>144</v>
          </cell>
          <cell r="FP51">
            <v>0</v>
          </cell>
          <cell r="FQ51">
            <v>0</v>
          </cell>
          <cell r="FR51">
            <v>0</v>
          </cell>
          <cell r="FS51">
            <v>0</v>
          </cell>
          <cell r="FT51">
            <v>0</v>
          </cell>
          <cell r="FV51">
            <v>0</v>
          </cell>
          <cell r="FW51">
            <v>0</v>
          </cell>
          <cell r="FX51">
            <v>0</v>
          </cell>
          <cell r="FY51">
            <v>0</v>
          </cell>
          <cell r="FZ51">
            <v>0</v>
          </cell>
          <cell r="GB51">
            <v>0</v>
          </cell>
          <cell r="GC51">
            <v>0</v>
          </cell>
          <cell r="GD51">
            <v>0</v>
          </cell>
          <cell r="GE51">
            <v>0</v>
          </cell>
          <cell r="GF51">
            <v>0</v>
          </cell>
        </row>
        <row r="52">
          <cell r="A52" t="str">
            <v>Tax Rate on Extraordinary Charges (FYins)</v>
          </cell>
          <cell r="AN52" t="str">
            <v>Tax Rate on Extraordinary Charges (FYins)</v>
          </cell>
          <cell r="FD52">
            <v>0.37272727272727274</v>
          </cell>
          <cell r="FE52">
            <v>0.36842105263157893</v>
          </cell>
          <cell r="FF52">
            <v>0.375</v>
          </cell>
          <cell r="FG52">
            <v>0.36986301369863012</v>
          </cell>
          <cell r="FH52">
            <v>0.37054631828978624</v>
          </cell>
          <cell r="FJ52">
            <v>0.85507246376811596</v>
          </cell>
          <cell r="FK52">
            <v>-1.2647058823529411</v>
          </cell>
          <cell r="FL52">
            <v>0.30303030303030304</v>
          </cell>
          <cell r="FM52">
            <v>0.31720430107526881</v>
          </cell>
          <cell r="FN52">
            <v>0.36828644501278773</v>
          </cell>
          <cell r="FP52" t="str">
            <v>NM</v>
          </cell>
          <cell r="FQ52" t="str">
            <v>NM</v>
          </cell>
          <cell r="FR52" t="str">
            <v>NM</v>
          </cell>
          <cell r="FS52" t="str">
            <v>NM</v>
          </cell>
          <cell r="FT52" t="str">
            <v>NM</v>
          </cell>
          <cell r="FV52" t="str">
            <v>NM</v>
          </cell>
          <cell r="FW52" t="str">
            <v>NM</v>
          </cell>
          <cell r="FX52" t="str">
            <v>NM</v>
          </cell>
          <cell r="FY52" t="str">
            <v>NM</v>
          </cell>
          <cell r="FZ52" t="str">
            <v>NM</v>
          </cell>
          <cell r="GB52" t="str">
            <v>NM</v>
          </cell>
          <cell r="GC52" t="str">
            <v>NM</v>
          </cell>
          <cell r="GD52">
            <v>0.37</v>
          </cell>
          <cell r="GE52">
            <v>0.37</v>
          </cell>
          <cell r="GF52">
            <v>0.37</v>
          </cell>
        </row>
        <row r="54">
          <cell r="A54" t="str">
            <v>Continuing Pre-Tax Income</v>
          </cell>
          <cell r="FD54">
            <v>4</v>
          </cell>
          <cell r="FE54">
            <v>197</v>
          </cell>
          <cell r="FF54">
            <v>-59</v>
          </cell>
          <cell r="FG54">
            <v>723</v>
          </cell>
          <cell r="FH54">
            <v>865</v>
          </cell>
          <cell r="FJ54">
            <v>-117</v>
          </cell>
          <cell r="FK54">
            <v>143</v>
          </cell>
          <cell r="FL54">
            <v>-49</v>
          </cell>
          <cell r="FM54">
            <v>921</v>
          </cell>
          <cell r="FN54">
            <v>898</v>
          </cell>
          <cell r="FP54">
            <v>41</v>
          </cell>
          <cell r="FQ54">
            <v>240</v>
          </cell>
          <cell r="FR54">
            <v>13</v>
          </cell>
          <cell r="FS54">
            <v>1051</v>
          </cell>
          <cell r="FT54">
            <v>1345</v>
          </cell>
          <cell r="FV54">
            <v>214</v>
          </cell>
          <cell r="FW54">
            <v>395</v>
          </cell>
          <cell r="FX54">
            <v>183</v>
          </cell>
          <cell r="FY54">
            <v>1151</v>
          </cell>
          <cell r="FZ54">
            <v>1943</v>
          </cell>
          <cell r="GB54">
            <v>279</v>
          </cell>
          <cell r="GC54">
            <v>449</v>
          </cell>
          <cell r="GD54">
            <v>174.65499452664795</v>
          </cell>
          <cell r="GE54">
            <v>1330.6989484464721</v>
          </cell>
          <cell r="GF54">
            <v>2233.35394297312</v>
          </cell>
        </row>
        <row r="55">
          <cell r="A55" t="str">
            <v>Continuing Taxes</v>
          </cell>
          <cell r="FD55">
            <v>-6</v>
          </cell>
          <cell r="FE55">
            <v>76</v>
          </cell>
          <cell r="FF55">
            <v>-25</v>
          </cell>
          <cell r="FG55">
            <v>275</v>
          </cell>
          <cell r="FH55">
            <v>320</v>
          </cell>
          <cell r="FJ55">
            <v>-49</v>
          </cell>
          <cell r="FK55">
            <v>59</v>
          </cell>
          <cell r="FL55">
            <v>-37</v>
          </cell>
          <cell r="FM55">
            <v>349</v>
          </cell>
          <cell r="FN55">
            <v>322</v>
          </cell>
          <cell r="FP55">
            <v>18</v>
          </cell>
          <cell r="FQ55">
            <v>93</v>
          </cell>
          <cell r="FR55">
            <v>3</v>
          </cell>
          <cell r="FS55">
            <v>368</v>
          </cell>
          <cell r="FT55">
            <v>482</v>
          </cell>
          <cell r="FV55">
            <v>83</v>
          </cell>
          <cell r="FW55">
            <v>154</v>
          </cell>
          <cell r="FX55">
            <v>44</v>
          </cell>
          <cell r="FY55">
            <v>422.5</v>
          </cell>
          <cell r="FZ55">
            <v>703.5</v>
          </cell>
          <cell r="GB55">
            <v>98</v>
          </cell>
          <cell r="GC55">
            <v>170</v>
          </cell>
          <cell r="GD55">
            <v>64.622347974859736</v>
          </cell>
          <cell r="GE55">
            <v>492.35861092519468</v>
          </cell>
          <cell r="GF55">
            <v>824.98095890005447</v>
          </cell>
        </row>
        <row r="56">
          <cell r="A56" t="str">
            <v>Tax Rate on Continuing Operations</v>
          </cell>
          <cell r="N56">
            <v>0.62871287128712872</v>
          </cell>
          <cell r="O56">
            <v>0.3968253968253968</v>
          </cell>
          <cell r="P56">
            <v>0.39979123173277664</v>
          </cell>
          <cell r="Q56">
            <v>0.411006018916595</v>
          </cell>
          <cell r="R56">
            <v>0.40476190476190477</v>
          </cell>
          <cell r="S56">
            <v>0.40072992700729926</v>
          </cell>
          <cell r="T56">
            <v>0.3923076923076923</v>
          </cell>
          <cell r="U56">
            <v>0.39122137404580154</v>
          </cell>
          <cell r="V56">
            <v>0.39575645756457567</v>
          </cell>
          <cell r="W56">
            <v>0.38261648745519711</v>
          </cell>
          <cell r="X56">
            <v>0.37446604203916711</v>
          </cell>
          <cell r="Y56">
            <v>0.37218181818181817</v>
          </cell>
          <cell r="Z56">
            <v>0.37045454545454548</v>
          </cell>
          <cell r="AA56">
            <v>0.36994219653179189</v>
          </cell>
          <cell r="AB56">
            <v>0.35857461024498888</v>
          </cell>
          <cell r="AC56">
            <v>0.35836431226765797</v>
          </cell>
          <cell r="AD56">
            <v>0.36206896551724138</v>
          </cell>
          <cell r="AE56">
            <v>0.37</v>
          </cell>
          <cell r="AF56">
            <v>0.37</v>
          </cell>
          <cell r="AG56">
            <v>0.37</v>
          </cell>
          <cell r="AH56">
            <v>0.37</v>
          </cell>
          <cell r="AI56">
            <v>0.37</v>
          </cell>
          <cell r="AJ56">
            <v>0.37</v>
          </cell>
          <cell r="AK56">
            <v>0.37</v>
          </cell>
          <cell r="AL56">
            <v>0.37</v>
          </cell>
          <cell r="FE56">
            <v>0.38578680203045684</v>
          </cell>
          <cell r="FF56">
            <v>0.42372881355932202</v>
          </cell>
          <cell r="FG56">
            <v>0.38035961272475793</v>
          </cell>
          <cell r="FH56">
            <v>0.36994219653179189</v>
          </cell>
          <cell r="FJ56">
            <v>0.41880341880341881</v>
          </cell>
          <cell r="FK56">
            <v>0.41258741258741261</v>
          </cell>
          <cell r="FL56">
            <v>0.75510204081632648</v>
          </cell>
          <cell r="FM56">
            <v>0.37893593919652552</v>
          </cell>
          <cell r="FN56">
            <v>0.35857461024498888</v>
          </cell>
          <cell r="FP56">
            <v>0.43902439024390244</v>
          </cell>
          <cell r="FQ56">
            <v>0.38750000000000001</v>
          </cell>
          <cell r="FR56">
            <v>0.23076923076923078</v>
          </cell>
          <cell r="FS56">
            <v>0.35014272121788775</v>
          </cell>
          <cell r="FT56">
            <v>0.35836431226765797</v>
          </cell>
          <cell r="FV56">
            <v>0.38785046728971961</v>
          </cell>
          <cell r="FW56">
            <v>0.38987341772151901</v>
          </cell>
          <cell r="FX56">
            <v>0.24043715846994534</v>
          </cell>
          <cell r="FY56">
            <v>0.36707211120764555</v>
          </cell>
          <cell r="FZ56">
            <v>0.36206896551724138</v>
          </cell>
          <cell r="GB56">
            <v>0.35125448028673834</v>
          </cell>
          <cell r="GC56">
            <v>0.37861915367483295</v>
          </cell>
          <cell r="GD56">
            <v>0.37</v>
          </cell>
          <cell r="GE56">
            <v>0.37</v>
          </cell>
          <cell r="GF56">
            <v>0.36939105039562631</v>
          </cell>
          <cell r="GS56" t="str">
            <v>mstag:statutoryTaxRate</v>
          </cell>
          <cell r="GT56">
            <v>0</v>
          </cell>
          <cell r="GU56" t="str">
            <v>ms_eqr_gcim_Decimal:ms_eqr_gcim_decimal</v>
          </cell>
          <cell r="GV56" t="b">
            <v>0</v>
          </cell>
        </row>
        <row r="58">
          <cell r="A58" t="str">
            <v>Total Tax Expense</v>
          </cell>
          <cell r="FD58">
            <v>-47</v>
          </cell>
          <cell r="FE58">
            <v>48</v>
          </cell>
          <cell r="FF58">
            <v>-31</v>
          </cell>
          <cell r="FG58">
            <v>-105</v>
          </cell>
          <cell r="FH58">
            <v>-135</v>
          </cell>
          <cell r="FJ58">
            <v>-167</v>
          </cell>
          <cell r="FK58">
            <v>102</v>
          </cell>
          <cell r="FL58">
            <v>-47</v>
          </cell>
          <cell r="FM58">
            <v>290</v>
          </cell>
          <cell r="FN58">
            <v>178</v>
          </cell>
          <cell r="FP58">
            <v>18</v>
          </cell>
          <cell r="FQ58">
            <v>93</v>
          </cell>
          <cell r="FR58">
            <v>3</v>
          </cell>
          <cell r="FS58">
            <v>359</v>
          </cell>
          <cell r="FT58">
            <v>473</v>
          </cell>
          <cell r="FV58">
            <v>83</v>
          </cell>
          <cell r="FW58">
            <v>154</v>
          </cell>
          <cell r="FX58">
            <v>44</v>
          </cell>
          <cell r="FY58">
            <v>431</v>
          </cell>
          <cell r="FZ58">
            <v>712</v>
          </cell>
          <cell r="GB58">
            <v>98</v>
          </cell>
          <cell r="GC58">
            <v>170</v>
          </cell>
          <cell r="GD58">
            <v>64.622347974859736</v>
          </cell>
          <cell r="GE58">
            <v>492.35861092519468</v>
          </cell>
          <cell r="GF58">
            <v>824.98095890005447</v>
          </cell>
        </row>
        <row r="59">
          <cell r="A59" t="str">
            <v>Tax Rate</v>
          </cell>
          <cell r="FD59">
            <v>0.44339622641509435</v>
          </cell>
          <cell r="FE59">
            <v>0.39669421487603307</v>
          </cell>
          <cell r="FF59">
            <v>0.41333333333333333</v>
          </cell>
          <cell r="FG59">
            <v>-0.20833333333333334</v>
          </cell>
          <cell r="FH59">
            <v>-0.30405405405405406</v>
          </cell>
          <cell r="FJ59">
            <v>0.65490196078431373</v>
          </cell>
          <cell r="FK59">
            <v>0.93577981651376152</v>
          </cell>
          <cell r="FL59">
            <v>0.57317073170731703</v>
          </cell>
          <cell r="FM59">
            <v>0.39455782312925169</v>
          </cell>
          <cell r="FN59">
            <v>0.35108481262327418</v>
          </cell>
          <cell r="FP59">
            <v>0.43902439024390244</v>
          </cell>
          <cell r="FQ59">
            <v>0.38750000000000001</v>
          </cell>
          <cell r="FR59">
            <v>0.23076923076923078</v>
          </cell>
          <cell r="FS59">
            <v>0.34990253411306044</v>
          </cell>
          <cell r="FT59">
            <v>0.35833333333333334</v>
          </cell>
          <cell r="FV59">
            <v>0.38785046728971961</v>
          </cell>
          <cell r="FW59">
            <v>0.38987341772151901</v>
          </cell>
          <cell r="FX59">
            <v>0.24043715846994534</v>
          </cell>
          <cell r="FY59">
            <v>0.36649659863945577</v>
          </cell>
          <cell r="FZ59">
            <v>0.36178861788617889</v>
          </cell>
          <cell r="GB59">
            <v>0.35125448028673834</v>
          </cell>
          <cell r="GC59">
            <v>0.37861915367483295</v>
          </cell>
          <cell r="GD59">
            <v>0.36999999999999994</v>
          </cell>
          <cell r="GE59">
            <v>0.37</v>
          </cell>
          <cell r="GF59">
            <v>0.36939105039562631</v>
          </cell>
        </row>
        <row r="61">
          <cell r="A61" t="str">
            <v>As a % of Sales</v>
          </cell>
          <cell r="AN61" t="str">
            <v>As % of Sales</v>
          </cell>
        </row>
        <row r="62">
          <cell r="A62" t="str">
            <v>Cost of Goods Sold (FIFO)</v>
          </cell>
          <cell r="K62">
            <v>0.61379177462321644</v>
          </cell>
          <cell r="L62">
            <v>0.61286106320358991</v>
          </cell>
          <cell r="N62">
            <v>0.61844806350075265</v>
          </cell>
          <cell r="O62">
            <v>0.60796871839816624</v>
          </cell>
          <cell r="P62">
            <v>0.60446780551905388</v>
          </cell>
          <cell r="Q62">
            <v>0.59993491701919943</v>
          </cell>
          <cell r="R62">
            <v>0.59741718135878719</v>
          </cell>
          <cell r="S62">
            <v>0.5983291260968866</v>
          </cell>
          <cell r="T62">
            <v>0.60836236933797905</v>
          </cell>
          <cell r="U62">
            <v>0.59880547171023057</v>
          </cell>
          <cell r="V62">
            <v>0.59531533869711917</v>
          </cell>
          <cell r="W62">
            <v>0.59241886409736311</v>
          </cell>
          <cell r="X62">
            <v>0.59276462706565436</v>
          </cell>
          <cell r="Y62">
            <v>0.59395624768261035</v>
          </cell>
          <cell r="Z62">
            <v>0.59578915365028695</v>
          </cell>
          <cell r="AA62">
            <v>0.60296480797043228</v>
          </cell>
          <cell r="AB62">
            <v>0.59753086419753088</v>
          </cell>
          <cell r="AC62">
            <v>0.59288885333759944</v>
          </cell>
          <cell r="AD62">
            <v>0.59602348040143915</v>
          </cell>
          <cell r="AE62">
            <v>0.59474414748937621</v>
          </cell>
          <cell r="AF62">
            <v>0.5917441474893762</v>
          </cell>
          <cell r="AG62">
            <v>0.59024414748937615</v>
          </cell>
          <cell r="AH62">
            <v>0.59124414748937626</v>
          </cell>
          <cell r="AI62">
            <v>0.59324414748937615</v>
          </cell>
          <cell r="AJ62">
            <v>0.59324414748937626</v>
          </cell>
          <cell r="AK62">
            <v>0.59324414748937615</v>
          </cell>
          <cell r="AL62">
            <v>0.59324414748937626</v>
          </cell>
          <cell r="AN62" t="str">
            <v>Cost of Goods Sold (FIFO)</v>
          </cell>
          <cell r="AO62">
            <v>0.60057656275542926</v>
          </cell>
          <cell r="AP62">
            <v>0.6221511287992596</v>
          </cell>
          <cell r="AQ62">
            <v>0.60479300095568056</v>
          </cell>
          <cell r="AR62">
            <v>0.6294896976051404</v>
          </cell>
          <cell r="AS62">
            <v>0.6153719492191454</v>
          </cell>
          <cell r="AU62">
            <v>0.59872575888702217</v>
          </cell>
          <cell r="AV62">
            <v>0.59999010525203866</v>
          </cell>
          <cell r="AW62">
            <v>0.60363297815379591</v>
          </cell>
          <cell r="AX62">
            <v>0.6181168180071781</v>
          </cell>
          <cell r="AY62">
            <v>0.60617818875433238</v>
          </cell>
          <cell r="BA62">
            <v>0.58843971531933681</v>
          </cell>
          <cell r="BB62">
            <v>0.59550840920881798</v>
          </cell>
          <cell r="BC62">
            <v>0.59443029908354827</v>
          </cell>
          <cell r="BD62">
            <v>0.60333203951480918</v>
          </cell>
          <cell r="BE62">
            <v>0.59616640873137217</v>
          </cell>
          <cell r="BG62">
            <v>0.59604630440701789</v>
          </cell>
          <cell r="BH62">
            <v>0.59912879554386378</v>
          </cell>
          <cell r="BI62">
            <v>0.60210303943129073</v>
          </cell>
          <cell r="BJ62">
            <v>0.61593435522401285</v>
          </cell>
          <cell r="BK62">
            <v>0.60464400533045182</v>
          </cell>
          <cell r="BM62">
            <v>0.60650471598560973</v>
          </cell>
          <cell r="BN62">
            <v>0.61069795125618698</v>
          </cell>
          <cell r="BO62">
            <v>0.61373481882758607</v>
          </cell>
          <cell r="BP62">
            <v>0.62352648329569904</v>
          </cell>
          <cell r="BQ62">
            <v>0.61477004731898655</v>
          </cell>
          <cell r="BS62">
            <v>0.60652791014295437</v>
          </cell>
          <cell r="BT62">
            <v>0.6192234202265593</v>
          </cell>
          <cell r="BU62">
            <v>0.61024762870607896</v>
          </cell>
          <cell r="BV62">
            <v>0.61765424878908959</v>
          </cell>
          <cell r="BW62">
            <v>0.61379177462321644</v>
          </cell>
          <cell r="BY62">
            <v>0.60982474600117942</v>
          </cell>
          <cell r="BZ62">
            <v>0.61139317361339018</v>
          </cell>
          <cell r="CA62">
            <v>0.61184906801442795</v>
          </cell>
          <cell r="CB62">
            <v>0.69662729026036696</v>
          </cell>
          <cell r="CC62">
            <v>0.62122405771683631</v>
          </cell>
          <cell r="CD62">
            <v>0.61651560643698022</v>
          </cell>
          <cell r="CE62">
            <v>0.62762274687078579</v>
          </cell>
          <cell r="CF62">
            <v>0.61286106320358991</v>
          </cell>
          <cell r="CG62">
            <v>0.61701593761245654</v>
          </cell>
          <cell r="CH62">
            <v>0.61921040036990405</v>
          </cell>
          <cell r="CJ62">
            <v>0.61036992153179626</v>
          </cell>
          <cell r="CK62">
            <v>0.60762316136394912</v>
          </cell>
          <cell r="CL62">
            <v>0.60676453279278098</v>
          </cell>
          <cell r="CM62">
            <v>0.6134235876446239</v>
          </cell>
          <cell r="CN62">
            <v>0.60993271142476924</v>
          </cell>
          <cell r="CP62">
            <v>0.6121470503427453</v>
          </cell>
          <cell r="CQ62">
            <v>0.60781202891889508</v>
          </cell>
          <cell r="CR62">
            <v>0.61045128548991046</v>
          </cell>
          <cell r="CS62">
            <v>0.61427682685535268</v>
          </cell>
          <cell r="CT62">
            <v>0.61147410135820623</v>
          </cell>
          <cell r="CV62">
            <v>0.6023235031277927</v>
          </cell>
          <cell r="CW62">
            <v>0.58873321657910094</v>
          </cell>
          <cell r="CX62">
            <v>0.60456595264937996</v>
          </cell>
          <cell r="CY62">
            <v>0.60270162892332146</v>
          </cell>
          <cell r="CZ62">
            <v>0.59993491701919943</v>
          </cell>
          <cell r="DB62">
            <v>0.60388888888888892</v>
          </cell>
          <cell r="DC62">
            <v>0.57888167748377439</v>
          </cell>
          <cell r="DD62">
            <v>0.59318346627991303</v>
          </cell>
          <cell r="DE62">
            <v>0.5853005190021765</v>
          </cell>
          <cell r="DF62">
            <v>0.58946714834048319</v>
          </cell>
          <cell r="DH62">
            <v>0.6022949902043101</v>
          </cell>
          <cell r="DI62">
            <v>0.59064963305245988</v>
          </cell>
          <cell r="DJ62">
            <v>0.60682178741406667</v>
          </cell>
          <cell r="DK62">
            <v>0.59511063526052821</v>
          </cell>
          <cell r="DL62">
            <v>0.5983291260968866</v>
          </cell>
          <cell r="DN62">
            <v>0.60686164229471318</v>
          </cell>
          <cell r="DO62">
            <v>0.61009174311926606</v>
          </cell>
          <cell r="DP62">
            <v>0.61410071942446043</v>
          </cell>
          <cell r="DQ62">
            <v>0.60619641465315666</v>
          </cell>
          <cell r="DR62">
            <v>0.60836236933797905</v>
          </cell>
          <cell r="DT62">
            <v>0.60179554011004921</v>
          </cell>
          <cell r="DU62">
            <v>0.58835341365461846</v>
          </cell>
          <cell r="DV62">
            <v>0.60707099741304971</v>
          </cell>
          <cell r="DW62">
            <v>0.60075742475583016</v>
          </cell>
          <cell r="DX62">
            <v>0.59880547171023057</v>
          </cell>
          <cell r="DZ62">
            <v>0.60832573685809788</v>
          </cell>
          <cell r="EA62">
            <v>0.58969132207338382</v>
          </cell>
          <cell r="EB62">
            <v>0.59982788296041312</v>
          </cell>
          <cell r="EC62">
            <v>0.58994656639620024</v>
          </cell>
          <cell r="ED62">
            <v>0.59531533869711917</v>
          </cell>
          <cell r="EF62">
            <v>0.59690140845070427</v>
          </cell>
          <cell r="EG62">
            <v>0.58586986875174529</v>
          </cell>
          <cell r="EH62">
            <v>0.59773049645390075</v>
          </cell>
          <cell r="EI62">
            <v>0.59023437499999998</v>
          </cell>
          <cell r="EJ62">
            <v>0.59241886409736311</v>
          </cell>
          <cell r="EK62" t="str">
            <v>Cost of Goods Sold (FIFO)</v>
          </cell>
          <cell r="EL62">
            <v>0.5976380115352925</v>
          </cell>
          <cell r="EM62">
            <v>0.58680651393872485</v>
          </cell>
          <cell r="EN62">
            <v>0.59621962196219624</v>
          </cell>
          <cell r="EO62">
            <v>0.59116079824469747</v>
          </cell>
          <cell r="EP62">
            <v>0.59276462706565436</v>
          </cell>
          <cell r="ER62">
            <v>0.61163575042158513</v>
          </cell>
          <cell r="ES62">
            <v>0.57881567973311088</v>
          </cell>
          <cell r="ET62">
            <v>0.59683995922528033</v>
          </cell>
          <cell r="EU62">
            <v>0.59056665574844414</v>
          </cell>
          <cell r="EV62">
            <v>0.59395624768261035</v>
          </cell>
          <cell r="EX62">
            <v>0.60192535044755957</v>
          </cell>
          <cell r="EY62">
            <v>0.59521384928716903</v>
          </cell>
          <cell r="EZ62">
            <v>0.60700982052150354</v>
          </cell>
          <cell r="FA62">
            <v>0.58424482196881544</v>
          </cell>
          <cell r="FB62">
            <v>0.59578915365028695</v>
          </cell>
          <cell r="FD62">
            <v>0.61371150165303634</v>
          </cell>
          <cell r="FE62">
            <v>0.5851696397341728</v>
          </cell>
          <cell r="FF62">
            <v>0.60513380666302563</v>
          </cell>
          <cell r="FG62">
            <v>0.60650365515502902</v>
          </cell>
          <cell r="FH62">
            <v>0.60296480797043228</v>
          </cell>
          <cell r="FJ62">
            <v>0.62008320726172461</v>
          </cell>
          <cell r="FK62">
            <v>0.58978240302743612</v>
          </cell>
          <cell r="FL62">
            <v>0.6018570102135562</v>
          </cell>
          <cell r="FM62">
            <v>0.58472974675570111</v>
          </cell>
          <cell r="FN62">
            <v>0.59753086419753088</v>
          </cell>
          <cell r="FP62">
            <v>0.60602798708288486</v>
          </cell>
          <cell r="FQ62">
            <v>0.58045873216543253</v>
          </cell>
          <cell r="FR62">
            <v>0.60056909123243818</v>
          </cell>
          <cell r="FS62">
            <v>0.58713266416737209</v>
          </cell>
          <cell r="FT62">
            <v>0.59288885333759944</v>
          </cell>
          <cell r="FV62">
            <v>0.60893190694515198</v>
          </cell>
          <cell r="FW62">
            <v>0.58208452601448057</v>
          </cell>
          <cell r="FX62">
            <v>0.60550145224671104</v>
          </cell>
          <cell r="FY62">
            <v>0.59044016506189823</v>
          </cell>
          <cell r="FZ62">
            <v>0.59602348040143915</v>
          </cell>
          <cell r="GB62">
            <v>0.61159042812957842</v>
          </cell>
          <cell r="GC62">
            <v>0.58107224583197126</v>
          </cell>
          <cell r="GD62">
            <v>0.60400145224671109</v>
          </cell>
          <cell r="GE62">
            <v>0.58662736950345429</v>
          </cell>
          <cell r="GF62">
            <v>0.59474414748937621</v>
          </cell>
        </row>
        <row r="63">
          <cell r="A63" t="str">
            <v>Gross Margin (FIFO)</v>
          </cell>
          <cell r="K63">
            <v>0.38620822537678351</v>
          </cell>
          <cell r="L63">
            <v>0.38713893679641009</v>
          </cell>
          <cell r="N63">
            <v>0.38155193649924729</v>
          </cell>
          <cell r="O63">
            <v>0.39203128160183376</v>
          </cell>
          <cell r="P63">
            <v>0.39553219448094612</v>
          </cell>
          <cell r="Q63">
            <v>0.40006508298080051</v>
          </cell>
          <cell r="R63">
            <v>0.40258281864121281</v>
          </cell>
          <cell r="S63">
            <v>0.40167087390311335</v>
          </cell>
          <cell r="T63">
            <v>0.3916376306620209</v>
          </cell>
          <cell r="U63">
            <v>0.40119452828976943</v>
          </cell>
          <cell r="V63">
            <v>0.40468466130288089</v>
          </cell>
          <cell r="W63">
            <v>0.40758113590263689</v>
          </cell>
          <cell r="X63">
            <v>0.4072353729343457</v>
          </cell>
          <cell r="Y63">
            <v>0.40604375231738971</v>
          </cell>
          <cell r="Z63">
            <v>0.40421084634971305</v>
          </cell>
          <cell r="AA63">
            <v>0.39703519202956772</v>
          </cell>
          <cell r="AB63">
            <v>0.40246913580246912</v>
          </cell>
          <cell r="AC63">
            <v>0.4071111466624005</v>
          </cell>
          <cell r="AD63">
            <v>0.4039765195985609</v>
          </cell>
          <cell r="AE63">
            <v>0.40525585251062379</v>
          </cell>
          <cell r="AF63">
            <v>0.40825585251062385</v>
          </cell>
          <cell r="AG63">
            <v>0.4097558525106238</v>
          </cell>
          <cell r="AH63">
            <v>0.4087558525106238</v>
          </cell>
          <cell r="AI63">
            <v>0.40675585251062379</v>
          </cell>
          <cell r="AJ63">
            <v>0.40675585251062374</v>
          </cell>
          <cell r="AK63">
            <v>0.40675585251062385</v>
          </cell>
          <cell r="AL63">
            <v>0.40675585251062374</v>
          </cell>
          <cell r="AN63" t="str">
            <v>Gross Margin (FIFO)</v>
          </cell>
          <cell r="AO63">
            <v>0.3994234372445708</v>
          </cell>
          <cell r="AP63">
            <v>0.3778488712007404</v>
          </cell>
          <cell r="AQ63">
            <v>0.3952069990443195</v>
          </cell>
          <cell r="AR63">
            <v>0.3705103023948596</v>
          </cell>
          <cell r="AS63">
            <v>0.38462805078085455</v>
          </cell>
          <cell r="AU63">
            <v>0.40127424111297788</v>
          </cell>
          <cell r="AV63">
            <v>0.40000989474796134</v>
          </cell>
          <cell r="AW63">
            <v>0.39636702184620409</v>
          </cell>
          <cell r="AX63">
            <v>0.38188318199282195</v>
          </cell>
          <cell r="AY63">
            <v>0.39382181124566762</v>
          </cell>
          <cell r="BA63">
            <v>0.41156028468066325</v>
          </cell>
          <cell r="BB63">
            <v>0.40449159079118202</v>
          </cell>
          <cell r="BC63">
            <v>0.40556970091645167</v>
          </cell>
          <cell r="BD63">
            <v>0.39666796048519082</v>
          </cell>
          <cell r="BE63">
            <v>0.40383359126862778</v>
          </cell>
          <cell r="BG63">
            <v>0.40395369559298205</v>
          </cell>
          <cell r="BH63">
            <v>0.40087120445613617</v>
          </cell>
          <cell r="BI63">
            <v>0.39789696056870921</v>
          </cell>
          <cell r="BJ63">
            <v>0.38406564477598715</v>
          </cell>
          <cell r="BK63">
            <v>0.39535599466954813</v>
          </cell>
          <cell r="BM63">
            <v>0.39349528401439021</v>
          </cell>
          <cell r="BN63">
            <v>0.38930204874381302</v>
          </cell>
          <cell r="BO63">
            <v>0.38626518117241393</v>
          </cell>
          <cell r="BP63">
            <v>0.37647351670430096</v>
          </cell>
          <cell r="BQ63">
            <v>0.38522995268101345</v>
          </cell>
          <cell r="BS63">
            <v>0.39347208985704557</v>
          </cell>
          <cell r="BT63">
            <v>0.38077657977344076</v>
          </cell>
          <cell r="BU63">
            <v>0.3897523712939211</v>
          </cell>
          <cell r="BV63">
            <v>0.38234575121091047</v>
          </cell>
          <cell r="BW63">
            <v>0.38620822537678351</v>
          </cell>
          <cell r="BY63">
            <v>0.39017525399882058</v>
          </cell>
          <cell r="BZ63">
            <v>0.38860682638660982</v>
          </cell>
          <cell r="CA63">
            <v>0.38815093198557199</v>
          </cell>
          <cell r="CB63">
            <v>0.30337270973963298</v>
          </cell>
          <cell r="CC63">
            <v>0.37877594228316364</v>
          </cell>
          <cell r="CD63">
            <v>0.38348439356301972</v>
          </cell>
          <cell r="CE63">
            <v>0.37237725312921416</v>
          </cell>
          <cell r="CF63">
            <v>0.38713893679641009</v>
          </cell>
          <cell r="CG63">
            <v>0.38298406238754346</v>
          </cell>
          <cell r="CH63">
            <v>0.38078959963009601</v>
          </cell>
          <cell r="CJ63">
            <v>0.38963007846820369</v>
          </cell>
          <cell r="CK63">
            <v>0.39237683863605083</v>
          </cell>
          <cell r="CL63">
            <v>0.39323546720721908</v>
          </cell>
          <cell r="CM63">
            <v>0.38657641235537615</v>
          </cell>
          <cell r="CN63">
            <v>0.39006728857523071</v>
          </cell>
          <cell r="CP63">
            <v>0.3878529496572547</v>
          </cell>
          <cell r="CQ63">
            <v>0.39218797108110487</v>
          </cell>
          <cell r="CR63">
            <v>0.38954871451008949</v>
          </cell>
          <cell r="CS63">
            <v>0.38572317314464727</v>
          </cell>
          <cell r="CT63">
            <v>0.38852589864179371</v>
          </cell>
          <cell r="CV63">
            <v>0.39767649687220735</v>
          </cell>
          <cell r="CW63">
            <v>0.41126678342089901</v>
          </cell>
          <cell r="CX63">
            <v>0.39543404735062004</v>
          </cell>
          <cell r="CY63">
            <v>0.39729837107667859</v>
          </cell>
          <cell r="CZ63">
            <v>0.40006508298080051</v>
          </cell>
          <cell r="DB63">
            <v>0.39611111111111114</v>
          </cell>
          <cell r="DC63">
            <v>0.42111832251622566</v>
          </cell>
          <cell r="DD63">
            <v>0.40681653372008703</v>
          </cell>
          <cell r="DE63">
            <v>0.41469948099782356</v>
          </cell>
          <cell r="DF63">
            <v>0.41053285165951681</v>
          </cell>
          <cell r="DH63">
            <v>0.3977050097956899</v>
          </cell>
          <cell r="DI63">
            <v>0.40935036694754007</v>
          </cell>
          <cell r="DJ63">
            <v>0.39317821258593338</v>
          </cell>
          <cell r="DK63">
            <v>0.40488936473947179</v>
          </cell>
          <cell r="DL63">
            <v>0.40167087390311335</v>
          </cell>
          <cell r="DN63">
            <v>0.39313835770528682</v>
          </cell>
          <cell r="DO63">
            <v>0.38990825688073394</v>
          </cell>
          <cell r="DP63">
            <v>0.38589928057553957</v>
          </cell>
          <cell r="DQ63">
            <v>0.39380358534684334</v>
          </cell>
          <cell r="DR63">
            <v>0.3916376306620209</v>
          </cell>
          <cell r="DT63">
            <v>0.39820445988995079</v>
          </cell>
          <cell r="DU63">
            <v>0.41164658634538154</v>
          </cell>
          <cell r="DV63">
            <v>0.39292900258695029</v>
          </cell>
          <cell r="DW63">
            <v>0.39924257524416984</v>
          </cell>
          <cell r="DX63">
            <v>0.40119452828976943</v>
          </cell>
          <cell r="DZ63">
            <v>0.39167426314190218</v>
          </cell>
          <cell r="EA63">
            <v>0.41030867792661618</v>
          </cell>
          <cell r="EB63">
            <v>0.40017211703958694</v>
          </cell>
          <cell r="EC63">
            <v>0.4100534336037997</v>
          </cell>
          <cell r="ED63">
            <v>0.40468466130288089</v>
          </cell>
          <cell r="EF63">
            <v>0.40309859154929578</v>
          </cell>
          <cell r="EG63">
            <v>0.41413013124825465</v>
          </cell>
          <cell r="EH63">
            <v>0.40226950354609931</v>
          </cell>
          <cell r="EI63">
            <v>0.40976562500000002</v>
          </cell>
          <cell r="EJ63">
            <v>0.40758113590263689</v>
          </cell>
          <cell r="EK63" t="str">
            <v>Gross Margin (FIFO)</v>
          </cell>
          <cell r="EL63">
            <v>0.4023619884647075</v>
          </cell>
          <cell r="EM63">
            <v>0.41319348606127521</v>
          </cell>
          <cell r="EN63">
            <v>0.40378037803780376</v>
          </cell>
          <cell r="EO63">
            <v>0.40883920175530247</v>
          </cell>
          <cell r="EP63">
            <v>0.4072353729343457</v>
          </cell>
          <cell r="ER63">
            <v>0.38836424957841487</v>
          </cell>
          <cell r="ES63">
            <v>0.42118432026688907</v>
          </cell>
          <cell r="ET63">
            <v>0.40316004077471967</v>
          </cell>
          <cell r="EU63">
            <v>0.40943334425155586</v>
          </cell>
          <cell r="EV63">
            <v>0.40604375231738971</v>
          </cell>
          <cell r="EX63">
            <v>0.39807464955244048</v>
          </cell>
          <cell r="EY63">
            <v>0.40478615071283097</v>
          </cell>
          <cell r="EZ63">
            <v>0.39299017947849646</v>
          </cell>
          <cell r="FA63">
            <v>0.41575517803118456</v>
          </cell>
          <cell r="FB63">
            <v>0.40421084634971305</v>
          </cell>
          <cell r="FD63">
            <v>0.38628849834696366</v>
          </cell>
          <cell r="FE63">
            <v>0.4148303602658272</v>
          </cell>
          <cell r="FF63">
            <v>0.39486619333697431</v>
          </cell>
          <cell r="FG63">
            <v>0.39349634484497104</v>
          </cell>
          <cell r="FH63">
            <v>0.39703519202956772</v>
          </cell>
          <cell r="FJ63">
            <v>0.37991679273827533</v>
          </cell>
          <cell r="FK63">
            <v>0.41021759697256388</v>
          </cell>
          <cell r="FL63">
            <v>0.3981429897864438</v>
          </cell>
          <cell r="FM63">
            <v>0.41527025324429884</v>
          </cell>
          <cell r="FN63">
            <v>0.40246913580246912</v>
          </cell>
          <cell r="FP63">
            <v>0.3939720129171152</v>
          </cell>
          <cell r="FQ63">
            <v>0.41954126783456747</v>
          </cell>
          <cell r="FR63">
            <v>0.39943090876756182</v>
          </cell>
          <cell r="FS63">
            <v>0.41286733583262791</v>
          </cell>
          <cell r="FT63">
            <v>0.4071111466624005</v>
          </cell>
          <cell r="FV63">
            <v>0.39106809305484802</v>
          </cell>
          <cell r="FW63">
            <v>0.41791547398551943</v>
          </cell>
          <cell r="FX63">
            <v>0.39449854775328891</v>
          </cell>
          <cell r="FY63">
            <v>0.40955983493810177</v>
          </cell>
          <cell r="FZ63">
            <v>0.4039765195985609</v>
          </cell>
          <cell r="GB63">
            <v>0.38840957187042163</v>
          </cell>
          <cell r="GC63">
            <v>0.41892775416802874</v>
          </cell>
          <cell r="GD63">
            <v>0.39599854775328891</v>
          </cell>
          <cell r="GE63">
            <v>0.41337263049654577</v>
          </cell>
          <cell r="GF63">
            <v>0.40525585251062379</v>
          </cell>
        </row>
        <row r="64">
          <cell r="A64" t="str">
            <v>Y/Y ∆ bps</v>
          </cell>
          <cell r="O64">
            <v>104.79345102586468</v>
          </cell>
          <cell r="P64">
            <v>35.009128791123615</v>
          </cell>
          <cell r="Q64">
            <v>45.328884998543927</v>
          </cell>
          <cell r="R64">
            <v>25.177356604123013</v>
          </cell>
          <cell r="S64">
            <v>-9.1194473809946821</v>
          </cell>
          <cell r="T64">
            <v>-100.33243241092448</v>
          </cell>
          <cell r="U64">
            <v>95.568976277485291</v>
          </cell>
          <cell r="V64">
            <v>34.901330131114626</v>
          </cell>
          <cell r="W64">
            <v>28.964745997560048</v>
          </cell>
          <cell r="X64">
            <v>-3.4576296829119668</v>
          </cell>
          <cell r="Y64">
            <v>-11.916206169559906</v>
          </cell>
          <cell r="Z64">
            <v>-18.329059676766569</v>
          </cell>
          <cell r="AA64">
            <v>-71.756543201453297</v>
          </cell>
          <cell r="AB64">
            <v>54.339437729014065</v>
          </cell>
          <cell r="AC64">
            <v>46.420108599313778</v>
          </cell>
          <cell r="AD64">
            <v>-31.346270638396014</v>
          </cell>
          <cell r="AE64">
            <v>12.793329120628915</v>
          </cell>
          <cell r="AF64">
            <v>30.000000000000583</v>
          </cell>
          <cell r="AG64">
            <v>14.999999999999458</v>
          </cell>
          <cell r="AH64">
            <v>-10.000000000000009</v>
          </cell>
          <cell r="AI64">
            <v>-20.000000000000018</v>
          </cell>
          <cell r="AJ64">
            <v>-5.5511151231257827E-13</v>
          </cell>
          <cell r="AK64">
            <v>1.1102230246251565E-12</v>
          </cell>
          <cell r="AL64">
            <v>-1.1102230246251565E-12</v>
          </cell>
          <cell r="AN64" t="str">
            <v>Y/Y ∆ bps</v>
          </cell>
          <cell r="DH64">
            <v>15.93898684578765</v>
          </cell>
          <cell r="DI64">
            <v>-117.67955568685595</v>
          </cell>
          <cell r="DJ64">
            <v>-136.38321134153642</v>
          </cell>
          <cell r="DK64">
            <v>-98.101162583517649</v>
          </cell>
          <cell r="DL64">
            <v>-88.619777564034607</v>
          </cell>
          <cell r="DN64">
            <v>-45.666520904030783</v>
          </cell>
          <cell r="DO64">
            <v>-194.42110066806129</v>
          </cell>
          <cell r="DP64">
            <v>-72.789320103938124</v>
          </cell>
          <cell r="DQ64">
            <v>-110.85779392628447</v>
          </cell>
          <cell r="DR64">
            <v>-100.33243241092448</v>
          </cell>
          <cell r="DT64">
            <v>50.661021846639677</v>
          </cell>
          <cell r="DU64">
            <v>217.38329464647597</v>
          </cell>
          <cell r="DV64">
            <v>70.297220114107219</v>
          </cell>
          <cell r="DW64">
            <v>54.389898973264962</v>
          </cell>
          <cell r="DX64">
            <v>95.568976277485291</v>
          </cell>
          <cell r="DZ64">
            <v>-65.301967480486113</v>
          </cell>
          <cell r="EA64">
            <v>-13.379084187653545</v>
          </cell>
          <cell r="EB64">
            <v>72.431144526366452</v>
          </cell>
          <cell r="EC64">
            <v>108.1085835962986</v>
          </cell>
          <cell r="ED64">
            <v>34.901330131114626</v>
          </cell>
          <cell r="EF64">
            <v>114.24328407393602</v>
          </cell>
          <cell r="EG64">
            <v>38.21453321638468</v>
          </cell>
          <cell r="EH64">
            <v>20.973865065123665</v>
          </cell>
          <cell r="EI64">
            <v>-2.8780860379967743</v>
          </cell>
          <cell r="EJ64">
            <v>28.964745997560048</v>
          </cell>
          <cell r="EK64" t="str">
            <v>Y/Y ∆ bps</v>
          </cell>
          <cell r="EL64">
            <v>-7.3660308458828316</v>
          </cell>
          <cell r="EM64">
            <v>-9.3664518697944565</v>
          </cell>
          <cell r="EN64">
            <v>15.108744917044504</v>
          </cell>
          <cell r="EO64">
            <v>-9.2642324469754946</v>
          </cell>
          <cell r="EP64">
            <v>-3.4576296829119668</v>
          </cell>
          <cell r="ER64">
            <v>-139.97738886292632</v>
          </cell>
          <cell r="ES64">
            <v>79.908342056138622</v>
          </cell>
          <cell r="ET64">
            <v>-6.2033726308408088</v>
          </cell>
          <cell r="EU64">
            <v>5.9414249625339144</v>
          </cell>
          <cell r="EV64">
            <v>-11.916206169559906</v>
          </cell>
          <cell r="EX64">
            <v>97.103999740256185</v>
          </cell>
          <cell r="EY64">
            <v>-163.98169554058094</v>
          </cell>
          <cell r="EZ64">
            <v>-101.69861296223215</v>
          </cell>
          <cell r="FA64">
            <v>63.218337796286939</v>
          </cell>
          <cell r="FB64">
            <v>-18.329059676766569</v>
          </cell>
          <cell r="FD64">
            <v>-117.86151205476824</v>
          </cell>
          <cell r="FE64">
            <v>100.4420955299623</v>
          </cell>
          <cell r="FF64">
            <v>18.760138584778542</v>
          </cell>
          <cell r="FG64">
            <v>-222.58833186213522</v>
          </cell>
          <cell r="FH64">
            <v>-71.756543201453297</v>
          </cell>
          <cell r="FJ64">
            <v>-63.717056086883275</v>
          </cell>
          <cell r="FK64">
            <v>-46.127632932633219</v>
          </cell>
          <cell r="FL64">
            <v>32.76796449469488</v>
          </cell>
          <cell r="FM64">
            <v>217.73908399327803</v>
          </cell>
          <cell r="FN64">
            <v>54.339437729014065</v>
          </cell>
          <cell r="FP64">
            <v>140.55220178839866</v>
          </cell>
          <cell r="FQ64">
            <v>93.236708620035856</v>
          </cell>
          <cell r="FR64">
            <v>12.879189811180192</v>
          </cell>
          <cell r="FS64">
            <v>-24.029174116709239</v>
          </cell>
          <cell r="FT64">
            <v>46.420108599313778</v>
          </cell>
          <cell r="FV64">
            <v>-29.03919862267179</v>
          </cell>
          <cell r="FW64">
            <v>-16.257938490480406</v>
          </cell>
          <cell r="FX64">
            <v>-49.323610142729123</v>
          </cell>
          <cell r="FY64">
            <v>-33.075008945261388</v>
          </cell>
          <cell r="FZ64">
            <v>-31.346270638396014</v>
          </cell>
          <cell r="GB64">
            <v>-26.585211844263878</v>
          </cell>
          <cell r="GC64">
            <v>10.122801825093175</v>
          </cell>
          <cell r="GD64">
            <v>15.000000000000014</v>
          </cell>
          <cell r="GE64">
            <v>38.127955584439931</v>
          </cell>
          <cell r="GF64">
            <v>12.793329120628915</v>
          </cell>
        </row>
        <row r="65">
          <cell r="A65" t="str">
            <v>SG&amp;A Expense</v>
          </cell>
          <cell r="K65">
            <v>0.33637419260664891</v>
          </cell>
          <cell r="L65">
            <v>0.31608245843666333</v>
          </cell>
          <cell r="N65">
            <v>0.33618448063500755</v>
          </cell>
          <cell r="O65">
            <v>0.33182768152093306</v>
          </cell>
          <cell r="P65">
            <v>0.30742444152431014</v>
          </cell>
          <cell r="Q65">
            <v>0.30536934591604298</v>
          </cell>
          <cell r="R65">
            <v>0.29696175681577142</v>
          </cell>
          <cell r="S65">
            <v>0.29522779180189929</v>
          </cell>
          <cell r="T65">
            <v>0.30446626544187522</v>
          </cell>
          <cell r="U65">
            <v>0.31057735534005521</v>
          </cell>
          <cell r="V65">
            <v>0.31384635349078638</v>
          </cell>
          <cell r="W65">
            <v>0.31256338742393508</v>
          </cell>
          <cell r="X65">
            <v>0.311746315319339</v>
          </cell>
          <cell r="Y65">
            <v>0.32176492398961809</v>
          </cell>
          <cell r="Z65">
            <v>0.32508645916467144</v>
          </cell>
          <cell r="AA65">
            <v>0.33978788365739998</v>
          </cell>
          <cell r="AB65">
            <v>0.34161958568738232</v>
          </cell>
          <cell r="AC65">
            <v>0.33036035675718911</v>
          </cell>
          <cell r="AD65">
            <v>0.31361484567316794</v>
          </cell>
          <cell r="AE65">
            <v>0.30881156325452847</v>
          </cell>
          <cell r="AF65">
            <v>0.31031156325452852</v>
          </cell>
          <cell r="AG65">
            <v>0.30931156325452847</v>
          </cell>
          <cell r="AH65">
            <v>0.30831156325452846</v>
          </cell>
          <cell r="AI65">
            <v>0.30731156325452846</v>
          </cell>
          <cell r="AJ65">
            <v>0.30631156325452846</v>
          </cell>
          <cell r="AK65">
            <v>0.30531156325452846</v>
          </cell>
          <cell r="AL65">
            <v>0.30431156325452846</v>
          </cell>
          <cell r="AN65" t="str">
            <v>SG&amp;A Expense</v>
          </cell>
          <cell r="AO65">
            <v>0.38279428592985676</v>
          </cell>
          <cell r="AP65">
            <v>0.40410711991673287</v>
          </cell>
          <cell r="AQ65">
            <v>0.37126236401073487</v>
          </cell>
          <cell r="AR65">
            <v>0.32336892031185249</v>
          </cell>
          <cell r="AS65">
            <v>0.3657015145513508</v>
          </cell>
          <cell r="AU65">
            <v>0.37521706468919974</v>
          </cell>
          <cell r="AV65">
            <v>0.39432108323421872</v>
          </cell>
          <cell r="AW65">
            <v>0.36519669659038179</v>
          </cell>
          <cell r="AX65">
            <v>0.305193369130284</v>
          </cell>
          <cell r="AY65">
            <v>0.3553106224277201</v>
          </cell>
          <cell r="BA65">
            <v>0.35769529803540817</v>
          </cell>
          <cell r="BB65">
            <v>0.38275487712151696</v>
          </cell>
          <cell r="BC65">
            <v>0.34365233528884026</v>
          </cell>
          <cell r="BD65">
            <v>0.30324335842280281</v>
          </cell>
          <cell r="BE65">
            <v>0.34190736900208624</v>
          </cell>
          <cell r="BG65">
            <v>0.34938333944344918</v>
          </cell>
          <cell r="BH65">
            <v>0.35957752441609064</v>
          </cell>
          <cell r="BI65">
            <v>0.33788405060036941</v>
          </cell>
          <cell r="BJ65">
            <v>0.2756778999669442</v>
          </cell>
          <cell r="BK65">
            <v>0.32472183745109906</v>
          </cell>
          <cell r="BM65">
            <v>0.32781678621167598</v>
          </cell>
          <cell r="BN65">
            <v>0.3350610863980954</v>
          </cell>
          <cell r="BO65">
            <v>0.31739646493610429</v>
          </cell>
          <cell r="BP65">
            <v>0.25271490575617306</v>
          </cell>
          <cell r="BQ65">
            <v>0.30205046346554137</v>
          </cell>
          <cell r="BS65">
            <v>0.37287950987066032</v>
          </cell>
          <cell r="BT65">
            <v>0.36983212774669039</v>
          </cell>
          <cell r="BU65">
            <v>0.35274378094613129</v>
          </cell>
          <cell r="BV65">
            <v>0.27829695765719514</v>
          </cell>
          <cell r="BW65">
            <v>0.33637419260664891</v>
          </cell>
          <cell r="BY65">
            <v>0.35808462232003552</v>
          </cell>
          <cell r="BZ65">
            <v>0.35047161142106986</v>
          </cell>
          <cell r="CA65">
            <v>0.33217510097410313</v>
          </cell>
          <cell r="CB65">
            <v>0.40589440694310513</v>
          </cell>
          <cell r="CC65">
            <v>0.3403293539136622</v>
          </cell>
          <cell r="CD65">
            <v>0.25475148504158118</v>
          </cell>
          <cell r="CE65">
            <v>0.25352903189044429</v>
          </cell>
          <cell r="CF65">
            <v>0.31608245843666333</v>
          </cell>
          <cell r="CG65">
            <v>0.31297957813593175</v>
          </cell>
          <cell r="CH65">
            <v>0.31554074717338931</v>
          </cell>
          <cell r="CJ65">
            <v>0.34933953403823437</v>
          </cell>
          <cell r="CK65">
            <v>0.33919204147824084</v>
          </cell>
          <cell r="CL65">
            <v>0.32906076447959459</v>
          </cell>
          <cell r="CM65">
            <v>0.25497829376133824</v>
          </cell>
          <cell r="CN65">
            <v>0.31114796907013276</v>
          </cell>
          <cell r="CP65">
            <v>0.34442201748207951</v>
          </cell>
          <cell r="CQ65">
            <v>0.33082958930198975</v>
          </cell>
          <cell r="CR65">
            <v>0.31802141646798049</v>
          </cell>
          <cell r="CS65">
            <v>0.24483628438557536</v>
          </cell>
          <cell r="CT65">
            <v>0.30295286435450097</v>
          </cell>
          <cell r="CV65">
            <v>0.34375930890676198</v>
          </cell>
          <cell r="CW65">
            <v>0.33333333333333331</v>
          </cell>
          <cell r="CX65">
            <v>0.32299887260428412</v>
          </cell>
          <cell r="CY65">
            <v>0.24831148192292413</v>
          </cell>
          <cell r="CZ65">
            <v>0.30536934591604298</v>
          </cell>
          <cell r="DB65">
            <v>0.33361111111111114</v>
          </cell>
          <cell r="DC65">
            <v>0.34173739390913632</v>
          </cell>
          <cell r="DD65">
            <v>0.33381677544114091</v>
          </cell>
          <cell r="DE65">
            <v>0.27138791227189019</v>
          </cell>
          <cell r="DF65">
            <v>0.31451794987581849</v>
          </cell>
          <cell r="DH65">
            <v>0.32241813602015112</v>
          </cell>
          <cell r="DI65">
            <v>0.30008154389779834</v>
          </cell>
          <cell r="DJ65">
            <v>0.3220518244315177</v>
          </cell>
          <cell r="DK65">
            <v>0.25660242683797285</v>
          </cell>
          <cell r="DL65">
            <v>0.29522779180189929</v>
          </cell>
          <cell r="DN65">
            <v>0.32845894263217096</v>
          </cell>
          <cell r="DO65">
            <v>0.31708715596330272</v>
          </cell>
          <cell r="DP65">
            <v>0.34100719424460429</v>
          </cell>
          <cell r="DQ65">
            <v>0.25038971161340606</v>
          </cell>
          <cell r="DR65">
            <v>0.30446626544187522</v>
          </cell>
          <cell r="DT65">
            <v>0.33420214306400231</v>
          </cell>
          <cell r="DU65">
            <v>0.32558806655192196</v>
          </cell>
          <cell r="DV65">
            <v>0.3388904857717735</v>
          </cell>
          <cell r="DW65">
            <v>0.25931831771975283</v>
          </cell>
          <cell r="DX65">
            <v>0.31057735534005521</v>
          </cell>
          <cell r="DZ65">
            <v>0.34487997569127926</v>
          </cell>
          <cell r="EA65">
            <v>0.33051834595224228</v>
          </cell>
          <cell r="EB65">
            <v>0.34222604704532417</v>
          </cell>
          <cell r="EC65">
            <v>0.25766871165644173</v>
          </cell>
          <cell r="ED65">
            <v>0.31384635349078638</v>
          </cell>
          <cell r="EF65">
            <v>0.33661971830985915</v>
          </cell>
          <cell r="EG65">
            <v>0.33705668807595646</v>
          </cell>
          <cell r="EH65">
            <v>0.3424113475177305</v>
          </cell>
          <cell r="EI65">
            <v>0.25820312499999998</v>
          </cell>
          <cell r="EJ65">
            <v>0.31256338742393508</v>
          </cell>
          <cell r="EK65" t="str">
            <v>SG&amp;A Expense</v>
          </cell>
          <cell r="EL65">
            <v>0.33315023345234823</v>
          </cell>
          <cell r="EM65">
            <v>0.33287330941208942</v>
          </cell>
          <cell r="EN65">
            <v>0.35517551755175519</v>
          </cell>
          <cell r="EO65">
            <v>0.27040016717166443</v>
          </cell>
          <cell r="EP65">
            <v>0.311746315319339</v>
          </cell>
          <cell r="ER65">
            <v>0.36323777403035412</v>
          </cell>
          <cell r="ES65">
            <v>0.35312760633861551</v>
          </cell>
          <cell r="ET65">
            <v>0.35575942915392456</v>
          </cell>
          <cell r="EU65">
            <v>0.25253848673435964</v>
          </cell>
          <cell r="EV65">
            <v>0.32176492398961809</v>
          </cell>
          <cell r="EX65">
            <v>0.35686539435906095</v>
          </cell>
          <cell r="EY65">
            <v>0.34589273591310249</v>
          </cell>
          <cell r="EZ65">
            <v>0.35912631222485608</v>
          </cell>
          <cell r="FA65">
            <v>0.2655340935536421</v>
          </cell>
          <cell r="FB65">
            <v>0.32508645916467144</v>
          </cell>
          <cell r="FD65">
            <v>0.36192796241517311</v>
          </cell>
          <cell r="FE65">
            <v>0.35624344176285416</v>
          </cell>
          <cell r="FF65">
            <v>0.37957400327689789</v>
          </cell>
          <cell r="FG65">
            <v>0.28434585328963952</v>
          </cell>
          <cell r="FH65">
            <v>0.33978788365739998</v>
          </cell>
          <cell r="FJ65">
            <v>0.37537821482602118</v>
          </cell>
          <cell r="FK65">
            <v>0.35685903500473037</v>
          </cell>
          <cell r="FL65">
            <v>0.38180129990714951</v>
          </cell>
          <cell r="FM65">
            <v>0.28171853345092607</v>
          </cell>
          <cell r="FN65">
            <v>0.34161958568738232</v>
          </cell>
          <cell r="FP65">
            <v>0.35755292429135271</v>
          </cell>
          <cell r="FQ65">
            <v>0.3527180783817952</v>
          </cell>
          <cell r="FR65">
            <v>0.36795304997332384</v>
          </cell>
          <cell r="FS65">
            <v>0.27149594872415045</v>
          </cell>
          <cell r="FT65">
            <v>0.33036035675718911</v>
          </cell>
          <cell r="FV65">
            <v>0.33503141450161317</v>
          </cell>
          <cell r="FW65">
            <v>0.33271594544536115</v>
          </cell>
          <cell r="FX65">
            <v>0.34478045446779432</v>
          </cell>
          <cell r="FY65">
            <v>0.26524530032095367</v>
          </cell>
          <cell r="FZ65">
            <v>0.31361484567316794</v>
          </cell>
          <cell r="GB65">
            <v>0.32475988930489991</v>
          </cell>
          <cell r="GC65">
            <v>0.32837528604118993</v>
          </cell>
          <cell r="GD65">
            <v>0.34960818019307516</v>
          </cell>
          <cell r="GE65">
            <v>0.25913958182743124</v>
          </cell>
          <cell r="GF65">
            <v>0.30881156325452847</v>
          </cell>
        </row>
        <row r="66">
          <cell r="A66" t="str">
            <v>Y/Y ∆ bps</v>
          </cell>
          <cell r="O66">
            <v>-43.567991140744944</v>
          </cell>
          <cell r="P66">
            <v>-244.03239996622915</v>
          </cell>
          <cell r="Q66">
            <v>-20.550956082671657</v>
          </cell>
          <cell r="R66">
            <v>-84.075891002715622</v>
          </cell>
          <cell r="S66">
            <v>-17.339650138721296</v>
          </cell>
          <cell r="T66">
            <v>92.384736399759305</v>
          </cell>
          <cell r="U66">
            <v>61.110898981799892</v>
          </cell>
          <cell r="V66">
            <v>32.689981507311728</v>
          </cell>
          <cell r="W66">
            <v>-12.829660668512988</v>
          </cell>
          <cell r="X66">
            <v>-8.170721045960839</v>
          </cell>
          <cell r="Y66">
            <v>100.18608670279094</v>
          </cell>
          <cell r="Z66">
            <v>33.215351750533472</v>
          </cell>
          <cell r="AA66">
            <v>147.01424492728543</v>
          </cell>
          <cell r="AB66">
            <v>18.317020299823405</v>
          </cell>
          <cell r="AC66">
            <v>-112.5922893019321</v>
          </cell>
          <cell r="AD66">
            <v>-167.45511084021169</v>
          </cell>
          <cell r="AE66">
            <v>-48.032824186394762</v>
          </cell>
          <cell r="AF66">
            <v>15.000000000000568</v>
          </cell>
          <cell r="AG66">
            <v>-10.000000000000565</v>
          </cell>
          <cell r="AH66">
            <v>-10.000000000000009</v>
          </cell>
          <cell r="AI66">
            <v>-10.000000000000009</v>
          </cell>
          <cell r="AJ66">
            <v>-10.000000000000009</v>
          </cell>
          <cell r="AK66">
            <v>-10.000000000000009</v>
          </cell>
          <cell r="AL66">
            <v>-10.000000000000009</v>
          </cell>
          <cell r="AN66" t="str">
            <v>Y/Y ∆ bps</v>
          </cell>
          <cell r="DH66">
            <v>-111.92975090960012</v>
          </cell>
          <cell r="DI66">
            <v>-416.55850011337981</v>
          </cell>
          <cell r="DJ66">
            <v>-117.64951009623215</v>
          </cell>
          <cell r="DK66">
            <v>-147.85485433917333</v>
          </cell>
          <cell r="DL66">
            <v>-192.90158073919207</v>
          </cell>
          <cell r="DN66">
            <v>60.408066120198335</v>
          </cell>
          <cell r="DO66">
            <v>170.05612065504383</v>
          </cell>
          <cell r="DP66">
            <v>189.55369813086597</v>
          </cell>
          <cell r="DQ66">
            <v>-62.127152245667894</v>
          </cell>
          <cell r="DR66">
            <v>92.384736399759305</v>
          </cell>
          <cell r="DT66">
            <v>57.432004318313524</v>
          </cell>
          <cell r="DU66">
            <v>85.009105886192373</v>
          </cell>
          <cell r="DV66">
            <v>-21.167084728307973</v>
          </cell>
          <cell r="DW66">
            <v>89.286061063467699</v>
          </cell>
          <cell r="DX66">
            <v>61.110898981799892</v>
          </cell>
          <cell r="DZ66">
            <v>106.7783262727695</v>
          </cell>
          <cell r="EA66">
            <v>49.302794003203147</v>
          </cell>
          <cell r="EB66">
            <v>33.355612735506689</v>
          </cell>
          <cell r="EC66">
            <v>-16.496060633111043</v>
          </cell>
          <cell r="ED66">
            <v>32.689981507311728</v>
          </cell>
          <cell r="EF66">
            <v>-82.602573814201108</v>
          </cell>
          <cell r="EG66">
            <v>65.383421237141803</v>
          </cell>
          <cell r="EH66">
            <v>1.8530047240633563</v>
          </cell>
          <cell r="EI66">
            <v>5.3441334355824877</v>
          </cell>
          <cell r="EJ66">
            <v>-12.829660668512988</v>
          </cell>
          <cell r="EK66" t="str">
            <v>Y/Y ∆ bps</v>
          </cell>
          <cell r="EL66">
            <v>-34.694848575109184</v>
          </cell>
          <cell r="EM66">
            <v>-41.833786638670325</v>
          </cell>
          <cell r="EN66">
            <v>127.64170034024691</v>
          </cell>
          <cell r="EO66">
            <v>121.97042171664452</v>
          </cell>
          <cell r="EP66">
            <v>-8.170721045960839</v>
          </cell>
          <cell r="ER66">
            <v>300.87540578005888</v>
          </cell>
          <cell r="ES66">
            <v>202.54296926526084</v>
          </cell>
          <cell r="ET66">
            <v>5.8391160216936244</v>
          </cell>
          <cell r="EU66">
            <v>-178.61680437304796</v>
          </cell>
          <cell r="EV66">
            <v>100.18608670279094</v>
          </cell>
          <cell r="EX66">
            <v>-63.723796712931716</v>
          </cell>
          <cell r="EY66">
            <v>-72.348704255130187</v>
          </cell>
          <cell r="EZ66">
            <v>33.668830709315259</v>
          </cell>
          <cell r="FA66">
            <v>129.95606819282469</v>
          </cell>
          <cell r="FB66">
            <v>33.215351750533472</v>
          </cell>
          <cell r="FD66">
            <v>50.625680561121598</v>
          </cell>
          <cell r="FE66">
            <v>103.50705849751674</v>
          </cell>
          <cell r="FF66">
            <v>204.47691052041804</v>
          </cell>
          <cell r="FG66">
            <v>188.11759735997413</v>
          </cell>
          <cell r="FH66">
            <v>147.01424492728543</v>
          </cell>
          <cell r="FJ66">
            <v>134.50252410848074</v>
          </cell>
          <cell r="FK66">
            <v>6.1559324187621112</v>
          </cell>
          <cell r="FL66">
            <v>22.272966302516185</v>
          </cell>
          <cell r="FM66">
            <v>-26.273198387134489</v>
          </cell>
          <cell r="FN66">
            <v>18.317020299823405</v>
          </cell>
          <cell r="FP66">
            <v>-178.25290534668468</v>
          </cell>
          <cell r="FQ66">
            <v>-41.409566229351768</v>
          </cell>
          <cell r="FR66">
            <v>-138.48249933825662</v>
          </cell>
          <cell r="FS66">
            <v>-102.22584726775619</v>
          </cell>
          <cell r="FT66">
            <v>-112.5922893019321</v>
          </cell>
          <cell r="FV66">
            <v>-225.21509789739548</v>
          </cell>
          <cell r="FW66">
            <v>-200.02132936434046</v>
          </cell>
          <cell r="FX66">
            <v>-231.72595505529526</v>
          </cell>
          <cell r="FY66">
            <v>-62.506484031967787</v>
          </cell>
          <cell r="FZ66">
            <v>-167.45511084021169</v>
          </cell>
          <cell r="GB66">
            <v>-102.7152519671326</v>
          </cell>
          <cell r="GC66">
            <v>-43.406594041712211</v>
          </cell>
          <cell r="GD66">
            <v>48.277257252808404</v>
          </cell>
          <cell r="GE66">
            <v>-61.057184935224271</v>
          </cell>
          <cell r="GF66">
            <v>-48.032824186394762</v>
          </cell>
        </row>
        <row r="67">
          <cell r="A67" t="str">
            <v xml:space="preserve">     1H &amp; 2H</v>
          </cell>
          <cell r="AN67" t="str">
            <v xml:space="preserve">     1H &amp; 2H</v>
          </cell>
          <cell r="EK67" t="str">
            <v xml:space="preserve">     1H &amp; 2H</v>
          </cell>
          <cell r="EL67">
            <v>0.33301211453744495</v>
          </cell>
          <cell r="EN67">
            <v>0.3015337828903874</v>
          </cell>
          <cell r="ER67">
            <v>0.35815513626834383</v>
          </cell>
          <cell r="ET67">
            <v>0.2929212362911266</v>
          </cell>
        </row>
        <row r="68">
          <cell r="A68" t="str">
            <v>EBITDA</v>
          </cell>
          <cell r="K68">
            <v>9.0053716746341619E-2</v>
          </cell>
          <cell r="L68">
            <v>0.10498588587511638</v>
          </cell>
          <cell r="N68">
            <v>7.9375940878609552E-2</v>
          </cell>
          <cell r="O68">
            <v>9.6136991842513314E-2</v>
          </cell>
          <cell r="P68">
            <v>0.12687253613666227</v>
          </cell>
          <cell r="Q68">
            <v>0.13530751708428246</v>
          </cell>
          <cell r="R68">
            <v>0.14710836608646827</v>
          </cell>
          <cell r="S68">
            <v>0.14557038105541531</v>
          </cell>
          <cell r="T68">
            <v>0.13082039911308205</v>
          </cell>
          <cell r="U68">
            <v>0.13428809967246805</v>
          </cell>
          <cell r="V68">
            <v>0.13690630677394239</v>
          </cell>
          <cell r="W68">
            <v>0.14173427991886409</v>
          </cell>
          <cell r="X68">
            <v>0.13916927199642698</v>
          </cell>
          <cell r="Y68">
            <v>0.13118279569892474</v>
          </cell>
          <cell r="Z68">
            <v>0.12868164025386691</v>
          </cell>
          <cell r="AA68">
            <v>0.10858910493331191</v>
          </cell>
          <cell r="AB68">
            <v>0.11148775894538607</v>
          </cell>
          <cell r="AC68">
            <v>0.1227452705675319</v>
          </cell>
          <cell r="AD68">
            <v>0.13145237644385532</v>
          </cell>
          <cell r="AE68">
            <v>0.13464669259900278</v>
          </cell>
          <cell r="AF68">
            <v>0.13614669259900275</v>
          </cell>
          <cell r="AG68">
            <v>0.13864669259900278</v>
          </cell>
          <cell r="AH68">
            <v>0.13864669259900272</v>
          </cell>
          <cell r="AI68">
            <v>0.13764669259900278</v>
          </cell>
          <cell r="AJ68">
            <v>0.13864669259900272</v>
          </cell>
          <cell r="AK68">
            <v>0.13964669259900278</v>
          </cell>
          <cell r="AL68">
            <v>0.14064669259900264</v>
          </cell>
          <cell r="AN68" t="str">
            <v>EBITDA</v>
          </cell>
          <cell r="AO68">
            <v>0</v>
          </cell>
          <cell r="AP68">
            <v>0</v>
          </cell>
          <cell r="AQ68">
            <v>0</v>
          </cell>
          <cell r="AR68">
            <v>0</v>
          </cell>
          <cell r="AS68">
            <v>0</v>
          </cell>
          <cell r="AU68">
            <v>6.7943208911152742E-2</v>
          </cell>
          <cell r="AV68">
            <v>4.9845461419508498E-2</v>
          </cell>
          <cell r="AW68">
            <v>6.8649383434148642E-2</v>
          </cell>
          <cell r="AX68">
            <v>0.10669880895486035</v>
          </cell>
          <cell r="AY68">
            <v>7.6144172739787269E-2</v>
          </cell>
          <cell r="BA68">
            <v>9.0037958270080251E-2</v>
          </cell>
          <cell r="BB68">
            <v>6.1182587022341257E-2</v>
          </cell>
          <cell r="BC68">
            <v>9.4692741333676139E-2</v>
          </cell>
          <cell r="BD68">
            <v>0.11869075585821284</v>
          </cell>
          <cell r="BE68">
            <v>9.4429600472659303E-2</v>
          </cell>
          <cell r="BG68">
            <v>9.0051997819223198E-2</v>
          </cell>
          <cell r="BH68">
            <v>7.8816445315412209E-2</v>
          </cell>
          <cell r="BI68">
            <v>9.2409106278100797E-2</v>
          </cell>
          <cell r="BJ68">
            <v>0.13352806166785364</v>
          </cell>
          <cell r="BK68">
            <v>0.10241823463781106</v>
          </cell>
          <cell r="BM68">
            <v>0.10189758174586723</v>
          </cell>
          <cell r="BN68">
            <v>9.2698452477914833E-2</v>
          </cell>
          <cell r="BO68">
            <v>0.10149360783180084</v>
          </cell>
          <cell r="BP68">
            <v>0.15033732592895513</v>
          </cell>
          <cell r="BQ68">
            <v>0.11579794529390085</v>
          </cell>
          <cell r="BS68">
            <v>6.7008509189925111E-2</v>
          </cell>
          <cell r="BT68">
            <v>5.9258905418315827E-2</v>
          </cell>
          <cell r="BU68">
            <v>7.7574121577283314E-2</v>
          </cell>
          <cell r="BV68">
            <v>0.13465078904488742</v>
          </cell>
          <cell r="BW68">
            <v>9.0053716746341619E-2</v>
          </cell>
          <cell r="BY68">
            <v>7.0664182066568715E-2</v>
          </cell>
          <cell r="BZ68">
            <v>7.784640630127998E-2</v>
          </cell>
          <cell r="CA68">
            <v>9.2753683184901944E-2</v>
          </cell>
          <cell r="CB68">
            <v>0</v>
          </cell>
          <cell r="CC68">
            <v>7.4262165757960283E-2</v>
          </cell>
          <cell r="CD68">
            <v>0.15499146776109726</v>
          </cell>
          <cell r="CE68">
            <v>0.14389713004995339</v>
          </cell>
          <cell r="CF68">
            <v>0.10498588587511638</v>
          </cell>
          <cell r="CG68">
            <v>0.1039617221767631</v>
          </cell>
          <cell r="CH68">
            <v>9.8270069431402887E-2</v>
          </cell>
          <cell r="CJ68">
            <v>8.0683491380616187E-2</v>
          </cell>
          <cell r="CK68">
            <v>9.3772722234875303E-2</v>
          </cell>
          <cell r="CL68">
            <v>0.10165612493585756</v>
          </cell>
          <cell r="CM68">
            <v>0.15770796896418993</v>
          </cell>
          <cell r="CN68">
            <v>0.11394209245313917</v>
          </cell>
          <cell r="CP68">
            <v>8.6164904368935924E-2</v>
          </cell>
          <cell r="CQ68">
            <v>0.10346704108428201</v>
          </cell>
          <cell r="CR68">
            <v>0.11096806535343365</v>
          </cell>
          <cell r="CS68">
            <v>0.17081762552479032</v>
          </cell>
          <cell r="CT68">
            <v>0.12324697133935045</v>
          </cell>
          <cell r="CV68">
            <v>0.10008936550491511</v>
          </cell>
          <cell r="CW68">
            <v>0.1234676007005254</v>
          </cell>
          <cell r="CX68">
            <v>0.11668545659526494</v>
          </cell>
          <cell r="CY68">
            <v>0.1799761620977354</v>
          </cell>
          <cell r="CZ68">
            <v>0.13530751708428246</v>
          </cell>
          <cell r="DB68">
            <v>0.11055555555555556</v>
          </cell>
          <cell r="DC68">
            <v>0.12606090863704444</v>
          </cell>
          <cell r="DD68">
            <v>0.11916847957457094</v>
          </cell>
          <cell r="DE68">
            <v>0.17461911937050059</v>
          </cell>
          <cell r="DF68">
            <v>0.13767216075863625</v>
          </cell>
          <cell r="DH68">
            <v>0.12426532325776658</v>
          </cell>
          <cell r="DI68">
            <v>0.15656428377276435</v>
          </cell>
          <cell r="DJ68">
            <v>0.11792702273929138</v>
          </cell>
          <cell r="DK68">
            <v>0.17790863668807994</v>
          </cell>
          <cell r="DL68">
            <v>0.14557038105541531</v>
          </cell>
          <cell r="DN68">
            <v>0.11220472440944881</v>
          </cell>
          <cell r="DO68">
            <v>0.12098623853211009</v>
          </cell>
          <cell r="DP68">
            <v>9.4964028776978418E-2</v>
          </cell>
          <cell r="DQ68">
            <v>0.17809820732657833</v>
          </cell>
          <cell r="DR68">
            <v>0.13082039911308205</v>
          </cell>
          <cell r="DT68">
            <v>0.11178685201274255</v>
          </cell>
          <cell r="DU68">
            <v>0.13425129087779691</v>
          </cell>
          <cell r="DV68">
            <v>0.10204081632653061</v>
          </cell>
          <cell r="DW68">
            <v>0.17580227227426748</v>
          </cell>
          <cell r="DX68">
            <v>0.13428809967246805</v>
          </cell>
          <cell r="DZ68">
            <v>0.10148890914615619</v>
          </cell>
          <cell r="EA68">
            <v>0.13016889924286545</v>
          </cell>
          <cell r="EB68">
            <v>0.10843373493975904</v>
          </cell>
          <cell r="EC68">
            <v>0.18820502671680189</v>
          </cell>
          <cell r="ED68">
            <v>0.13690630677394239</v>
          </cell>
          <cell r="EF68">
            <v>0.11633802816901409</v>
          </cell>
          <cell r="EG68">
            <v>0.12678022898631666</v>
          </cell>
          <cell r="EH68">
            <v>0.11035460992907802</v>
          </cell>
          <cell r="EI68">
            <v>0.19140625</v>
          </cell>
          <cell r="EJ68">
            <v>0.14173427991886409</v>
          </cell>
          <cell r="EK68" t="str">
            <v>EBITDA</v>
          </cell>
          <cell r="EL68">
            <v>0.11782477341389729</v>
          </cell>
          <cell r="EM68">
            <v>0.12945073143803479</v>
          </cell>
          <cell r="EN68">
            <v>0.10171017101710171</v>
          </cell>
          <cell r="EO68">
            <v>0.17270922578622924</v>
          </cell>
          <cell r="EP68">
            <v>0.13916927199642698</v>
          </cell>
          <cell r="ER68">
            <v>7.8414839797639121E-2</v>
          </cell>
          <cell r="ES68">
            <v>0.12043369474562135</v>
          </cell>
          <cell r="ET68">
            <v>0.10091743119266056</v>
          </cell>
          <cell r="EU68">
            <v>0.19183316955999563</v>
          </cell>
          <cell r="EV68">
            <v>0.13118279569892474</v>
          </cell>
          <cell r="EX68">
            <v>9.6774193548387094E-2</v>
          </cell>
          <cell r="EY68">
            <v>0.11439239646978955</v>
          </cell>
          <cell r="EZ68">
            <v>8.8215374195733151E-2</v>
          </cell>
          <cell r="FA68">
            <v>0.18827088666511518</v>
          </cell>
          <cell r="FB68">
            <v>0.12868164025386691</v>
          </cell>
          <cell r="FD68">
            <v>7.9171741778319121E-2</v>
          </cell>
          <cell r="FE68">
            <v>0.1136761105281567</v>
          </cell>
          <cell r="FF68">
            <v>7.3548152193701075E-2</v>
          </cell>
          <cell r="FG68">
            <v>0.15049155533148476</v>
          </cell>
          <cell r="FH68">
            <v>0.10858910493331191</v>
          </cell>
          <cell r="FJ68">
            <v>6.1838124054462935E-2</v>
          </cell>
          <cell r="FK68">
            <v>0.11031220435193945</v>
          </cell>
          <cell r="FL68">
            <v>7.2237697307335189E-2</v>
          </cell>
          <cell r="FM68">
            <v>0.17197933728108858</v>
          </cell>
          <cell r="FN68">
            <v>0.11148775894538607</v>
          </cell>
          <cell r="FP68">
            <v>8.7908144958737E-2</v>
          </cell>
          <cell r="FQ68">
            <v>0.11883691529709228</v>
          </cell>
          <cell r="FR68">
            <v>8.3051751733949852E-2</v>
          </cell>
          <cell r="FS68">
            <v>0.17583746523158786</v>
          </cell>
          <cell r="FT68">
            <v>0.1227452705675319</v>
          </cell>
          <cell r="FV68">
            <v>0.10154525386313466</v>
          </cell>
          <cell r="FW68">
            <v>0.13032497053375988</v>
          </cell>
          <cell r="FX68">
            <v>9.7898513582778068E-2</v>
          </cell>
          <cell r="FY68">
            <v>0.17491976157725814</v>
          </cell>
          <cell r="FZ68">
            <v>0.13145237644385532</v>
          </cell>
          <cell r="GB68">
            <v>0.10532313202018558</v>
          </cell>
          <cell r="GC68">
            <v>0.13255966001961425</v>
          </cell>
          <cell r="GD68">
            <v>9.1769984292360302E-2</v>
          </cell>
          <cell r="GE68">
            <v>0.18302341955100002</v>
          </cell>
          <cell r="GF68">
            <v>0.13464669259900278</v>
          </cell>
        </row>
        <row r="69">
          <cell r="A69" t="str">
            <v>Operating Income</v>
          </cell>
          <cell r="K69">
            <v>4.9834032770134616E-2</v>
          </cell>
          <cell r="L69">
            <v>7.1056478359746725E-2</v>
          </cell>
          <cell r="N69">
            <v>4.5367455864239771E-2</v>
          </cell>
          <cell r="O69">
            <v>6.0203600080900692E-2</v>
          </cell>
          <cell r="P69">
            <v>8.8107752956636004E-2</v>
          </cell>
          <cell r="Q69">
            <v>9.4695737064757562E-2</v>
          </cell>
          <cell r="R69">
            <v>0.10562106182544138</v>
          </cell>
          <cell r="S69">
            <v>0.10644308210121409</v>
          </cell>
          <cell r="T69">
            <v>8.7171365220145708E-2</v>
          </cell>
          <cell r="U69">
            <v>9.0617172949714206E-2</v>
          </cell>
          <cell r="V69">
            <v>9.0838307812094468E-2</v>
          </cell>
          <cell r="W69">
            <v>9.5017748478701827E-2</v>
          </cell>
          <cell r="X69">
            <v>9.5489057615006701E-2</v>
          </cell>
          <cell r="Y69">
            <v>8.4278828327771602E-2</v>
          </cell>
          <cell r="Z69">
            <v>7.9124387185041611E-2</v>
          </cell>
          <cell r="AA69">
            <v>5.7247308372167766E-2</v>
          </cell>
          <cell r="AB69">
            <v>6.0849550115086838E-2</v>
          </cell>
          <cell r="AC69">
            <v>7.6750789905211378E-2</v>
          </cell>
          <cell r="AD69">
            <v>9.0361673925392919E-2</v>
          </cell>
          <cell r="AE69">
            <v>9.644428925609537E-2</v>
          </cell>
          <cell r="AF69">
            <v>9.7944289256095343E-2</v>
          </cell>
          <cell r="AG69">
            <v>0.10044428925609535</v>
          </cell>
          <cell r="AH69">
            <v>0.10044428925609533</v>
          </cell>
          <cell r="AI69">
            <v>9.9444289256095372E-2</v>
          </cell>
          <cell r="AJ69">
            <v>0.10044428925609532</v>
          </cell>
          <cell r="AK69">
            <v>0.10144428925609536</v>
          </cell>
          <cell r="AL69">
            <v>0.10244428925609525</v>
          </cell>
          <cell r="AN69" t="str">
            <v>Operating Income</v>
          </cell>
          <cell r="AO69">
            <v>1.6629151314714041E-2</v>
          </cell>
          <cell r="AP69">
            <v>-2.6258248715992489E-2</v>
          </cell>
          <cell r="AQ69">
            <v>2.3944635033584606E-2</v>
          </cell>
          <cell r="AR69">
            <v>4.7141382083007131E-2</v>
          </cell>
          <cell r="AS69">
            <v>1.8926536229503767E-2</v>
          </cell>
          <cell r="AU69">
            <v>2.6057176423778111E-2</v>
          </cell>
          <cell r="AV69">
            <v>5.6888115137426025E-3</v>
          </cell>
          <cell r="AW69">
            <v>3.1170325255822338E-2</v>
          </cell>
          <cell r="AX69">
            <v>7.6689812862537954E-2</v>
          </cell>
          <cell r="AY69">
            <v>3.8511188817947503E-2</v>
          </cell>
          <cell r="BA69">
            <v>5.3864986645255068E-2</v>
          </cell>
          <cell r="BB69">
            <v>2.1736713669665054E-2</v>
          </cell>
          <cell r="BC69">
            <v>6.1917365627611451E-2</v>
          </cell>
          <cell r="BD69">
            <v>9.3424602062388007E-2</v>
          </cell>
          <cell r="BE69">
            <v>6.1926222266541493E-2</v>
          </cell>
          <cell r="BG69">
            <v>5.4570356149532914E-2</v>
          </cell>
          <cell r="BH69">
            <v>4.1293680040045563E-2</v>
          </cell>
          <cell r="BI69">
            <v>6.0012909968339807E-2</v>
          </cell>
          <cell r="BJ69">
            <v>0.10838774480904291</v>
          </cell>
          <cell r="BK69">
            <v>7.0634157218449081E-2</v>
          </cell>
          <cell r="BM69">
            <v>6.5678497802714245E-2</v>
          </cell>
          <cell r="BN69">
            <v>5.424096234571759E-2</v>
          </cell>
          <cell r="BO69">
            <v>6.8868716236309635E-2</v>
          </cell>
          <cell r="BP69">
            <v>0.12375861094812787</v>
          </cell>
          <cell r="BQ69">
            <v>8.3179489215472066E-2</v>
          </cell>
          <cell r="BS69">
            <v>2.0592579986385289E-2</v>
          </cell>
          <cell r="BT69">
            <v>1.0944452026750382E-2</v>
          </cell>
          <cell r="BU69">
            <v>3.7008590347789791E-2</v>
          </cell>
          <cell r="BV69">
            <v>0.10404879355371534</v>
          </cell>
          <cell r="BW69">
            <v>4.9834032770134616E-2</v>
          </cell>
          <cell r="BY69">
            <v>3.2090631678785023E-2</v>
          </cell>
          <cell r="BZ69">
            <v>3.8135214965539906E-2</v>
          </cell>
          <cell r="CA69">
            <v>5.5975831011468857E-2</v>
          </cell>
          <cell r="CB69">
            <v>-0.10252169720347212</v>
          </cell>
          <cell r="CC69">
            <v>3.8446588369501468E-2</v>
          </cell>
          <cell r="CD69">
            <v>0.12873290852143857</v>
          </cell>
          <cell r="CE69">
            <v>0.11884822123876988</v>
          </cell>
          <cell r="CF69">
            <v>7.1056478359746725E-2</v>
          </cell>
          <cell r="CG69">
            <v>7.0004484251611696E-2</v>
          </cell>
          <cell r="CH69">
            <v>6.524885245670671E-2</v>
          </cell>
          <cell r="CJ69">
            <v>4.0290544429969356E-2</v>
          </cell>
          <cell r="CK69">
            <v>5.3184797157810007E-2</v>
          </cell>
          <cell r="CL69">
            <v>6.4174702727624475E-2</v>
          </cell>
          <cell r="CM69">
            <v>0.13159811859403786</v>
          </cell>
          <cell r="CN69">
            <v>7.8919319505097951E-2</v>
          </cell>
          <cell r="CP69">
            <v>4.3430932175175192E-2</v>
          </cell>
          <cell r="CQ69">
            <v>6.1358381779115137E-2</v>
          </cell>
          <cell r="CR69">
            <v>7.1527298042109028E-2</v>
          </cell>
          <cell r="CS69">
            <v>0.14088688875907193</v>
          </cell>
          <cell r="CT69">
            <v>8.5573034287292751E-2</v>
          </cell>
          <cell r="CV69">
            <v>5.391718796544534E-2</v>
          </cell>
          <cell r="CW69">
            <v>7.7933450087565678E-2</v>
          </cell>
          <cell r="CX69">
            <v>7.243517474633597E-2</v>
          </cell>
          <cell r="CY69">
            <v>0.14898688915375446</v>
          </cell>
          <cell r="CZ69">
            <v>9.4695737064757562E-2</v>
          </cell>
          <cell r="DB69">
            <v>6.25E-2</v>
          </cell>
          <cell r="DC69">
            <v>7.9380928607089368E-2</v>
          </cell>
          <cell r="DD69">
            <v>7.29997582789461E-2</v>
          </cell>
          <cell r="DE69">
            <v>0.14331156872593337</v>
          </cell>
          <cell r="DF69">
            <v>9.6014901783698356E-2</v>
          </cell>
          <cell r="DH69">
            <v>7.5286873775538762E-2</v>
          </cell>
          <cell r="DI69">
            <v>0.10926882304974178</v>
          </cell>
          <cell r="DJ69">
            <v>7.112638815441566E-2</v>
          </cell>
          <cell r="DK69">
            <v>0.14828693790149894</v>
          </cell>
          <cell r="DL69">
            <v>0.10644308210121409</v>
          </cell>
          <cell r="DN69">
            <v>6.4679415073115865E-2</v>
          </cell>
          <cell r="DO69">
            <v>7.2821100917431186E-2</v>
          </cell>
          <cell r="DP69">
            <v>4.4892086330935249E-2</v>
          </cell>
          <cell r="DQ69">
            <v>0.14341387373343725</v>
          </cell>
          <cell r="DR69">
            <v>8.7171365220145708E-2</v>
          </cell>
          <cell r="DT69">
            <v>6.4002316825948452E-2</v>
          </cell>
          <cell r="DU69">
            <v>8.6058519793459548E-2</v>
          </cell>
          <cell r="DV69">
            <v>5.4038516815176775E-2</v>
          </cell>
          <cell r="DW69">
            <v>0.13992425752441698</v>
          </cell>
          <cell r="DX69">
            <v>9.0617172949714206E-2</v>
          </cell>
          <cell r="DZ69">
            <v>4.6794287450622911E-2</v>
          </cell>
          <cell r="EA69">
            <v>7.9790331974373907E-2</v>
          </cell>
          <cell r="EB69">
            <v>5.7946069994262765E-2</v>
          </cell>
          <cell r="EC69">
            <v>0.152384721947358</v>
          </cell>
          <cell r="ED69">
            <v>9.0838307812094468E-2</v>
          </cell>
          <cell r="EF69">
            <v>6.6478873239436617E-2</v>
          </cell>
          <cell r="EG69">
            <v>7.7073443172298237E-2</v>
          </cell>
          <cell r="EH69">
            <v>5.9858156028368796E-2</v>
          </cell>
          <cell r="EI69">
            <v>0.15156249999999999</v>
          </cell>
          <cell r="EJ69">
            <v>9.5017748478701827E-2</v>
          </cell>
          <cell r="EK69" t="str">
            <v>Operating Income</v>
          </cell>
          <cell r="EL69">
            <v>6.9211755012359238E-2</v>
          </cell>
          <cell r="EM69">
            <v>8.0320176649185754E-2</v>
          </cell>
          <cell r="EN69">
            <v>4.8604860486048604E-2</v>
          </cell>
          <cell r="EO69">
            <v>0.13843903458363807</v>
          </cell>
          <cell r="EP69">
            <v>9.5489057615006701E-2</v>
          </cell>
          <cell r="ER69">
            <v>2.5126475548060707E-2</v>
          </cell>
          <cell r="ES69">
            <v>6.805671392827356E-2</v>
          </cell>
          <cell r="ET69">
            <v>4.7400611620795105E-2</v>
          </cell>
          <cell r="EU69">
            <v>0.1568948575171962</v>
          </cell>
          <cell r="EV69">
            <v>8.4278828327771602E-2</v>
          </cell>
          <cell r="EX69">
            <v>4.12092551933795E-2</v>
          </cell>
          <cell r="EY69">
            <v>5.8893414799728448E-2</v>
          </cell>
          <cell r="EZ69">
            <v>3.3863867253640365E-2</v>
          </cell>
          <cell r="FA69">
            <v>0.15022108447754248</v>
          </cell>
          <cell r="FB69">
            <v>7.9124387185041611E-2</v>
          </cell>
          <cell r="FD69">
            <v>2.4360535931790498E-2</v>
          </cell>
          <cell r="FE69">
            <v>5.8586918502973068E-2</v>
          </cell>
          <cell r="FF69">
            <v>1.5292190060076462E-2</v>
          </cell>
          <cell r="FG69">
            <v>0.10915049155533149</v>
          </cell>
          <cell r="FH69">
            <v>5.7247308372167766E-2</v>
          </cell>
          <cell r="FJ69">
            <v>4.5385779122541605E-3</v>
          </cell>
          <cell r="FK69">
            <v>5.3358561967833493E-2</v>
          </cell>
          <cell r="FL69">
            <v>1.6341689879294335E-2</v>
          </cell>
          <cell r="FM69">
            <v>0.1335517197933728</v>
          </cell>
          <cell r="FN69">
            <v>6.0849550115086838E-2</v>
          </cell>
          <cell r="FP69">
            <v>3.6419088625762472E-2</v>
          </cell>
          <cell r="FQ69">
            <v>6.6823189452772255E-2</v>
          </cell>
          <cell r="FR69">
            <v>3.1477858794237951E-2</v>
          </cell>
          <cell r="FS69">
            <v>0.14137138710847744</v>
          </cell>
          <cell r="FT69">
            <v>7.6750789905211378E-2</v>
          </cell>
          <cell r="FV69">
            <v>5.6036678553234846E-2</v>
          </cell>
          <cell r="FW69">
            <v>8.5199528540158276E-2</v>
          </cell>
          <cell r="FX69">
            <v>4.9718093285494619E-2</v>
          </cell>
          <cell r="FY69">
            <v>0.1443145346171481</v>
          </cell>
          <cell r="FZ69">
            <v>9.0361673925392919E-2</v>
          </cell>
          <cell r="GB69">
            <v>6.3649682565521726E-2</v>
          </cell>
          <cell r="GC69">
            <v>9.0552468126838842E-2</v>
          </cell>
          <cell r="GD69">
            <v>4.6390367560213731E-2</v>
          </cell>
          <cell r="GE69">
            <v>0.15423304866911453</v>
          </cell>
          <cell r="GF69">
            <v>9.644428925609537E-2</v>
          </cell>
        </row>
        <row r="70">
          <cell r="A70" t="str">
            <v>Y/Y ∆ bps</v>
          </cell>
          <cell r="O70">
            <v>148.36144216660921</v>
          </cell>
          <cell r="P70">
            <v>279.04152875735315</v>
          </cell>
          <cell r="Q70">
            <v>65.879841081215588</v>
          </cell>
          <cell r="R70">
            <v>109.25324760683822</v>
          </cell>
          <cell r="S70">
            <v>8.22020275772703</v>
          </cell>
          <cell r="T70">
            <v>-192.7171688106838</v>
          </cell>
          <cell r="U70">
            <v>34.45807729568498</v>
          </cell>
          <cell r="V70">
            <v>2.2113486238026225</v>
          </cell>
          <cell r="W70">
            <v>41.794406666073591</v>
          </cell>
          <cell r="X70">
            <v>4.7130913630487328</v>
          </cell>
          <cell r="Y70">
            <v>-112.10229287235099</v>
          </cell>
          <cell r="Z70">
            <v>-51.544411427299899</v>
          </cell>
          <cell r="AA70">
            <v>-218.77078812873845</v>
          </cell>
          <cell r="AB70">
            <v>36.022417429190725</v>
          </cell>
          <cell r="AC70">
            <v>159.01239790124541</v>
          </cell>
          <cell r="AD70">
            <v>136.10884020181541</v>
          </cell>
          <cell r="AE70">
            <v>60.826153307024512</v>
          </cell>
          <cell r="AF70">
            <v>14.999999999999735</v>
          </cell>
          <cell r="AG70">
            <v>25.000000000000021</v>
          </cell>
          <cell r="AH70">
            <v>-1.3877787807814457E-13</v>
          </cell>
          <cell r="AI70">
            <v>-9.9999999999995932</v>
          </cell>
          <cell r="AJ70">
            <v>9.9999999999994529</v>
          </cell>
          <cell r="AK70">
            <v>10.000000000000425</v>
          </cell>
          <cell r="AL70">
            <v>9.9999999999988987</v>
          </cell>
          <cell r="AN70" t="str">
            <v>Y/Y ∆ bps</v>
          </cell>
          <cell r="DH70">
            <v>127.86873775538763</v>
          </cell>
          <cell r="DI70">
            <v>298.87894442652413</v>
          </cell>
          <cell r="DJ70">
            <v>-18.733701245304406</v>
          </cell>
          <cell r="DK70">
            <v>49.753691755655694</v>
          </cell>
          <cell r="DL70">
            <v>104.28180317515731</v>
          </cell>
          <cell r="DN70">
            <v>-106.07458702422898</v>
          </cell>
          <cell r="DO70">
            <v>-364.47722132310594</v>
          </cell>
          <cell r="DP70">
            <v>-262.34301823480411</v>
          </cell>
          <cell r="DQ70">
            <v>-48.730641680616863</v>
          </cell>
          <cell r="DR70">
            <v>-192.7171688106838</v>
          </cell>
          <cell r="DT70">
            <v>-6.7709824716741256</v>
          </cell>
          <cell r="DU70">
            <v>132.37418876028363</v>
          </cell>
          <cell r="DV70">
            <v>91.46430484241526</v>
          </cell>
          <cell r="DW70">
            <v>-34.896162090202743</v>
          </cell>
          <cell r="DX70">
            <v>34.45807729568498</v>
          </cell>
          <cell r="DZ70">
            <v>-172.0802937532554</v>
          </cell>
          <cell r="EA70">
            <v>-62.681878190856409</v>
          </cell>
          <cell r="EB70">
            <v>39.075531790859905</v>
          </cell>
          <cell r="EC70">
            <v>124.6046442294102</v>
          </cell>
          <cell r="ED70">
            <v>2.2113486238026225</v>
          </cell>
          <cell r="EF70">
            <v>196.84585788813706</v>
          </cell>
          <cell r="EG70">
            <v>-27.168888020756704</v>
          </cell>
          <cell r="EH70">
            <v>19.120860341060308</v>
          </cell>
          <cell r="EI70">
            <v>-8.2222194735800951</v>
          </cell>
          <cell r="EJ70">
            <v>41.794406666073591</v>
          </cell>
          <cell r="EK70" t="str">
            <v>Y/Y ∆ bps</v>
          </cell>
          <cell r="EL70">
            <v>27.328817729226213</v>
          </cell>
          <cell r="EM70">
            <v>32.467334768875169</v>
          </cell>
          <cell r="EN70">
            <v>-112.53295542320193</v>
          </cell>
          <cell r="EO70">
            <v>-131.23465416361918</v>
          </cell>
          <cell r="EP70">
            <v>4.7130913630487328</v>
          </cell>
          <cell r="ER70">
            <v>-440.85279464298537</v>
          </cell>
          <cell r="ES70">
            <v>-122.63462720912194</v>
          </cell>
          <cell r="ET70">
            <v>-12.042488652534988</v>
          </cell>
          <cell r="EU70">
            <v>184.5582293355813</v>
          </cell>
          <cell r="EV70">
            <v>-112.10229287235099</v>
          </cell>
          <cell r="EX70">
            <v>160.82779645318794</v>
          </cell>
          <cell r="EY70">
            <v>-91.632991285451112</v>
          </cell>
          <cell r="EZ70">
            <v>-135.36744367154739</v>
          </cell>
          <cell r="FA70">
            <v>-66.737730396537188</v>
          </cell>
          <cell r="FB70">
            <v>-51.544411427299899</v>
          </cell>
          <cell r="FD70">
            <v>-168.48719261589002</v>
          </cell>
          <cell r="FE70">
            <v>-3.0649629675538055</v>
          </cell>
          <cell r="FF70">
            <v>-185.71677193563903</v>
          </cell>
          <cell r="FG70">
            <v>-410.70592922210989</v>
          </cell>
          <cell r="FH70">
            <v>-218.77078812873845</v>
          </cell>
          <cell r="FJ70">
            <v>-198.21958019536339</v>
          </cell>
          <cell r="FK70">
            <v>-52.283565351395751</v>
          </cell>
          <cell r="FL70">
            <v>10.494998192178731</v>
          </cell>
          <cell r="FM70">
            <v>244.01228238041307</v>
          </cell>
          <cell r="FN70">
            <v>36.022417429190725</v>
          </cell>
          <cell r="FP70">
            <v>318.80510713508306</v>
          </cell>
          <cell r="FQ70">
            <v>134.64627484938762</v>
          </cell>
          <cell r="FR70">
            <v>151.36168914943616</v>
          </cell>
          <cell r="FS70">
            <v>78.196673151046397</v>
          </cell>
          <cell r="FT70">
            <v>159.01239790124541</v>
          </cell>
          <cell r="FV70">
            <v>196.17589927472375</v>
          </cell>
          <cell r="FW70">
            <v>183.7633908738602</v>
          </cell>
          <cell r="FX70">
            <v>182.40234491256669</v>
          </cell>
          <cell r="FY70">
            <v>29.431475086706683</v>
          </cell>
          <cell r="FZ70">
            <v>136.10884020181541</v>
          </cell>
          <cell r="GB70">
            <v>76.130040122868792</v>
          </cell>
          <cell r="GC70">
            <v>53.529395866805665</v>
          </cell>
          <cell r="GD70">
            <v>-33.277257252808873</v>
          </cell>
          <cell r="GE70">
            <v>99.185140519664202</v>
          </cell>
          <cell r="GF70">
            <v>60.826153307024512</v>
          </cell>
        </row>
        <row r="71">
          <cell r="A71" t="str">
            <v>Interest Expense, net</v>
          </cell>
          <cell r="K71">
            <v>3.2697149947086085E-2</v>
          </cell>
          <cell r="L71">
            <v>2.9523074454598411E-2</v>
          </cell>
          <cell r="N71">
            <v>3.1545093745723278E-2</v>
          </cell>
          <cell r="O71">
            <v>3.0472594889772803E-2</v>
          </cell>
          <cell r="P71">
            <v>2.5164257555847568E-2</v>
          </cell>
          <cell r="Q71">
            <v>1.9004230393752035E-2</v>
          </cell>
          <cell r="R71">
            <v>1.9152785576143239E-2</v>
          </cell>
          <cell r="S71">
            <v>1.9293184276956366E-2</v>
          </cell>
          <cell r="T71">
            <v>2.0525815647766867E-2</v>
          </cell>
          <cell r="U71">
            <v>1.8945475563547622E-2</v>
          </cell>
          <cell r="V71">
            <v>1.6675317934077342E-2</v>
          </cell>
          <cell r="W71">
            <v>1.4262170385395538E-2</v>
          </cell>
          <cell r="X71">
            <v>1.7731129968736044E-2</v>
          </cell>
          <cell r="Y71">
            <v>1.7093066370040787E-2</v>
          </cell>
          <cell r="Z71">
            <v>2.0636187435868203E-2</v>
          </cell>
          <cell r="AA71">
            <v>2.2497187851518559E-2</v>
          </cell>
          <cell r="AB71">
            <v>2.3268466206319314E-2</v>
          </cell>
          <cell r="AC71">
            <v>2.2957245130584329E-2</v>
          </cell>
          <cell r="AD71">
            <v>1.677712554440447E-2</v>
          </cell>
          <cell r="AE71">
            <v>1.5811449048425012E-2</v>
          </cell>
          <cell r="AF71">
            <v>1.5432439405946033E-2</v>
          </cell>
          <cell r="AG71">
            <v>1.1551362026190394E-2</v>
          </cell>
          <cell r="AH71">
            <v>1.1247354128091228E-2</v>
          </cell>
          <cell r="AI71">
            <v>8.8517788743727871E-3</v>
          </cell>
          <cell r="AJ71">
            <v>7.3060870294808875E-3</v>
          </cell>
          <cell r="AK71">
            <v>6.4151370536479606E-3</v>
          </cell>
          <cell r="AL71">
            <v>6.1009977063129633E-3</v>
          </cell>
          <cell r="AN71" t="str">
            <v>Interest Expense, net</v>
          </cell>
          <cell r="AO71">
            <v>9.4412937137683436E-2</v>
          </cell>
          <cell r="AP71">
            <v>8.9822192159361131E-2</v>
          </cell>
          <cell r="AQ71">
            <v>7.6101932466374367E-2</v>
          </cell>
          <cell r="AR71">
            <v>5.9439345690775844E-2</v>
          </cell>
          <cell r="AS71">
            <v>7.7841406231294583E-2</v>
          </cell>
          <cell r="AU71">
            <v>7.2724750991421602E-2</v>
          </cell>
          <cell r="AV71">
            <v>7.3799442818719529E-2</v>
          </cell>
          <cell r="AW71">
            <v>6.4135371212258638E-2</v>
          </cell>
          <cell r="AX71">
            <v>4.7384105029377857E-2</v>
          </cell>
          <cell r="AY71">
            <v>6.303759937325483E-2</v>
          </cell>
          <cell r="BA71">
            <v>3.6447192449574548E-2</v>
          </cell>
          <cell r="BB71">
            <v>3.4143281828587738E-2</v>
          </cell>
          <cell r="BC71">
            <v>2.4557775026342047E-2</v>
          </cell>
          <cell r="BD71">
            <v>2.0725558102914272E-2</v>
          </cell>
          <cell r="BE71">
            <v>2.7945713106931256E-2</v>
          </cell>
          <cell r="BG71">
            <v>2.7210661911047193E-2</v>
          </cell>
          <cell r="BH71">
            <v>2.6805113267229716E-2</v>
          </cell>
          <cell r="BI71">
            <v>2.2350452547483253E-2</v>
          </cell>
          <cell r="BJ71">
            <v>1.729722637786555E-2</v>
          </cell>
          <cell r="BK71">
            <v>2.2704354963602815E-2</v>
          </cell>
          <cell r="BM71">
            <v>2.7417845940236968E-2</v>
          </cell>
          <cell r="BN71">
            <v>3.0510619635361193E-2</v>
          </cell>
          <cell r="BO71">
            <v>2.6461339487889576E-2</v>
          </cell>
          <cell r="BP71">
            <v>2.1503910610110491E-2</v>
          </cell>
          <cell r="BQ71">
            <v>2.587720988333796E-2</v>
          </cell>
          <cell r="BS71">
            <v>3.5071477195371001E-2</v>
          </cell>
          <cell r="BT71">
            <v>3.7450525453801002E-2</v>
          </cell>
          <cell r="BU71">
            <v>3.4075046232774568E-2</v>
          </cell>
          <cell r="BV71">
            <v>2.6999397334880916E-2</v>
          </cell>
          <cell r="BW71">
            <v>3.2697149947086085E-2</v>
          </cell>
          <cell r="BY71">
            <v>3.2647859475516454E-2</v>
          </cell>
          <cell r="BZ71">
            <v>3.3874630784378072E-2</v>
          </cell>
          <cell r="CA71">
            <v>3.1383267217194519E-2</v>
          </cell>
          <cell r="CB71">
            <v>6.1890067502410759E-2</v>
          </cell>
          <cell r="CC71">
            <v>3.4758851116312182E-2</v>
          </cell>
          <cell r="CD71">
            <v>2.3302732476509342E-2</v>
          </cell>
          <cell r="CE71">
            <v>2.4686318828467779E-2</v>
          </cell>
          <cell r="CF71">
            <v>2.9523074454598411E-2</v>
          </cell>
          <cell r="CG71">
            <v>2.9750774835216397E-2</v>
          </cell>
          <cell r="CH71">
            <v>3.0636684676753432E-2</v>
          </cell>
          <cell r="CJ71">
            <v>3.4017329657345413E-2</v>
          </cell>
          <cell r="CK71">
            <v>3.5202793472316786E-2</v>
          </cell>
          <cell r="CL71">
            <v>3.140935201327294E-2</v>
          </cell>
          <cell r="CM71">
            <v>2.1948147333105857E-2</v>
          </cell>
          <cell r="CN71">
            <v>2.966465240014567E-2</v>
          </cell>
          <cell r="CP71">
            <v>3.0617252516873267E-2</v>
          </cell>
          <cell r="CQ71">
            <v>2.8748310443407421E-2</v>
          </cell>
          <cell r="CR71">
            <v>2.4525155114038584E-2</v>
          </cell>
          <cell r="CS71">
            <v>1.7188736384699484E-2</v>
          </cell>
          <cell r="CT71">
            <v>2.4412010687558432E-2</v>
          </cell>
          <cell r="CV71">
            <v>2.2937146261543043E-2</v>
          </cell>
          <cell r="CW71">
            <v>2.1599532983070636E-2</v>
          </cell>
          <cell r="CX71">
            <v>2.0293122886133032E-2</v>
          </cell>
          <cell r="CY71">
            <v>1.3706793802145411E-2</v>
          </cell>
          <cell r="CZ71">
            <v>1.9004230393752035E-2</v>
          </cell>
          <cell r="DB71">
            <v>2.0833333333333332E-2</v>
          </cell>
          <cell r="DC71">
            <v>2.1218172740888667E-2</v>
          </cell>
          <cell r="DD71">
            <v>2.1996615905245348E-2</v>
          </cell>
          <cell r="DE71">
            <v>1.7411685919973212E-2</v>
          </cell>
          <cell r="DF71">
            <v>2.003838338225333E-2</v>
          </cell>
          <cell r="DH71">
            <v>1.9311502938706968E-2</v>
          </cell>
          <cell r="DI71">
            <v>2.1201413427561839E-2</v>
          </cell>
          <cell r="DJ71">
            <v>2.2210470650449499E-2</v>
          </cell>
          <cell r="DK71">
            <v>1.6059957173447537E-2</v>
          </cell>
          <cell r="DL71">
            <v>1.9293184276956366E-2</v>
          </cell>
          <cell r="DN71">
            <v>2.1934758155230598E-2</v>
          </cell>
          <cell r="DO71">
            <v>2.2362385321100919E-2</v>
          </cell>
          <cell r="DP71">
            <v>2.302158273381295E-2</v>
          </cell>
          <cell r="DQ71">
            <v>1.7147310989867499E-2</v>
          </cell>
          <cell r="DR71">
            <v>2.0525815647766867E-2</v>
          </cell>
          <cell r="DT71">
            <v>2.143064002316826E-2</v>
          </cell>
          <cell r="DU71">
            <v>2.2375215146299483E-2</v>
          </cell>
          <cell r="DV71">
            <v>2.0983041103765449E-2</v>
          </cell>
          <cell r="DW71">
            <v>1.3952561291608531E-2</v>
          </cell>
          <cell r="DX71">
            <v>1.8945475563547622E-2</v>
          </cell>
          <cell r="DZ71">
            <v>2.127013065937405E-2</v>
          </cell>
          <cell r="EA71">
            <v>1.8928363424577752E-2</v>
          </cell>
          <cell r="EB71">
            <v>1.7498565691336777E-2</v>
          </cell>
          <cell r="EC71">
            <v>1.2072036414011479E-2</v>
          </cell>
          <cell r="ED71">
            <v>1.6675317934077342E-2</v>
          </cell>
          <cell r="EF71">
            <v>1.6901408450704224E-2</v>
          </cell>
          <cell r="EG71">
            <v>1.6755096341803964E-2</v>
          </cell>
          <cell r="EH71">
            <v>1.5602836879432624E-2</v>
          </cell>
          <cell r="EI71">
            <v>9.765625E-3</v>
          </cell>
          <cell r="EJ71">
            <v>1.4262170385395538E-2</v>
          </cell>
          <cell r="EK71" t="str">
            <v>Interest Expense, net</v>
          </cell>
          <cell r="EL71">
            <v>1.4831090359791266E-2</v>
          </cell>
          <cell r="EM71">
            <v>1.4904775048302512E-2</v>
          </cell>
          <cell r="EN71">
            <v>2.6102610261026102E-2</v>
          </cell>
          <cell r="EO71">
            <v>1.5045449796259535E-2</v>
          </cell>
          <cell r="EP71">
            <v>1.7731129968736044E-2</v>
          </cell>
          <cell r="ER71">
            <v>2.3271500843170319E-2</v>
          </cell>
          <cell r="ES71">
            <v>1.9349457881567972E-2</v>
          </cell>
          <cell r="ET71">
            <v>1.7669045191980971E-2</v>
          </cell>
          <cell r="EU71">
            <v>1.1245769188776067E-2</v>
          </cell>
          <cell r="EV71">
            <v>1.7093066370040787E-2</v>
          </cell>
          <cell r="EX71">
            <v>2.1111298767100151E-2</v>
          </cell>
          <cell r="EY71">
            <v>2.3251866938221316E-2</v>
          </cell>
          <cell r="EZ71">
            <v>2.4551303758889264E-2</v>
          </cell>
          <cell r="FA71">
            <v>1.5824994181987434E-2</v>
          </cell>
          <cell r="FB71">
            <v>2.0636187435868203E-2</v>
          </cell>
          <cell r="FD71">
            <v>2.3664520619453629E-2</v>
          </cell>
          <cell r="FE71">
            <v>2.4134312696747113E-2</v>
          </cell>
          <cell r="FF71">
            <v>2.60331330784635E-2</v>
          </cell>
          <cell r="FG71">
            <v>1.8023695487774136E-2</v>
          </cell>
          <cell r="FH71">
            <v>2.2497187851518559E-2</v>
          </cell>
          <cell r="FJ71">
            <v>2.6664145234493192E-2</v>
          </cell>
          <cell r="FK71">
            <v>2.6300851466414379E-2</v>
          </cell>
          <cell r="FL71">
            <v>2.544103992571959E-2</v>
          </cell>
          <cell r="FM71">
            <v>1.7512914199319642E-2</v>
          </cell>
          <cell r="FN71">
            <v>2.3268466206319314E-2</v>
          </cell>
          <cell r="FP71">
            <v>2.9063509149623249E-2</v>
          </cell>
          <cell r="FQ71">
            <v>2.3478417915838903E-2</v>
          </cell>
          <cell r="FR71">
            <v>2.9165925662457761E-2</v>
          </cell>
          <cell r="FS71">
            <v>1.4270165679042206E-2</v>
          </cell>
          <cell r="FT71">
            <v>2.2957245130584329E-2</v>
          </cell>
          <cell r="FV71">
            <v>1.9697741552046188E-2</v>
          </cell>
          <cell r="FW71">
            <v>1.869001515406634E-2</v>
          </cell>
          <cell r="FX71">
            <v>1.8452075858534086E-2</v>
          </cell>
          <cell r="FY71">
            <v>1.2379642365887207E-2</v>
          </cell>
          <cell r="FZ71">
            <v>1.677712554440447E-2</v>
          </cell>
          <cell r="GB71">
            <v>1.8232134136415432E-2</v>
          </cell>
          <cell r="GC71">
            <v>1.7162471395881007E-2</v>
          </cell>
          <cell r="GD71">
            <v>1.7615406893202082E-2</v>
          </cell>
          <cell r="GE71">
            <v>1.2172632499990378E-2</v>
          </cell>
          <cell r="GF71">
            <v>1.5811449048425012E-2</v>
          </cell>
        </row>
        <row r="72">
          <cell r="A72" t="str">
            <v>Pretax Income</v>
          </cell>
          <cell r="K72">
            <v>6.7361237820676165E-3</v>
          </cell>
          <cell r="L72">
            <v>2.1767271032489204E-2</v>
          </cell>
          <cell r="N72">
            <v>1.3822362118516491E-2</v>
          </cell>
          <cell r="O72">
            <v>2.9731005191127889E-2</v>
          </cell>
          <cell r="P72">
            <v>6.2943495400788432E-2</v>
          </cell>
          <cell r="Q72">
            <v>7.5691506671005535E-2</v>
          </cell>
          <cell r="R72">
            <v>8.6468276249298148E-2</v>
          </cell>
          <cell r="S72">
            <v>8.2341627599471084E-2</v>
          </cell>
          <cell r="T72">
            <v>4.9414000633512832E-2</v>
          </cell>
          <cell r="U72">
            <v>6.7304604713891214E-2</v>
          </cell>
          <cell r="V72">
            <v>7.0334804048793151E-2</v>
          </cell>
          <cell r="W72">
            <v>7.074036511156187E-2</v>
          </cell>
          <cell r="X72">
            <v>9.1290754801250554E-2</v>
          </cell>
          <cell r="Y72">
            <v>5.0982573229514272E-2</v>
          </cell>
          <cell r="Z72">
            <v>5.0165317523657507E-2</v>
          </cell>
          <cell r="AA72">
            <v>1.783705608227543E-2</v>
          </cell>
          <cell r="AB72">
            <v>2.1217827997489013E-2</v>
          </cell>
          <cell r="AC72">
            <v>5.2793664760228773E-2</v>
          </cell>
          <cell r="AD72">
            <v>7.4531338761598176E-2</v>
          </cell>
          <cell r="AE72">
            <v>8.063284020767035E-2</v>
          </cell>
          <cell r="AF72">
            <v>8.251184985014931E-2</v>
          </cell>
          <cell r="AG72">
            <v>8.8892927229904967E-2</v>
          </cell>
          <cell r="AH72">
            <v>8.9196935128004098E-2</v>
          </cell>
          <cell r="AI72">
            <v>9.0592510381722585E-2</v>
          </cell>
          <cell r="AJ72">
            <v>9.3138202226614425E-2</v>
          </cell>
          <cell r="AK72">
            <v>9.5029152202447398E-2</v>
          </cell>
          <cell r="AL72">
            <v>9.6343291549782287E-2</v>
          </cell>
          <cell r="AN72" t="str">
            <v>Pretax Income</v>
          </cell>
          <cell r="AO72">
            <v>-9.0163223218439878E-2</v>
          </cell>
          <cell r="AP72">
            <v>-0.12220487490266711</v>
          </cell>
          <cell r="AQ72">
            <v>-6.8728084842250486E-2</v>
          </cell>
          <cell r="AR72">
            <v>-4.2722085061616032E-2</v>
          </cell>
          <cell r="AS72">
            <v>-7.6701526732841571E-2</v>
          </cell>
          <cell r="AU72">
            <v>-5.3355708699343932E-2</v>
          </cell>
          <cell r="AV72">
            <v>-0.14065250514292904</v>
          </cell>
          <cell r="AW72">
            <v>-4.6809031067335062E-2</v>
          </cell>
          <cell r="AX72">
            <v>-0.69561674772520654</v>
          </cell>
          <cell r="AY72">
            <v>-0.27021375085956034</v>
          </cell>
          <cell r="BA72">
            <v>1.4618324059028203E-2</v>
          </cell>
          <cell r="BB72">
            <v>-1.5426032725505995E-2</v>
          </cell>
          <cell r="BC72">
            <v>3.1043089160492192E-2</v>
          </cell>
          <cell r="BD72">
            <v>7.7794891155674686E-2</v>
          </cell>
          <cell r="BE72">
            <v>3.2769623362680571E-2</v>
          </cell>
          <cell r="BG72">
            <v>2.4938704953092587E-2</v>
          </cell>
          <cell r="BH72">
            <v>1.204229814789173E-2</v>
          </cell>
          <cell r="BI72">
            <v>3.5217387659523307E-2</v>
          </cell>
          <cell r="BJ72">
            <v>0.10522273490933497</v>
          </cell>
          <cell r="BK72">
            <v>5.0872782632487255E-2</v>
          </cell>
          <cell r="BM72">
            <v>3.5115451996243524E-2</v>
          </cell>
          <cell r="BN72">
            <v>6.4325543512310261E-3</v>
          </cell>
          <cell r="BO72">
            <v>4.065577786300785E-2</v>
          </cell>
          <cell r="BP72">
            <v>0.11104631292387993</v>
          </cell>
          <cell r="BQ72">
            <v>5.5494424440059829E-2</v>
          </cell>
          <cell r="BS72">
            <v>-1.7950987066031328E-2</v>
          </cell>
          <cell r="BT72">
            <v>-2.984338747099767E-2</v>
          </cell>
          <cell r="BU72">
            <v>-2.2680904372725637E-2</v>
          </cell>
          <cell r="BV72">
            <v>6.8868998459855821E-2</v>
          </cell>
          <cell r="BW72">
            <v>6.7361237820676122E-3</v>
          </cell>
          <cell r="BY72">
            <v>-2.9032070216726567E-2</v>
          </cell>
          <cell r="BZ72">
            <v>-3.3351493272070855E-2</v>
          </cell>
          <cell r="CA72">
            <v>1.2893247034373114E-2</v>
          </cell>
          <cell r="CB72">
            <v>-0.16441176470588287</v>
          </cell>
          <cell r="CC72">
            <v>-6.752536903383885E-3</v>
          </cell>
          <cell r="CD72">
            <v>9.7221946214493968E-2</v>
          </cell>
          <cell r="CE72">
            <v>7.8835875325267243E-2</v>
          </cell>
          <cell r="CF72">
            <v>2.17672710324892E-2</v>
          </cell>
          <cell r="CG72">
            <v>1.8428552040484762E-2</v>
          </cell>
          <cell r="CH72">
            <v>1.3388614238720465E-2</v>
          </cell>
          <cell r="CJ72">
            <v>-1.7267246341685142E-2</v>
          </cell>
          <cell r="CK72">
            <v>-1.2136794400388754E-2</v>
          </cell>
          <cell r="CL72">
            <v>2.0489877389345192E-2</v>
          </cell>
          <cell r="CM72">
            <v>9.2227383028815668E-2</v>
          </cell>
          <cell r="CN72">
            <v>2.8987918734701083E-2</v>
          </cell>
          <cell r="CP72">
            <v>1.2813679658301928E-2</v>
          </cell>
          <cell r="CQ72">
            <v>3.2610071335707716E-2</v>
          </cell>
          <cell r="CR72">
            <v>4.7002142928070444E-2</v>
          </cell>
          <cell r="CS72">
            <v>0.12369815237437246</v>
          </cell>
          <cell r="CT72">
            <v>6.1161023599734327E-2</v>
          </cell>
          <cell r="CV72">
            <v>3.0980041703902294E-2</v>
          </cell>
          <cell r="CW72">
            <v>5.6333917104495035E-2</v>
          </cell>
          <cell r="CX72">
            <v>5.2142051860202931E-2</v>
          </cell>
          <cell r="CY72">
            <v>0.13528009535160906</v>
          </cell>
          <cell r="CZ72">
            <v>7.5691506671005535E-2</v>
          </cell>
          <cell r="DB72">
            <v>4.1666666666666664E-2</v>
          </cell>
          <cell r="DC72">
            <v>5.8162755866200698E-2</v>
          </cell>
          <cell r="DD72">
            <v>5.1003142373700752E-2</v>
          </cell>
          <cell r="DE72">
            <v>0.12589988280596015</v>
          </cell>
          <cell r="DF72">
            <v>7.5976518401445023E-2</v>
          </cell>
          <cell r="DH72">
            <v>5.5975370836831795E-2</v>
          </cell>
          <cell r="DI72">
            <v>8.8067409622179946E-2</v>
          </cell>
          <cell r="DJ72">
            <v>4.8915917503966157E-2</v>
          </cell>
          <cell r="DK72">
            <v>0.11795146324054247</v>
          </cell>
          <cell r="DL72">
            <v>8.2341627599471084E-2</v>
          </cell>
          <cell r="DN72">
            <v>2.81214848143982E-2</v>
          </cell>
          <cell r="DO72">
            <v>3.8704128440366969E-2</v>
          </cell>
          <cell r="DP72">
            <v>1.3237410071942447E-2</v>
          </cell>
          <cell r="DQ72">
            <v>9.7233047544816834E-2</v>
          </cell>
          <cell r="DR72">
            <v>4.9414000633512832E-2</v>
          </cell>
          <cell r="DT72">
            <v>4.2571676802780192E-2</v>
          </cell>
          <cell r="DU72">
            <v>6.3683304647160072E-2</v>
          </cell>
          <cell r="DV72">
            <v>3.3055475711411327E-2</v>
          </cell>
          <cell r="DW72">
            <v>0.1124177795495316</v>
          </cell>
          <cell r="DX72">
            <v>6.7304604713891214E-2</v>
          </cell>
          <cell r="DZ72">
            <v>2.3093284715891827E-2</v>
          </cell>
          <cell r="EA72">
            <v>5.7949912638322658E-2</v>
          </cell>
          <cell r="EB72">
            <v>3.2128514056224897E-2</v>
          </cell>
          <cell r="EC72">
            <v>0.13793785869780328</v>
          </cell>
          <cell r="ED72">
            <v>7.0334804048793151E-2</v>
          </cell>
          <cell r="EF72">
            <v>4.4225352112676058E-2</v>
          </cell>
          <cell r="EG72">
            <v>3.518570231778833E-2</v>
          </cell>
          <cell r="EH72">
            <v>3.4042553191489362E-2</v>
          </cell>
          <cell r="EI72">
            <v>0.13925781249999999</v>
          </cell>
          <cell r="EJ72">
            <v>7.074036511156187E-2</v>
          </cell>
          <cell r="EK72" t="str">
            <v>Pretax Income</v>
          </cell>
          <cell r="EL72">
            <v>5.4380664652567974E-2</v>
          </cell>
          <cell r="EM72">
            <v>6.5415401600883244E-2</v>
          </cell>
          <cell r="EN72">
            <v>9.7569756975697572E-2</v>
          </cell>
          <cell r="EO72">
            <v>0.11148260369867308</v>
          </cell>
          <cell r="EP72">
            <v>9.1290754801250554E-2</v>
          </cell>
          <cell r="ER72">
            <v>-1.9898819561551432E-2</v>
          </cell>
          <cell r="ES72">
            <v>5.104253544620517E-2</v>
          </cell>
          <cell r="ET72">
            <v>5.0968399592252805E-3</v>
          </cell>
          <cell r="EU72">
            <v>0.12632383447974671</v>
          </cell>
          <cell r="EV72">
            <v>5.0982573229514272E-2</v>
          </cell>
          <cell r="EX72">
            <v>1.4017902381354501E-2</v>
          </cell>
          <cell r="EY72">
            <v>1.9178547182620503E-2</v>
          </cell>
          <cell r="EZ72">
            <v>6.4341347781916693E-3</v>
          </cell>
          <cell r="FA72">
            <v>0.12636723295322319</v>
          </cell>
          <cell r="FB72">
            <v>5.0165317523657507E-2</v>
          </cell>
          <cell r="FD72">
            <v>-1.8444405776927093E-2</v>
          </cell>
          <cell r="FE72">
            <v>2.1161245190626093E-2</v>
          </cell>
          <cell r="FF72">
            <v>-1.3653741125068269E-2</v>
          </cell>
          <cell r="FG72">
            <v>6.3524073607259895E-2</v>
          </cell>
          <cell r="FH72">
            <v>1.783705608227543E-2</v>
          </cell>
          <cell r="FJ72">
            <v>-4.8222390317700453E-2</v>
          </cell>
          <cell r="FK72">
            <v>2.0624408703878903E-2</v>
          </cell>
          <cell r="FL72">
            <v>-1.5227483751160632E-2</v>
          </cell>
          <cell r="FM72">
            <v>9.2604258535970777E-2</v>
          </cell>
          <cell r="FN72">
            <v>2.1217827997489013E-2</v>
          </cell>
          <cell r="FP72">
            <v>7.3555794761392176E-3</v>
          </cell>
          <cell r="FQ72">
            <v>4.3344771536933356E-2</v>
          </cell>
          <cell r="FR72">
            <v>2.3119331317801887E-3</v>
          </cell>
          <cell r="FS72">
            <v>0.12407788124319749</v>
          </cell>
          <cell r="FT72">
            <v>5.2793664760228773E-2</v>
          </cell>
          <cell r="FV72">
            <v>3.6338937001188655E-2</v>
          </cell>
          <cell r="FW72">
            <v>6.6509513386091929E-2</v>
          </cell>
          <cell r="FX72">
            <v>3.1266017426960536E-2</v>
          </cell>
          <cell r="FY72">
            <v>0.13480055020632736</v>
          </cell>
          <cell r="FZ72">
            <v>7.4531338761598176E-2</v>
          </cell>
          <cell r="GB72">
            <v>4.5417548429106301E-2</v>
          </cell>
          <cell r="GC72">
            <v>7.3389996730957835E-2</v>
          </cell>
          <cell r="GD72">
            <v>2.877496066701165E-2</v>
          </cell>
          <cell r="GE72">
            <v>0.14206041616912413</v>
          </cell>
          <cell r="GF72">
            <v>8.063284020767035E-2</v>
          </cell>
        </row>
        <row r="73">
          <cell r="A73" t="str">
            <v>Tax Rate</v>
          </cell>
          <cell r="K73">
            <v>0.60127905086949873</v>
          </cell>
          <cell r="L73">
            <v>0.51102235320759348</v>
          </cell>
          <cell r="N73">
            <v>0.62871287128712872</v>
          </cell>
          <cell r="O73">
            <v>0.3968253968253968</v>
          </cell>
          <cell r="P73">
            <v>0.39979123173277664</v>
          </cell>
          <cell r="Q73">
            <v>0.411006018916595</v>
          </cell>
          <cell r="R73">
            <v>0.40476190476190477</v>
          </cell>
          <cell r="S73">
            <v>0.40072992700729926</v>
          </cell>
          <cell r="T73">
            <v>0.3923076923076923</v>
          </cell>
          <cell r="U73">
            <v>0.39122137404580154</v>
          </cell>
          <cell r="V73">
            <v>0.39575645756457567</v>
          </cell>
          <cell r="W73">
            <v>0.38261648745519711</v>
          </cell>
          <cell r="X73">
            <v>0.37446604203916711</v>
          </cell>
          <cell r="Y73">
            <v>0.37218181818181817</v>
          </cell>
          <cell r="Z73">
            <v>0.37045454545454548</v>
          </cell>
          <cell r="AA73">
            <v>-0.30405405405405406</v>
          </cell>
          <cell r="AB73">
            <v>0.35108481262327418</v>
          </cell>
          <cell r="AC73">
            <v>0.35833333333333334</v>
          </cell>
          <cell r="AD73">
            <v>0.36178861788617889</v>
          </cell>
          <cell r="AE73">
            <v>0.36939105039562631</v>
          </cell>
          <cell r="AF73">
            <v>0.37</v>
          </cell>
          <cell r="AG73">
            <v>0.37</v>
          </cell>
          <cell r="AH73">
            <v>0.37</v>
          </cell>
          <cell r="AI73">
            <v>0.37</v>
          </cell>
          <cell r="AJ73">
            <v>0.37</v>
          </cell>
          <cell r="AK73">
            <v>0.37</v>
          </cell>
          <cell r="AL73">
            <v>0.37000000000000005</v>
          </cell>
          <cell r="AN73" t="str">
            <v>Tax Rate</v>
          </cell>
          <cell r="AO73">
            <v>0.30655992636034635</v>
          </cell>
          <cell r="AP73">
            <v>0.32220952871325365</v>
          </cell>
          <cell r="AQ73">
            <v>0.28537438768369477</v>
          </cell>
          <cell r="AR73">
            <v>1.4266644556836074</v>
          </cell>
          <cell r="AS73">
            <v>0.50448064169287754</v>
          </cell>
          <cell r="AU73">
            <v>0.24532451951351503</v>
          </cell>
          <cell r="AV73">
            <v>0.31634185759102562</v>
          </cell>
          <cell r="AW73">
            <v>0.23748624862486259</v>
          </cell>
          <cell r="AX73">
            <v>0.34189261006299915</v>
          </cell>
          <cell r="AY73">
            <v>0.32777388961936449</v>
          </cell>
          <cell r="BA73">
            <v>0.48589832869080435</v>
          </cell>
          <cell r="BB73">
            <v>0.29761110369678312</v>
          </cell>
          <cell r="BC73">
            <v>0.43131358602683062</v>
          </cell>
          <cell r="BD73">
            <v>0.40273902542974843</v>
          </cell>
          <cell r="BE73">
            <v>0.42800001724085901</v>
          </cell>
          <cell r="BG73">
            <v>0.45283542197231325</v>
          </cell>
          <cell r="BH73">
            <v>0.51064065004698544</v>
          </cell>
          <cell r="BI73">
            <v>0.4521304451321117</v>
          </cell>
          <cell r="BJ73">
            <v>0.40911280691456015</v>
          </cell>
          <cell r="BK73">
            <v>0.42619228886834615</v>
          </cell>
          <cell r="BM73">
            <v>0.44509884962457674</v>
          </cell>
          <cell r="BN73">
            <v>0.63260933086589088</v>
          </cell>
          <cell r="BO73">
            <v>0.43393841911764702</v>
          </cell>
          <cell r="BP73">
            <v>0.4075239013559816</v>
          </cell>
          <cell r="BQ73">
            <v>0.42286578665581953</v>
          </cell>
          <cell r="BS73">
            <v>0.29756541524459623</v>
          </cell>
          <cell r="BT73">
            <v>0.3342634196535757</v>
          </cell>
          <cell r="BU73">
            <v>0.32588900578642815</v>
          </cell>
          <cell r="BV73">
            <v>0.40580022039281777</v>
          </cell>
          <cell r="BW73">
            <v>0.60127905086949907</v>
          </cell>
          <cell r="BY73">
            <v>0.34293586019274108</v>
          </cell>
          <cell r="BZ73">
            <v>0.33897187616854652</v>
          </cell>
          <cell r="CA73">
            <v>0.49055374592834178</v>
          </cell>
          <cell r="CB73">
            <v>0</v>
          </cell>
          <cell r="CC73">
            <v>-0.83299751096360775</v>
          </cell>
          <cell r="CD73">
            <v>0.44173485688386088</v>
          </cell>
          <cell r="CE73">
            <v>0.41058345359620158</v>
          </cell>
          <cell r="CF73">
            <v>0.51102235320759359</v>
          </cell>
          <cell r="CG73">
            <v>0.47207543951378311</v>
          </cell>
          <cell r="CH73">
            <v>0.63186995905199972</v>
          </cell>
          <cell r="CJ73">
            <v>0.33461416991262155</v>
          </cell>
          <cell r="CK73">
            <v>0.31778725539387892</v>
          </cell>
          <cell r="CL73">
            <v>0.43474733269326737</v>
          </cell>
          <cell r="CM73">
            <v>0.3772043733216186</v>
          </cell>
          <cell r="CN73">
            <v>0.39770714314838579</v>
          </cell>
          <cell r="CP73">
            <v>0.44923654510907951</v>
          </cell>
          <cell r="CQ73">
            <v>0.41055267902341852</v>
          </cell>
          <cell r="CR73">
            <v>0.40304288318577025</v>
          </cell>
          <cell r="CS73">
            <v>0.394370270015513</v>
          </cell>
          <cell r="CT73">
            <v>0.40036627743167497</v>
          </cell>
          <cell r="CV73">
            <v>0.42082692307692304</v>
          </cell>
          <cell r="CW73">
            <v>0.44559585492227977</v>
          </cell>
          <cell r="CX73">
            <v>0.40540540540540543</v>
          </cell>
          <cell r="CY73">
            <v>0.40088105726872247</v>
          </cell>
          <cell r="CZ73">
            <v>0.41080481513327599</v>
          </cell>
          <cell r="DB73">
            <v>0.42</v>
          </cell>
          <cell r="DC73">
            <v>0.41201716738197425</v>
          </cell>
          <cell r="DD73">
            <v>0.41706161137440756</v>
          </cell>
          <cell r="DE73">
            <v>0.40425531914893614</v>
          </cell>
          <cell r="DF73">
            <v>0.40936106983655274</v>
          </cell>
          <cell r="DH73">
            <v>0.41</v>
          </cell>
          <cell r="DI73">
            <v>0.40123456790123457</v>
          </cell>
          <cell r="DJ73">
            <v>0.41081081081081083</v>
          </cell>
          <cell r="DK73">
            <v>0.39485627836611198</v>
          </cell>
          <cell r="DL73">
            <v>0.40072992700729926</v>
          </cell>
          <cell r="DN73">
            <v>0.42</v>
          </cell>
          <cell r="DO73">
            <v>0.40740740740740738</v>
          </cell>
          <cell r="DP73">
            <v>0.43478260869565216</v>
          </cell>
          <cell r="DQ73">
            <v>0.37875751503006011</v>
          </cell>
          <cell r="DR73">
            <v>0.3923076923076923</v>
          </cell>
          <cell r="DT73">
            <v>0.39455782312925169</v>
          </cell>
          <cell r="DU73">
            <v>0.40090090090090091</v>
          </cell>
          <cell r="DV73">
            <v>0.34782608695652173</v>
          </cell>
          <cell r="DW73">
            <v>0.3953900709219858</v>
          </cell>
          <cell r="DX73">
            <v>0.39122137404580154</v>
          </cell>
          <cell r="DZ73">
            <v>0.39473684210526316</v>
          </cell>
          <cell r="EA73">
            <v>0.39698492462311558</v>
          </cell>
          <cell r="EB73">
            <v>0.4017857142857143</v>
          </cell>
          <cell r="EC73">
            <v>0.39454806312769009</v>
          </cell>
          <cell r="ED73">
            <v>0.39575645756457567</v>
          </cell>
          <cell r="EF73">
            <v>0.38216560509554143</v>
          </cell>
          <cell r="EG73">
            <v>0.38095238095238093</v>
          </cell>
          <cell r="EH73">
            <v>0.38333333333333336</v>
          </cell>
          <cell r="EI73">
            <v>0.38288920056100983</v>
          </cell>
          <cell r="EJ73">
            <v>0.38261648745519711</v>
          </cell>
          <cell r="EK73" t="str">
            <v>Tax Rate</v>
          </cell>
          <cell r="EL73">
            <v>0.377</v>
          </cell>
          <cell r="EM73">
            <v>0.37552742616033757</v>
          </cell>
          <cell r="EN73">
            <v>0.37410071942446044</v>
          </cell>
          <cell r="EO73">
            <v>0.37394564198687907</v>
          </cell>
          <cell r="EP73">
            <v>0.37446604203916711</v>
          </cell>
          <cell r="ER73">
            <v>0.3728813559322034</v>
          </cell>
          <cell r="ES73">
            <v>0.375</v>
          </cell>
          <cell r="ET73">
            <v>0.33333333333333331</v>
          </cell>
          <cell r="EU73">
            <v>0.37251512532411407</v>
          </cell>
          <cell r="EV73">
            <v>0.37218181818181817</v>
          </cell>
          <cell r="EX73">
            <v>0.37349397590361444</v>
          </cell>
          <cell r="EY73">
            <v>0.34513274336283184</v>
          </cell>
          <cell r="EZ73">
            <v>0.13157894736842105</v>
          </cell>
          <cell r="FA73">
            <v>0.38121546961325969</v>
          </cell>
          <cell r="FB73">
            <v>0.375</v>
          </cell>
          <cell r="FD73">
            <v>0.44339622641509435</v>
          </cell>
          <cell r="FE73">
            <v>0.39669421487603307</v>
          </cell>
          <cell r="FF73">
            <v>0.41333333333333333</v>
          </cell>
          <cell r="FG73">
            <v>-0.20833333333333334</v>
          </cell>
          <cell r="FH73">
            <v>-0.30405405405405406</v>
          </cell>
          <cell r="FJ73">
            <v>0.65490196078431373</v>
          </cell>
          <cell r="FK73">
            <v>0.93577981651376152</v>
          </cell>
          <cell r="FL73">
            <v>0.57317073170731703</v>
          </cell>
          <cell r="FM73">
            <v>0.39455782312925169</v>
          </cell>
          <cell r="FN73">
            <v>0.35108481262327418</v>
          </cell>
          <cell r="FP73">
            <v>0.43902439024390244</v>
          </cell>
          <cell r="FQ73">
            <v>0.38750000000000001</v>
          </cell>
          <cell r="FR73">
            <v>0.23076923076923078</v>
          </cell>
          <cell r="FS73">
            <v>0.34990253411306044</v>
          </cell>
          <cell r="FT73">
            <v>0.35833333333333334</v>
          </cell>
          <cell r="FV73">
            <v>0.38785046728971961</v>
          </cell>
          <cell r="FW73">
            <v>0.38987341772151901</v>
          </cell>
          <cell r="FX73">
            <v>0.24043715846994534</v>
          </cell>
          <cell r="FY73">
            <v>0.36649659863945577</v>
          </cell>
          <cell r="FZ73">
            <v>0.36178861788617889</v>
          </cell>
          <cell r="GB73">
            <v>0.35125448028673834</v>
          </cell>
          <cell r="GC73">
            <v>0.37861915367483295</v>
          </cell>
          <cell r="GD73">
            <v>0.36999999999999994</v>
          </cell>
          <cell r="GE73">
            <v>0.37</v>
          </cell>
          <cell r="GF73">
            <v>0.36939105039562631</v>
          </cell>
        </row>
        <row r="74">
          <cell r="A74" t="str">
            <v>Effective Tax rate</v>
          </cell>
          <cell r="N74">
            <v>0.62871287128712872</v>
          </cell>
          <cell r="O74">
            <v>0.3968253968253968</v>
          </cell>
          <cell r="P74">
            <v>0.39979123173277664</v>
          </cell>
          <cell r="Q74">
            <v>0.411006018916595</v>
          </cell>
          <cell r="R74">
            <v>0.40476190476190477</v>
          </cell>
          <cell r="S74">
            <v>0.40072992700729926</v>
          </cell>
          <cell r="T74">
            <v>0.3923076923076923</v>
          </cell>
          <cell r="U74">
            <v>0.39122137404580154</v>
          </cell>
          <cell r="V74">
            <v>0.39575645756457567</v>
          </cell>
          <cell r="W74">
            <v>0.38261648745519711</v>
          </cell>
          <cell r="X74">
            <v>0.37446604203916711</v>
          </cell>
          <cell r="Y74">
            <v>0.37218181818181817</v>
          </cell>
          <cell r="Z74">
            <v>0.37045454545454548</v>
          </cell>
          <cell r="AA74">
            <v>-0.30405405405405406</v>
          </cell>
          <cell r="AB74">
            <v>0.35108481262327418</v>
          </cell>
          <cell r="AC74">
            <v>0.35833333333333334</v>
          </cell>
          <cell r="AD74">
            <v>0.36178861788617889</v>
          </cell>
          <cell r="AE74">
            <v>0.36939105039562631</v>
          </cell>
          <cell r="AF74">
            <v>0.37</v>
          </cell>
          <cell r="AG74">
            <v>0.37</v>
          </cell>
          <cell r="AH74">
            <v>0.37</v>
          </cell>
          <cell r="AI74">
            <v>0.37</v>
          </cell>
          <cell r="AJ74">
            <v>0.37</v>
          </cell>
          <cell r="AK74">
            <v>0.37</v>
          </cell>
          <cell r="AL74">
            <v>0.37000000000000005</v>
          </cell>
          <cell r="AN74" t="str">
            <v>Effective Tax rate</v>
          </cell>
          <cell r="EF74">
            <v>0.38216560509554143</v>
          </cell>
          <cell r="EG74">
            <v>0.38095238095238093</v>
          </cell>
          <cell r="EH74">
            <v>0.38333333333333336</v>
          </cell>
          <cell r="EI74">
            <v>0.38288920056100983</v>
          </cell>
          <cell r="EK74" t="str">
            <v>Effective Tax rate</v>
          </cell>
          <cell r="EL74">
            <v>0.377</v>
          </cell>
          <cell r="EM74">
            <v>0.37552742616033757</v>
          </cell>
          <cell r="EN74">
            <v>0.37410071942446044</v>
          </cell>
          <cell r="EO74">
            <v>0.37394564198687907</v>
          </cell>
          <cell r="EP74">
            <v>0.37446604203916711</v>
          </cell>
          <cell r="ER74">
            <v>0.3728813559322034</v>
          </cell>
          <cell r="ES74">
            <v>0.375</v>
          </cell>
          <cell r="ET74">
            <v>0.33333333333333331</v>
          </cell>
          <cell r="EU74">
            <v>0.37251512532411407</v>
          </cell>
          <cell r="EV74">
            <v>0.37218181818181817</v>
          </cell>
          <cell r="EX74">
            <v>0.37815126050420167</v>
          </cell>
          <cell r="EY74">
            <v>0.3619047619047619</v>
          </cell>
          <cell r="EZ74">
            <v>0.4</v>
          </cell>
          <cell r="FA74">
            <v>0.375</v>
          </cell>
          <cell r="FB74">
            <v>0.37483263750443169</v>
          </cell>
          <cell r="FD74">
            <v>0.37</v>
          </cell>
          <cell r="FE74">
            <v>0.37</v>
          </cell>
          <cell r="FF74">
            <v>0.37</v>
          </cell>
          <cell r="FG74">
            <v>0.37</v>
          </cell>
          <cell r="FH74">
            <v>0.37</v>
          </cell>
          <cell r="FJ74">
            <v>0.37</v>
          </cell>
          <cell r="FK74">
            <v>0.37</v>
          </cell>
          <cell r="FL74">
            <v>0.37</v>
          </cell>
          <cell r="FM74">
            <v>0.37</v>
          </cell>
          <cell r="FN74">
            <v>0.37</v>
          </cell>
          <cell r="FP74">
            <v>0.37</v>
          </cell>
          <cell r="FQ74">
            <v>0.37</v>
          </cell>
          <cell r="FR74">
            <v>0.37</v>
          </cell>
          <cell r="FS74">
            <v>0.37</v>
          </cell>
          <cell r="FT74">
            <v>0.37</v>
          </cell>
          <cell r="FV74">
            <v>0.37</v>
          </cell>
          <cell r="FW74">
            <v>0.37</v>
          </cell>
          <cell r="FX74">
            <v>0.37</v>
          </cell>
          <cell r="FY74">
            <v>0.38</v>
          </cell>
          <cell r="FZ74">
            <v>0.38</v>
          </cell>
          <cell r="GB74">
            <v>0.37</v>
          </cell>
          <cell r="GC74">
            <v>0.37</v>
          </cell>
          <cell r="GD74">
            <v>0.37</v>
          </cell>
          <cell r="GE74">
            <v>0.37</v>
          </cell>
          <cell r="GF74">
            <v>0.37</v>
          </cell>
        </row>
        <row r="75">
          <cell r="A75" t="str">
            <v>Statutory Tax Rate</v>
          </cell>
          <cell r="N75">
            <v>0.35</v>
          </cell>
          <cell r="O75">
            <v>0.35</v>
          </cell>
          <cell r="P75">
            <v>0.35</v>
          </cell>
          <cell r="Q75">
            <v>0.35</v>
          </cell>
          <cell r="R75">
            <v>0.35</v>
          </cell>
          <cell r="S75">
            <v>0.35</v>
          </cell>
          <cell r="T75">
            <v>0.35</v>
          </cell>
          <cell r="U75">
            <v>0.35</v>
          </cell>
          <cell r="V75">
            <v>0.35</v>
          </cell>
          <cell r="W75">
            <v>0.35</v>
          </cell>
          <cell r="X75">
            <v>0.35</v>
          </cell>
          <cell r="Y75">
            <v>0.35</v>
          </cell>
          <cell r="Z75">
            <v>0.35</v>
          </cell>
          <cell r="AA75">
            <v>0.35</v>
          </cell>
          <cell r="AB75">
            <v>0.35</v>
          </cell>
          <cell r="AC75">
            <v>0.35</v>
          </cell>
          <cell r="AD75">
            <v>0.35</v>
          </cell>
          <cell r="AE75">
            <v>0.35</v>
          </cell>
          <cell r="AF75">
            <v>0.35</v>
          </cell>
          <cell r="AG75">
            <v>0.35</v>
          </cell>
          <cell r="AH75">
            <v>0.35</v>
          </cell>
          <cell r="AI75">
            <v>0.35</v>
          </cell>
          <cell r="AJ75">
            <v>0.35</v>
          </cell>
          <cell r="AK75">
            <v>0.35</v>
          </cell>
          <cell r="AL75">
            <v>0.35</v>
          </cell>
          <cell r="AN75" t="str">
            <v>Statutory Tax Rate</v>
          </cell>
          <cell r="DH75">
            <v>0.35</v>
          </cell>
          <cell r="DI75">
            <v>0.35</v>
          </cell>
          <cell r="DJ75">
            <v>0.35</v>
          </cell>
          <cell r="DK75">
            <v>0.35</v>
          </cell>
          <cell r="DL75">
            <v>0.35</v>
          </cell>
          <cell r="DN75">
            <v>0.35</v>
          </cell>
          <cell r="DO75">
            <v>0.35</v>
          </cell>
          <cell r="DP75">
            <v>0.35</v>
          </cell>
          <cell r="DQ75">
            <v>0.35</v>
          </cell>
          <cell r="DR75">
            <v>0.35</v>
          </cell>
          <cell r="DT75">
            <v>0.35</v>
          </cell>
          <cell r="DU75">
            <v>0.35</v>
          </cell>
          <cell r="DV75">
            <v>0.35</v>
          </cell>
          <cell r="DW75">
            <v>0.35</v>
          </cell>
          <cell r="DX75">
            <v>0.35</v>
          </cell>
          <cell r="DZ75">
            <v>0.35</v>
          </cell>
          <cell r="EA75">
            <v>0.35</v>
          </cell>
          <cell r="EB75">
            <v>0.35</v>
          </cell>
          <cell r="EC75">
            <v>0.35</v>
          </cell>
          <cell r="ED75">
            <v>0.35</v>
          </cell>
          <cell r="EF75">
            <v>0.35</v>
          </cell>
          <cell r="EG75">
            <v>0.35</v>
          </cell>
          <cell r="EH75">
            <v>0.35</v>
          </cell>
          <cell r="EI75">
            <v>0.35</v>
          </cell>
          <cell r="EJ75">
            <v>0.35</v>
          </cell>
          <cell r="EK75" t="str">
            <v>Statutory Tax Rate</v>
          </cell>
          <cell r="EL75">
            <v>0.35</v>
          </cell>
          <cell r="EM75">
            <v>0.35</v>
          </cell>
          <cell r="EN75">
            <v>0.35</v>
          </cell>
          <cell r="EO75">
            <v>0.35</v>
          </cell>
          <cell r="EP75">
            <v>0.35</v>
          </cell>
          <cell r="ER75">
            <v>0.35</v>
          </cell>
          <cell r="ES75">
            <v>0.35</v>
          </cell>
          <cell r="ET75">
            <v>0.35</v>
          </cell>
          <cell r="EU75">
            <v>0.35</v>
          </cell>
          <cell r="EV75">
            <v>0.35</v>
          </cell>
          <cell r="EX75">
            <v>0.35</v>
          </cell>
          <cell r="EY75">
            <v>0.35</v>
          </cell>
          <cell r="EZ75">
            <v>0.35</v>
          </cell>
          <cell r="FA75">
            <v>0.35</v>
          </cell>
          <cell r="FB75">
            <v>0.35</v>
          </cell>
          <cell r="FD75">
            <v>0.35</v>
          </cell>
          <cell r="FE75">
            <v>0.35</v>
          </cell>
          <cell r="FF75">
            <v>0.35</v>
          </cell>
          <cell r="FG75">
            <v>0.35</v>
          </cell>
          <cell r="FH75">
            <v>0.35</v>
          </cell>
          <cell r="FJ75">
            <v>0.35</v>
          </cell>
          <cell r="FK75">
            <v>0.35</v>
          </cell>
          <cell r="FL75">
            <v>0.35</v>
          </cell>
          <cell r="FM75">
            <v>0.35</v>
          </cell>
          <cell r="FN75">
            <v>0.35</v>
          </cell>
          <cell r="FP75">
            <v>0.35</v>
          </cell>
          <cell r="FQ75">
            <v>0.35</v>
          </cell>
          <cell r="FR75">
            <v>0.35</v>
          </cell>
          <cell r="FS75">
            <v>0.35</v>
          </cell>
          <cell r="FT75">
            <v>0.35</v>
          </cell>
          <cell r="FV75">
            <v>0.35</v>
          </cell>
          <cell r="FW75">
            <v>0.35</v>
          </cell>
          <cell r="FX75">
            <v>0.35</v>
          </cell>
          <cell r="FY75">
            <v>0.35</v>
          </cell>
          <cell r="FZ75">
            <v>0.35</v>
          </cell>
          <cell r="GB75">
            <v>0.35</v>
          </cell>
          <cell r="GC75">
            <v>0.35</v>
          </cell>
          <cell r="GD75">
            <v>0.35</v>
          </cell>
          <cell r="GE75">
            <v>0.35</v>
          </cell>
          <cell r="GF75">
            <v>0.35</v>
          </cell>
        </row>
        <row r="76">
          <cell r="A76" t="str">
            <v>Net Income, Reported</v>
          </cell>
          <cell r="K76">
            <v>2.6858336678465423E-3</v>
          </cell>
          <cell r="L76">
            <v>1.064370896655909E-2</v>
          </cell>
          <cell r="N76">
            <v>5.1320651430135488E-3</v>
          </cell>
          <cell r="O76">
            <v>1.7932987258140631E-2</v>
          </cell>
          <cell r="P76">
            <v>3.521681997371879E-2</v>
          </cell>
          <cell r="Q76">
            <v>4.3084933289944678E-2</v>
          </cell>
          <cell r="R76">
            <v>4.959760434212989E-2</v>
          </cell>
          <cell r="S76">
            <v>-1.1059021517009255E-2</v>
          </cell>
          <cell r="T76">
            <v>-1.7484954070319924E-2</v>
          </cell>
          <cell r="U76">
            <v>5.2533555969430351E-2</v>
          </cell>
          <cell r="V76">
            <v>4.4964962366986765E-2</v>
          </cell>
          <cell r="W76">
            <v>4.3673935091277892E-2</v>
          </cell>
          <cell r="X76">
            <v>6.2822305050109079E-2</v>
          </cell>
          <cell r="Y76">
            <v>3.6888209121245831E-2</v>
          </cell>
          <cell r="Z76">
            <v>3.3937597385322843E-2</v>
          </cell>
          <cell r="AA76">
            <v>-0.19295355937650652</v>
          </cell>
          <cell r="AB76">
            <v>1.3768570830717723E-2</v>
          </cell>
          <cell r="AC76">
            <v>3.2220133583969926E-2</v>
          </cell>
          <cell r="AD76">
            <v>4.7566748721832988E-2</v>
          </cell>
          <cell r="AE76">
            <v>5.0847790666976311E-2</v>
          </cell>
          <cell r="AF76">
            <v>5.1982465405594071E-2</v>
          </cell>
          <cell r="AG76">
            <v>5.6002544154840128E-2</v>
          </cell>
          <cell r="AH76">
            <v>5.6194069130642586E-2</v>
          </cell>
          <cell r="AI76">
            <v>5.707328154048523E-2</v>
          </cell>
          <cell r="AJ76">
            <v>5.867706740276709E-2</v>
          </cell>
          <cell r="AK76">
            <v>5.9868365887541859E-2</v>
          </cell>
          <cell r="AL76">
            <v>6.0696273676362836E-2</v>
          </cell>
          <cell r="AN76" t="str">
            <v>Net Income, Reported</v>
          </cell>
          <cell r="AO76">
            <v>-6.2522792148183473E-2</v>
          </cell>
          <cell r="AP76">
            <v>-8.2829299753816629E-2</v>
          </cell>
          <cell r="AQ76">
            <v>-4.9114849713720231E-2</v>
          </cell>
          <cell r="AR76">
            <v>1.8227995168483186E-2</v>
          </cell>
          <cell r="AS76">
            <v>-3.8007091307834251E-2</v>
          </cell>
          <cell r="AU76">
            <v>-4.0266245099374307E-2</v>
          </cell>
          <cell r="AV76">
            <v>-9.6158230391183569E-2</v>
          </cell>
          <cell r="AW76">
            <v>-3.5692529877389009E-2</v>
          </cell>
          <cell r="AX76">
            <v>-0.45779052224190087</v>
          </cell>
          <cell r="AY76">
            <v>-0.17974176910106457</v>
          </cell>
          <cell r="BA76">
            <v>7.5153048304858238E-3</v>
          </cell>
          <cell r="BB76">
            <v>-1.083507410040546E-2</v>
          </cell>
          <cell r="BC76">
            <v>1.765378305332967E-2</v>
          </cell>
          <cell r="BD76">
            <v>4.6463852508224907E-2</v>
          </cell>
          <cell r="BE76">
            <v>1.8744223998476833E-2</v>
          </cell>
          <cell r="BG76">
            <v>1.3645575972215886E-2</v>
          </cell>
          <cell r="BH76">
            <v>5.8930111935926888E-3</v>
          </cell>
          <cell r="BI76">
            <v>1.9294534500632898E-2</v>
          </cell>
          <cell r="BJ76">
            <v>6.2174766479350253E-2</v>
          </cell>
          <cell r="BK76">
            <v>2.9191194961245663E-2</v>
          </cell>
          <cell r="BM76">
            <v>1.9485604708668485E-2</v>
          </cell>
          <cell r="BN76">
            <v>2.3632604473402918E-3</v>
          </cell>
          <cell r="BO76">
            <v>2.3013673889135992E-2</v>
          </cell>
          <cell r="BP76">
            <v>6.5792286249943224E-2</v>
          </cell>
          <cell r="BQ76">
            <v>3.2027730994201996E-2</v>
          </cell>
          <cell r="BS76">
            <v>-1.2609394145677338E-2</v>
          </cell>
          <cell r="BT76">
            <v>-1.9867834720895313E-2</v>
          </cell>
          <cell r="BU76">
            <v>-1.5289446996361027E-2</v>
          </cell>
          <cell r="BV76">
            <v>4.09219437066137E-2</v>
          </cell>
          <cell r="BW76">
            <v>2.6858336678465379E-3</v>
          </cell>
          <cell r="BY76">
            <v>-1.9075932243777384E-2</v>
          </cell>
          <cell r="BZ76">
            <v>-2.2046275024614342E-2</v>
          </cell>
          <cell r="CA76">
            <v>6.568416404481899E-3</v>
          </cell>
          <cell r="CB76">
            <v>-0.16441176470588287</v>
          </cell>
          <cell r="CC76">
            <v>-1.2377383336592569E-2</v>
          </cell>
          <cell r="CD76">
            <v>5.4275623717464055E-2</v>
          </cell>
          <cell r="CE76">
            <v>4.6467169366939447E-2</v>
          </cell>
          <cell r="CF76">
            <v>1.0643708966559084E-2</v>
          </cell>
          <cell r="CG76">
            <v>9.7288852363702893E-3</v>
          </cell>
          <cell r="CH76">
            <v>4.9287511079372367E-3</v>
          </cell>
          <cell r="CJ76">
            <v>-1.1489381040385417E-2</v>
          </cell>
          <cell r="CK76">
            <v>-8.2798758186094137E-3</v>
          </cell>
          <cell r="CL76">
            <v>1.1581957847115281E-2</v>
          </cell>
          <cell r="CM76">
            <v>5.7438810810338373E-2</v>
          </cell>
          <cell r="CN76">
            <v>1.7459216388905543E-2</v>
          </cell>
          <cell r="CP76">
            <v>7.0573064784718795E-3</v>
          </cell>
          <cell r="CQ76">
            <v>1.9221919185688125E-2</v>
          </cell>
          <cell r="CR76">
            <v>2.8058263726431273E-2</v>
          </cell>
          <cell r="CS76">
            <v>7.4915278622071119E-2</v>
          </cell>
          <cell r="CT76">
            <v>3.6674212257197879E-2</v>
          </cell>
          <cell r="CV76">
            <v>1.7942806076854334E-2</v>
          </cell>
          <cell r="CW76">
            <v>3.1231757151196731E-2</v>
          </cell>
          <cell r="CX76">
            <v>3.1003382187147689E-2</v>
          </cell>
          <cell r="CY76">
            <v>8.1048867699642438E-2</v>
          </cell>
          <cell r="CZ76">
            <v>4.4597071265863979E-2</v>
          </cell>
          <cell r="DB76">
            <v>2.4166666666666666E-2</v>
          </cell>
          <cell r="DC76">
            <v>3.4198701947079378E-2</v>
          </cell>
          <cell r="DD76">
            <v>2.9731689630166789E-2</v>
          </cell>
          <cell r="DE76">
            <v>7.5004185501423071E-2</v>
          </cell>
          <cell r="DF76">
            <v>4.4874689546172949E-2</v>
          </cell>
          <cell r="DH76">
            <v>2.4909040022390149E-2</v>
          </cell>
          <cell r="DI76">
            <v>1.7124218537646098E-2</v>
          </cell>
          <cell r="DJ76">
            <v>-0.17662612374405076</v>
          </cell>
          <cell r="DK76">
            <v>5.9243397573162028E-2</v>
          </cell>
          <cell r="DL76">
            <v>-1.1059021517009255E-2</v>
          </cell>
          <cell r="DN76">
            <v>1.6310461192350956E-2</v>
          </cell>
          <cell r="DO76">
            <v>3.153669724770642E-2</v>
          </cell>
          <cell r="DP76">
            <v>8.6330935251798565E-4</v>
          </cell>
          <cell r="DQ76">
            <v>-8.7100545596258766E-2</v>
          </cell>
          <cell r="DR76">
            <v>-1.7484954070319924E-2</v>
          </cell>
          <cell r="DT76">
            <v>2.5774688676513176E-2</v>
          </cell>
          <cell r="DU76">
            <v>8.0895008605851984E-2</v>
          </cell>
          <cell r="DV76">
            <v>3.046852543834435E-2</v>
          </cell>
          <cell r="DW76">
            <v>6.796890572055013E-2</v>
          </cell>
          <cell r="DX76">
            <v>5.2533555969430351E-2</v>
          </cell>
          <cell r="DZ76">
            <v>1.3977514433302947E-2</v>
          </cell>
          <cell r="EA76">
            <v>3.4944670937682006E-2</v>
          </cell>
          <cell r="EB76">
            <v>1.9219736087205966E-2</v>
          </cell>
          <cell r="EC76">
            <v>9.1035028695824263E-2</v>
          </cell>
          <cell r="ED76">
            <v>4.4964962366986765E-2</v>
          </cell>
          <cell r="EF76">
            <v>2.7323943661971831E-2</v>
          </cell>
          <cell r="EG76">
            <v>2.1781625244345154E-2</v>
          </cell>
          <cell r="EH76">
            <v>2.099290780141844E-2</v>
          </cell>
          <cell r="EI76">
            <v>8.59375E-2</v>
          </cell>
          <cell r="EJ76">
            <v>4.3673935091277892E-2</v>
          </cell>
          <cell r="EK76" t="str">
            <v>Net Income, Reported</v>
          </cell>
          <cell r="EL76">
            <v>3.3879154078549849E-2</v>
          </cell>
          <cell r="EM76">
            <v>4.0850124206458734E-2</v>
          </cell>
          <cell r="EN76">
            <v>7.8530586871636804E-2</v>
          </cell>
          <cell r="EO76">
            <v>7.3033120886009828E-2</v>
          </cell>
          <cell r="EP76">
            <v>6.2822305050109079E-2</v>
          </cell>
          <cell r="ER76">
            <v>-8.7689713322091061E-3</v>
          </cell>
          <cell r="ES76">
            <v>5.2856547122602168E-2</v>
          </cell>
          <cell r="ET76">
            <v>-5.0968399592252807E-4</v>
          </cell>
          <cell r="EU76">
            <v>8.0030571023037456E-2</v>
          </cell>
          <cell r="EV76">
            <v>3.6888209121245831E-2</v>
          </cell>
          <cell r="EX76">
            <v>6.0800540449248439E-3</v>
          </cell>
          <cell r="EY76">
            <v>1.2559402579769178E-2</v>
          </cell>
          <cell r="EZ76">
            <v>5.5875380968506607E-3</v>
          </cell>
          <cell r="FA76">
            <v>8.7270188503607168E-2</v>
          </cell>
          <cell r="FB76">
            <v>3.3937597385322843E-2</v>
          </cell>
          <cell r="FD76">
            <v>-1.0266225856968854E-2</v>
          </cell>
          <cell r="FE76">
            <v>1.2766701643931445E-2</v>
          </cell>
          <cell r="FF76">
            <v>-8.0101947933733843E-3</v>
          </cell>
          <cell r="FG76">
            <v>-0.60158810184018152</v>
          </cell>
          <cell r="FH76">
            <v>-0.19295355937650652</v>
          </cell>
          <cell r="FJ76">
            <v>-1.6641452344931921E-2</v>
          </cell>
          <cell r="FK76">
            <v>1.3245033112582781E-3</v>
          </cell>
          <cell r="FL76">
            <v>-6.4995357474466105E-3</v>
          </cell>
          <cell r="FM76">
            <v>5.6066523875519719E-2</v>
          </cell>
          <cell r="FN76">
            <v>1.3768570830717723E-2</v>
          </cell>
          <cell r="FP76">
            <v>4.1263006817366344E-3</v>
          </cell>
          <cell r="FQ76">
            <v>2.6548672566371681E-2</v>
          </cell>
          <cell r="FR76">
            <v>1.7784101013693758E-3</v>
          </cell>
          <cell r="FS76">
            <v>8.0662716168823312E-2</v>
          </cell>
          <cell r="FT76">
            <v>3.3875934887813465E-2</v>
          </cell>
          <cell r="FV76">
            <v>2.2244863304465953E-2</v>
          </cell>
          <cell r="FW76">
            <v>4.0579222091261156E-2</v>
          </cell>
          <cell r="FX76">
            <v>2.3748505040150351E-2</v>
          </cell>
          <cell r="FY76">
            <v>8.5396607060981206E-2</v>
          </cell>
          <cell r="FZ76">
            <v>4.7566748721832988E-2</v>
          </cell>
          <cell r="GB76">
            <v>2.9464431059742797E-2</v>
          </cell>
          <cell r="GC76">
            <v>4.5603138280483818E-2</v>
          </cell>
          <cell r="GD76">
            <v>1.8128225220217339E-2</v>
          </cell>
          <cell r="GE76">
            <v>8.9498062186548211E-2</v>
          </cell>
          <cell r="GF76">
            <v>5.0847790666976311E-2</v>
          </cell>
        </row>
        <row r="78">
          <cell r="A78" t="str">
            <v>% Change</v>
          </cell>
          <cell r="AN78" t="str">
            <v>% Change</v>
          </cell>
        </row>
        <row r="79">
          <cell r="A79" t="str">
            <v>Sales</v>
          </cell>
          <cell r="C79" t="str">
            <v>--</v>
          </cell>
          <cell r="D79" t="str">
            <v>--</v>
          </cell>
          <cell r="E79" t="str">
            <v>--</v>
          </cell>
          <cell r="F79">
            <v>-2.935599258637267E-2</v>
          </cell>
          <cell r="G79">
            <v>2.1294160701975429E-2</v>
          </cell>
          <cell r="H79">
            <v>2.1111051631644839E-2</v>
          </cell>
          <cell r="I79">
            <v>6.6128669492348191E-2</v>
          </cell>
          <cell r="K79" t="str">
            <v xml:space="preserve">--  </v>
          </cell>
          <cell r="L79">
            <v>2.164244790716352E-2</v>
          </cell>
          <cell r="N79" t="str">
            <v>NA</v>
          </cell>
          <cell r="O79">
            <v>1.4985630217599466E-2</v>
          </cell>
          <cell r="P79">
            <v>2.6090473943234604E-2</v>
          </cell>
          <cell r="Q79">
            <v>9.5269382391589552E-3</v>
          </cell>
          <cell r="R79">
            <v>4.3215099251545652E-2</v>
          </cell>
          <cell r="S79">
            <v>3.7993636533782515E-2</v>
          </cell>
          <cell r="T79">
            <v>-5.126818127178745E-2</v>
          </cell>
          <cell r="U79">
            <v>-1.3557174532784266E-2</v>
          </cell>
          <cell r="V79">
            <v>-1.0211290218996805E-2</v>
          </cell>
          <cell r="W79">
            <v>2.361796003114458E-2</v>
          </cell>
          <cell r="X79">
            <v>0.41924442190669375</v>
          </cell>
          <cell r="Y79">
            <v>0.20455560518088434</v>
          </cell>
          <cell r="Z79">
            <v>-2.4360400444938812E-2</v>
          </cell>
          <cell r="AA79">
            <v>-5.4003724394785846E-2</v>
          </cell>
          <cell r="AB79">
            <v>-4.0053029085650005E-2</v>
          </cell>
          <cell r="AC79">
            <v>4.6369533375183014E-2</v>
          </cell>
          <cell r="AD79">
            <v>5.60732712074552E-2</v>
          </cell>
          <cell r="AE79">
            <v>4.8961204520547419E-2</v>
          </cell>
          <cell r="AF79">
            <v>2.3867294306323394E-2</v>
          </cell>
          <cell r="AG79">
            <v>1.9271419022529823E-2</v>
          </cell>
          <cell r="AH79">
            <v>1.0360976857347159E-2</v>
          </cell>
          <cell r="AI79">
            <v>1.0000000000000009E-2</v>
          </cell>
          <cell r="AJ79">
            <v>1.0000000000000009E-2</v>
          </cell>
          <cell r="AK79">
            <v>1.0000000000000009E-2</v>
          </cell>
          <cell r="AL79">
            <v>1.0000000000000009E-2</v>
          </cell>
          <cell r="AN79" t="str">
            <v>Sales</v>
          </cell>
          <cell r="AU79">
            <v>1.86046804069262E-3</v>
          </cell>
          <cell r="AV79">
            <v>-1.9629781109162359E-2</v>
          </cell>
          <cell r="AW79">
            <v>-3.3058964187159479E-2</v>
          </cell>
          <cell r="AX79">
            <v>-5.5011636021012E-2</v>
          </cell>
          <cell r="AY79">
            <v>-2.935599258637267E-2</v>
          </cell>
          <cell r="BA79">
            <v>-1.3614121583839567E-2</v>
          </cell>
          <cell r="BB79">
            <v>-2.5760441466214368E-2</v>
          </cell>
          <cell r="BC79">
            <v>4.6851163408529795E-2</v>
          </cell>
          <cell r="BD79">
            <v>5.9869931498505169E-2</v>
          </cell>
          <cell r="BE79">
            <v>2.1294160701975429E-2</v>
          </cell>
          <cell r="BG79">
            <v>1.1791495464221979E-2</v>
          </cell>
          <cell r="BH79">
            <v>3.0933042000752087E-2</v>
          </cell>
          <cell r="BI79">
            <v>1.9564384993575601E-4</v>
          </cell>
          <cell r="BJ79">
            <v>3.7800425987538633E-2</v>
          </cell>
          <cell r="BK79">
            <v>2.1111051631644839E-2</v>
          </cell>
          <cell r="BM79">
            <v>3.9850112465956933E-2</v>
          </cell>
          <cell r="BN79">
            <v>6.2446082242552547E-2</v>
          </cell>
          <cell r="BO79">
            <v>7.6842814149548744E-2</v>
          </cell>
          <cell r="BP79">
            <v>7.8120367498969223E-2</v>
          </cell>
          <cell r="BQ79">
            <v>6.6128669492348191E-2</v>
          </cell>
          <cell r="BS79" t="str">
            <v xml:space="preserve"> --  </v>
          </cell>
          <cell r="BT79" t="str">
            <v xml:space="preserve"> --  </v>
          </cell>
          <cell r="BU79" t="str">
            <v xml:space="preserve"> --  </v>
          </cell>
          <cell r="BV79" t="str">
            <v xml:space="preserve"> --  </v>
          </cell>
          <cell r="BW79" t="str">
            <v xml:space="preserve"> --  </v>
          </cell>
          <cell r="BY79">
            <v>1.7020422055820328E-2</v>
          </cell>
          <cell r="BZ79">
            <v>3.9647877712569946E-2</v>
          </cell>
          <cell r="CA79">
            <v>-5.6887192030066203E-3</v>
          </cell>
          <cell r="CC79">
            <v>0.11804838036151044</v>
          </cell>
          <cell r="CD79">
            <v>3.3347469922546225E-2</v>
          </cell>
          <cell r="CE79">
            <v>0.1751746612798819</v>
          </cell>
          <cell r="CF79">
            <v>2.164244790716352E-2</v>
          </cell>
          <cell r="CG79">
            <v>6.8016932452651169E-2</v>
          </cell>
          <cell r="CH79">
            <v>9.8290990037587012E-2</v>
          </cell>
          <cell r="CJ79">
            <v>0.10464972292558983</v>
          </cell>
          <cell r="CK79">
            <v>7.7856252051197838E-2</v>
          </cell>
          <cell r="CL79">
            <v>-3.7141754186954423E-2</v>
          </cell>
          <cell r="CM79">
            <v>-4.3674523732644466E-2</v>
          </cell>
          <cell r="CN79">
            <v>1.2014698867654605E-2</v>
          </cell>
          <cell r="CP79">
            <v>3.2838791771442555E-2</v>
          </cell>
          <cell r="CQ79">
            <v>5.1336569811840205E-2</v>
          </cell>
          <cell r="CR79">
            <v>3.799456270565793E-2</v>
          </cell>
          <cell r="CS79">
            <v>4.9966653147852647E-3</v>
          </cell>
          <cell r="CT79">
            <v>2.8844771112862544E-2</v>
          </cell>
          <cell r="CZ79">
            <v>-1.9358307391376894E-2</v>
          </cell>
          <cell r="DF79">
            <v>4.3215099251545652E-2</v>
          </cell>
          <cell r="DH79">
            <v>-7.4999999999999512E-3</v>
          </cell>
          <cell r="DI79">
            <v>-8.1627558662006994E-2</v>
          </cell>
          <cell r="DJ79">
            <v>-8.5810974135847262E-2</v>
          </cell>
          <cell r="DK79">
            <v>-6.1778001004520355E-2</v>
          </cell>
          <cell r="DL79">
            <v>-6.0848950101603072E-2</v>
          </cell>
          <cell r="DN79">
            <v>-4.7579065211307281E-3</v>
          </cell>
          <cell r="DO79">
            <v>-5.191628159826045E-2</v>
          </cell>
          <cell r="DP79">
            <v>-8.1173982020095181E-2</v>
          </cell>
          <cell r="DQ79">
            <v>-8.4225553176302648E-2</v>
          </cell>
          <cell r="DR79">
            <v>-5.126818127178745E-2</v>
          </cell>
          <cell r="DT79">
            <v>-2.8965129358830111E-2</v>
          </cell>
          <cell r="DU79">
            <v>-5.7339449541282672E-4</v>
          </cell>
          <cell r="DV79">
            <v>1.1510791366906581E-3</v>
          </cell>
          <cell r="DW79">
            <v>-2.2408417770849565E-2</v>
          </cell>
          <cell r="DX79">
            <v>-1.3557174532784266E-2</v>
          </cell>
          <cell r="DZ79">
            <v>-4.6915725456125101E-2</v>
          </cell>
          <cell r="EA79">
            <v>-1.4916810097532984E-2</v>
          </cell>
          <cell r="EB79">
            <v>2.012072434607548E-3</v>
          </cell>
          <cell r="EC79">
            <v>7.1756029499701057E-3</v>
          </cell>
          <cell r="ED79">
            <v>-1.0211290218996805E-2</v>
          </cell>
          <cell r="EF79">
            <v>7.8699483439683915E-2</v>
          </cell>
          <cell r="EG79">
            <v>4.2807221898660375E-2</v>
          </cell>
          <cell r="EH79">
            <v>1.1187607573149849E-2</v>
          </cell>
          <cell r="EI79">
            <v>1.3259449831783066E-2</v>
          </cell>
          <cell r="EJ79">
            <v>2.361796003114458E-2</v>
          </cell>
          <cell r="EK79" t="str">
            <v>Sales</v>
          </cell>
          <cell r="EL79">
            <v>2.5633802816901419E-2</v>
          </cell>
          <cell r="EM79">
            <v>1.1728567439262871E-2</v>
          </cell>
          <cell r="EN79">
            <v>0.57588652482269498</v>
          </cell>
          <cell r="EO79">
            <v>0.86933593750000004</v>
          </cell>
          <cell r="EP79">
            <v>0.41924442190669375</v>
          </cell>
          <cell r="ER79">
            <v>0.62867344136226322</v>
          </cell>
          <cell r="ES79">
            <v>0.65470604471432514</v>
          </cell>
          <cell r="ET79">
            <v>5.9585958595859578E-2</v>
          </cell>
          <cell r="EU79">
            <v>-4.3046703583742518E-2</v>
          </cell>
          <cell r="EV79">
            <v>0.20455560518088434</v>
          </cell>
          <cell r="EX79">
            <v>-1.5177065767284503E-3</v>
          </cell>
          <cell r="EY79">
            <v>-1.7180984153461254E-2</v>
          </cell>
          <cell r="EZ79">
            <v>3.397893306150257E-3</v>
          </cell>
          <cell r="FA79">
            <v>-6.1687957200567745E-2</v>
          </cell>
          <cell r="FB79">
            <v>-2.4360400444938812E-2</v>
          </cell>
          <cell r="FD79">
            <v>-2.9386927883803371E-2</v>
          </cell>
          <cell r="FE79">
            <v>-2.9531568228105876E-2</v>
          </cell>
          <cell r="FF79">
            <v>-6.9928885878767333E-2</v>
          </cell>
          <cell r="FG79">
            <v>-7.6797765883174329E-2</v>
          </cell>
          <cell r="FH79">
            <v>-5.4003724394785846E-2</v>
          </cell>
          <cell r="FJ79">
            <v>-7.9867757090655966E-2</v>
          </cell>
          <cell r="FK79">
            <v>-7.5725778244141284E-2</v>
          </cell>
          <cell r="FL79">
            <v>-1.9661387220098359E-2</v>
          </cell>
          <cell r="FM79">
            <v>3.7811948575749987E-4</v>
          </cell>
          <cell r="FN79">
            <v>-4.0053029085650005E-2</v>
          </cell>
          <cell r="FP79">
            <v>5.4084720121028829E-2</v>
          </cell>
          <cell r="FQ79">
            <v>4.7682119205298079E-2</v>
          </cell>
          <cell r="FR79">
            <v>4.4196843082636939E-2</v>
          </cell>
          <cell r="FS79">
            <v>4.182940657679235E-2</v>
          </cell>
          <cell r="FT79">
            <v>4.6369533375183014E-2</v>
          </cell>
          <cell r="FV79">
            <v>5.6512378902045191E-2</v>
          </cell>
          <cell r="FW79">
            <v>7.2602492324363332E-2</v>
          </cell>
          <cell r="FX79">
            <v>4.0903432331495626E-2</v>
          </cell>
          <cell r="FY79">
            <v>5.5024791389527206E-2</v>
          </cell>
          <cell r="FZ79">
            <v>5.60732712074552E-2</v>
          </cell>
          <cell r="GB79">
            <v>4.313126167430803E-2</v>
          </cell>
          <cell r="GC79">
            <v>3.0139754167368249E-2</v>
          </cell>
          <cell r="GD79">
            <v>3.7021467099822347E-2</v>
          </cell>
          <cell r="GE79">
            <v>7.372007776590972E-2</v>
          </cell>
          <cell r="GF79">
            <v>4.8961204520547419E-2</v>
          </cell>
        </row>
        <row r="80">
          <cell r="A80" t="str">
            <v>Gross Profit</v>
          </cell>
          <cell r="C80" t="str">
            <v>--</v>
          </cell>
          <cell r="D80" t="str">
            <v>--</v>
          </cell>
          <cell r="E80" t="str">
            <v>--</v>
          </cell>
          <cell r="F80">
            <v>4.3771275428128309E-3</v>
          </cell>
          <cell r="G80">
            <v>3.6276141877347623E-2</v>
          </cell>
          <cell r="H80">
            <v>-3.2492537908579422E-4</v>
          </cell>
          <cell r="I80">
            <v>3.8822485147063324E-2</v>
          </cell>
          <cell r="K80" t="str">
            <v xml:space="preserve">--  </v>
          </cell>
          <cell r="L80">
            <v>2.4104472873397009E-2</v>
          </cell>
          <cell r="N80" t="str">
            <v>NA</v>
          </cell>
          <cell r="O80">
            <v>4.2862266857962794E-2</v>
          </cell>
          <cell r="P80">
            <v>3.5253654342218388E-2</v>
          </cell>
          <cell r="Q80">
            <v>2.109634551495021E-2</v>
          </cell>
          <cell r="R80">
            <v>4.9780380673499325E-2</v>
          </cell>
          <cell r="S80">
            <v>3.5642336897567128E-2</v>
          </cell>
          <cell r="T80">
            <v>-7.4966332485410736E-2</v>
          </cell>
          <cell r="U80">
            <v>1.0514396635393108E-2</v>
          </cell>
          <cell r="V80">
            <v>-1.6007683688170626E-3</v>
          </cell>
          <cell r="W80">
            <v>3.0944364277697645E-2</v>
          </cell>
          <cell r="X80">
            <v>0.418040435458787</v>
          </cell>
          <cell r="Y80">
            <v>0.2010309278350515</v>
          </cell>
          <cell r="Z80">
            <v>-2.8764496393023475E-2</v>
          </cell>
          <cell r="AA80">
            <v>-7.0797292215118435E-2</v>
          </cell>
          <cell r="AB80">
            <v>-2.6914904381260762E-2</v>
          </cell>
          <cell r="AC80">
            <v>5.843818238535925E-2</v>
          </cell>
          <cell r="AD80">
            <v>4.7941841045289424E-2</v>
          </cell>
          <cell r="AE80">
            <v>5.2283106976051208E-2</v>
          </cell>
          <cell r="AF80">
            <v>3.1446708308341842E-2</v>
          </cell>
          <cell r="AG80">
            <v>2.3016391982823015E-2</v>
          </cell>
          <cell r="AH80">
            <v>7.895213474916396E-3</v>
          </cell>
          <cell r="AI80">
            <v>5.0581747329294657E-3</v>
          </cell>
          <cell r="AJ80">
            <v>1.0000000000000009E-2</v>
          </cell>
          <cell r="AK80">
            <v>1.0000000000000231E-2</v>
          </cell>
          <cell r="AL80">
            <v>9.9999999999997868E-3</v>
          </cell>
          <cell r="AN80" t="str">
            <v>Gross Profit</v>
          </cell>
          <cell r="AU80">
            <v>6.5027775722650283E-3</v>
          </cell>
          <cell r="AV80">
            <v>3.7869418072755012E-2</v>
          </cell>
          <cell r="AW80">
            <v>-3.0220771411390679E-2</v>
          </cell>
          <cell r="AX80">
            <v>-2.6005050197239421E-2</v>
          </cell>
          <cell r="AY80">
            <v>-6.1546985500945395E-3</v>
          </cell>
          <cell r="BA80">
            <v>1.1670352425249941E-2</v>
          </cell>
          <cell r="BB80">
            <v>-1.4845097541082208E-2</v>
          </cell>
          <cell r="BC80">
            <v>7.1156503560925177E-2</v>
          </cell>
          <cell r="BD80">
            <v>0.10090327076774308</v>
          </cell>
          <cell r="BE80">
            <v>4.7257609611369489E-2</v>
          </cell>
          <cell r="BG80">
            <v>-6.9087592369292405E-3</v>
          </cell>
          <cell r="BH80">
            <v>2.1705715691430649E-2</v>
          </cell>
          <cell r="BI80">
            <v>-1.8726483357452972E-2</v>
          </cell>
          <cell r="BJ80">
            <v>4.8290496367902058E-3</v>
          </cell>
          <cell r="BK80">
            <v>-3.249253790856832E-4</v>
          </cell>
          <cell r="BM80">
            <v>1.2928263316267063E-2</v>
          </cell>
          <cell r="BN80">
            <v>3.1783854512606569E-2</v>
          </cell>
          <cell r="BO80">
            <v>4.5363312419325119E-2</v>
          </cell>
          <cell r="BP80">
            <v>5.6808313119516063E-2</v>
          </cell>
          <cell r="BQ80">
            <v>3.8822485147063324E-2</v>
          </cell>
          <cell r="BS80" t="str">
            <v xml:space="preserve"> --  </v>
          </cell>
          <cell r="BT80" t="str">
            <v xml:space="preserve"> --  </v>
          </cell>
          <cell r="BU80" t="str">
            <v xml:space="preserve"> --  </v>
          </cell>
          <cell r="BV80" t="str">
            <v xml:space="preserve"> --  </v>
          </cell>
          <cell r="BW80" t="str">
            <v xml:space="preserve"> --  </v>
          </cell>
          <cell r="BY80">
            <v>8.4989805548514319E-3</v>
          </cell>
          <cell r="BZ80">
            <v>6.1027079338339174E-2</v>
          </cell>
          <cell r="CA80">
            <v>-9.7742085728773631E-3</v>
          </cell>
          <cell r="CC80">
            <v>8.6561262946705408E-2</v>
          </cell>
          <cell r="CD80">
            <v>3.642482383578427E-2</v>
          </cell>
          <cell r="CE80">
            <v>0.1941411403085509</v>
          </cell>
          <cell r="CF80">
            <v>2.4104472873397009E-2</v>
          </cell>
          <cell r="CG80">
            <v>5.9100859621379565E-2</v>
          </cell>
          <cell r="CH80">
            <v>8.2881613838603707E-2</v>
          </cell>
          <cell r="CJ80">
            <v>0.1031062421623441</v>
          </cell>
          <cell r="CK80">
            <v>8.8312916724728296E-2</v>
          </cell>
          <cell r="CL80">
            <v>-3.8526770118407772E-4</v>
          </cell>
          <cell r="CM80">
            <v>-7.2087686537662954E-3</v>
          </cell>
          <cell r="CN80">
            <v>3.6671773517589878E-2</v>
          </cell>
          <cell r="CP80">
            <v>2.8127945059764459E-2</v>
          </cell>
          <cell r="CQ80">
            <v>5.0830517089523797E-2</v>
          </cell>
          <cell r="CR80">
            <v>2.8262914436901099E-2</v>
          </cell>
          <cell r="CS80">
            <v>2.7784685130880504E-3</v>
          </cell>
          <cell r="CT80">
            <v>2.4779188020634502E-2</v>
          </cell>
          <cell r="CV80">
            <v>9.6609808005589937E-3</v>
          </cell>
          <cell r="CW80">
            <v>4.0498966885695431E-2</v>
          </cell>
          <cell r="CX80">
            <v>-3.8617692586529473E-2</v>
          </cell>
          <cell r="CY80">
            <v>2.4693053195915082E-2</v>
          </cell>
          <cell r="CZ80">
            <v>9.7666629158388307E-3</v>
          </cell>
          <cell r="DB80">
            <v>6.8164794007490537E-2</v>
          </cell>
          <cell r="DC80">
            <v>0.19730305180979424</v>
          </cell>
          <cell r="DD80">
            <v>0.1995723449750535</v>
          </cell>
          <cell r="DE80">
            <v>0.23849999999999993</v>
          </cell>
          <cell r="DF80">
            <v>0.18317878639986995</v>
          </cell>
          <cell r="DH80">
            <v>-3.5063113604487661E-3</v>
          </cell>
          <cell r="DI80">
            <v>-0.10729104919976284</v>
          </cell>
          <cell r="DJ80">
            <v>-0.11645870469399877</v>
          </cell>
          <cell r="DK80">
            <v>-8.3972547436415024E-2</v>
          </cell>
          <cell r="DL80">
            <v>-8.1121957926577726E-2</v>
          </cell>
          <cell r="DN80">
            <v>-1.6185784658691027E-2</v>
          </cell>
          <cell r="DO80">
            <v>-9.6945551128818086E-2</v>
          </cell>
          <cell r="DP80">
            <v>-9.8184263618022904E-2</v>
          </cell>
          <cell r="DQ80">
            <v>-0.1092992507712649</v>
          </cell>
          <cell r="DR80">
            <v>-7.4966332485410736E-2</v>
          </cell>
          <cell r="DT80">
            <v>-1.6452074391988591E-2</v>
          </cell>
          <cell r="DU80">
            <v>5.5147058823529438E-2</v>
          </cell>
          <cell r="DV80">
            <v>1.9388516032811332E-2</v>
          </cell>
          <cell r="DW80">
            <v>-8.9064819396338368E-3</v>
          </cell>
          <cell r="DX80">
            <v>1.0514396635393108E-2</v>
          </cell>
          <cell r="DZ80">
            <v>-6.2545454545454571E-2</v>
          </cell>
          <cell r="EA80">
            <v>-1.8118466898954688E-2</v>
          </cell>
          <cell r="EB80">
            <v>2.0482809070958341E-2</v>
          </cell>
          <cell r="EC80">
            <v>3.4448327508736831E-2</v>
          </cell>
          <cell r="ED80">
            <v>-1.6007683688170626E-3</v>
          </cell>
          <cell r="EF80">
            <v>0.11016291698991476</v>
          </cell>
          <cell r="EG80">
            <v>5.2519517388218695E-2</v>
          </cell>
          <cell r="EH80">
            <v>1.6487455197132572E-2</v>
          </cell>
          <cell r="EI80">
            <v>1.2548262548262468E-2</v>
          </cell>
          <cell r="EJ80">
            <v>3.0944364277697645E-2</v>
          </cell>
          <cell r="EK80" t="str">
            <v>Gross Profit</v>
          </cell>
          <cell r="EL80">
            <v>2.3759608665268939E-2</v>
          </cell>
          <cell r="EM80">
            <v>9.4403236682401026E-3</v>
          </cell>
          <cell r="EN80">
            <v>0.58180535966149516</v>
          </cell>
          <cell r="EO80">
            <v>0.86510962821734982</v>
          </cell>
          <cell r="EP80">
            <v>0.418040435458787</v>
          </cell>
          <cell r="ER80">
            <v>0.57201365187713304</v>
          </cell>
          <cell r="ES80">
            <v>0.6867067468269874</v>
          </cell>
          <cell r="ET80">
            <v>5.7958091841284087E-2</v>
          </cell>
          <cell r="EU80">
            <v>-4.1656018400204498E-2</v>
          </cell>
          <cell r="EV80">
            <v>0.2010309278350515</v>
          </cell>
          <cell r="EX80">
            <v>2.3447676943117779E-2</v>
          </cell>
          <cell r="EY80">
            <v>-5.5445544554455495E-2</v>
          </cell>
          <cell r="EZ80">
            <v>-2.1913190054782983E-2</v>
          </cell>
          <cell r="FA80">
            <v>-4.720000000000002E-2</v>
          </cell>
          <cell r="FB80">
            <v>-2.8764496393023475E-2</v>
          </cell>
          <cell r="FD80">
            <v>-5.8124734832414093E-2</v>
          </cell>
          <cell r="FE80">
            <v>-5.4507337526205069E-3</v>
          </cell>
          <cell r="FF80">
            <v>-6.5489013356311965E-2</v>
          </cell>
          <cell r="FG80">
            <v>-0.12622446123705566</v>
          </cell>
          <cell r="FH80">
            <v>-7.0797292215118435E-2</v>
          </cell>
          <cell r="FJ80">
            <v>-9.5045045045045073E-2</v>
          </cell>
          <cell r="FK80">
            <v>-8.6003372681281665E-2</v>
          </cell>
          <cell r="FL80">
            <v>-1.152604887044717E-2</v>
          </cell>
          <cell r="FM80">
            <v>5.5733504163997472E-2</v>
          </cell>
          <cell r="FN80">
            <v>-2.6914904381260762E-2</v>
          </cell>
          <cell r="FP80">
            <v>9.3081134892981643E-2</v>
          </cell>
          <cell r="FQ80">
            <v>7.1494464944649394E-2</v>
          </cell>
          <cell r="FR80">
            <v>4.7574626865671599E-2</v>
          </cell>
          <cell r="FS80">
            <v>3.5800970873786309E-2</v>
          </cell>
          <cell r="FT80">
            <v>5.843818238535925E-2</v>
          </cell>
          <cell r="FV80">
            <v>4.8724954462659342E-2</v>
          </cell>
          <cell r="FW80">
            <v>6.8445975032285888E-2</v>
          </cell>
          <cell r="FX80">
            <v>2.8049866429207482E-2</v>
          </cell>
          <cell r="FY80">
            <v>4.6572934973637903E-2</v>
          </cell>
          <cell r="FZ80">
            <v>4.7941841045289424E-2</v>
          </cell>
          <cell r="GB80">
            <v>3.6039947894051183E-2</v>
          </cell>
          <cell r="GC80">
            <v>3.2634971796937862E-2</v>
          </cell>
          <cell r="GD80">
            <v>4.0964529018576501E-2</v>
          </cell>
          <cell r="GE80">
            <v>8.3715870307765616E-2</v>
          </cell>
          <cell r="GF80">
            <v>5.2283106976051208E-2</v>
          </cell>
        </row>
        <row r="81">
          <cell r="A81" t="str">
            <v>SG&amp;A Expenses</v>
          </cell>
          <cell r="C81" t="str">
            <v>--</v>
          </cell>
          <cell r="D81" t="str">
            <v>--</v>
          </cell>
          <cell r="E81" t="str">
            <v>--</v>
          </cell>
          <cell r="F81">
            <v>-5.8849835020142849E-2</v>
          </cell>
          <cell r="G81">
            <v>-1.5232729947342261E-2</v>
          </cell>
          <cell r="H81">
            <v>-3.021377428858929E-2</v>
          </cell>
          <cell r="I81">
            <v>-8.3061205190442244E-3</v>
          </cell>
          <cell r="K81" t="str">
            <v xml:space="preserve">--  </v>
          </cell>
          <cell r="L81">
            <v>-3.9988014314258802E-2</v>
          </cell>
          <cell r="N81" t="str">
            <v>NA</v>
          </cell>
          <cell r="O81">
            <v>1.8318746183594303E-3</v>
          </cell>
          <cell r="P81">
            <v>-4.937017472572125E-2</v>
          </cell>
          <cell r="Q81">
            <v>2.7783714468903042E-3</v>
          </cell>
          <cell r="R81">
            <v>1.449275362318847E-2</v>
          </cell>
          <cell r="S81">
            <v>3.1932773109243806E-2</v>
          </cell>
          <cell r="T81">
            <v>-2.157980456026054E-2</v>
          </cell>
          <cell r="U81">
            <v>6.2421972534332237E-3</v>
          </cell>
          <cell r="V81">
            <v>2.0678246484706619E-4</v>
          </cell>
          <cell r="W81">
            <v>1.9433533181724139E-2</v>
          </cell>
          <cell r="X81">
            <v>0.41553437436625429</v>
          </cell>
          <cell r="Y81">
            <v>0.24326647564469916</v>
          </cell>
          <cell r="Z81">
            <v>-1.4289006683567695E-2</v>
          </cell>
          <cell r="AA81">
            <v>-1.1222819733458067E-2</v>
          </cell>
          <cell r="AB81">
            <v>-3.4878221801844411E-2</v>
          </cell>
          <cell r="AC81">
            <v>1.1882886193801401E-2</v>
          </cell>
          <cell r="AD81">
            <v>2.5423728813558366E-3</v>
          </cell>
          <cell r="AE81">
            <v>3.2895457056668631E-2</v>
          </cell>
          <cell r="AF81">
            <v>2.8840556723293442E-2</v>
          </cell>
          <cell r="AG81">
            <v>1.5986747937983381E-2</v>
          </cell>
          <cell r="AH81">
            <v>7.0944938127868173E-3</v>
          </cell>
          <cell r="AI81">
            <v>6.7240930267471466E-3</v>
          </cell>
          <cell r="AJ81">
            <v>6.7134331383311707E-3</v>
          </cell>
          <cell r="AK81">
            <v>6.7027036483089386E-3</v>
          </cell>
          <cell r="AL81">
            <v>6.691903872772631E-3</v>
          </cell>
          <cell r="AN81" t="str">
            <v>SG&amp;A Expenses</v>
          </cell>
          <cell r="AU81">
            <v>-1.7970858333921758E-2</v>
          </cell>
          <cell r="AV81">
            <v>-4.3370859777825732E-2</v>
          </cell>
          <cell r="AW81">
            <v>-4.885680233851819E-2</v>
          </cell>
          <cell r="AX81">
            <v>-0.10812646337956822</v>
          </cell>
          <cell r="AY81">
            <v>-5.6935471396727388E-2</v>
          </cell>
          <cell r="BA81">
            <v>-5.9676054312083893E-2</v>
          </cell>
          <cell r="BB81">
            <v>-5.4336787028889333E-2</v>
          </cell>
          <cell r="BC81">
            <v>-1.490662329650605E-2</v>
          </cell>
          <cell r="BD81">
            <v>5.3097970099575953E-2</v>
          </cell>
          <cell r="BE81">
            <v>-1.7231747598988156E-2</v>
          </cell>
          <cell r="BG81">
            <v>-1.1720049306384261E-2</v>
          </cell>
          <cell r="BH81">
            <v>-3.149411479950881E-2</v>
          </cell>
          <cell r="BI81">
            <v>-1.6592873571444899E-2</v>
          </cell>
          <cell r="BJ81">
            <v>-5.6537813361945743E-2</v>
          </cell>
          <cell r="BK81">
            <v>-3.021377428858929E-2</v>
          </cell>
          <cell r="BM81">
            <v>-2.4337214952934727E-2</v>
          </cell>
          <cell r="BN81">
            <v>-9.9927988167103354E-3</v>
          </cell>
          <cell r="BO81">
            <v>1.1548493915620961E-2</v>
          </cell>
          <cell r="BP81">
            <v>-1.1683246647691825E-2</v>
          </cell>
          <cell r="BQ81">
            <v>-8.3061205190442244E-3</v>
          </cell>
          <cell r="BS81" t="str">
            <v xml:space="preserve"> --  </v>
          </cell>
          <cell r="BT81" t="str">
            <v xml:space="preserve"> --  </v>
          </cell>
          <cell r="BU81" t="str">
            <v xml:space="preserve"> --  </v>
          </cell>
          <cell r="BV81" t="str">
            <v xml:space="preserve"> --  </v>
          </cell>
          <cell r="BW81" t="str">
            <v xml:space="preserve"> --  </v>
          </cell>
          <cell r="BY81">
            <v>-2.3332298817000052E-2</v>
          </cell>
          <cell r="BZ81">
            <v>-1.4777138934813694E-2</v>
          </cell>
          <cell r="CA81">
            <v>-6.3667545852863383E-2</v>
          </cell>
          <cell r="CC81">
            <v>7.8699904820596966E-2</v>
          </cell>
          <cell r="CD81">
            <v>-5.4079481346700597E-2</v>
          </cell>
          <cell r="CE81">
            <v>7.0586242424796719E-2</v>
          </cell>
          <cell r="CF81">
            <v>-3.9988014314258802E-2</v>
          </cell>
          <cell r="CG81">
            <v>-6.2629764467387883E-3</v>
          </cell>
          <cell r="CH81">
            <v>3.0267979016805002E-2</v>
          </cell>
          <cell r="CJ81">
            <v>7.7672135100503858E-2</v>
          </cell>
          <cell r="CK81">
            <v>4.3166552266297842E-2</v>
          </cell>
          <cell r="CL81">
            <v>-6.9022795685438454E-2</v>
          </cell>
          <cell r="CM81">
            <v>-3.8207828109723896E-2</v>
          </cell>
          <cell r="CN81">
            <v>-2.0739918931514945E-3</v>
          </cell>
          <cell r="CP81">
            <v>1.8299922380784928E-2</v>
          </cell>
          <cell r="CQ81">
            <v>2.5416882109617456E-2</v>
          </cell>
          <cell r="CR81">
            <v>3.1718659615083133E-3</v>
          </cell>
          <cell r="CS81">
            <v>-3.4978053520589136E-2</v>
          </cell>
          <cell r="CT81">
            <v>1.7467615690507365E-3</v>
          </cell>
          <cell r="CV81">
            <v>-1.7174743605248288E-2</v>
          </cell>
          <cell r="CW81">
            <v>-2.6087763438265021E-4</v>
          </cell>
          <cell r="CX81">
            <v>-3.8103199943595567E-2</v>
          </cell>
          <cell r="CY81">
            <v>8.9595609007990795E-3</v>
          </cell>
          <cell r="CZ81">
            <v>-1.1536290016769368E-2</v>
          </cell>
          <cell r="DB81">
            <v>4.0727902946273931E-2</v>
          </cell>
          <cell r="DC81">
            <v>0.19877408056042034</v>
          </cell>
          <cell r="DD81">
            <v>0.20506108202443274</v>
          </cell>
          <cell r="DE81">
            <v>0.29679999999999995</v>
          </cell>
          <cell r="DF81">
            <v>0.18755328218243816</v>
          </cell>
          <cell r="DH81">
            <v>-4.079933388842627E-2</v>
          </cell>
          <cell r="DI81">
            <v>-0.19357195032870711</v>
          </cell>
          <cell r="DJ81">
            <v>-0.11803041274438808</v>
          </cell>
          <cell r="DK81">
            <v>-0.1128932757557064</v>
          </cell>
          <cell r="DL81">
            <v>-0.1184493898061737</v>
          </cell>
          <cell r="DN81">
            <v>1.388888888888884E-2</v>
          </cell>
          <cell r="DO81">
            <v>1.8115942028984477E-3</v>
          </cell>
          <cell r="DP81">
            <v>-2.7093596059113323E-2</v>
          </cell>
          <cell r="DQ81">
            <v>-0.10639777468706535</v>
          </cell>
          <cell r="DR81">
            <v>-2.157980456026054E-2</v>
          </cell>
          <cell r="DT81">
            <v>-1.1986301369863006E-2</v>
          </cell>
          <cell r="DU81">
            <v>2.6220614828209809E-2</v>
          </cell>
          <cell r="DV81">
            <v>-5.0632911392405333E-3</v>
          </cell>
          <cell r="DW81">
            <v>1.2451361867704236E-2</v>
          </cell>
          <cell r="DX81">
            <v>6.2421972534332237E-3</v>
          </cell>
          <cell r="DZ81">
            <v>-1.6464471403812797E-2</v>
          </cell>
          <cell r="EA81">
            <v>0</v>
          </cell>
          <cell r="EB81">
            <v>1.187446988973706E-2</v>
          </cell>
          <cell r="EC81">
            <v>7.6863950807082304E-4</v>
          </cell>
          <cell r="ED81">
            <v>2.0678246484706619E-4</v>
          </cell>
          <cell r="EF81">
            <v>5.2863436123347984E-2</v>
          </cell>
          <cell r="EG81">
            <v>6.3436123348017626E-2</v>
          </cell>
          <cell r="EH81">
            <v>1.1735121542330251E-2</v>
          </cell>
          <cell r="EI81">
            <v>1.5360983102918668E-2</v>
          </cell>
          <cell r="EJ81">
            <v>1.9433533181724139E-2</v>
          </cell>
          <cell r="EK81" t="str">
            <v>SG&amp;A Expenses</v>
          </cell>
          <cell r="EL81">
            <v>1.5062761506276168E-2</v>
          </cell>
          <cell r="EM81">
            <v>-8.2850041425019949E-4</v>
          </cell>
          <cell r="EN81">
            <v>0.63463131731565858</v>
          </cell>
          <cell r="EO81">
            <v>0.95763993948562787</v>
          </cell>
          <cell r="EP81">
            <v>0.41553437436625429</v>
          </cell>
          <cell r="ER81">
            <v>0.77576257213520194</v>
          </cell>
          <cell r="ES81">
            <v>0.75538971807628519</v>
          </cell>
          <cell r="ET81">
            <v>6.1327927014698469E-2</v>
          </cell>
          <cell r="EU81">
            <v>-0.10625965996908815</v>
          </cell>
          <cell r="EV81">
            <v>0.24326647564469916</v>
          </cell>
          <cell r="EX81">
            <v>-1.9034354688950761E-2</v>
          </cell>
          <cell r="EY81">
            <v>-3.7316957959376507E-2</v>
          </cell>
          <cell r="EZ81">
            <v>1.2893982808023008E-2</v>
          </cell>
          <cell r="FA81">
            <v>-1.3402507565931643E-2</v>
          </cell>
          <cell r="FB81">
            <v>-1.4289006683567695E-2</v>
          </cell>
          <cell r="FD81">
            <v>-1.5617605300520587E-2</v>
          </cell>
          <cell r="FE81">
            <v>-4.906771344455052E-4</v>
          </cell>
          <cell r="FF81">
            <v>-1.6973125884017004E-2</v>
          </cell>
          <cell r="FG81">
            <v>-1.1393514460999121E-2</v>
          </cell>
          <cell r="FH81">
            <v>-1.1222819733458067E-2</v>
          </cell>
          <cell r="FJ81">
            <v>-4.5673076923076872E-2</v>
          </cell>
          <cell r="FK81">
            <v>-7.4128620520373056E-2</v>
          </cell>
          <cell r="FL81">
            <v>-1.3908872901678637E-2</v>
          </cell>
          <cell r="FM81">
            <v>-8.8652482269503396E-3</v>
          </cell>
          <cell r="FN81">
            <v>-3.4878221801844411E-2</v>
          </cell>
          <cell r="FP81">
            <v>4.0302267002518821E-3</v>
          </cell>
          <cell r="FQ81">
            <v>3.5524920466595944E-2</v>
          </cell>
          <cell r="FR81">
            <v>6.3229571984435573E-3</v>
          </cell>
          <cell r="FS81">
            <v>4.025044722719251E-3</v>
          </cell>
          <cell r="FT81">
            <v>1.1882886193801401E-2</v>
          </cell>
          <cell r="FV81">
            <v>-1.003512293025588E-2</v>
          </cell>
          <cell r="FW81">
            <v>1.177675371223752E-2</v>
          </cell>
          <cell r="FX81">
            <v>-2.4649589173513786E-2</v>
          </cell>
          <cell r="FY81">
            <v>3.0734966592427693E-2</v>
          </cell>
          <cell r="FZ81">
            <v>2.5423728813558366E-3</v>
          </cell>
          <cell r="GB81">
            <v>1.1150532184490691E-2</v>
          </cell>
          <cell r="GC81">
            <v>1.6700404858299489E-2</v>
          </cell>
          <cell r="GD81">
            <v>5.1542171941152182E-2</v>
          </cell>
          <cell r="GE81">
            <v>4.9003965820669126E-2</v>
          </cell>
          <cell r="GF81">
            <v>3.2895457056668631E-2</v>
          </cell>
        </row>
        <row r="82">
          <cell r="A82" t="str">
            <v>EBITDA</v>
          </cell>
          <cell r="C82" t="str">
            <v>--</v>
          </cell>
          <cell r="D82" t="str">
            <v>--</v>
          </cell>
          <cell r="E82" t="str">
            <v>--</v>
          </cell>
          <cell r="F82" t="str">
            <v>NM</v>
          </cell>
          <cell r="G82">
            <v>0.25511948219509839</v>
          </cell>
          <cell r="H82">
            <v>0.11579253029559311</v>
          </cell>
          <cell r="I82">
            <v>0.24208657072438222</v>
          </cell>
          <cell r="K82" t="str">
            <v xml:space="preserve">--  </v>
          </cell>
          <cell r="L82">
            <v>0.19104509304457218</v>
          </cell>
          <cell r="N82" t="str">
            <v>NA</v>
          </cell>
          <cell r="O82">
            <v>0.22931034482758617</v>
          </cell>
          <cell r="P82">
            <v>0.3541374474053296</v>
          </cell>
          <cell r="Q82">
            <v>7.6644225789746168E-2</v>
          </cell>
          <cell r="R82">
            <v>0.13419913419913421</v>
          </cell>
          <cell r="S82">
            <v>2.714164546225617E-2</v>
          </cell>
          <cell r="T82">
            <v>-0.14739884393063585</v>
          </cell>
          <cell r="U82">
            <v>1.2590799031477085E-2</v>
          </cell>
          <cell r="V82">
            <v>9.0865614538497841E-3</v>
          </cell>
          <cell r="W82">
            <v>5.9715639810426602E-2</v>
          </cell>
          <cell r="X82">
            <v>0.39355992844364929</v>
          </cell>
          <cell r="Y82">
            <v>0.13543003851091151</v>
          </cell>
          <cell r="Z82">
            <v>-4.2962125494629744E-2</v>
          </cell>
          <cell r="AA82">
            <v>-0.20171293561724746</v>
          </cell>
          <cell r="AB82">
            <v>-1.442841287458374E-2</v>
          </cell>
          <cell r="AC82">
            <v>0.15202702702702697</v>
          </cell>
          <cell r="AD82">
            <v>0.13098729227761496</v>
          </cell>
          <cell r="AE82">
            <v>7.4451148577618476E-2</v>
          </cell>
          <cell r="AF82">
            <v>3.5273448529756779E-2</v>
          </cell>
          <cell r="AG82">
            <v>3.7987838047570444E-2</v>
          </cell>
          <cell r="AH82">
            <v>1.0360976857346715E-2</v>
          </cell>
          <cell r="AI82">
            <v>2.7152968378332254E-3</v>
          </cell>
          <cell r="AJ82">
            <v>1.7337626360135916E-2</v>
          </cell>
          <cell r="AK82">
            <v>1.7284703162167681E-2</v>
          </cell>
          <cell r="AL82">
            <v>1.7232537922685198E-2</v>
          </cell>
          <cell r="AN82" t="str">
            <v>EBITDA</v>
          </cell>
          <cell r="AU82" t="str">
            <v xml:space="preserve">NM  </v>
          </cell>
          <cell r="AV82" t="str">
            <v xml:space="preserve">NM  </v>
          </cell>
          <cell r="AW82" t="str">
            <v xml:space="preserve">NM  </v>
          </cell>
          <cell r="AX82" t="str">
            <v xml:space="preserve">NM  </v>
          </cell>
          <cell r="AY82" t="str">
            <v xml:space="preserve">NM  </v>
          </cell>
          <cell r="BA82">
            <v>0.30715301767933378</v>
          </cell>
          <cell r="BB82">
            <v>0.19582595632813016</v>
          </cell>
          <cell r="BC82">
            <v>0.44399266930912384</v>
          </cell>
          <cell r="BD82">
            <v>0.17898938622800387</v>
          </cell>
          <cell r="BE82">
            <v>0.26654996817313736</v>
          </cell>
          <cell r="BG82">
            <v>1.1949263328975057E-2</v>
          </cell>
          <cell r="BH82">
            <v>0.32806541343263529</v>
          </cell>
          <cell r="BI82">
            <v>-2.3925337363195243E-2</v>
          </cell>
          <cell r="BJ82">
            <v>0.16753388482697118</v>
          </cell>
          <cell r="BK82">
            <v>0.10749585674199169</v>
          </cell>
          <cell r="BM82">
            <v>0.17663366060081342</v>
          </cell>
          <cell r="BN82">
            <v>0.24957560913812671</v>
          </cell>
          <cell r="BO82">
            <v>0.18270446147240116</v>
          </cell>
          <cell r="BP82">
            <v>0.21384022994739493</v>
          </cell>
          <cell r="BQ82">
            <v>0.20540555871441057</v>
          </cell>
          <cell r="BS82" t="str">
            <v xml:space="preserve"> --  </v>
          </cell>
          <cell r="BT82" t="str">
            <v xml:space="preserve"> --  </v>
          </cell>
          <cell r="BU82" t="str">
            <v xml:space="preserve"> --  </v>
          </cell>
          <cell r="BV82" t="str">
            <v xml:space="preserve"> --  </v>
          </cell>
          <cell r="BW82" t="str">
            <v xml:space="preserve"> --  </v>
          </cell>
          <cell r="BY82">
            <v>7.2504330246708326E-2</v>
          </cell>
          <cell r="BZ82">
            <v>0.36575001727354395</v>
          </cell>
          <cell r="CA82">
            <v>0.18887628568682002</v>
          </cell>
          <cell r="CC82">
            <v>7.0314332404113333E-2</v>
          </cell>
          <cell r="CD82">
            <v>0.18944747525482786</v>
          </cell>
          <cell r="CE82">
            <v>0.25587278221762366</v>
          </cell>
          <cell r="CF82">
            <v>0.19104509304457218</v>
          </cell>
          <cell r="CG82">
            <v>0.23296276515129999</v>
          </cell>
          <cell r="CH82">
            <v>0.19849724971248839</v>
          </cell>
          <cell r="CJ82">
            <v>0.26127542683937688</v>
          </cell>
          <cell r="CK82">
            <v>0.29837098120557481</v>
          </cell>
          <cell r="CL82">
            <v>0.31803910016453618</v>
          </cell>
          <cell r="CM82">
            <v>4.8110886426154353E-2</v>
          </cell>
          <cell r="CN82">
            <v>0.17340990038484327</v>
          </cell>
          <cell r="CP82">
            <v>0.1030069993090823</v>
          </cell>
          <cell r="CQ82">
            <v>0.16002480753058013</v>
          </cell>
          <cell r="CR82">
            <v>0.13307730885383018</v>
          </cell>
          <cell r="CS82">
            <v>8.8538170625890755E-2</v>
          </cell>
          <cell r="CT82">
            <v>0.11286355453001029</v>
          </cell>
          <cell r="CV82">
            <v>0.14385315104308449</v>
          </cell>
          <cell r="CW82">
            <v>0.18403152938805323</v>
          </cell>
          <cell r="CX82">
            <v>-4.1302135827978592E-3</v>
          </cell>
          <cell r="CY82">
            <v>4.8178009780680986E-2</v>
          </cell>
          <cell r="CZ82">
            <v>7.6604083120670463E-2</v>
          </cell>
          <cell r="DB82">
            <v>0.18452380952380953</v>
          </cell>
          <cell r="DC82">
            <v>0.19385342789598115</v>
          </cell>
          <cell r="DD82">
            <v>0.1908212560386473</v>
          </cell>
          <cell r="DE82">
            <v>0.15121412803532008</v>
          </cell>
          <cell r="DF82">
            <v>0.17316017316017307</v>
          </cell>
          <cell r="DH82" t="str">
            <v>NA</v>
          </cell>
          <cell r="DI82" t="str">
            <v>NA</v>
          </cell>
          <cell r="DJ82" t="str">
            <v>NA</v>
          </cell>
          <cell r="DK82" t="str">
            <v>NA</v>
          </cell>
          <cell r="DL82" t="str">
            <v>NA</v>
          </cell>
          <cell r="DN82">
            <v>-0.10135135135135132</v>
          </cell>
          <cell r="DO82">
            <v>-0.26736111111111116</v>
          </cell>
          <cell r="DP82">
            <v>-0.26008968609865468</v>
          </cell>
          <cell r="DQ82">
            <v>-8.3249749247743199E-2</v>
          </cell>
          <cell r="DR82">
            <v>-0.14739884393063585</v>
          </cell>
          <cell r="DT82">
            <v>-3.2581453634085267E-2</v>
          </cell>
          <cell r="DU82">
            <v>0.1090047393364928</v>
          </cell>
          <cell r="DV82">
            <v>7.575757575757569E-2</v>
          </cell>
          <cell r="DW82">
            <v>-3.5010940919037226E-2</v>
          </cell>
          <cell r="DX82">
            <v>1.2590799031477085E-2</v>
          </cell>
          <cell r="DZ82">
            <v>-0.13471502590673579</v>
          </cell>
          <cell r="EA82">
            <v>-4.4871794871794823E-2</v>
          </cell>
          <cell r="EB82">
            <v>6.4788732394366111E-2</v>
          </cell>
          <cell r="EC82">
            <v>7.8231292517006779E-2</v>
          </cell>
          <cell r="ED82">
            <v>9.0865614538497841E-3</v>
          </cell>
          <cell r="EF82">
            <v>0.23652694610778435</v>
          </cell>
          <cell r="EG82">
            <v>1.5659955257270708E-2</v>
          </cell>
          <cell r="EH82">
            <v>2.9100529100529071E-2</v>
          </cell>
          <cell r="EI82">
            <v>3.0494216614090464E-2</v>
          </cell>
          <cell r="EJ82">
            <v>5.9715639810426602E-2</v>
          </cell>
          <cell r="EK82" t="str">
            <v>EBITDA</v>
          </cell>
          <cell r="EL82">
            <v>3.874092009685226E-2</v>
          </cell>
          <cell r="EM82">
            <v>3.3039647577092435E-2</v>
          </cell>
          <cell r="EN82">
            <v>0.45244215938303345</v>
          </cell>
          <cell r="EO82">
            <v>0.68673469387755093</v>
          </cell>
          <cell r="EP82">
            <v>0.39355992844364929</v>
          </cell>
          <cell r="ER82">
            <v>8.3916083916083961E-2</v>
          </cell>
          <cell r="ES82">
            <v>0.53944562899786774</v>
          </cell>
          <cell r="ET82">
            <v>5.1327433628318486E-2</v>
          </cell>
          <cell r="EU82">
            <v>6.291591046581968E-2</v>
          </cell>
          <cell r="EV82">
            <v>0.13543003851091151</v>
          </cell>
          <cell r="EX82">
            <v>0.23225806451612896</v>
          </cell>
          <cell r="EY82">
            <v>-6.6481994459833826E-2</v>
          </cell>
          <cell r="EZ82">
            <v>-0.12289562289562295</v>
          </cell>
          <cell r="FA82">
            <v>-7.9112122936824125E-2</v>
          </cell>
          <cell r="FB82">
            <v>-4.2962125494629744E-2</v>
          </cell>
          <cell r="FD82">
            <v>-0.20593368237347298</v>
          </cell>
          <cell r="FE82">
            <v>-3.5608308605341255E-2</v>
          </cell>
          <cell r="FF82">
            <v>-0.22456813819577737</v>
          </cell>
          <cell r="FG82">
            <v>-0.26205191594561184</v>
          </cell>
          <cell r="FH82">
            <v>-0.20171293561724746</v>
          </cell>
          <cell r="FJ82">
            <v>-0.28131868131868132</v>
          </cell>
          <cell r="FK82">
            <v>-0.10307692307692307</v>
          </cell>
          <cell r="FL82">
            <v>-3.7128712871287162E-2</v>
          </cell>
          <cell r="FM82">
            <v>0.14321608040200995</v>
          </cell>
          <cell r="FN82">
            <v>-1.442841287458374E-2</v>
          </cell>
          <cell r="FP82">
            <v>0.49847094801223246</v>
          </cell>
          <cell r="FQ82">
            <v>0.12864493996569459</v>
          </cell>
          <cell r="FR82">
            <v>0.2005141388174807</v>
          </cell>
          <cell r="FS82">
            <v>6.5201465201465192E-2</v>
          </cell>
          <cell r="FT82">
            <v>0.15202702702702697</v>
          </cell>
          <cell r="FV82">
            <v>0.2204081632653061</v>
          </cell>
          <cell r="FW82">
            <v>0.17629179331306988</v>
          </cell>
          <cell r="FX82">
            <v>0.2269807280513918</v>
          </cell>
          <cell r="FY82">
            <v>4.9518569463548934E-2</v>
          </cell>
          <cell r="FZ82">
            <v>0.13098729227761496</v>
          </cell>
          <cell r="GB82">
            <v>8.1939799331103735E-2</v>
          </cell>
          <cell r="GC82">
            <v>4.7803617571059442E-2</v>
          </cell>
          <cell r="GD82">
            <v>-2.7896948954977407E-2</v>
          </cell>
          <cell r="GE82">
            <v>0.12346322966193712</v>
          </cell>
          <cell r="GF82">
            <v>7.4451148577618476E-2</v>
          </cell>
        </row>
        <row r="83">
          <cell r="A83" t="str">
            <v>Operating Income</v>
          </cell>
          <cell r="C83" t="str">
            <v>--</v>
          </cell>
          <cell r="D83" t="str">
            <v>--</v>
          </cell>
          <cell r="E83" t="str">
            <v>--</v>
          </cell>
          <cell r="F83">
            <v>1.2260584584199381</v>
          </cell>
          <cell r="G83">
            <v>0.45706091331758403</v>
          </cell>
          <cell r="H83">
            <v>0.16469753714355728</v>
          </cell>
          <cell r="I83">
            <v>0.25548377242026232</v>
          </cell>
          <cell r="K83" t="str">
            <v xml:space="preserve">--  </v>
          </cell>
          <cell r="L83">
            <v>0.4567216509641896</v>
          </cell>
          <cell r="N83" t="str">
            <v>NA</v>
          </cell>
          <cell r="O83">
            <v>0.3469079939668176</v>
          </cell>
          <cell r="P83">
            <v>0.50167973124300103</v>
          </cell>
          <cell r="Q83">
            <v>8.5011185682326573E-2</v>
          </cell>
          <cell r="R83">
            <v>0.16357388316151211</v>
          </cell>
          <cell r="S83">
            <v>4.6072061429415223E-2</v>
          </cell>
          <cell r="T83">
            <v>-0.2230378317334839</v>
          </cell>
          <cell r="U83">
            <v>2.5436046511627897E-2</v>
          </cell>
          <cell r="V83">
            <v>-7.795889440113446E-3</v>
          </cell>
          <cell r="W83">
            <v>7.071428571428573E-2</v>
          </cell>
          <cell r="X83">
            <v>0.42628418945963986</v>
          </cell>
          <cell r="Y83">
            <v>6.3143124415341534E-2</v>
          </cell>
          <cell r="Z83">
            <v>-8.4029916410030769E-2</v>
          </cell>
          <cell r="AA83">
            <v>-0.31556195965417866</v>
          </cell>
          <cell r="AB83">
            <v>2.0350877192982564E-2</v>
          </cell>
          <cell r="AC83">
            <v>0.31980742778541948</v>
          </cell>
          <cell r="AD83">
            <v>0.24335591453882222</v>
          </cell>
          <cell r="AE83">
            <v>0.11957109062333027</v>
          </cell>
          <cell r="AF83">
            <v>3.9791523239996573E-2</v>
          </cell>
          <cell r="AG83">
            <v>4.528803078121646E-2</v>
          </cell>
          <cell r="AH83">
            <v>1.0360976857346937E-2</v>
          </cell>
          <cell r="AI83">
            <v>-5.5325270158723683E-5</v>
          </cell>
          <cell r="AJ83">
            <v>2.0156440430671108E-2</v>
          </cell>
          <cell r="AK83">
            <v>2.005532527015963E-2</v>
          </cell>
          <cell r="AL83">
            <v>1.9956203620788981E-2</v>
          </cell>
          <cell r="AN83" t="str">
            <v>Operating Income</v>
          </cell>
          <cell r="AU83">
            <v>0.56987295825771134</v>
          </cell>
          <cell r="AV83" t="str">
            <v xml:space="preserve">NM  </v>
          </cell>
          <cell r="AW83">
            <v>0.258731509050524</v>
          </cell>
          <cell r="AX83">
            <v>0.53731133005851817</v>
          </cell>
          <cell r="AY83">
            <v>0.97503939396181427</v>
          </cell>
          <cell r="BA83">
            <v>1.039041425818882</v>
          </cell>
          <cell r="BB83">
            <v>2.7225290868492564</v>
          </cell>
          <cell r="BC83">
            <v>1.0794863611616914</v>
          </cell>
          <cell r="BD83">
            <v>0.29114836628460927</v>
          </cell>
          <cell r="BE83">
            <v>0.64224712703953801</v>
          </cell>
          <cell r="BG83">
            <v>2.5041046054262051E-2</v>
          </cell>
          <cell r="BH83">
            <v>0.95848460931334034</v>
          </cell>
          <cell r="BI83">
            <v>-3.0568395204390919E-2</v>
          </cell>
          <cell r="BJ83">
            <v>0.20401741352387148</v>
          </cell>
          <cell r="BK83">
            <v>0.16469753714355861</v>
          </cell>
          <cell r="BM83">
            <v>0.25151818946543703</v>
          </cell>
          <cell r="BN83">
            <v>0.39556701861852006</v>
          </cell>
          <cell r="BO83">
            <v>0.23574714570412225</v>
          </cell>
          <cell r="BP83">
            <v>0.23101259604236768</v>
          </cell>
          <cell r="BQ83">
            <v>0.25548377242026232</v>
          </cell>
          <cell r="BS83" t="str">
            <v xml:space="preserve"> --  </v>
          </cell>
          <cell r="BT83" t="str">
            <v xml:space="preserve"> --  </v>
          </cell>
          <cell r="BU83" t="str">
            <v xml:space="preserve"> --  </v>
          </cell>
          <cell r="BV83" t="str">
            <v xml:space="preserve"> --  </v>
          </cell>
          <cell r="BW83" t="str">
            <v xml:space="preserve"> --  </v>
          </cell>
          <cell r="BY83">
            <v>0.58488289449760744</v>
          </cell>
          <cell r="BZ83">
            <v>2.6225838633246044</v>
          </cell>
          <cell r="CA83">
            <v>0.5039048962321151</v>
          </cell>
          <cell r="CC83">
            <v>0.16149103364900097</v>
          </cell>
          <cell r="CD83">
            <v>0.2784946444162697</v>
          </cell>
          <cell r="CE83">
            <v>0.34232616609710487</v>
          </cell>
          <cell r="CF83">
            <v>0.4567216509641896</v>
          </cell>
          <cell r="CG83">
            <v>0.50029950161174308</v>
          </cell>
          <cell r="CH83">
            <v>0.43801781192470157</v>
          </cell>
          <cell r="CJ83">
            <v>0.38691376307528902</v>
          </cell>
          <cell r="CK83">
            <v>0.50321864403862304</v>
          </cell>
          <cell r="CL83">
            <v>0.60719440435217531</v>
          </cell>
          <cell r="CM83">
            <v>5.8918948290300976E-2</v>
          </cell>
          <cell r="CN83">
            <v>0.22404468977879466</v>
          </cell>
          <cell r="CP83">
            <v>0.11334190559979795</v>
          </cell>
          <cell r="CQ83">
            <v>0.21290884004786315</v>
          </cell>
          <cell r="CR83">
            <v>0.15691921110803886</v>
          </cell>
          <cell r="CS83">
            <v>7.5933720802124238E-2</v>
          </cell>
          <cell r="CT83">
            <v>0.11558702516505659</v>
          </cell>
          <cell r="CV83">
            <v>0.22247737403755097</v>
          </cell>
          <cell r="CW83">
            <v>0.26026621353723955</v>
          </cell>
          <cell r="CX83">
            <v>-4.090520635465611E-2</v>
          </cell>
          <cell r="CY83">
            <v>5.2035056613513264E-2</v>
          </cell>
          <cell r="CZ83">
            <v>8.5185171373485913E-2</v>
          </cell>
          <cell r="DB83">
            <v>0.24309392265193375</v>
          </cell>
          <cell r="DC83">
            <v>0.1910112359550562</v>
          </cell>
          <cell r="DD83">
            <v>0.17509727626459148</v>
          </cell>
          <cell r="DE83">
            <v>0.14133333333333331</v>
          </cell>
          <cell r="DF83">
            <v>0.16907216494845367</v>
          </cell>
          <cell r="DH83">
            <v>0.19555555555555548</v>
          </cell>
          <cell r="DI83">
            <v>0.26415094339622636</v>
          </cell>
          <cell r="DJ83">
            <v>-0.10927152317880795</v>
          </cell>
          <cell r="DK83">
            <v>-2.9205607476635476E-2</v>
          </cell>
          <cell r="DL83">
            <v>4.1152263374485631E-2</v>
          </cell>
          <cell r="DN83">
            <v>-0.14498141263940523</v>
          </cell>
          <cell r="DO83">
            <v>-0.36815920398009949</v>
          </cell>
          <cell r="DP83">
            <v>-0.4200743494423792</v>
          </cell>
          <cell r="DQ83">
            <v>-0.11432009626955475</v>
          </cell>
          <cell r="DR83">
            <v>-0.2230378317334839</v>
          </cell>
          <cell r="DT83">
            <v>-3.9130434782608692E-2</v>
          </cell>
          <cell r="DU83">
            <v>0.18110236220472431</v>
          </cell>
          <cell r="DV83">
            <v>0.20512820512820507</v>
          </cell>
          <cell r="DW83">
            <v>-4.6195652173913082E-2</v>
          </cell>
          <cell r="DX83">
            <v>2.5436046511627897E-2</v>
          </cell>
          <cell r="DZ83">
            <v>-0.30316742081447967</v>
          </cell>
          <cell r="EA83">
            <v>-8.666666666666667E-2</v>
          </cell>
          <cell r="EB83">
            <v>7.4468085106383031E-2</v>
          </cell>
          <cell r="EC83">
            <v>9.6866096866096818E-2</v>
          </cell>
          <cell r="ED83">
            <v>-7.795889440113446E-3</v>
          </cell>
          <cell r="EF83">
            <v>0.53246753246753253</v>
          </cell>
          <cell r="EG83">
            <v>7.2992700729928028E-3</v>
          </cell>
          <cell r="EH83">
            <v>4.4554455445544594E-2</v>
          </cell>
          <cell r="EI83">
            <v>7.7922077922076838E-3</v>
          </cell>
          <cell r="EJ83">
            <v>7.071428571428573E-2</v>
          </cell>
          <cell r="EK83" t="str">
            <v>Operating Income</v>
          </cell>
          <cell r="EL83">
            <v>6.7796610169491567E-2</v>
          </cell>
          <cell r="EM83">
            <v>5.4347826086956541E-2</v>
          </cell>
          <cell r="EN83">
            <v>0.27962085308056861</v>
          </cell>
          <cell r="EO83">
            <v>0.70747422680412364</v>
          </cell>
          <cell r="EP83">
            <v>0.42628418945963986</v>
          </cell>
          <cell r="ER83">
            <v>-0.40873015873015872</v>
          </cell>
          <cell r="ES83">
            <v>0.402061855670103</v>
          </cell>
          <cell r="ET83">
            <v>3.3333333333333437E-2</v>
          </cell>
          <cell r="EU83">
            <v>8.452830188679239E-2</v>
          </cell>
          <cell r="EV83">
            <v>6.3143124415341534E-2</v>
          </cell>
          <cell r="EX83">
            <v>0.63758389261744974</v>
          </cell>
          <cell r="EY83">
            <v>-0.14950980392156865</v>
          </cell>
          <cell r="EZ83">
            <v>-0.28315412186379929</v>
          </cell>
          <cell r="FA83">
            <v>-0.10160055671537926</v>
          </cell>
          <cell r="FB83">
            <v>-8.4029916410030769E-2</v>
          </cell>
          <cell r="FD83">
            <v>-0.42622950819672134</v>
          </cell>
          <cell r="FE83">
            <v>-3.458213256484155E-2</v>
          </cell>
          <cell r="FF83">
            <v>-0.58000000000000007</v>
          </cell>
          <cell r="FG83">
            <v>-0.32920216886134779</v>
          </cell>
          <cell r="FH83">
            <v>-0.31556195965417866</v>
          </cell>
          <cell r="FJ83">
            <v>-0.82857142857142851</v>
          </cell>
          <cell r="FK83">
            <v>-0.15820895522388057</v>
          </cell>
          <cell r="FL83">
            <v>4.7619047619047672E-2</v>
          </cell>
          <cell r="FM83">
            <v>0.22401847575057743</v>
          </cell>
          <cell r="FN83">
            <v>2.0350877192982564E-2</v>
          </cell>
          <cell r="FP83">
            <v>7.4583333333333339</v>
          </cell>
          <cell r="FQ83">
            <v>0.31205673758865249</v>
          </cell>
          <cell r="FR83">
            <v>1.0113636363636362</v>
          </cell>
          <cell r="FS83">
            <v>0.10283018867924532</v>
          </cell>
          <cell r="FT83">
            <v>0.31980742778541948</v>
          </cell>
          <cell r="FV83">
            <v>0.62561576354679804</v>
          </cell>
          <cell r="FW83">
            <v>0.36756756756756759</v>
          </cell>
          <cell r="FX83">
            <v>0.64406779661016955</v>
          </cell>
          <cell r="FY83">
            <v>7.6988879384088937E-2</v>
          </cell>
          <cell r="FZ83">
            <v>0.24335591453882222</v>
          </cell>
          <cell r="GB83">
            <v>0.18484848484848482</v>
          </cell>
          <cell r="GC83">
            <v>9.486166007905128E-2</v>
          </cell>
          <cell r="GD83">
            <v>-3.238833495997262E-2</v>
          </cell>
          <cell r="GE83">
            <v>0.14751519277253244</v>
          </cell>
          <cell r="GF83">
            <v>0.11957109062333027</v>
          </cell>
        </row>
        <row r="84">
          <cell r="A84" t="str">
            <v>Pretax Income</v>
          </cell>
          <cell r="C84" t="str">
            <v>--</v>
          </cell>
          <cell r="D84" t="str">
            <v>--</v>
          </cell>
          <cell r="E84" t="str">
            <v>--</v>
          </cell>
          <cell r="F84" t="str">
            <v>NM</v>
          </cell>
          <cell r="G84">
            <v>3.354567465605613</v>
          </cell>
          <cell r="H84">
            <v>0.5852107910537101</v>
          </cell>
          <cell r="I84">
            <v>0.16298330523682636</v>
          </cell>
          <cell r="K84" t="str">
            <v xml:space="preserve">--  </v>
          </cell>
          <cell r="L84">
            <v>2.3013597703017585</v>
          </cell>
          <cell r="N84" t="str">
            <v>NA</v>
          </cell>
          <cell r="O84">
            <v>1.1831683168316833</v>
          </cell>
          <cell r="P84">
            <v>1.1723356009070294</v>
          </cell>
          <cell r="Q84">
            <v>0.21398747390396666</v>
          </cell>
          <cell r="R84">
            <v>0.1917454858125538</v>
          </cell>
          <cell r="S84">
            <v>-1.1544011544011523E-2</v>
          </cell>
          <cell r="T84">
            <v>-0.43065693430656937</v>
          </cell>
          <cell r="U84">
            <v>0.34358974358974348</v>
          </cell>
          <cell r="V84">
            <v>3.4351145038167941E-2</v>
          </cell>
          <cell r="W84">
            <v>2.9520295202952074E-2</v>
          </cell>
          <cell r="X84">
            <v>0.83154121863799291</v>
          </cell>
          <cell r="Y84">
            <v>-0.3272994129158513</v>
          </cell>
          <cell r="Z84">
            <v>-4.0000000000000036E-2</v>
          </cell>
          <cell r="AA84">
            <v>-0.66363636363636358</v>
          </cell>
          <cell r="AB84">
            <v>0.14189189189189189</v>
          </cell>
          <cell r="AC84">
            <v>1.6035502958579881</v>
          </cell>
          <cell r="AD84">
            <v>0.49090909090909096</v>
          </cell>
          <cell r="AE84">
            <v>0.13483432061642264</v>
          </cell>
          <cell r="AF84">
            <v>4.7726760420446546E-2</v>
          </cell>
          <cell r="AG84">
            <v>9.8097064157964153E-2</v>
          </cell>
          <cell r="AH84">
            <v>1.3816344190469065E-2</v>
          </cell>
          <cell r="AI84">
            <v>2.5802460075930789E-2</v>
          </cell>
          <cell r="AJ84">
            <v>3.8381471630567709E-2</v>
          </cell>
          <cell r="AK84">
            <v>3.0505651064043793E-2</v>
          </cell>
          <cell r="AL84">
            <v>2.3967090203863339E-2</v>
          </cell>
          <cell r="AN84" t="str">
            <v>Pretax Income</v>
          </cell>
          <cell r="AU84" t="str">
            <v xml:space="preserve">NM  </v>
          </cell>
          <cell r="AV84" t="str">
            <v xml:space="preserve">NM  </v>
          </cell>
          <cell r="AW84" t="str">
            <v xml:space="preserve">NM  </v>
          </cell>
          <cell r="AX84" t="str">
            <v xml:space="preserve">NM  </v>
          </cell>
          <cell r="AY84" t="str">
            <v xml:space="preserve">NM  </v>
          </cell>
          <cell r="BA84" t="str">
            <v xml:space="preserve">NM  </v>
          </cell>
          <cell r="BB84" t="str">
            <v xml:space="preserve">NM  </v>
          </cell>
          <cell r="BC84" t="str">
            <v xml:space="preserve">NM  </v>
          </cell>
          <cell r="BD84" t="str">
            <v xml:space="preserve">NM  </v>
          </cell>
          <cell r="BE84" t="str">
            <v xml:space="preserve">NM  </v>
          </cell>
          <cell r="BG84">
            <v>0.72610550139274821</v>
          </cell>
          <cell r="BH84" t="str">
            <v xml:space="preserve">NM  </v>
          </cell>
          <cell r="BI84">
            <v>0.13468983523903932</v>
          </cell>
          <cell r="BJ84">
            <v>0.403693706492398</v>
          </cell>
          <cell r="BK84">
            <v>0.58521079105371432</v>
          </cell>
          <cell r="BM84">
            <v>0.46418215285307451</v>
          </cell>
          <cell r="BN84">
            <v>-0.43248023879277786</v>
          </cell>
          <cell r="BO84">
            <v>0.24313258747917277</v>
          </cell>
          <cell r="BP84">
            <v>0.137789203084834</v>
          </cell>
          <cell r="BQ84">
            <v>0.16298330523682614</v>
          </cell>
          <cell r="BS84" t="str">
            <v xml:space="preserve"> --  </v>
          </cell>
          <cell r="BT84" t="str">
            <v xml:space="preserve"> --  </v>
          </cell>
          <cell r="BU84" t="str">
            <v xml:space="preserve"> --  </v>
          </cell>
          <cell r="BV84" t="str">
            <v xml:space="preserve"> --  </v>
          </cell>
          <cell r="BW84" t="str">
            <v xml:space="preserve"> --  </v>
          </cell>
          <cell r="BY84" t="str">
            <v xml:space="preserve">NM </v>
          </cell>
          <cell r="BZ84" t="str">
            <v xml:space="preserve">NM </v>
          </cell>
          <cell r="CA84" t="str">
            <v xml:space="preserve">NM </v>
          </cell>
          <cell r="CC84" t="str">
            <v xml:space="preserve">NM </v>
          </cell>
          <cell r="CD84">
            <v>0.45877033771958153</v>
          </cell>
          <cell r="CE84">
            <v>0.34524859013417819</v>
          </cell>
          <cell r="CF84">
            <v>2.3013597703017599</v>
          </cell>
          <cell r="CG84">
            <v>1.9218592556476608</v>
          </cell>
          <cell r="CH84">
            <v>1.1829459884067255</v>
          </cell>
          <cell r="CJ84" t="str">
            <v xml:space="preserve">NM </v>
          </cell>
          <cell r="CK84" t="str">
            <v xml:space="preserve">NM </v>
          </cell>
          <cell r="CL84" t="str">
            <v xml:space="preserve">NM </v>
          </cell>
          <cell r="CM84">
            <v>0.11877233094735073</v>
          </cell>
          <cell r="CN84">
            <v>1.1911304132026577</v>
          </cell>
          <cell r="CP84">
            <v>-1.7664490999052544</v>
          </cell>
          <cell r="CQ84">
            <v>-3.8248118414450696</v>
          </cell>
          <cell r="CR84">
            <v>1.3810766588686971</v>
          </cell>
          <cell r="CS84">
            <v>0.34793188919827567</v>
          </cell>
          <cell r="CT84">
            <v>1.1707387792270185</v>
          </cell>
          <cell r="CV84">
            <v>1.3807888652336051</v>
          </cell>
          <cell r="CW84">
            <v>0.7140776397239661</v>
          </cell>
          <cell r="CX84">
            <v>5.0640890943475458E-2</v>
          </cell>
          <cell r="CY84">
            <v>8.7986298721735912E-2</v>
          </cell>
          <cell r="CZ84">
            <v>0.2136200941259947</v>
          </cell>
          <cell r="DB84">
            <v>0.44230769230769229</v>
          </cell>
          <cell r="DC84">
            <v>0.20725388601036276</v>
          </cell>
          <cell r="DD84">
            <v>0.14054054054054044</v>
          </cell>
          <cell r="DE84">
            <v>0.10425844346549185</v>
          </cell>
          <cell r="DF84">
            <v>0.15735167669819439</v>
          </cell>
          <cell r="DH84">
            <v>0.33333333333333326</v>
          </cell>
          <cell r="DI84">
            <v>0.39055793991416299</v>
          </cell>
          <cell r="DJ84">
            <v>-0.12322274881516593</v>
          </cell>
          <cell r="DK84">
            <v>-0.12101063829787229</v>
          </cell>
          <cell r="DL84">
            <v>1.7830609212481363E-2</v>
          </cell>
          <cell r="DN84">
            <v>-0.5</v>
          </cell>
          <cell r="DO84">
            <v>-0.58333333333333326</v>
          </cell>
          <cell r="DP84">
            <v>-0.75135135135135134</v>
          </cell>
          <cell r="DQ84">
            <v>-0.24508320726172461</v>
          </cell>
          <cell r="DR84">
            <v>-0.43065693430656937</v>
          </cell>
          <cell r="DT84">
            <v>0.47</v>
          </cell>
          <cell r="DU84">
            <v>0.64444444444444438</v>
          </cell>
          <cell r="DV84">
            <v>1.5</v>
          </cell>
          <cell r="DW84">
            <v>0.13026052104208419</v>
          </cell>
          <cell r="DX84">
            <v>0.34358974358974348</v>
          </cell>
          <cell r="DZ84">
            <v>-0.48299319727891155</v>
          </cell>
          <cell r="EA84">
            <v>-0.10360360360360366</v>
          </cell>
          <cell r="EB84">
            <v>-2.6086956521739091E-2</v>
          </cell>
          <cell r="EC84">
            <v>0.23581560283687941</v>
          </cell>
          <cell r="ED84">
            <v>3.4351145038167941E-2</v>
          </cell>
          <cell r="EF84">
            <v>1.0657894736842106</v>
          </cell>
          <cell r="EG84">
            <v>-0.36683417085427139</v>
          </cell>
          <cell r="EH84">
            <v>7.1428571428571397E-2</v>
          </cell>
          <cell r="EI84">
            <v>2.2955523672883782E-2</v>
          </cell>
          <cell r="EJ84">
            <v>2.9520295202952074E-2</v>
          </cell>
          <cell r="EK84" t="str">
            <v>Pretax Income</v>
          </cell>
          <cell r="EL84">
            <v>0.26114649681528657</v>
          </cell>
          <cell r="EM84">
            <v>0.88095238095238093</v>
          </cell>
          <cell r="EN84">
            <v>3.5166666666666666</v>
          </cell>
          <cell r="EO84">
            <v>0.49649368863955123</v>
          </cell>
          <cell r="EP84">
            <v>0.83154121863799291</v>
          </cell>
          <cell r="ER84">
            <v>-1.595959595959596</v>
          </cell>
          <cell r="ES84">
            <v>0.29113924050632911</v>
          </cell>
          <cell r="ET84">
            <v>-0.94464944649446492</v>
          </cell>
          <cell r="EU84">
            <v>8.434864104967188E-2</v>
          </cell>
          <cell r="EV84">
            <v>-0.3272994129158513</v>
          </cell>
          <cell r="EX84">
            <v>-1.7033898305084745</v>
          </cell>
          <cell r="EY84">
            <v>-0.63071895424836599</v>
          </cell>
          <cell r="EZ84">
            <v>0.26666666666666661</v>
          </cell>
          <cell r="FA84">
            <v>-6.1365600691443367E-2</v>
          </cell>
          <cell r="FB84">
            <v>-4.0000000000000036E-2</v>
          </cell>
          <cell r="FD84">
            <v>-2.2771084337349397</v>
          </cell>
          <cell r="FE84">
            <v>7.079646017699126E-2</v>
          </cell>
          <cell r="FF84">
            <v>-2.9736842105263159</v>
          </cell>
          <cell r="FG84">
            <v>-0.53591160220994483</v>
          </cell>
          <cell r="FH84">
            <v>-0.66363636363636358</v>
          </cell>
          <cell r="FJ84">
            <v>1.4056603773584904</v>
          </cell>
          <cell r="FK84">
            <v>-9.9173553719008267E-2</v>
          </cell>
          <cell r="FL84">
            <v>9.3333333333333268E-2</v>
          </cell>
          <cell r="FM84">
            <v>0.45833333333333326</v>
          </cell>
          <cell r="FN84">
            <v>0.14189189189189189</v>
          </cell>
          <cell r="FP84">
            <v>-1.1607843137254903</v>
          </cell>
          <cell r="FQ84">
            <v>1.2018348623853212</v>
          </cell>
          <cell r="FR84">
            <v>-1.1585365853658536</v>
          </cell>
          <cell r="FS84">
            <v>0.39591836734693886</v>
          </cell>
          <cell r="FT84">
            <v>1.6035502958579881</v>
          </cell>
          <cell r="FV84">
            <v>4.2195121951219514</v>
          </cell>
          <cell r="FW84">
            <v>0.64583333333333326</v>
          </cell>
          <cell r="FX84">
            <v>13.076923076923077</v>
          </cell>
          <cell r="FY84">
            <v>0.14619883040935666</v>
          </cell>
          <cell r="FZ84">
            <v>0.49090909090909096</v>
          </cell>
          <cell r="GB84">
            <v>0.30373831775700944</v>
          </cell>
          <cell r="GC84">
            <v>0.13670886075949373</v>
          </cell>
          <cell r="GD84">
            <v>-4.5601122805202454E-2</v>
          </cell>
          <cell r="GE84">
            <v>0.13154672486944907</v>
          </cell>
          <cell r="GF84">
            <v>0.13483432061642264</v>
          </cell>
        </row>
        <row r="85">
          <cell r="A85" t="str">
            <v>Net Income, Reported</v>
          </cell>
          <cell r="C85" t="str">
            <v>--</v>
          </cell>
          <cell r="D85" t="str">
            <v>--</v>
          </cell>
          <cell r="E85" t="str">
            <v>--</v>
          </cell>
          <cell r="F85" t="str">
            <v>NM</v>
          </cell>
          <cell r="G85">
            <v>4.2697454632093716</v>
          </cell>
          <cell r="H85">
            <v>0.59022063477709041</v>
          </cell>
          <cell r="I85">
            <v>0.16972540099983413</v>
          </cell>
          <cell r="K85" t="str">
            <v xml:space="preserve">--  </v>
          </cell>
          <cell r="L85">
            <v>3.0486739791766411</v>
          </cell>
          <cell r="N85" t="str">
            <v>NA</v>
          </cell>
          <cell r="O85">
            <v>2.5466666666666669</v>
          </cell>
          <cell r="P85">
            <v>1.0150375939849625</v>
          </cell>
          <cell r="Q85">
            <v>0.2350746268656716</v>
          </cell>
          <cell r="R85">
            <v>0.20090634441087607</v>
          </cell>
          <cell r="S85">
            <v>-1.2314465408805031</v>
          </cell>
          <cell r="T85">
            <v>0.5</v>
          </cell>
          <cell r="U85">
            <v>-3.9637681159420288</v>
          </cell>
          <cell r="V85">
            <v>-0.15281173594132025</v>
          </cell>
          <cell r="W85">
            <v>-5.7720057720057616E-3</v>
          </cell>
          <cell r="X85">
            <v>1.0414969667227032</v>
          </cell>
          <cell r="Y85">
            <v>-0.29270505075164965</v>
          </cell>
          <cell r="Z85">
            <v>-0.10239979896971985</v>
          </cell>
          <cell r="AA85">
            <v>-6.3784994400895858</v>
          </cell>
          <cell r="AB85">
            <v>-1.0684988548823653</v>
          </cell>
          <cell r="AC85">
            <v>1.4486322188449847</v>
          </cell>
          <cell r="AD85">
            <v>0.55908639523336645</v>
          </cell>
          <cell r="AE85">
            <v>0.1213160701218674</v>
          </cell>
          <cell r="AF85">
            <v>4.6715019631404564E-2</v>
          </cell>
          <cell r="AG85">
            <v>9.8097064157964153E-2</v>
          </cell>
          <cell r="AH85">
            <v>1.3816344190469065E-2</v>
          </cell>
          <cell r="AI85">
            <v>2.5802460075930789E-2</v>
          </cell>
          <cell r="AJ85">
            <v>3.8381471630567709E-2</v>
          </cell>
          <cell r="AK85">
            <v>3.0505651064043793E-2</v>
          </cell>
          <cell r="AL85">
            <v>2.3967090203863339E-2</v>
          </cell>
          <cell r="AN85" t="str">
            <v>Net Income, Reported</v>
          </cell>
          <cell r="AU85" t="str">
            <v xml:space="preserve">NM  </v>
          </cell>
          <cell r="AV85" t="str">
            <v xml:space="preserve">NM  </v>
          </cell>
          <cell r="AW85" t="str">
            <v xml:space="preserve">NM  </v>
          </cell>
          <cell r="AX85" t="str">
            <v xml:space="preserve">NM  </v>
          </cell>
          <cell r="AY85" t="str">
            <v xml:space="preserve">NM  </v>
          </cell>
          <cell r="BA85" t="str">
            <v xml:space="preserve">NM  </v>
          </cell>
          <cell r="BB85" t="str">
            <v xml:space="preserve">NM  </v>
          </cell>
          <cell r="BC85" t="str">
            <v xml:space="preserve">NM  </v>
          </cell>
          <cell r="BD85" t="str">
            <v xml:space="preserve">NM  </v>
          </cell>
          <cell r="BE85" t="str">
            <v xml:space="preserve">NM  </v>
          </cell>
          <cell r="BG85">
            <v>0.83711479850996984</v>
          </cell>
          <cell r="BH85" t="str">
            <v xml:space="preserve">NM  </v>
          </cell>
          <cell r="BI85">
            <v>9.3154328414921661E-2</v>
          </cell>
          <cell r="BJ85">
            <v>0.38871392824181727</v>
          </cell>
          <cell r="BK85">
            <v>0.5902206347770973</v>
          </cell>
          <cell r="BM85">
            <v>0.48488479262673212</v>
          </cell>
          <cell r="BN85">
            <v>-0.57392974133063923</v>
          </cell>
          <cell r="BO85">
            <v>0.28441084462982458</v>
          </cell>
          <cell r="BP85">
            <v>0.14084873730799452</v>
          </cell>
          <cell r="BQ85">
            <v>0.16972540099983369</v>
          </cell>
          <cell r="BS85" t="str">
            <v xml:space="preserve"> --  </v>
          </cell>
          <cell r="BT85" t="str">
            <v xml:space="preserve"> --  </v>
          </cell>
          <cell r="BU85" t="str">
            <v xml:space="preserve"> --  </v>
          </cell>
          <cell r="BV85" t="str">
            <v xml:space="preserve"> --  </v>
          </cell>
          <cell r="BW85" t="str">
            <v xml:space="preserve"> --  </v>
          </cell>
          <cell r="BY85" t="str">
            <v xml:space="preserve">NM </v>
          </cell>
          <cell r="BZ85" t="str">
            <v xml:space="preserve">NM </v>
          </cell>
          <cell r="CA85" t="str">
            <v xml:space="preserve">NM </v>
          </cell>
          <cell r="CC85" t="str">
            <v xml:space="preserve">NM </v>
          </cell>
          <cell r="CD85">
            <v>0.37055020770788127</v>
          </cell>
          <cell r="CE85">
            <v>0.33441950883194549</v>
          </cell>
          <cell r="CF85">
            <v>3.0486739791766455</v>
          </cell>
          <cell r="CG85">
            <v>2.8686737346110953</v>
          </cell>
          <cell r="CH85">
            <v>1.0154646949248605</v>
          </cell>
          <cell r="CJ85" t="str">
            <v xml:space="preserve">NM </v>
          </cell>
          <cell r="CK85" t="str">
            <v xml:space="preserve">NM </v>
          </cell>
          <cell r="CL85" t="str">
            <v xml:space="preserve">NM </v>
          </cell>
          <cell r="CM85">
            <v>0.1821292076273795</v>
          </cell>
          <cell r="CN85">
            <v>2.5848804756704831</v>
          </cell>
          <cell r="CP85">
            <v>-1.6344171083511347</v>
          </cell>
          <cell r="CQ85">
            <v>-3.440701651160242</v>
          </cell>
          <cell r="CR85">
            <v>1.5146288366306782</v>
          </cell>
          <cell r="CS85">
            <v>0.31077931687886151</v>
          </cell>
          <cell r="CT85">
            <v>1.1611549267169936</v>
          </cell>
          <cell r="CV85">
            <v>1.5035953281516088</v>
          </cell>
          <cell r="CW85">
            <v>0.61217417507909366</v>
          </cell>
          <cell r="CX85">
            <v>4.6482866221435382E-2</v>
          </cell>
          <cell r="CY85">
            <v>7.6289965178854002E-2</v>
          </cell>
          <cell r="CZ85">
            <v>0.19249316508388858</v>
          </cell>
          <cell r="DB85">
            <v>0.44436696882159565</v>
          </cell>
          <cell r="DC85">
            <v>0.28037383177570097</v>
          </cell>
          <cell r="DD85">
            <v>0.11818181818181817</v>
          </cell>
          <cell r="DE85">
            <v>9.8039215686274606E-2</v>
          </cell>
          <cell r="DF85">
            <v>0.1601876147418253</v>
          </cell>
          <cell r="DH85">
            <v>2.2988505747126409E-2</v>
          </cell>
          <cell r="DI85">
            <v>-0.54014598540145986</v>
          </cell>
          <cell r="DJ85">
            <v>-6.4308943089430892</v>
          </cell>
          <cell r="DK85">
            <v>-0.2589285714285714</v>
          </cell>
          <cell r="DL85">
            <v>-1.2314465408805031</v>
          </cell>
          <cell r="DN85">
            <v>-0.348314606741573</v>
          </cell>
          <cell r="DO85">
            <v>0.74603174603174605</v>
          </cell>
          <cell r="DP85">
            <v>-1.0044910179640718</v>
          </cell>
          <cell r="DQ85">
            <v>-2.346385542168675</v>
          </cell>
          <cell r="DR85">
            <v>0.5</v>
          </cell>
          <cell r="DT85">
            <v>0.53448275862068972</v>
          </cell>
          <cell r="DU85">
            <v>1.5636363636363635</v>
          </cell>
          <cell r="DV85">
            <v>34.333333333333336</v>
          </cell>
          <cell r="DW85">
            <v>-1.7628635346756152</v>
          </cell>
          <cell r="DX85">
            <v>-3.9637681159420288</v>
          </cell>
          <cell r="DZ85">
            <v>-0.4831460674157303</v>
          </cell>
          <cell r="EA85">
            <v>-0.57446808510638303</v>
          </cell>
          <cell r="EB85">
            <v>-0.36792452830188682</v>
          </cell>
          <cell r="EC85">
            <v>0.34897360703812308</v>
          </cell>
          <cell r="ED85">
            <v>-0.15281173594132025</v>
          </cell>
          <cell r="EF85">
            <v>1.1086956521739131</v>
          </cell>
          <cell r="EG85">
            <v>-0.35</v>
          </cell>
          <cell r="EH85">
            <v>0.10447761194029859</v>
          </cell>
          <cell r="EI85">
            <v>-4.3478260869565188E-2</v>
          </cell>
          <cell r="EJ85">
            <v>-5.7720057720057616E-3</v>
          </cell>
          <cell r="EK85" t="str">
            <v>Net Income, Reported</v>
          </cell>
          <cell r="EL85">
            <v>0.2716907216494846</v>
          </cell>
          <cell r="EM85">
            <v>0.89743589743589736</v>
          </cell>
          <cell r="EN85">
            <v>4.895100136107331</v>
          </cell>
          <cell r="EO85">
            <v>0.58863636363636362</v>
          </cell>
          <cell r="EP85">
            <v>1.0414969667227032</v>
          </cell>
          <cell r="ER85">
            <v>-1.4215509833487361</v>
          </cell>
          <cell r="ES85">
            <v>1.1410472972972974</v>
          </cell>
          <cell r="ET85">
            <v>-1.006876989296964</v>
          </cell>
          <cell r="EU85">
            <v>4.8640915593705314E-2</v>
          </cell>
          <cell r="EV85">
            <v>-0.29270505075164965</v>
          </cell>
          <cell r="EX85">
            <v>-1.6923076923076923</v>
          </cell>
          <cell r="EY85">
            <v>-0.76646942800788953</v>
          </cell>
          <cell r="EZ85">
            <v>-12</v>
          </cell>
          <cell r="FA85">
            <v>2.3192360163710735E-2</v>
          </cell>
          <cell r="FB85">
            <v>-0.10239979896971985</v>
          </cell>
          <cell r="FD85">
            <v>-2.6388888888888888</v>
          </cell>
          <cell r="FE85">
            <v>-1.3513513513513487E-2</v>
          </cell>
          <cell r="FF85">
            <v>-2.333333333333333</v>
          </cell>
          <cell r="FG85">
            <v>-7.3639999999999999</v>
          </cell>
          <cell r="FH85">
            <v>-6.3784994400895858</v>
          </cell>
          <cell r="FJ85">
            <v>0.49152542372881358</v>
          </cell>
          <cell r="FK85">
            <v>-0.90410958904109595</v>
          </cell>
          <cell r="FL85">
            <v>-0.20454545454545459</v>
          </cell>
          <cell r="FM85">
            <v>-1.0932327676513722</v>
          </cell>
          <cell r="FN85">
            <v>-1.0684988548823653</v>
          </cell>
          <cell r="FP85">
            <v>-1.2613636363636362</v>
          </cell>
          <cell r="FQ85">
            <v>20</v>
          </cell>
          <cell r="FR85">
            <v>-1.2857142857142856</v>
          </cell>
          <cell r="FS85">
            <v>0.49887640449438209</v>
          </cell>
          <cell r="FT85">
            <v>1.5744680851063828</v>
          </cell>
          <cell r="FV85">
            <v>4.6956521739130439</v>
          </cell>
          <cell r="FW85">
            <v>0.63945578231292521</v>
          </cell>
          <cell r="FX85">
            <v>12.9</v>
          </cell>
          <cell r="FY85">
            <v>0.11694152923538237</v>
          </cell>
          <cell r="FZ85">
            <v>0.48288075560802834</v>
          </cell>
          <cell r="GB85">
            <v>0.38167938931297707</v>
          </cell>
          <cell r="GC85">
            <v>0.15767634854771795</v>
          </cell>
          <cell r="GD85">
            <v>-0.20839822624612792</v>
          </cell>
          <cell r="GE85">
            <v>0.12528904365272142</v>
          </cell>
          <cell r="GF85">
            <v>0.1213160701218674</v>
          </cell>
        </row>
        <row r="86">
          <cell r="A86" t="str">
            <v>EPS, Before All Extraordinary Items</v>
          </cell>
          <cell r="C86" t="str">
            <v>--</v>
          </cell>
          <cell r="D86" t="str">
            <v>--</v>
          </cell>
          <cell r="E86" t="str">
            <v>--</v>
          </cell>
          <cell r="F86" t="str">
            <v>NM</v>
          </cell>
          <cell r="G86">
            <v>4.2697454632093716</v>
          </cell>
          <cell r="H86">
            <v>0.49352714229736749</v>
          </cell>
          <cell r="I86">
            <v>0.16715720920010613</v>
          </cell>
          <cell r="K86" t="str">
            <v xml:space="preserve">--  </v>
          </cell>
          <cell r="L86">
            <v>1.2429413062163106</v>
          </cell>
          <cell r="N86" t="str">
            <v>NA</v>
          </cell>
          <cell r="O86">
            <v>2.0831760191846533</v>
          </cell>
          <cell r="P86">
            <v>1.1166002434653026</v>
          </cell>
          <cell r="Q86">
            <v>0.19781195988990907</v>
          </cell>
          <cell r="R86">
            <v>0.23893143472537992</v>
          </cell>
          <cell r="S86">
            <v>0.11804933673070495</v>
          </cell>
          <cell r="T86">
            <v>-0.23747100765953244</v>
          </cell>
          <cell r="U86">
            <v>6.7412153054829504E-2</v>
          </cell>
          <cell r="V86">
            <v>8.2618698493725606E-2</v>
          </cell>
          <cell r="W86">
            <v>0.19253228900861408</v>
          </cell>
          <cell r="X86">
            <v>0.13546350508465377</v>
          </cell>
          <cell r="Y86">
            <v>-0.17112431238754444</v>
          </cell>
          <cell r="Z86">
            <v>2.511156865799169E-2</v>
          </cell>
          <cell r="AA86">
            <v>-0.3926266519774968</v>
          </cell>
          <cell r="AB86">
            <v>5.4566031260215864E-2</v>
          </cell>
          <cell r="AC86">
            <v>0.54543966376654018</v>
          </cell>
          <cell r="AD86">
            <v>0.36638230546571982</v>
          </cell>
          <cell r="AE86">
            <v>0.18944449755233173</v>
          </cell>
          <cell r="AF86">
            <v>0.15178647079450802</v>
          </cell>
          <cell r="AG86">
            <v>0.21619225683545951</v>
          </cell>
          <cell r="AH86">
            <v>0.10368489317104679</v>
          </cell>
          <cell r="AI86">
            <v>7.5550799930256041E-2</v>
          </cell>
          <cell r="AJ86">
            <v>8.0391871180272023E-2</v>
          </cell>
          <cell r="AK86">
            <v>0.1050161104972096</v>
          </cell>
          <cell r="AL86">
            <v>0.11070075260190304</v>
          </cell>
          <cell r="AN86" t="str">
            <v>EPS, Before All Extraordinary Items</v>
          </cell>
          <cell r="AU86" t="str">
            <v xml:space="preserve">NM  </v>
          </cell>
          <cell r="AV86" t="str">
            <v xml:space="preserve">NM  </v>
          </cell>
          <cell r="AW86" t="str">
            <v xml:space="preserve">NM  </v>
          </cell>
          <cell r="AX86" t="str">
            <v xml:space="preserve">NM  </v>
          </cell>
          <cell r="AY86" t="str">
            <v xml:space="preserve">NM  </v>
          </cell>
          <cell r="BA86" t="str">
            <v xml:space="preserve">NM  </v>
          </cell>
          <cell r="BB86" t="str">
            <v xml:space="preserve">NM  </v>
          </cell>
          <cell r="BC86" t="str">
            <v xml:space="preserve">NM  </v>
          </cell>
          <cell r="BD86" t="str">
            <v xml:space="preserve">NM  </v>
          </cell>
          <cell r="BE86" t="str">
            <v xml:space="preserve">NM  </v>
          </cell>
          <cell r="BG86">
            <v>0.15093972231627273</v>
          </cell>
          <cell r="BH86" t="str">
            <v xml:space="preserve">NM  </v>
          </cell>
          <cell r="BI86">
            <v>7.7195871065800059E-2</v>
          </cell>
          <cell r="BJ86">
            <v>0.24705403271076887</v>
          </cell>
          <cell r="BK86">
            <v>0.30893389999095677</v>
          </cell>
          <cell r="BM86">
            <v>0.47058823529411753</v>
          </cell>
          <cell r="BN86">
            <v>1.2483031355031047</v>
          </cell>
          <cell r="BO86">
            <v>0.29629629629629606</v>
          </cell>
          <cell r="BP86">
            <v>0.25961538461538458</v>
          </cell>
          <cell r="BQ86">
            <v>0.33175630280524948</v>
          </cell>
          <cell r="BS86" t="str">
            <v xml:space="preserve"> --  </v>
          </cell>
          <cell r="BT86" t="str">
            <v xml:space="preserve"> --  </v>
          </cell>
          <cell r="BU86" t="str">
            <v xml:space="preserve"> --  </v>
          </cell>
          <cell r="BV86" t="str">
            <v xml:space="preserve"> --  </v>
          </cell>
          <cell r="BW86" t="str">
            <v xml:space="preserve"> --  </v>
          </cell>
          <cell r="BY86" t="str">
            <v xml:space="preserve">NM </v>
          </cell>
          <cell r="BZ86" t="str">
            <v xml:space="preserve">NM </v>
          </cell>
          <cell r="CA86" t="str">
            <v xml:space="preserve">NM </v>
          </cell>
          <cell r="CC86" t="str">
            <v xml:space="preserve">NM </v>
          </cell>
          <cell r="CD86">
            <v>0.25642012991861307</v>
          </cell>
          <cell r="CE86">
            <v>0.21559931910688945</v>
          </cell>
          <cell r="CF86">
            <v>1.242941306216311</v>
          </cell>
          <cell r="CG86">
            <v>1.273034974194021</v>
          </cell>
          <cell r="CH86">
            <v>0.80871126553133621</v>
          </cell>
          <cell r="CJ86" t="str">
            <v xml:space="preserve">NM </v>
          </cell>
          <cell r="CK86" t="str">
            <v xml:space="preserve">NM </v>
          </cell>
          <cell r="CL86" t="str">
            <v xml:space="preserve">NM </v>
          </cell>
          <cell r="CM86">
            <v>0.13358996848546845</v>
          </cell>
          <cell r="CN86">
            <v>0.5557153119638325</v>
          </cell>
          <cell r="CP86">
            <v>1.8847721822542178</v>
          </cell>
          <cell r="CQ86">
            <v>0.98095749761223572</v>
          </cell>
          <cell r="CR86">
            <v>0.5218694349129136</v>
          </cell>
          <cell r="CS86">
            <v>9.3307514801961533E-2</v>
          </cell>
          <cell r="CT86">
            <v>0.25831729550304816</v>
          </cell>
          <cell r="CV86">
            <v>1.5034529101088574</v>
          </cell>
          <cell r="CW86">
            <v>0.60059447200373395</v>
          </cell>
          <cell r="CX86">
            <v>-0.17311732873453067</v>
          </cell>
          <cell r="CY86">
            <v>7.9567640585938015E-2</v>
          </cell>
          <cell r="CZ86">
            <v>0.15234039797565679</v>
          </cell>
          <cell r="DB86">
            <v>-0.26911815031362007</v>
          </cell>
          <cell r="DC86">
            <v>-0.35868875191480443</v>
          </cell>
          <cell r="DD86">
            <v>-0.29612724531270496</v>
          </cell>
          <cell r="DE86">
            <v>-0.45822134788913216</v>
          </cell>
          <cell r="DF86">
            <v>-0.40232656840273939</v>
          </cell>
          <cell r="DH86">
            <v>0.3569488949468862</v>
          </cell>
          <cell r="DI86">
            <v>0.50706646361742713</v>
          </cell>
          <cell r="DJ86">
            <v>-3.0975973608567631E-2</v>
          </cell>
          <cell r="DK86">
            <v>9.1775708959831892E-2</v>
          </cell>
          <cell r="DL86">
            <v>0.16010779214312887</v>
          </cell>
          <cell r="DN86">
            <v>-0.20822262267582348</v>
          </cell>
          <cell r="DO86">
            <v>-0.43841864714537893</v>
          </cell>
          <cell r="DP86">
            <v>-0.59273991713233776</v>
          </cell>
          <cell r="DQ86">
            <v>-9.5511908313649863E-2</v>
          </cell>
          <cell r="DR86">
            <v>-0.23747100765953244</v>
          </cell>
          <cell r="DT86">
            <v>1.0022997402227452E-2</v>
          </cell>
          <cell r="DU86">
            <v>0.25077409537636819</v>
          </cell>
          <cell r="DV86">
            <v>0.73436521566609403</v>
          </cell>
          <cell r="DW86">
            <v>-8.1762364367958806E-3</v>
          </cell>
          <cell r="DX86">
            <v>6.7412153054829504E-2</v>
          </cell>
          <cell r="DZ86">
            <v>-0.38502923283127022</v>
          </cell>
          <cell r="EA86">
            <v>3.0104736134886956E-2</v>
          </cell>
          <cell r="EB86">
            <v>0.18641645511193183</v>
          </cell>
          <cell r="EC86">
            <v>0.16982420675683696</v>
          </cell>
          <cell r="ED86">
            <v>8.2618698493725606E-2</v>
          </cell>
          <cell r="EF86">
            <v>1.2002944973744478</v>
          </cell>
          <cell r="EG86">
            <v>9.1284054291573158E-2</v>
          </cell>
          <cell r="EH86">
            <v>0.21440795242992539</v>
          </cell>
          <cell r="EI86">
            <v>0.11331568332715758</v>
          </cell>
          <cell r="EJ86">
            <v>0.19253228900861408</v>
          </cell>
          <cell r="EK86" t="str">
            <v>EPS, Before All Extraordinary Items</v>
          </cell>
          <cell r="EL86">
            <v>0.20924520779639133</v>
          </cell>
          <cell r="EM86">
            <v>0.14652501106684346</v>
          </cell>
          <cell r="EN86">
            <v>-0.41739246783196837</v>
          </cell>
          <cell r="EO86">
            <v>2.6745738601636537E-2</v>
          </cell>
          <cell r="EP86">
            <v>0.13546350508465377</v>
          </cell>
          <cell r="ER86">
            <v>-0.96536392307397523</v>
          </cell>
          <cell r="ES86">
            <v>-0.22511768742991911</v>
          </cell>
          <cell r="ET86">
            <v>0.27056097610725471</v>
          </cell>
          <cell r="EU86">
            <v>0.19806697860755884</v>
          </cell>
          <cell r="EV86">
            <v>-0.17112431238754444</v>
          </cell>
          <cell r="EX86">
            <v>11.942309582309582</v>
          </cell>
          <cell r="EY86">
            <v>4.1797260273972681E-2</v>
          </cell>
          <cell r="EZ86">
            <v>-0.60815006068840372</v>
          </cell>
          <cell r="FA86">
            <v>4.4816334601294416E-2</v>
          </cell>
          <cell r="FB86">
            <v>2.511156865799169E-2</v>
          </cell>
          <cell r="FD86">
            <v>-0.9375</v>
          </cell>
          <cell r="FE86">
            <v>-0.14705882352941191</v>
          </cell>
          <cell r="FF86">
            <v>-2</v>
          </cell>
          <cell r="FG86">
            <v>-0.3652694610778443</v>
          </cell>
          <cell r="FH86">
            <v>-0.3926266519774968</v>
          </cell>
          <cell r="FJ86">
            <v>-17</v>
          </cell>
          <cell r="FK86">
            <v>-0.31034482758620685</v>
          </cell>
          <cell r="FL86">
            <v>-0.625</v>
          </cell>
          <cell r="FM86">
            <v>0.27358490566037741</v>
          </cell>
          <cell r="FN86">
            <v>5.4566031260215864E-2</v>
          </cell>
          <cell r="FP86">
            <v>-1.5865790708587517</v>
          </cell>
          <cell r="FQ86">
            <v>0.74999999999999978</v>
          </cell>
          <cell r="FR86">
            <v>-3.6816339257873398</v>
          </cell>
          <cell r="FS86">
            <v>0.17777777777777781</v>
          </cell>
          <cell r="FT86">
            <v>0.54543966376654018</v>
          </cell>
          <cell r="FV86">
            <v>2.2460581395348833</v>
          </cell>
          <cell r="FW86">
            <v>0.58437972519886916</v>
          </cell>
          <cell r="FX86">
            <v>3.0013949179745154</v>
          </cell>
          <cell r="FY86">
            <v>7.2258601986732174E-2</v>
          </cell>
          <cell r="FZ86">
            <v>0.36638230546571982</v>
          </cell>
          <cell r="GB86">
            <v>0.40222359547930187</v>
          </cell>
          <cell r="GC86">
            <v>0.20624824041917611</v>
          </cell>
          <cell r="GD86">
            <v>-0.15861801416910437</v>
          </cell>
          <cell r="GE86">
            <v>0.23691312416154275</v>
          </cell>
          <cell r="GF86">
            <v>0.1894444975523315</v>
          </cell>
        </row>
        <row r="87">
          <cell r="A87" t="str">
            <v>EPS Diluted, Reported</v>
          </cell>
          <cell r="N87" t="str">
            <v>NA</v>
          </cell>
          <cell r="O87">
            <v>2.2064682872901682</v>
          </cell>
          <cell r="P87">
            <v>0.93578477247880953</v>
          </cell>
          <cell r="Q87">
            <v>0.22992133264419734</v>
          </cell>
          <cell r="R87">
            <v>0.22243255164301989</v>
          </cell>
          <cell r="S87">
            <v>-1.2456829504645728</v>
          </cell>
          <cell r="T87">
            <v>0.55467184368737477</v>
          </cell>
          <cell r="U87">
            <v>-3.976817793141421</v>
          </cell>
          <cell r="V87">
            <v>-9.7762659297635945E-2</v>
          </cell>
          <cell r="W87">
            <v>4.0016904008823184E-2</v>
          </cell>
          <cell r="X87">
            <v>0.67589282323900779</v>
          </cell>
          <cell r="Y87">
            <v>-0.43876139320187513</v>
          </cell>
          <cell r="Z87">
            <v>6.3775441193242965E-2</v>
          </cell>
          <cell r="AA87">
            <v>-6.8981600687855193</v>
          </cell>
          <cell r="AB87">
            <v>-1.0683488337132727</v>
          </cell>
          <cell r="AC87">
            <v>1.5289650455927051</v>
          </cell>
          <cell r="AD87">
            <v>0.48223350253807107</v>
          </cell>
          <cell r="AE87">
            <v>0.17465753424657549</v>
          </cell>
          <cell r="AF87">
            <v>0.15026075561396901</v>
          </cell>
          <cell r="AG87">
            <v>0.21619225683545951</v>
          </cell>
          <cell r="AH87">
            <v>0.10368489317104679</v>
          </cell>
          <cell r="AI87">
            <v>7.5550799930256041E-2</v>
          </cell>
          <cell r="AJ87">
            <v>8.0391871180272023E-2</v>
          </cell>
          <cell r="AK87">
            <v>0.1050161104972096</v>
          </cell>
          <cell r="AL87">
            <v>0.11070075260190304</v>
          </cell>
          <cell r="AN87" t="str">
            <v>EPS Diluted, Reported</v>
          </cell>
          <cell r="CP87">
            <v>2.0499765917603208</v>
          </cell>
          <cell r="CQ87">
            <v>0.90901548672567323</v>
          </cell>
          <cell r="CR87">
            <v>0.44316340604453752</v>
          </cell>
          <cell r="CS87">
            <v>7.3039696864150017E-3</v>
          </cell>
          <cell r="CT87">
            <v>0.1820266466798135</v>
          </cell>
          <cell r="CV87">
            <v>1.1399977372987853</v>
          </cell>
          <cell r="CW87">
            <v>0.50736428049067683</v>
          </cell>
          <cell r="CX87">
            <v>-0.2015756294478438</v>
          </cell>
          <cell r="CY87">
            <v>0.13072202033902447</v>
          </cell>
          <cell r="CZ87">
            <v>0.13765736493310232</v>
          </cell>
          <cell r="DB87">
            <v>-0.22622031593063341</v>
          </cell>
          <cell r="DC87">
            <v>-0.32952032783985374</v>
          </cell>
          <cell r="DD87">
            <v>-0.26449326496369807</v>
          </cell>
          <cell r="DE87">
            <v>-0.45797109202935382</v>
          </cell>
          <cell r="DF87">
            <v>-0.38246866698014048</v>
          </cell>
          <cell r="DH87">
            <v>2.3345318412651306E-2</v>
          </cell>
          <cell r="DI87">
            <v>-0.51059181851599011</v>
          </cell>
          <cell r="DJ87">
            <v>-6.938605959903458</v>
          </cell>
          <cell r="DK87">
            <v>-0.1916586947278911</v>
          </cell>
          <cell r="DL87">
            <v>-1.2456549810940736</v>
          </cell>
          <cell r="DN87">
            <v>-0.30786393354904007</v>
          </cell>
          <cell r="DO87">
            <v>0.82388586697203925</v>
          </cell>
          <cell r="DP87">
            <v>-1.0046410262722243</v>
          </cell>
          <cell r="DQ87">
            <v>-2.356478387312368</v>
          </cell>
          <cell r="DR87">
            <v>0.55467184368737477</v>
          </cell>
          <cell r="DT87">
            <v>0.51052810137926508</v>
          </cell>
          <cell r="DU87">
            <v>1.5145052490507034</v>
          </cell>
          <cell r="DV87">
            <v>34.098859962565932</v>
          </cell>
          <cell r="DW87">
            <v>-1.7971226803581755</v>
          </cell>
          <cell r="DX87">
            <v>-3.976817793141421</v>
          </cell>
          <cell r="DZ87">
            <v>-0.43844927744028617</v>
          </cell>
          <cell r="EA87">
            <v>-0.53741589379887245</v>
          </cell>
          <cell r="EB87">
            <v>-0.33320632791782234</v>
          </cell>
          <cell r="EC87">
            <v>0.40472238035780639</v>
          </cell>
          <cell r="ED87">
            <v>-9.7762659297635945E-2</v>
          </cell>
          <cell r="EF87">
            <v>1.1693693055752252</v>
          </cell>
          <cell r="EG87">
            <v>-0.33142857142857152</v>
          </cell>
          <cell r="EH87">
            <v>0.17604066821854025</v>
          </cell>
          <cell r="EI87">
            <v>2.0326843538787331E-2</v>
          </cell>
          <cell r="EJ87">
            <v>4.0016904008823184E-2</v>
          </cell>
          <cell r="EK87" t="str">
            <v>EPS Diluted, Reported</v>
          </cell>
          <cell r="EL87">
            <v>0.35558698453608217</v>
          </cell>
          <cell r="EM87">
            <v>0.96547144754316094</v>
          </cell>
          <cell r="EN87">
            <v>3.2230661891029717</v>
          </cell>
          <cell r="EO87">
            <v>-1.1617072930678152E-2</v>
          </cell>
          <cell r="EP87">
            <v>0.67589282323900779</v>
          </cell>
          <cell r="ER87">
            <v>-1.2610896412998625</v>
          </cell>
          <cell r="ES87">
            <v>0.34542922079805116</v>
          </cell>
          <cell r="ET87">
            <v>-1.0060891181827454</v>
          </cell>
          <cell r="EU87">
            <v>0.10971318583546186</v>
          </cell>
          <cell r="EV87">
            <v>-0.43876139320187513</v>
          </cell>
          <cell r="EX87">
            <v>-1.810889362526642</v>
          </cell>
          <cell r="EY87">
            <v>-0.71474378362169477</v>
          </cell>
          <cell r="EZ87">
            <v>-14.807121661721066</v>
          </cell>
          <cell r="FA87">
            <v>0.27023895272896103</v>
          </cell>
          <cell r="FB87">
            <v>6.3775441193242965E-2</v>
          </cell>
          <cell r="FD87">
            <v>-2.8526666666666669</v>
          </cell>
          <cell r="FE87">
            <v>5.170270270270283E-2</v>
          </cell>
          <cell r="FF87">
            <v>-2.3275757575757576</v>
          </cell>
          <cell r="FG87">
            <v>-7.3726942536051361</v>
          </cell>
          <cell r="FH87">
            <v>-6.8981600687855193</v>
          </cell>
          <cell r="FJ87">
            <v>0.49999999999999978</v>
          </cell>
          <cell r="FK87">
            <v>-0.88235294117647056</v>
          </cell>
          <cell r="FL87">
            <v>-0.20000000000000007</v>
          </cell>
          <cell r="FM87">
            <v>-1.092674315975287</v>
          </cell>
          <cell r="FN87">
            <v>-1.0683488337132727</v>
          </cell>
          <cell r="FP87">
            <v>-1.2380952380952381</v>
          </cell>
          <cell r="FQ87">
            <v>16.23329425556858</v>
          </cell>
          <cell r="FR87">
            <v>-1.25</v>
          </cell>
          <cell r="FS87">
            <v>0.47619047619047628</v>
          </cell>
          <cell r="FT87">
            <v>1.5289650455927051</v>
          </cell>
          <cell r="FV87">
            <v>4.9999999999999991</v>
          </cell>
          <cell r="FW87">
            <v>0.60889988761266101</v>
          </cell>
          <cell r="FX87">
            <v>15</v>
          </cell>
          <cell r="FY87">
            <v>0.1225806451612903</v>
          </cell>
          <cell r="FZ87">
            <v>0.48223350253807107</v>
          </cell>
          <cell r="GB87">
            <v>0.43333333333333335</v>
          </cell>
          <cell r="GC87">
            <v>0.20822406639004165</v>
          </cell>
          <cell r="GD87">
            <v>-0.15625</v>
          </cell>
          <cell r="GE87">
            <v>0.21264367816091956</v>
          </cell>
          <cell r="GF87">
            <v>0.17465753424657549</v>
          </cell>
        </row>
        <row r="89">
          <cell r="AR89">
            <v>68.3</v>
          </cell>
          <cell r="AU89">
            <v>66.742000000000004</v>
          </cell>
          <cell r="AV89">
            <v>66.046999999999997</v>
          </cell>
          <cell r="AW89">
            <v>64.048000000000002</v>
          </cell>
          <cell r="AX89">
            <v>64.046999999999997</v>
          </cell>
          <cell r="AY89">
            <v>260.88400000000001</v>
          </cell>
          <cell r="BA89">
            <v>56.853999999999999</v>
          </cell>
          <cell r="BB89">
            <v>57.481000000000002</v>
          </cell>
          <cell r="BC89">
            <v>58.634</v>
          </cell>
          <cell r="BD89">
            <v>57.152999999999999</v>
          </cell>
          <cell r="BE89">
            <v>230.12199999999999</v>
          </cell>
          <cell r="BG89">
            <v>56.424999999999997</v>
          </cell>
          <cell r="BH89">
            <v>56.37</v>
          </cell>
          <cell r="BI89">
            <v>57.966999999999999</v>
          </cell>
          <cell r="BJ89">
            <v>59.017999999999986</v>
          </cell>
          <cell r="BK89">
            <v>229.77999999999997</v>
          </cell>
          <cell r="BM89">
            <v>59.893000000000001</v>
          </cell>
          <cell r="BN89">
            <v>61.381999999999998</v>
          </cell>
          <cell r="BO89">
            <v>62.862000000000002</v>
          </cell>
          <cell r="BP89">
            <v>67.269000000000005</v>
          </cell>
          <cell r="BQ89">
            <v>251.40600000000001</v>
          </cell>
          <cell r="BS89">
            <v>136.37</v>
          </cell>
          <cell r="BT89">
            <v>141.60000000000002</v>
          </cell>
          <cell r="BU89">
            <v>136</v>
          </cell>
          <cell r="BV89">
            <v>137.10000000000002</v>
          </cell>
          <cell r="BW89">
            <v>551.07000000000005</v>
          </cell>
          <cell r="BY89">
            <v>115.258</v>
          </cell>
          <cell r="BZ89">
            <v>121</v>
          </cell>
          <cell r="CA89">
            <v>122.6</v>
          </cell>
          <cell r="CB89">
            <v>134.25</v>
          </cell>
          <cell r="CC89">
            <v>134.25</v>
          </cell>
          <cell r="CD89">
            <v>121.56399999999999</v>
          </cell>
          <cell r="CE89">
            <v>131.88</v>
          </cell>
          <cell r="CF89">
            <v>474.94499999999999</v>
          </cell>
          <cell r="CG89">
            <v>496.911</v>
          </cell>
          <cell r="CH89">
            <v>496.911</v>
          </cell>
          <cell r="CJ89">
            <v>133.32499999999999</v>
          </cell>
          <cell r="CK89">
            <v>133.30000000000001</v>
          </cell>
          <cell r="CL89">
            <v>135.27600000000001</v>
          </cell>
          <cell r="CM89">
            <v>131.46199999999999</v>
          </cell>
          <cell r="CN89">
            <v>533.36300000000006</v>
          </cell>
          <cell r="CP89">
            <v>145.684</v>
          </cell>
          <cell r="CQ89">
            <v>145.39400000000001</v>
          </cell>
          <cell r="CR89">
            <v>147.756</v>
          </cell>
          <cell r="CS89">
            <v>151.453</v>
          </cell>
          <cell r="CT89">
            <v>590.28699999999992</v>
          </cell>
          <cell r="CV89">
            <v>155</v>
          </cell>
          <cell r="CW89">
            <v>156</v>
          </cell>
          <cell r="CX89">
            <v>157</v>
          </cell>
          <cell r="CY89">
            <v>156</v>
          </cell>
          <cell r="CZ89">
            <v>624</v>
          </cell>
          <cell r="DB89">
            <v>173</v>
          </cell>
          <cell r="DC89">
            <v>187</v>
          </cell>
          <cell r="DD89">
            <v>191</v>
          </cell>
          <cell r="DE89">
            <v>187</v>
          </cell>
          <cell r="DF89">
            <v>738</v>
          </cell>
        </row>
        <row r="90">
          <cell r="A90" t="str">
            <v>∆ Sales - ∆ Expenses</v>
          </cell>
          <cell r="AN90" t="str">
            <v>∆ Sales - ∆ Expenses</v>
          </cell>
          <cell r="AU90">
            <v>108.2620000000001</v>
          </cell>
          <cell r="AV90">
            <v>74.555999999999898</v>
          </cell>
          <cell r="AW90">
            <v>117.31500000000005</v>
          </cell>
          <cell r="AX90">
            <v>227.72300000000027</v>
          </cell>
          <cell r="AY90">
            <v>527.85600000000034</v>
          </cell>
          <cell r="BA90">
            <v>141.51500000000016</v>
          </cell>
          <cell r="BB90">
            <v>89.155999999999949</v>
          </cell>
          <cell r="BC90">
            <v>169.40199999999993</v>
          </cell>
          <cell r="BD90">
            <v>268.48300000000006</v>
          </cell>
          <cell r="BE90">
            <v>668.55600000000004</v>
          </cell>
          <cell r="BG90">
            <v>143.20600000000007</v>
          </cell>
          <cell r="BH90">
            <v>118.40499999999997</v>
          </cell>
          <cell r="BI90">
            <v>165.34899999999993</v>
          </cell>
          <cell r="BJ90">
            <v>313.46299999999979</v>
          </cell>
          <cell r="BK90">
            <v>740.42299999999909</v>
          </cell>
          <cell r="BM90">
            <v>168.50100000000018</v>
          </cell>
          <cell r="BN90">
            <v>147.95599999999985</v>
          </cell>
          <cell r="BO90">
            <v>195.559</v>
          </cell>
          <cell r="BP90">
            <v>380.49400000000003</v>
          </cell>
          <cell r="BQ90">
            <v>892.50999999999885</v>
          </cell>
          <cell r="BS90">
            <v>196.87099999999998</v>
          </cell>
          <cell r="BT90">
            <v>173.67600000000004</v>
          </cell>
          <cell r="BU90">
            <v>260.07500000000005</v>
          </cell>
          <cell r="BV90">
            <v>603.24900000000014</v>
          </cell>
          <cell r="BW90">
            <v>1233.8709999999996</v>
          </cell>
          <cell r="BY90">
            <v>211.1449999999997</v>
          </cell>
          <cell r="BZ90">
            <v>237.19800000000009</v>
          </cell>
          <cell r="CA90">
            <v>309.19699999999978</v>
          </cell>
          <cell r="CC90">
            <v>278.36199999999985</v>
          </cell>
          <cell r="CD90">
            <v>717.53299999999979</v>
          </cell>
          <cell r="CE90">
            <v>757.60399999999947</v>
          </cell>
          <cell r="CF90">
            <v>1469.5959999999989</v>
          </cell>
          <cell r="CG90">
            <v>1521.3169999999991</v>
          </cell>
          <cell r="CH90">
            <v>1478.7909999999974</v>
          </cell>
          <cell r="CJ90">
            <v>266.31199999999984</v>
          </cell>
          <cell r="CK90">
            <v>307.97100000000006</v>
          </cell>
          <cell r="CL90">
            <v>366.89200000000045</v>
          </cell>
          <cell r="CM90">
            <v>794.05299999999966</v>
          </cell>
          <cell r="CN90">
            <v>1735.2279999999998</v>
          </cell>
          <cell r="CP90">
            <v>293.74400000000014</v>
          </cell>
          <cell r="CQ90">
            <v>357.25400000000036</v>
          </cell>
          <cell r="CR90">
            <v>415.71699999999998</v>
          </cell>
          <cell r="CS90">
            <v>864.35699999999997</v>
          </cell>
          <cell r="CT90">
            <v>1931.0720000000006</v>
          </cell>
          <cell r="CV90">
            <v>336</v>
          </cell>
          <cell r="CW90">
            <v>423</v>
          </cell>
          <cell r="CX90">
            <v>414</v>
          </cell>
          <cell r="CY90">
            <v>906</v>
          </cell>
          <cell r="CZ90">
            <v>2079</v>
          </cell>
          <cell r="DB90">
            <v>398</v>
          </cell>
          <cell r="DC90">
            <v>505</v>
          </cell>
          <cell r="DD90">
            <v>493</v>
          </cell>
          <cell r="DE90">
            <v>1043</v>
          </cell>
          <cell r="DF90">
            <v>2439</v>
          </cell>
          <cell r="FJ90">
            <v>-3.4194680167579095E-2</v>
          </cell>
          <cell r="FK90">
            <v>-1.5971577237682277E-3</v>
          </cell>
          <cell r="FL90">
            <v>-5.7525143184197214E-3</v>
          </cell>
          <cell r="FM90">
            <v>9.2433677127078395E-3</v>
          </cell>
          <cell r="FN90">
            <v>-5.1748072838055936E-3</v>
          </cell>
          <cell r="FP90">
            <v>5.0054493420776947E-2</v>
          </cell>
          <cell r="FQ90">
            <v>1.2157198738702135E-2</v>
          </cell>
          <cell r="FR90">
            <v>3.7873885884193381E-2</v>
          </cell>
          <cell r="FS90">
            <v>3.7804361854073099E-2</v>
          </cell>
          <cell r="FT90">
            <v>3.4486647181381613E-2</v>
          </cell>
          <cell r="FV90">
            <v>6.654750183230107E-2</v>
          </cell>
          <cell r="FW90">
            <v>6.0825738612125813E-2</v>
          </cell>
          <cell r="FX90">
            <v>6.5553021505009412E-2</v>
          </cell>
          <cell r="FY90">
            <v>2.4289824797099513E-2</v>
          </cell>
          <cell r="FZ90">
            <v>5.3530898326099363E-2</v>
          </cell>
          <cell r="GB90">
            <v>3.1980729489817339E-2</v>
          </cell>
          <cell r="GC90">
            <v>1.343934930906876E-2</v>
          </cell>
          <cell r="GD90">
            <v>-1.4520704841329835E-2</v>
          </cell>
          <cell r="GE90">
            <v>2.4716111945240593E-2</v>
          </cell>
          <cell r="GF90">
            <v>1.6065747463878788E-2</v>
          </cell>
        </row>
        <row r="91">
          <cell r="A91" t="str">
            <v>E = MorFYn Stanley Research Estimates</v>
          </cell>
        </row>
        <row r="92">
          <cell r="A92" t="str">
            <v>Macy's Inc.</v>
          </cell>
          <cell r="AN92" t="str">
            <v>Macy's Inc.</v>
          </cell>
        </row>
        <row r="93">
          <cell r="A93" t="str">
            <v>Annual Store Model</v>
          </cell>
          <cell r="F93" t="str">
            <v>Federated (Post-Bankruptcy)</v>
          </cell>
          <cell r="AN93" t="str">
            <v>Quarterly Store Model</v>
          </cell>
        </row>
        <row r="94">
          <cell r="A94" t="str">
            <v>($ Millions)</v>
          </cell>
          <cell r="J94" t="str">
            <v>91P-94E</v>
          </cell>
          <cell r="K94" t="str">
            <v>PFMA</v>
          </cell>
          <cell r="AN94" t="str">
            <v>($ Millions)</v>
          </cell>
          <cell r="EX94">
            <v>39447</v>
          </cell>
          <cell r="FD94">
            <v>39813</v>
          </cell>
          <cell r="FJ94">
            <v>40178</v>
          </cell>
          <cell r="FP94">
            <v>40543</v>
          </cell>
          <cell r="FV94">
            <v>40908</v>
          </cell>
          <cell r="GB94">
            <v>41274</v>
          </cell>
          <cell r="GG94" t="str">
            <v xml:space="preserve"> </v>
          </cell>
        </row>
        <row r="95">
          <cell r="A95">
            <v>41396.636050578702</v>
          </cell>
          <cell r="B95">
            <v>1987</v>
          </cell>
          <cell r="C95">
            <v>1988</v>
          </cell>
          <cell r="D95">
            <v>1989</v>
          </cell>
          <cell r="E95">
            <v>1990</v>
          </cell>
          <cell r="F95">
            <v>1991</v>
          </cell>
          <cell r="G95" t="str">
            <v>1992</v>
          </cell>
          <cell r="H95">
            <v>1993</v>
          </cell>
          <cell r="I95">
            <v>1994</v>
          </cell>
          <cell r="J95" t="str">
            <v>CAGR</v>
          </cell>
          <cell r="K95">
            <v>1994</v>
          </cell>
          <cell r="M95">
            <v>1994</v>
          </cell>
          <cell r="N95">
            <v>1995</v>
          </cell>
          <cell r="O95">
            <v>1996</v>
          </cell>
          <cell r="P95">
            <v>1997</v>
          </cell>
          <cell r="Q95">
            <v>1998</v>
          </cell>
          <cell r="R95">
            <v>1999</v>
          </cell>
          <cell r="S95">
            <v>2000</v>
          </cell>
          <cell r="T95">
            <v>2001</v>
          </cell>
          <cell r="U95">
            <v>2002</v>
          </cell>
          <cell r="V95">
            <v>2003</v>
          </cell>
          <cell r="W95">
            <v>2004</v>
          </cell>
          <cell r="X95">
            <v>2005</v>
          </cell>
          <cell r="Y95">
            <v>2006</v>
          </cell>
          <cell r="Z95">
            <v>2007</v>
          </cell>
          <cell r="AA95">
            <v>2008</v>
          </cell>
          <cell r="AB95">
            <v>2009</v>
          </cell>
          <cell r="AC95">
            <v>2010</v>
          </cell>
          <cell r="AD95">
            <v>2011</v>
          </cell>
          <cell r="AE95" t="str">
            <v>2012E</v>
          </cell>
          <cell r="AF95" t="str">
            <v>2013E</v>
          </cell>
          <cell r="AG95" t="str">
            <v>2014E</v>
          </cell>
          <cell r="AH95" t="str">
            <v>2015E</v>
          </cell>
          <cell r="AI95" t="str">
            <v>2016E</v>
          </cell>
          <cell r="AJ95" t="str">
            <v>2017E</v>
          </cell>
          <cell r="AK95" t="str">
            <v>2017E</v>
          </cell>
          <cell r="AL95" t="str">
            <v>2017E</v>
          </cell>
          <cell r="AN95">
            <v>41396.636050578702</v>
          </cell>
          <cell r="BS95" t="str">
            <v>1994 (Pro forma for Macy's)</v>
          </cell>
          <cell r="BY95" t="str">
            <v>1995E</v>
          </cell>
          <cell r="CJ95" t="str">
            <v>1996A</v>
          </cell>
          <cell r="CP95" t="str">
            <v>1997A</v>
          </cell>
          <cell r="CX95">
            <v>1998</v>
          </cell>
          <cell r="DD95">
            <v>1999</v>
          </cell>
          <cell r="DJ95">
            <v>2000</v>
          </cell>
          <cell r="DP95">
            <v>2001</v>
          </cell>
          <cell r="DV95">
            <v>2002</v>
          </cell>
          <cell r="EB95">
            <v>2003</v>
          </cell>
          <cell r="EH95">
            <v>2004</v>
          </cell>
          <cell r="EN95">
            <v>2005</v>
          </cell>
          <cell r="ET95">
            <v>2006</v>
          </cell>
          <cell r="EX95">
            <v>1</v>
          </cell>
          <cell r="EY95">
            <v>2</v>
          </cell>
          <cell r="EZ95">
            <v>3</v>
          </cell>
          <cell r="FA95">
            <v>4</v>
          </cell>
          <cell r="FB95" t="str">
            <v>Year</v>
          </cell>
          <cell r="FD95">
            <v>1</v>
          </cell>
          <cell r="FE95">
            <v>2</v>
          </cell>
          <cell r="FF95">
            <v>3</v>
          </cell>
          <cell r="FG95">
            <v>4</v>
          </cell>
          <cell r="FH95" t="str">
            <v>Year</v>
          </cell>
          <cell r="FJ95">
            <v>1</v>
          </cell>
          <cell r="FK95">
            <v>2</v>
          </cell>
          <cell r="FL95">
            <v>3</v>
          </cell>
          <cell r="FM95">
            <v>4</v>
          </cell>
          <cell r="FN95" t="str">
            <v>Year</v>
          </cell>
          <cell r="FP95">
            <v>1</v>
          </cell>
          <cell r="FQ95">
            <v>2</v>
          </cell>
          <cell r="FR95">
            <v>3</v>
          </cell>
          <cell r="FS95">
            <v>4</v>
          </cell>
          <cell r="FT95" t="str">
            <v>Year</v>
          </cell>
          <cell r="FV95">
            <v>1</v>
          </cell>
          <cell r="FW95">
            <v>2</v>
          </cell>
          <cell r="FX95">
            <v>3</v>
          </cell>
          <cell r="FY95">
            <v>4</v>
          </cell>
          <cell r="FZ95" t="str">
            <v>Year</v>
          </cell>
          <cell r="GB95">
            <v>1</v>
          </cell>
          <cell r="GC95">
            <v>2</v>
          </cell>
          <cell r="GD95">
            <v>3</v>
          </cell>
          <cell r="GE95">
            <v>4</v>
          </cell>
          <cell r="GF95" t="str">
            <v>Year</v>
          </cell>
        </row>
        <row r="96">
          <cell r="A96" t="str">
            <v>TOTAL RETAIL COMPANY (A)</v>
          </cell>
          <cell r="AN96" t="str">
            <v>TOTAL RETAIL COMPANY (A)</v>
          </cell>
        </row>
        <row r="97">
          <cell r="A97" t="str">
            <v>Sales</v>
          </cell>
          <cell r="N97">
            <v>14614</v>
          </cell>
          <cell r="O97">
            <v>14833</v>
          </cell>
          <cell r="P97">
            <v>15220</v>
          </cell>
          <cell r="Q97">
            <v>15365</v>
          </cell>
          <cell r="R97">
            <v>16029</v>
          </cell>
          <cell r="S97">
            <v>16638</v>
          </cell>
          <cell r="T97">
            <v>15785</v>
          </cell>
          <cell r="U97">
            <v>15571</v>
          </cell>
          <cell r="V97">
            <v>15412</v>
          </cell>
          <cell r="W97">
            <v>15776</v>
          </cell>
          <cell r="X97">
            <v>22390</v>
          </cell>
          <cell r="Y97">
            <v>26970</v>
          </cell>
          <cell r="Z97">
            <v>26313</v>
          </cell>
          <cell r="AA97">
            <v>24892</v>
          </cell>
          <cell r="AB97">
            <v>23895</v>
          </cell>
          <cell r="AC97">
            <v>25003</v>
          </cell>
          <cell r="AD97">
            <v>26405</v>
          </cell>
          <cell r="AE97">
            <v>27697.820605365057</v>
          </cell>
          <cell r="AF97">
            <v>28358.892641397051</v>
          </cell>
          <cell r="AG97">
            <v>28905.408744504351</v>
          </cell>
          <cell r="AH97">
            <v>29204.897015558319</v>
          </cell>
          <cell r="AI97">
            <v>29496.945985713905</v>
          </cell>
          <cell r="AJ97">
            <v>29791.915445571045</v>
          </cell>
          <cell r="AK97">
            <v>30089.834600026756</v>
          </cell>
          <cell r="AL97">
            <v>30390.732946027023</v>
          </cell>
          <cell r="AN97" t="str">
            <v>Sales</v>
          </cell>
          <cell r="DB97">
            <v>3470</v>
          </cell>
          <cell r="DC97">
            <v>3609</v>
          </cell>
          <cell r="DD97">
            <v>3691</v>
          </cell>
          <cell r="DE97">
            <v>5259</v>
          </cell>
          <cell r="DF97">
            <v>16029</v>
          </cell>
          <cell r="DH97">
            <v>3573</v>
          </cell>
          <cell r="DI97">
            <v>3679</v>
          </cell>
          <cell r="DJ97">
            <v>3782</v>
          </cell>
          <cell r="DK97">
            <v>5604</v>
          </cell>
          <cell r="DL97">
            <v>16638</v>
          </cell>
          <cell r="DN97">
            <v>3556</v>
          </cell>
          <cell r="DO97">
            <v>3488</v>
          </cell>
          <cell r="DP97">
            <v>3475</v>
          </cell>
          <cell r="DQ97">
            <v>5132</v>
          </cell>
          <cell r="DR97">
            <v>15785</v>
          </cell>
          <cell r="DT97">
            <v>3453</v>
          </cell>
          <cell r="DU97">
            <v>3486</v>
          </cell>
          <cell r="DV97">
            <v>3479</v>
          </cell>
          <cell r="DW97">
            <v>5017</v>
          </cell>
          <cell r="DX97">
            <v>15571</v>
          </cell>
          <cell r="DZ97">
            <v>3291</v>
          </cell>
          <cell r="EA97">
            <v>3434</v>
          </cell>
          <cell r="EB97">
            <v>3486</v>
          </cell>
          <cell r="EC97">
            <v>5053</v>
          </cell>
          <cell r="ED97">
            <v>15412</v>
          </cell>
          <cell r="EF97">
            <v>3550</v>
          </cell>
          <cell r="EG97">
            <v>3581</v>
          </cell>
          <cell r="EH97">
            <v>3525</v>
          </cell>
          <cell r="EI97">
            <v>5120</v>
          </cell>
          <cell r="EJ97">
            <v>15776</v>
          </cell>
          <cell r="EL97">
            <v>3641</v>
          </cell>
          <cell r="EM97">
            <v>3623</v>
          </cell>
          <cell r="EN97">
            <v>5555</v>
          </cell>
          <cell r="EO97">
            <v>9571</v>
          </cell>
          <cell r="EP97">
            <v>22390</v>
          </cell>
          <cell r="ER97">
            <v>5930</v>
          </cell>
          <cell r="ES97">
            <v>5995</v>
          </cell>
          <cell r="ET97">
            <v>5886</v>
          </cell>
          <cell r="EU97">
            <v>9159</v>
          </cell>
          <cell r="EV97">
            <v>26970</v>
          </cell>
          <cell r="EX97">
            <v>5921</v>
          </cell>
          <cell r="EY97">
            <v>5892</v>
          </cell>
          <cell r="EZ97">
            <v>5906</v>
          </cell>
          <cell r="FA97">
            <v>8594</v>
          </cell>
          <cell r="FB97">
            <v>26313</v>
          </cell>
          <cell r="FD97">
            <v>5747</v>
          </cell>
          <cell r="FE97">
            <v>5718</v>
          </cell>
          <cell r="FF97">
            <v>5493</v>
          </cell>
          <cell r="FG97">
            <v>7934</v>
          </cell>
          <cell r="FH97">
            <v>24892</v>
          </cell>
          <cell r="FJ97">
            <v>5288</v>
          </cell>
          <cell r="FK97">
            <v>5285</v>
          </cell>
          <cell r="FL97">
            <v>5385</v>
          </cell>
          <cell r="FM97">
            <v>7937</v>
          </cell>
          <cell r="FN97">
            <v>23895</v>
          </cell>
          <cell r="FP97">
            <v>5574</v>
          </cell>
          <cell r="FQ97">
            <v>5537</v>
          </cell>
          <cell r="FR97">
            <v>5623</v>
          </cell>
          <cell r="FS97">
            <v>8269</v>
          </cell>
          <cell r="FT97">
            <v>25003</v>
          </cell>
          <cell r="FV97">
            <v>5889</v>
          </cell>
          <cell r="FW97">
            <v>5939</v>
          </cell>
          <cell r="FX97">
            <v>5853</v>
          </cell>
          <cell r="FY97">
            <v>8724</v>
          </cell>
          <cell r="FZ97">
            <v>26405</v>
          </cell>
          <cell r="GB97">
            <v>6143</v>
          </cell>
          <cell r="GC97">
            <v>6118</v>
          </cell>
          <cell r="GD97">
            <v>6069.6866469352608</v>
          </cell>
          <cell r="GE97">
            <v>9367.1339584297966</v>
          </cell>
          <cell r="GF97">
            <v>27697.820605365057</v>
          </cell>
        </row>
        <row r="98">
          <cell r="A98" t="str">
            <v>% Change</v>
          </cell>
          <cell r="N98" t="str">
            <v>NA</v>
          </cell>
          <cell r="O98">
            <v>1.4985630217599466E-2</v>
          </cell>
          <cell r="P98">
            <v>2.6090473943234604E-2</v>
          </cell>
          <cell r="Q98">
            <v>9.5269382391589552E-3</v>
          </cell>
          <cell r="R98">
            <v>4.3215099251545652E-2</v>
          </cell>
          <cell r="S98">
            <v>3.7993636533782515E-2</v>
          </cell>
          <cell r="T98">
            <v>-5.126818127178745E-2</v>
          </cell>
          <cell r="U98">
            <v>-1.3557174532784266E-2</v>
          </cell>
          <cell r="V98">
            <v>-1.0211290218996805E-2</v>
          </cell>
          <cell r="W98">
            <v>2.361796003114458E-2</v>
          </cell>
          <cell r="X98">
            <v>0.41924442190669375</v>
          </cell>
          <cell r="Y98">
            <v>0.20455560518088434</v>
          </cell>
          <cell r="Z98">
            <v>-2.4360400444938812E-2</v>
          </cell>
          <cell r="AA98">
            <v>-5.4003724394785846E-2</v>
          </cell>
          <cell r="AB98">
            <v>-4.0053029085650005E-2</v>
          </cell>
          <cell r="AC98">
            <v>4.6369533375183014E-2</v>
          </cell>
          <cell r="AD98">
            <v>5.60732712074552E-2</v>
          </cell>
          <cell r="AE98">
            <v>4.8961204520547419E-2</v>
          </cell>
          <cell r="AF98">
            <v>2.3867294306323394E-2</v>
          </cell>
          <cell r="AG98">
            <v>1.9271419022529823E-2</v>
          </cell>
          <cell r="AH98">
            <v>1.0360976857347159E-2</v>
          </cell>
          <cell r="AI98">
            <v>1.0000000000000009E-2</v>
          </cell>
          <cell r="AJ98">
            <v>1.0000000000000009E-2</v>
          </cell>
          <cell r="AK98">
            <v>1.0000000000000009E-2</v>
          </cell>
          <cell r="AL98">
            <v>1.0000000000000009E-2</v>
          </cell>
          <cell r="AN98" t="str">
            <v>% Change</v>
          </cell>
          <cell r="DH98">
            <v>2.9682997118155585E-2</v>
          </cell>
          <cell r="DI98">
            <v>1.9395954558049322E-2</v>
          </cell>
          <cell r="DJ98">
            <v>2.4654565158493735E-2</v>
          </cell>
          <cell r="DK98">
            <v>6.560182544209936E-2</v>
          </cell>
          <cell r="DL98">
            <v>3.7993636533782515E-2</v>
          </cell>
          <cell r="DN98">
            <v>-4.7579065211307281E-3</v>
          </cell>
          <cell r="DO98">
            <v>-5.191628159826045E-2</v>
          </cell>
          <cell r="DP98">
            <v>-8.1173982020095181E-2</v>
          </cell>
          <cell r="DQ98">
            <v>-8.4225553176302648E-2</v>
          </cell>
          <cell r="DR98">
            <v>-5.126818127178745E-2</v>
          </cell>
          <cell r="DT98">
            <v>-2.8965129358830111E-2</v>
          </cell>
          <cell r="DU98">
            <v>-5.7339449541282672E-4</v>
          </cell>
          <cell r="DV98">
            <v>1.1510791366906581E-3</v>
          </cell>
          <cell r="DW98">
            <v>-2.2408417770849565E-2</v>
          </cell>
          <cell r="DX98">
            <v>-1.3557174532784266E-2</v>
          </cell>
          <cell r="DZ98">
            <v>-4.6915725456125101E-2</v>
          </cell>
          <cell r="EA98">
            <v>-1.4916810097532984E-2</v>
          </cell>
          <cell r="EB98">
            <v>2.012072434607548E-3</v>
          </cell>
          <cell r="EC98">
            <v>7.1756029499701057E-3</v>
          </cell>
          <cell r="ED98">
            <v>-1.0211290218996805E-2</v>
          </cell>
          <cell r="EF98">
            <v>7.8699483439683915E-2</v>
          </cell>
          <cell r="EG98">
            <v>4.2807221898660375E-2</v>
          </cell>
          <cell r="EH98">
            <v>1.1187607573149849E-2</v>
          </cell>
          <cell r="EI98">
            <v>1.3259449831783066E-2</v>
          </cell>
          <cell r="EJ98">
            <v>2.361796003114458E-2</v>
          </cell>
          <cell r="EL98">
            <v>2.5633802816901419E-2</v>
          </cell>
          <cell r="EM98">
            <v>1.1728567439262871E-2</v>
          </cell>
          <cell r="EN98">
            <v>0.57588652482269498</v>
          </cell>
          <cell r="EO98">
            <v>0.86933593750000004</v>
          </cell>
          <cell r="EP98">
            <v>0.41924442190669375</v>
          </cell>
          <cell r="ER98">
            <v>0.62867344136226322</v>
          </cell>
          <cell r="ES98">
            <v>0.65470604471432514</v>
          </cell>
          <cell r="ET98">
            <v>5.9585958595859578E-2</v>
          </cell>
          <cell r="EU98">
            <v>-4.3046703583742518E-2</v>
          </cell>
          <cell r="EV98">
            <v>0.20455560518088434</v>
          </cell>
          <cell r="EX98">
            <v>-1.5177065767284503E-3</v>
          </cell>
          <cell r="EY98">
            <v>-1.7180984153461254E-2</v>
          </cell>
          <cell r="EZ98">
            <v>3.397893306150257E-3</v>
          </cell>
          <cell r="FA98">
            <v>-6.1687957200567745E-2</v>
          </cell>
          <cell r="FB98">
            <v>-2.4360400444938812E-2</v>
          </cell>
          <cell r="FD98">
            <v>-2.9386927883803371E-2</v>
          </cell>
          <cell r="FE98">
            <v>-2.9531568228105876E-2</v>
          </cell>
          <cell r="FF98">
            <v>-6.9928885878767333E-2</v>
          </cell>
          <cell r="FG98">
            <v>-7.6797765883174329E-2</v>
          </cell>
          <cell r="FH98">
            <v>-5.4003724394785846E-2</v>
          </cell>
          <cell r="FJ98">
            <v>-7.9867757090655966E-2</v>
          </cell>
          <cell r="FK98">
            <v>-7.5725778244141284E-2</v>
          </cell>
          <cell r="FL98">
            <v>-1.9661387220098359E-2</v>
          </cell>
          <cell r="FM98">
            <v>3.7811948575749987E-4</v>
          </cell>
          <cell r="FN98">
            <v>-4.0053029085650005E-2</v>
          </cell>
          <cell r="FP98">
            <v>5.4084720121028829E-2</v>
          </cell>
          <cell r="FQ98">
            <v>4.7682119205298079E-2</v>
          </cell>
          <cell r="FR98">
            <v>4.4196843082636939E-2</v>
          </cell>
          <cell r="FS98">
            <v>4.182940657679235E-2</v>
          </cell>
          <cell r="FT98">
            <v>4.6369533375183014E-2</v>
          </cell>
          <cell r="FV98">
            <v>5.6512378902045191E-2</v>
          </cell>
          <cell r="FW98">
            <v>7.2602492324363332E-2</v>
          </cell>
          <cell r="FX98">
            <v>4.0903432331495626E-2</v>
          </cell>
          <cell r="FY98">
            <v>5.5024791389527206E-2</v>
          </cell>
          <cell r="FZ98">
            <v>5.60732712074552E-2</v>
          </cell>
          <cell r="GB98">
            <v>4.313126167430803E-2</v>
          </cell>
          <cell r="GC98">
            <v>3.0139754167368249E-2</v>
          </cell>
          <cell r="GD98">
            <v>3.7021467099822347E-2</v>
          </cell>
          <cell r="GE98">
            <v>7.372007776590972E-2</v>
          </cell>
          <cell r="GF98">
            <v>4.8961204520547419E-2</v>
          </cell>
        </row>
        <row r="99">
          <cell r="A99" t="str">
            <v>Sales/Ave. Sq. Ft.</v>
          </cell>
          <cell r="N99">
            <v>185.41332301426695</v>
          </cell>
          <cell r="O99">
            <v>178.15063475096383</v>
          </cell>
          <cell r="P99">
            <v>185.57015271131161</v>
          </cell>
          <cell r="Q99">
            <v>188.14093733737411</v>
          </cell>
          <cell r="R99">
            <v>195.1982853628686</v>
          </cell>
          <cell r="S99">
            <v>201.28966693685953</v>
          </cell>
          <cell r="T99">
            <v>188.59020310633213</v>
          </cell>
          <cell r="U99">
            <v>185.92238805970149</v>
          </cell>
          <cell r="V99">
            <v>184.02388059701494</v>
          </cell>
          <cell r="W99">
            <v>188.59533771667662</v>
          </cell>
          <cell r="X99">
            <v>185.19437551695614</v>
          </cell>
          <cell r="Y99">
            <v>171.29247380120674</v>
          </cell>
          <cell r="Z99">
            <v>169.01924133080252</v>
          </cell>
          <cell r="AA99">
            <v>161.08616025782067</v>
          </cell>
          <cell r="AB99">
            <v>154.91537840650133</v>
          </cell>
          <cell r="AC99">
            <v>162.05355551450691</v>
          </cell>
          <cell r="AD99">
            <v>172.31421812545884</v>
          </cell>
          <cell r="AE99">
            <v>181.86236863425094</v>
          </cell>
          <cell r="AF99">
            <v>186.01972201820288</v>
          </cell>
          <cell r="AG99">
            <v>189.48961276294534</v>
          </cell>
          <cell r="AH99">
            <v>191.48711704856575</v>
          </cell>
          <cell r="AI99">
            <v>193.36743935804478</v>
          </cell>
          <cell r="AJ99">
            <v>195.30111375162525</v>
          </cell>
          <cell r="AK99">
            <v>197.25412488914151</v>
          </cell>
          <cell r="AL99">
            <v>199.22666613803293</v>
          </cell>
          <cell r="AN99" t="str">
            <v>Sales/Ave. Sq. Ft.</v>
          </cell>
          <cell r="DN99">
            <v>42.637889688249395</v>
          </cell>
          <cell r="DO99" t="str">
            <v>NA</v>
          </cell>
          <cell r="DP99" t="str">
            <v>NA</v>
          </cell>
          <cell r="DQ99">
            <v>61.095238095238095</v>
          </cell>
          <cell r="DR99">
            <v>188.59020310633213</v>
          </cell>
          <cell r="DT99">
            <v>40.928309062964026</v>
          </cell>
          <cell r="DU99">
            <v>41.051569071497894</v>
          </cell>
          <cell r="DV99">
            <v>40.531173985405189</v>
          </cell>
          <cell r="DW99">
            <v>58.999502465059471</v>
          </cell>
          <cell r="DX99">
            <v>185.92238805970149</v>
          </cell>
          <cell r="DZ99">
            <v>39.370030102818724</v>
          </cell>
          <cell r="EA99">
            <v>40.857109529919512</v>
          </cell>
          <cell r="EB99">
            <v>41.073351045396791</v>
          </cell>
          <cell r="EC99">
            <v>59.682254173501882</v>
          </cell>
          <cell r="ED99">
            <v>184.02388059701494</v>
          </cell>
          <cell r="EF99">
            <v>42.261904761904759</v>
          </cell>
          <cell r="EG99">
            <v>42.723255711192614</v>
          </cell>
          <cell r="EH99">
            <v>42.055145596747828</v>
          </cell>
          <cell r="EI99">
            <v>61.207411835026896</v>
          </cell>
          <cell r="EJ99">
            <v>188.59533771667662</v>
          </cell>
          <cell r="EL99">
            <v>43.709483793517407</v>
          </cell>
          <cell r="EM99">
            <v>43.445778155702293</v>
          </cell>
          <cell r="EN99">
            <v>43.791542109400297</v>
          </cell>
          <cell r="EO99">
            <v>58.232044198895025</v>
          </cell>
          <cell r="EP99">
            <v>185.19437551695614</v>
          </cell>
          <cell r="ER99">
            <v>37.564453920983773</v>
          </cell>
          <cell r="ES99">
            <v>38.241149916138319</v>
          </cell>
          <cell r="ET99">
            <v>37.633373672820916</v>
          </cell>
          <cell r="EU99">
            <v>58.543624876054047</v>
          </cell>
          <cell r="EV99">
            <v>171.29247380120674</v>
          </cell>
          <cell r="EX99">
            <v>37.779911755416386</v>
          </cell>
          <cell r="EY99">
            <v>37.537030548211384</v>
          </cell>
          <cell r="EZ99">
            <v>37.569496571290443</v>
          </cell>
          <cell r="FA99">
            <v>55.004768274652626</v>
          </cell>
          <cell r="FB99">
            <v>169.01924133080252</v>
          </cell>
          <cell r="FD99">
            <v>37.076342944882242</v>
          </cell>
          <cell r="FE99">
            <v>36.812659743637617</v>
          </cell>
          <cell r="FF99">
            <v>35.32180589404102</v>
          </cell>
          <cell r="FG99">
            <v>51.267967858977556</v>
          </cell>
          <cell r="FH99">
            <v>161.08616025782067</v>
          </cell>
          <cell r="FJ99">
            <v>34.278231896646723</v>
          </cell>
          <cell r="FK99">
            <v>34.219744501207565</v>
          </cell>
          <cell r="FL99">
            <v>34.76615964672159</v>
          </cell>
          <cell r="FM99">
            <v>51.249269551011977</v>
          </cell>
          <cell r="FN99">
            <v>154.91537840650133</v>
          </cell>
          <cell r="FP99">
            <v>36.112145899807253</v>
          </cell>
          <cell r="FQ99">
            <v>35.883477528271925</v>
          </cell>
          <cell r="FR99">
            <v>36.398238022338667</v>
          </cell>
          <cell r="FS99">
            <v>53.540615176423742</v>
          </cell>
          <cell r="FT99">
            <v>162.05355551450691</v>
          </cell>
          <cell r="FV99">
            <v>38.175188396402241</v>
          </cell>
          <cell r="FW99">
            <v>38.484218165795113</v>
          </cell>
          <cell r="FX99">
            <v>37.934811492569239</v>
          </cell>
          <cell r="FY99">
            <v>56.911364659373348</v>
          </cell>
          <cell r="FZ99">
            <v>172.31421812545884</v>
          </cell>
          <cell r="GB99">
            <v>40.344225186845712</v>
          </cell>
          <cell r="GC99">
            <v>40.196844961596831</v>
          </cell>
          <cell r="GD99">
            <v>39.865531591519826</v>
          </cell>
          <cell r="GE99">
            <v>61.502875554350474</v>
          </cell>
          <cell r="GF99">
            <v>181.86236863425094</v>
          </cell>
        </row>
        <row r="100">
          <cell r="A100" t="str">
            <v>% Change</v>
          </cell>
          <cell r="N100" t="str">
            <v>NA</v>
          </cell>
          <cell r="O100">
            <v>-3.9170261042914767E-2</v>
          </cell>
          <cell r="P100">
            <v>4.16474404973044E-2</v>
          </cell>
          <cell r="Q100">
            <v>1.3853438112226168E-2</v>
          </cell>
          <cell r="R100">
            <v>3.751096452144953E-2</v>
          </cell>
          <cell r="S100">
            <v>3.1206122342044118E-2</v>
          </cell>
          <cell r="T100">
            <v>-6.3090490554147394E-2</v>
          </cell>
          <cell r="U100">
            <v>-1.4146095622615373E-2</v>
          </cell>
          <cell r="V100">
            <v>-1.0211290218996805E-2</v>
          </cell>
          <cell r="W100">
            <v>2.4841651555389754E-2</v>
          </cell>
          <cell r="X100">
            <v>-1.8033119168776479E-2</v>
          </cell>
          <cell r="Y100">
            <v>-7.5066543878253844E-2</v>
          </cell>
          <cell r="Z100">
            <v>-1.3271058675014658E-2</v>
          </cell>
          <cell r="AA100">
            <v>-4.6935964275542585E-2</v>
          </cell>
          <cell r="AB100">
            <v>-3.8307337150770171E-2</v>
          </cell>
          <cell r="AC100">
            <v>4.607791157618224E-2</v>
          </cell>
          <cell r="AD100">
            <v>6.3316491750984083E-2</v>
          </cell>
          <cell r="AE100">
            <v>5.5411274894566542E-2</v>
          </cell>
          <cell r="AF100">
            <v>2.2859888030563047E-2</v>
          </cell>
          <cell r="AG100">
            <v>1.8653348726125563E-2</v>
          </cell>
          <cell r="AH100">
            <v>1.0541497533795186E-2</v>
          </cell>
          <cell r="AI100">
            <v>9.8195760553547728E-3</v>
          </cell>
          <cell r="AJ100">
            <v>1.0000000000000231E-2</v>
          </cell>
          <cell r="AK100">
            <v>1.0000000000000009E-2</v>
          </cell>
          <cell r="AL100">
            <v>1.0000000000000009E-2</v>
          </cell>
          <cell r="AN100" t="str">
            <v>% Change</v>
          </cell>
          <cell r="DN100" t="str">
            <v>NA</v>
          </cell>
          <cell r="DO100" t="str">
            <v>NA</v>
          </cell>
          <cell r="DP100" t="str">
            <v>NA</v>
          </cell>
          <cell r="DQ100" t="str">
            <v>NA</v>
          </cell>
          <cell r="DR100" t="str">
            <v>NA</v>
          </cell>
          <cell r="DT100">
            <v>-4.0095338624521859E-2</v>
          </cell>
          <cell r="DU100" t="str">
            <v>NA</v>
          </cell>
          <cell r="DV100" t="str">
            <v>NA</v>
          </cell>
          <cell r="DW100">
            <v>-3.430276557579981E-2</v>
          </cell>
          <cell r="DX100">
            <v>-1.4146095622615373E-2</v>
          </cell>
          <cell r="DZ100">
            <v>-3.8073377469566294E-2</v>
          </cell>
          <cell r="EA100">
            <v>-4.736957587167967E-3</v>
          </cell>
          <cell r="EB100">
            <v>1.3376791409664968E-2</v>
          </cell>
          <cell r="EC100">
            <v>1.1572160440619816E-2</v>
          </cell>
          <cell r="ED100">
            <v>-1.0211290218996805E-2</v>
          </cell>
          <cell r="EF100">
            <v>7.3453707084643272E-2</v>
          </cell>
          <cell r="EG100">
            <v>4.5674943791766065E-2</v>
          </cell>
          <cell r="EH100">
            <v>2.3903444115526362E-2</v>
          </cell>
          <cell r="EI100">
            <v>2.5554625619388371E-2</v>
          </cell>
          <cell r="EJ100">
            <v>2.4841651555389754E-2</v>
          </cell>
          <cell r="EL100">
            <v>3.4252574269144409E-2</v>
          </cell>
          <cell r="EM100">
            <v>1.6911689722194811E-2</v>
          </cell>
          <cell r="EN100">
            <v>4.1288562624468561E-2</v>
          </cell>
          <cell r="EO100">
            <v>-4.8611231008287348E-2</v>
          </cell>
          <cell r="EP100">
            <v>-1.8033119168776479E-2</v>
          </cell>
          <cell r="ER100">
            <v>-0.14058802207691612</v>
          </cell>
          <cell r="ES100">
            <v>-0.11979594935350146</v>
          </cell>
          <cell r="ET100">
            <v>-0.14062460785680952</v>
          </cell>
          <cell r="EU100">
            <v>5.3506738677213672E-3</v>
          </cell>
          <cell r="EV100">
            <v>-7.5066543878253844E-2</v>
          </cell>
          <cell r="EX100">
            <v>5.7356839230466861E-3</v>
          </cell>
          <cell r="EY100">
            <v>-1.8412609701095484E-2</v>
          </cell>
          <cell r="EZ100">
            <v>-1.6973525170985715E-3</v>
          </cell>
          <cell r="FA100">
            <v>-6.0448197543177873E-2</v>
          </cell>
          <cell r="FB100">
            <v>-1.3271058675014658E-2</v>
          </cell>
          <cell r="FD100">
            <v>-1.8622828319160289E-2</v>
          </cell>
          <cell r="FE100">
            <v>-1.9297498869640384E-2</v>
          </cell>
          <cell r="FF100">
            <v>-5.9827543150180129E-2</v>
          </cell>
          <cell r="FG100">
            <v>-6.7935935972246786E-2</v>
          </cell>
          <cell r="FH100">
            <v>-4.6935964275542585E-2</v>
          </cell>
          <cell r="FJ100">
            <v>-7.5468906207799336E-2</v>
          </cell>
          <cell r="FK100">
            <v>-7.0435422501037515E-2</v>
          </cell>
          <cell r="FL100">
            <v>-1.5730969390021166E-2</v>
          </cell>
          <cell r="FM100">
            <v>-3.6471716641883756E-4</v>
          </cell>
          <cell r="FN100">
            <v>-3.8307337150770171E-2</v>
          </cell>
          <cell r="FP100">
            <v>5.3500834252187213E-2</v>
          </cell>
          <cell r="FQ100">
            <v>4.8619095534323753E-2</v>
          </cell>
          <cell r="FR100">
            <v>4.6944453807999942E-2</v>
          </cell>
          <cell r="FS100">
            <v>4.4709820168871373E-2</v>
          </cell>
          <cell r="FT100">
            <v>4.607791157618224E-2</v>
          </cell>
          <cell r="FV100">
            <v>5.7128770533849682E-2</v>
          </cell>
          <cell r="FW100">
            <v>7.2477385601050326E-2</v>
          </cell>
          <cell r="FX100">
            <v>4.2215600361960703E-2</v>
          </cell>
          <cell r="FY100">
            <v>6.2956868759212359E-2</v>
          </cell>
          <cell r="FZ100">
            <v>6.3316491750984083E-2</v>
          </cell>
          <cell r="GB100">
            <v>5.681797213207429E-2</v>
          </cell>
          <cell r="GC100">
            <v>4.4502055061206969E-2</v>
          </cell>
          <cell r="GD100">
            <v>5.0895734629623268E-2</v>
          </cell>
          <cell r="GE100">
            <v>8.0678277923193376E-2</v>
          </cell>
          <cell r="GF100">
            <v>5.5411274894566542E-2</v>
          </cell>
        </row>
        <row r="102">
          <cell r="A102" t="str">
            <v>Number of Stores</v>
          </cell>
          <cell r="M102">
            <v>355</v>
          </cell>
          <cell r="N102">
            <v>412</v>
          </cell>
          <cell r="O102">
            <v>411</v>
          </cell>
          <cell r="P102">
            <v>400</v>
          </cell>
          <cell r="Q102">
            <v>401</v>
          </cell>
          <cell r="R102">
            <v>403</v>
          </cell>
          <cell r="S102">
            <v>440</v>
          </cell>
          <cell r="T102">
            <v>459</v>
          </cell>
          <cell r="U102">
            <v>455</v>
          </cell>
          <cell r="V102">
            <v>459</v>
          </cell>
          <cell r="W102">
            <v>459</v>
          </cell>
          <cell r="X102">
            <v>868</v>
          </cell>
          <cell r="Y102">
            <v>858</v>
          </cell>
          <cell r="Z102">
            <v>853</v>
          </cell>
          <cell r="AA102">
            <v>847</v>
          </cell>
          <cell r="AB102">
            <v>850</v>
          </cell>
          <cell r="AC102">
            <v>850</v>
          </cell>
          <cell r="AD102">
            <v>842</v>
          </cell>
          <cell r="AE102">
            <v>844</v>
          </cell>
          <cell r="AF102">
            <v>848</v>
          </cell>
          <cell r="AG102">
            <v>848</v>
          </cell>
          <cell r="AH102">
            <v>848</v>
          </cell>
          <cell r="AI102">
            <v>848</v>
          </cell>
          <cell r="AJ102">
            <v>848</v>
          </cell>
          <cell r="AK102">
            <v>848</v>
          </cell>
          <cell r="AL102">
            <v>848</v>
          </cell>
          <cell r="AN102" t="str">
            <v>Number of Stores</v>
          </cell>
          <cell r="DK102">
            <v>440</v>
          </cell>
          <cell r="DL102">
            <v>440</v>
          </cell>
          <cell r="DN102" t="str">
            <v>NA</v>
          </cell>
          <cell r="DO102" t="str">
            <v>NA</v>
          </cell>
          <cell r="DP102" t="str">
            <v>NA</v>
          </cell>
          <cell r="DQ102">
            <v>459</v>
          </cell>
          <cell r="DR102">
            <v>459</v>
          </cell>
          <cell r="DT102">
            <v>463</v>
          </cell>
          <cell r="DU102">
            <v>465</v>
          </cell>
          <cell r="DV102">
            <v>473</v>
          </cell>
          <cell r="DW102">
            <v>455</v>
          </cell>
          <cell r="DX102">
            <v>455</v>
          </cell>
          <cell r="DZ102">
            <v>456</v>
          </cell>
          <cell r="EA102">
            <v>460</v>
          </cell>
          <cell r="EB102">
            <v>465</v>
          </cell>
          <cell r="EC102">
            <v>459</v>
          </cell>
          <cell r="ED102">
            <v>459</v>
          </cell>
          <cell r="EF102">
            <v>459</v>
          </cell>
          <cell r="EG102">
            <v>457</v>
          </cell>
          <cell r="EH102">
            <v>459</v>
          </cell>
          <cell r="EI102">
            <v>459</v>
          </cell>
          <cell r="EJ102">
            <v>459</v>
          </cell>
          <cell r="EL102">
            <v>459</v>
          </cell>
          <cell r="EM102">
            <v>460</v>
          </cell>
          <cell r="EN102">
            <v>935</v>
          </cell>
          <cell r="EO102">
            <v>868</v>
          </cell>
          <cell r="EP102">
            <v>868</v>
          </cell>
          <cell r="ER102">
            <v>861</v>
          </cell>
          <cell r="ES102">
            <v>856</v>
          </cell>
          <cell r="ET102">
            <v>857</v>
          </cell>
          <cell r="EU102">
            <v>858</v>
          </cell>
          <cell r="EV102">
            <v>858</v>
          </cell>
          <cell r="EX102">
            <v>863</v>
          </cell>
          <cell r="EY102">
            <v>863</v>
          </cell>
          <cell r="EZ102">
            <v>866</v>
          </cell>
          <cell r="FA102">
            <v>852</v>
          </cell>
          <cell r="FB102">
            <v>852</v>
          </cell>
          <cell r="FD102">
            <v>851</v>
          </cell>
          <cell r="FE102">
            <v>855</v>
          </cell>
          <cell r="FF102">
            <v>856</v>
          </cell>
          <cell r="FG102">
            <v>847</v>
          </cell>
          <cell r="FH102">
            <v>847</v>
          </cell>
          <cell r="FJ102">
            <v>848</v>
          </cell>
          <cell r="FK102">
            <v>848</v>
          </cell>
          <cell r="FL102">
            <v>854</v>
          </cell>
          <cell r="FM102">
            <v>850</v>
          </cell>
          <cell r="FN102">
            <v>850</v>
          </cell>
          <cell r="FP102">
            <v>849</v>
          </cell>
          <cell r="FQ102">
            <v>849</v>
          </cell>
          <cell r="FR102">
            <v>854</v>
          </cell>
          <cell r="FS102">
            <v>850</v>
          </cell>
          <cell r="FT102">
            <v>850</v>
          </cell>
          <cell r="FV102">
            <v>850</v>
          </cell>
          <cell r="FW102">
            <v>849</v>
          </cell>
          <cell r="FX102">
            <v>850</v>
          </cell>
          <cell r="FY102">
            <v>842</v>
          </cell>
          <cell r="FZ102">
            <v>842</v>
          </cell>
          <cell r="GB102">
            <v>844</v>
          </cell>
          <cell r="GC102">
            <v>845</v>
          </cell>
          <cell r="GD102">
            <v>847</v>
          </cell>
          <cell r="GE102">
            <v>844</v>
          </cell>
          <cell r="GF102">
            <v>844</v>
          </cell>
          <cell r="GS102" t="str">
            <v>mstag:numberOfStores</v>
          </cell>
          <cell r="GT102">
            <v>0</v>
          </cell>
          <cell r="GU102" t="str">
            <v>ms_eqr_gcim_Decimal:ms_eqr_gcim_decimal</v>
          </cell>
          <cell r="GV102" t="b">
            <v>0</v>
          </cell>
          <cell r="GW102" t="b">
            <v>0</v>
          </cell>
        </row>
        <row r="103">
          <cell r="A103" t="str">
            <v>% Change</v>
          </cell>
          <cell r="N103">
            <v>0.16056338028169015</v>
          </cell>
          <cell r="O103">
            <v>-2.4271844660194164E-3</v>
          </cell>
          <cell r="P103">
            <v>-2.676399026763987E-2</v>
          </cell>
          <cell r="Q103">
            <v>2.4999999999999467E-3</v>
          </cell>
          <cell r="R103">
            <v>4.9875311720697368E-3</v>
          </cell>
          <cell r="S103">
            <v>9.1811414392059643E-2</v>
          </cell>
          <cell r="T103">
            <v>4.318181818181821E-2</v>
          </cell>
          <cell r="U103">
            <v>-8.7145969498910736E-3</v>
          </cell>
          <cell r="V103">
            <v>8.79120879120876E-3</v>
          </cell>
          <cell r="W103">
            <v>0</v>
          </cell>
          <cell r="X103">
            <v>0.89106753812636175</v>
          </cell>
          <cell r="Y103">
            <v>-1.1520737327188946E-2</v>
          </cell>
          <cell r="Z103">
            <v>-5.8275058275057967E-3</v>
          </cell>
          <cell r="AA103">
            <v>-7.0339976553340788E-3</v>
          </cell>
          <cell r="AB103">
            <v>3.5419126328217754E-3</v>
          </cell>
          <cell r="AC103">
            <v>0</v>
          </cell>
          <cell r="AD103">
            <v>-9.4117647058823417E-3</v>
          </cell>
          <cell r="AE103">
            <v>2.3752969121140222E-3</v>
          </cell>
          <cell r="AF103">
            <v>4.7393364928909332E-3</v>
          </cell>
          <cell r="AG103">
            <v>0</v>
          </cell>
          <cell r="AH103">
            <v>0</v>
          </cell>
          <cell r="AI103">
            <v>0</v>
          </cell>
          <cell r="AJ103">
            <v>0</v>
          </cell>
          <cell r="AK103">
            <v>0</v>
          </cell>
          <cell r="AL103">
            <v>0</v>
          </cell>
          <cell r="AN103" t="str">
            <v>% Change</v>
          </cell>
          <cell r="DL103">
            <v>9.1811414392059643E-2</v>
          </cell>
          <cell r="DN103" t="str">
            <v>NA</v>
          </cell>
          <cell r="DO103" t="str">
            <v>NA</v>
          </cell>
          <cell r="DP103" t="str">
            <v>NA</v>
          </cell>
          <cell r="DQ103">
            <v>4.318181818181821E-2</v>
          </cell>
          <cell r="DR103">
            <v>4.318181818181821E-2</v>
          </cell>
          <cell r="DT103" t="str">
            <v>NA</v>
          </cell>
          <cell r="DU103" t="str">
            <v>NA</v>
          </cell>
          <cell r="DV103" t="str">
            <v>NA</v>
          </cell>
          <cell r="DW103">
            <v>-8.7145969498910736E-3</v>
          </cell>
          <cell r="DX103">
            <v>-8.7145969498910736E-3</v>
          </cell>
          <cell r="DZ103">
            <v>-1.5118790496760237E-2</v>
          </cell>
          <cell r="EA103">
            <v>-1.0752688172043001E-2</v>
          </cell>
          <cell r="EB103">
            <v>-1.6913319238900604E-2</v>
          </cell>
          <cell r="EC103">
            <v>8.79120879120876E-3</v>
          </cell>
          <cell r="ED103">
            <v>8.79120879120876E-3</v>
          </cell>
          <cell r="EF103">
            <v>6.5789473684210176E-3</v>
          </cell>
          <cell r="EG103">
            <v>-6.521739130434745E-3</v>
          </cell>
          <cell r="EH103">
            <v>-1.2903225806451646E-2</v>
          </cell>
          <cell r="EI103">
            <v>0</v>
          </cell>
          <cell r="EJ103">
            <v>0</v>
          </cell>
          <cell r="EL103">
            <v>0</v>
          </cell>
          <cell r="EM103">
            <v>6.5645514223193757E-3</v>
          </cell>
          <cell r="EN103">
            <v>1.0370370370370372</v>
          </cell>
          <cell r="EO103">
            <v>0.89106753812636175</v>
          </cell>
          <cell r="EP103">
            <v>0.89106753812636175</v>
          </cell>
          <cell r="ER103">
            <v>0.87581699346405228</v>
          </cell>
          <cell r="ES103">
            <v>0.86086956521739122</v>
          </cell>
          <cell r="ET103">
            <v>-8.3422459893048084E-2</v>
          </cell>
          <cell r="EU103">
            <v>-1.1520737327188946E-2</v>
          </cell>
          <cell r="EV103">
            <v>-1.1520737327188946E-2</v>
          </cell>
          <cell r="EX103">
            <v>2.3228803716608404E-3</v>
          </cell>
          <cell r="EY103">
            <v>8.1775700934578754E-3</v>
          </cell>
          <cell r="EZ103">
            <v>1.0501750291715295E-2</v>
          </cell>
          <cell r="FA103">
            <v>-6.9930069930069783E-3</v>
          </cell>
          <cell r="FB103">
            <v>-6.9930069930069783E-3</v>
          </cell>
          <cell r="FD103">
            <v>-1.3904982618771711E-2</v>
          </cell>
          <cell r="FE103">
            <v>-9.2699884125144738E-3</v>
          </cell>
          <cell r="FF103">
            <v>-1.1547344110854452E-2</v>
          </cell>
          <cell r="FG103">
            <v>-5.8685446009389963E-3</v>
          </cell>
          <cell r="FH103">
            <v>-5.8685446009389963E-3</v>
          </cell>
          <cell r="FJ103">
            <v>-3.5252643948295859E-3</v>
          </cell>
          <cell r="FK103">
            <v>-8.1871345029239651E-3</v>
          </cell>
          <cell r="FL103">
            <v>-2.3364485981308691E-3</v>
          </cell>
          <cell r="FM103">
            <v>3.5419126328217754E-3</v>
          </cell>
          <cell r="FN103">
            <v>3.5419126328217754E-3</v>
          </cell>
          <cell r="FP103">
            <v>1.179245283018826E-3</v>
          </cell>
          <cell r="FQ103">
            <v>1.179245283018826E-3</v>
          </cell>
          <cell r="FR103">
            <v>0</v>
          </cell>
          <cell r="FS103">
            <v>0</v>
          </cell>
          <cell r="FT103">
            <v>0</v>
          </cell>
          <cell r="FV103">
            <v>1.1778563015312216E-3</v>
          </cell>
          <cell r="FW103">
            <v>0</v>
          </cell>
          <cell r="FX103">
            <v>-4.6838407494145251E-3</v>
          </cell>
          <cell r="FY103">
            <v>-9.4117647058823417E-3</v>
          </cell>
          <cell r="FZ103">
            <v>-9.4117647058823417E-3</v>
          </cell>
          <cell r="GB103">
            <v>-7.058823529411784E-3</v>
          </cell>
          <cell r="GC103">
            <v>-4.7114252061248862E-3</v>
          </cell>
          <cell r="GD103">
            <v>-3.529411764705892E-3</v>
          </cell>
          <cell r="GE103">
            <v>2.3752969121140222E-3</v>
          </cell>
          <cell r="GF103">
            <v>2.3752969121140222E-3</v>
          </cell>
        </row>
        <row r="104">
          <cell r="A104" t="str">
            <v>EOP Gross Square Feet (MM)</v>
          </cell>
          <cell r="M104">
            <v>74.134</v>
          </cell>
          <cell r="N104">
            <v>83.503</v>
          </cell>
          <cell r="O104">
            <v>83.018999999999991</v>
          </cell>
          <cell r="P104">
            <v>81.016000000000005</v>
          </cell>
          <cell r="Q104">
            <v>82.319000000000003</v>
          </cell>
          <cell r="R104">
            <v>81.914000000000001</v>
          </cell>
          <cell r="S104">
            <v>83.4</v>
          </cell>
          <cell r="T104">
            <v>84</v>
          </cell>
          <cell r="U104">
            <v>83.5</v>
          </cell>
          <cell r="V104">
            <v>84</v>
          </cell>
          <cell r="W104">
            <v>83.3</v>
          </cell>
          <cell r="X104">
            <v>158.5</v>
          </cell>
          <cell r="Y104">
            <v>156.4</v>
          </cell>
          <cell r="Z104">
            <v>154.96100000000001</v>
          </cell>
          <cell r="AA104">
            <v>154.09100000000001</v>
          </cell>
          <cell r="AB104">
            <v>154.4</v>
          </cell>
          <cell r="AC104">
            <v>154.17699999999999</v>
          </cell>
          <cell r="AD104">
            <v>152.298</v>
          </cell>
          <cell r="AE104">
            <v>152.30400000000003</v>
          </cell>
          <cell r="AF104">
            <v>152.59800000000001</v>
          </cell>
          <cell r="AG104">
            <v>152.489</v>
          </cell>
          <cell r="AH104">
            <v>152.54349999999999</v>
          </cell>
          <cell r="AI104">
            <v>152.54349999999999</v>
          </cell>
          <cell r="AJ104">
            <v>152.54349999999999</v>
          </cell>
          <cell r="AK104">
            <v>152.54349999999999</v>
          </cell>
          <cell r="AL104">
            <v>152.54349999999999</v>
          </cell>
          <cell r="AN104" t="str">
            <v>EOP Gross Square Feet (MM)</v>
          </cell>
          <cell r="DK104">
            <v>83.4</v>
          </cell>
          <cell r="DL104">
            <v>83.4</v>
          </cell>
          <cell r="DN104" t="str">
            <v>NA</v>
          </cell>
          <cell r="DO104" t="str">
            <v>NA</v>
          </cell>
          <cell r="DP104" t="str">
            <v>NA</v>
          </cell>
          <cell r="DQ104">
            <v>84</v>
          </cell>
          <cell r="DR104">
            <v>84</v>
          </cell>
          <cell r="DT104">
            <v>84.734065934065939</v>
          </cell>
          <cell r="DU104">
            <v>85.101098901098908</v>
          </cell>
          <cell r="DV104">
            <v>86.569230769230771</v>
          </cell>
          <cell r="DW104">
            <v>83.5</v>
          </cell>
          <cell r="DX104">
            <v>83.5</v>
          </cell>
          <cell r="DZ104">
            <v>83.683006535947712</v>
          </cell>
          <cell r="EA104">
            <v>84.415032679738559</v>
          </cell>
          <cell r="EB104">
            <v>85.330065359477118</v>
          </cell>
          <cell r="EC104">
            <v>84</v>
          </cell>
          <cell r="ED104">
            <v>84</v>
          </cell>
          <cell r="EF104">
            <v>84</v>
          </cell>
          <cell r="EG104">
            <v>83.637037037037032</v>
          </cell>
          <cell r="EH104">
            <v>84</v>
          </cell>
          <cell r="EI104">
            <v>83.3</v>
          </cell>
          <cell r="EJ104">
            <v>83.3</v>
          </cell>
          <cell r="EL104">
            <v>83.3</v>
          </cell>
          <cell r="EM104">
            <v>83.48260368663594</v>
          </cell>
          <cell r="EN104">
            <v>170.21935483870968</v>
          </cell>
          <cell r="EO104">
            <v>158.5</v>
          </cell>
          <cell r="EP104">
            <v>158.5</v>
          </cell>
          <cell r="ER104">
            <v>157.22400932400933</v>
          </cell>
          <cell r="ES104">
            <v>156.31258741258742</v>
          </cell>
          <cell r="ET104">
            <v>156.49487179487181</v>
          </cell>
          <cell r="EU104">
            <v>156.4</v>
          </cell>
          <cell r="EV104">
            <v>156.4</v>
          </cell>
          <cell r="EX104">
            <v>157.047</v>
          </cell>
          <cell r="EY104">
            <v>156.88300000000001</v>
          </cell>
          <cell r="EZ104">
            <v>157.52099999999999</v>
          </cell>
          <cell r="FA104">
            <v>154.96100000000001</v>
          </cell>
          <cell r="FB104">
            <v>154.96100000000001</v>
          </cell>
          <cell r="FD104">
            <v>155.048</v>
          </cell>
          <cell r="FE104">
            <v>155.60599999999999</v>
          </cell>
          <cell r="FF104">
            <v>155.41999999999999</v>
          </cell>
          <cell r="FG104">
            <v>154.09100000000001</v>
          </cell>
          <cell r="FH104">
            <v>154.09100000000001</v>
          </cell>
          <cell r="FJ104">
            <v>154.44300000000001</v>
          </cell>
          <cell r="FK104">
            <v>154.44300000000001</v>
          </cell>
          <cell r="FL104">
            <v>155.34100000000001</v>
          </cell>
          <cell r="FM104">
            <v>154.4</v>
          </cell>
          <cell r="FN104">
            <v>154.4</v>
          </cell>
          <cell r="FP104">
            <v>154.30500000000001</v>
          </cell>
          <cell r="FQ104">
            <v>154.30500000000001</v>
          </cell>
          <cell r="FR104">
            <v>154.666</v>
          </cell>
          <cell r="FS104">
            <v>154.221</v>
          </cell>
          <cell r="FT104">
            <v>154.17699999999999</v>
          </cell>
          <cell r="FV104">
            <v>154.34800000000001</v>
          </cell>
          <cell r="FW104">
            <v>154.298</v>
          </cell>
          <cell r="FX104">
            <v>154.28399999999999</v>
          </cell>
          <cell r="FY104">
            <v>152.298</v>
          </cell>
          <cell r="FZ104">
            <v>152.298</v>
          </cell>
          <cell r="GB104">
            <v>152.19800000000001</v>
          </cell>
          <cell r="GC104">
            <v>152.20400000000001</v>
          </cell>
          <cell r="GD104">
            <v>152.30400000000003</v>
          </cell>
          <cell r="GE104">
            <v>152.30400000000003</v>
          </cell>
          <cell r="GF104">
            <v>152.30400000000003</v>
          </cell>
          <cell r="GS104" t="str">
            <v>mstag:floorspace</v>
          </cell>
          <cell r="GT104">
            <v>6</v>
          </cell>
          <cell r="GU104" t="str">
            <v>area:squareFeet</v>
          </cell>
          <cell r="GV104" t="b">
            <v>0</v>
          </cell>
          <cell r="GW104" t="b">
            <v>0</v>
          </cell>
        </row>
        <row r="105">
          <cell r="A105" t="str">
            <v>% Change</v>
          </cell>
          <cell r="N105">
            <v>0.12637925917932402</v>
          </cell>
          <cell r="O105">
            <v>-5.7961989389603286E-3</v>
          </cell>
          <cell r="P105">
            <v>-2.4127007070670392E-2</v>
          </cell>
          <cell r="Q105">
            <v>1.6083242816233856E-2</v>
          </cell>
          <cell r="R105">
            <v>-4.9198848382512317E-3</v>
          </cell>
          <cell r="S105">
            <v>1.8140977122347968E-2</v>
          </cell>
          <cell r="T105">
            <v>7.194244604316502E-3</v>
          </cell>
          <cell r="U105">
            <v>-5.9523809523809312E-3</v>
          </cell>
          <cell r="V105">
            <v>5.9880239520957446E-3</v>
          </cell>
          <cell r="W105">
            <v>-8.3333333333334147E-3</v>
          </cell>
          <cell r="X105">
            <v>0.90276110444177671</v>
          </cell>
          <cell r="Y105">
            <v>-1.3249211356466839E-2</v>
          </cell>
          <cell r="Z105">
            <v>-9.200767263427112E-3</v>
          </cell>
          <cell r="AA105">
            <v>-5.614315860119623E-3</v>
          </cell>
          <cell r="AB105">
            <v>2.0053085514404323E-3</v>
          </cell>
          <cell r="AC105">
            <v>-1.4443005181348223E-3</v>
          </cell>
          <cell r="AD105">
            <v>-1.2187291230209341E-2</v>
          </cell>
          <cell r="AE105">
            <v>3.9396446440687072E-5</v>
          </cell>
          <cell r="AF105">
            <v>1.930349826662292E-3</v>
          </cell>
          <cell r="AG105">
            <v>-7.1429507595122121E-4</v>
          </cell>
          <cell r="AH105">
            <v>3.5740282905649678E-4</v>
          </cell>
          <cell r="AI105">
            <v>0</v>
          </cell>
          <cell r="AJ105">
            <v>0</v>
          </cell>
          <cell r="AK105">
            <v>0</v>
          </cell>
          <cell r="AL105">
            <v>0</v>
          </cell>
          <cell r="AN105" t="str">
            <v>% Change</v>
          </cell>
          <cell r="DL105">
            <v>1.8140977122347968E-2</v>
          </cell>
          <cell r="DN105" t="str">
            <v>NA</v>
          </cell>
          <cell r="DO105" t="str">
            <v>NA</v>
          </cell>
          <cell r="DP105" t="str">
            <v>NA</v>
          </cell>
          <cell r="DQ105">
            <v>7.194244604316502E-3</v>
          </cell>
          <cell r="DR105">
            <v>7.194244604316502E-3</v>
          </cell>
          <cell r="DT105" t="str">
            <v>NA</v>
          </cell>
          <cell r="DU105" t="str">
            <v>NA</v>
          </cell>
          <cell r="DV105" t="str">
            <v>NA</v>
          </cell>
          <cell r="DW105">
            <v>-5.9523809523809312E-3</v>
          </cell>
          <cell r="DX105">
            <v>-5.9523809523809312E-3</v>
          </cell>
          <cell r="DZ105">
            <v>-1.2404212951802496E-2</v>
          </cell>
          <cell r="EA105">
            <v>-8.0617786399875824E-3</v>
          </cell>
          <cell r="EB105">
            <v>-1.4314155257506234E-2</v>
          </cell>
          <cell r="EC105">
            <v>5.9880239520957446E-3</v>
          </cell>
          <cell r="ED105">
            <v>5.9880239520957446E-3</v>
          </cell>
          <cell r="EF105">
            <v>3.7880267114460686E-3</v>
          </cell>
          <cell r="EG105">
            <v>-9.2163163124411307E-3</v>
          </cell>
          <cell r="EH105">
            <v>-1.558730037149092E-2</v>
          </cell>
          <cell r="EI105">
            <v>-8.3333333333334147E-3</v>
          </cell>
          <cell r="EJ105">
            <v>-8.3333333333334147E-3</v>
          </cell>
          <cell r="EL105">
            <v>-8.3333333333334147E-3</v>
          </cell>
          <cell r="EM105">
            <v>-1.8464708444023703E-3</v>
          </cell>
          <cell r="EN105">
            <v>1.02642089093702</v>
          </cell>
          <cell r="EO105">
            <v>0.90276110444177671</v>
          </cell>
          <cell r="EP105">
            <v>0.90276110444177671</v>
          </cell>
          <cell r="ER105">
            <v>0.88744308912376146</v>
          </cell>
          <cell r="ES105">
            <v>0.87239712838053518</v>
          </cell>
          <cell r="ET105">
            <v>-8.0628216790284646E-2</v>
          </cell>
          <cell r="EU105">
            <v>-1.3249211356466839E-2</v>
          </cell>
          <cell r="EV105">
            <v>-1.3249211356466839E-2</v>
          </cell>
          <cell r="EX105">
            <v>-1.1258415605249761E-3</v>
          </cell>
          <cell r="EY105">
            <v>3.649178846403256E-3</v>
          </cell>
          <cell r="EZ105">
            <v>6.5569446037387902E-3</v>
          </cell>
          <cell r="FA105">
            <v>-9.200767263427112E-3</v>
          </cell>
          <cell r="FB105">
            <v>-9.200767263427112E-3</v>
          </cell>
          <cell r="FD105">
            <v>-1.272867358179397E-2</v>
          </cell>
          <cell r="FE105">
            <v>-8.13982394523316E-3</v>
          </cell>
          <cell r="FF105">
            <v>-1.3337904152462166E-2</v>
          </cell>
          <cell r="FG105">
            <v>-5.614315860119623E-3</v>
          </cell>
          <cell r="FH105">
            <v>-5.614315860119623E-3</v>
          </cell>
          <cell r="FJ105">
            <v>-3.9020174397604857E-3</v>
          </cell>
          <cell r="FK105">
            <v>-7.4740048584244212E-3</v>
          </cell>
          <cell r="FL105">
            <v>-5.0830009007840626E-4</v>
          </cell>
          <cell r="FM105">
            <v>2.0053085514404323E-3</v>
          </cell>
          <cell r="FN105">
            <v>2.0053085514404323E-3</v>
          </cell>
          <cell r="FP105">
            <v>-8.9353353664467505E-4</v>
          </cell>
          <cell r="FQ105">
            <v>-8.9353353664467505E-4</v>
          </cell>
          <cell r="FR105">
            <v>-4.3452790956670651E-3</v>
          </cell>
          <cell r="FS105">
            <v>-1.1593264248704882E-3</v>
          </cell>
          <cell r="FT105">
            <v>-1.4443005181348223E-3</v>
          </cell>
          <cell r="FV105">
            <v>2.7866887009508901E-4</v>
          </cell>
          <cell r="FW105">
            <v>-4.5364699782890483E-5</v>
          </cell>
          <cell r="FX105">
            <v>-2.4698382320613721E-3</v>
          </cell>
          <cell r="FY105">
            <v>-1.2469118991576988E-2</v>
          </cell>
          <cell r="FZ105">
            <v>-1.2187291230209341E-2</v>
          </cell>
          <cell r="GB105">
            <v>-1.3929561769507881E-2</v>
          </cell>
          <cell r="GC105">
            <v>-1.3571141557246369E-2</v>
          </cell>
          <cell r="GD105">
            <v>-1.2833475927510052E-2</v>
          </cell>
          <cell r="GE105">
            <v>3.9396446440687072E-5</v>
          </cell>
          <cell r="GF105">
            <v>3.9396446440687072E-5</v>
          </cell>
        </row>
        <row r="106">
          <cell r="A106" t="str">
            <v>Ave. Square Feet (MM)</v>
          </cell>
          <cell r="N106">
            <v>78.8185</v>
          </cell>
          <cell r="O106">
            <v>83.260999999999996</v>
          </cell>
          <cell r="P106">
            <v>82.017499999999998</v>
          </cell>
          <cell r="Q106">
            <v>81.667500000000004</v>
          </cell>
          <cell r="R106">
            <v>82.116500000000002</v>
          </cell>
          <cell r="S106">
            <v>82.657000000000011</v>
          </cell>
          <cell r="T106">
            <v>83.7</v>
          </cell>
          <cell r="U106">
            <v>83.75</v>
          </cell>
          <cell r="V106">
            <v>83.75</v>
          </cell>
          <cell r="W106">
            <v>83.65</v>
          </cell>
          <cell r="X106">
            <v>120.9</v>
          </cell>
          <cell r="Y106">
            <v>157.44999999999999</v>
          </cell>
          <cell r="Z106">
            <v>155.68049999999999</v>
          </cell>
          <cell r="AA106">
            <v>154.52600000000001</v>
          </cell>
          <cell r="AB106">
            <v>154.24549999999999</v>
          </cell>
          <cell r="AC106">
            <v>154.2885</v>
          </cell>
          <cell r="AD106">
            <v>153.23750000000001</v>
          </cell>
          <cell r="AE106">
            <v>152.30100000000002</v>
          </cell>
          <cell r="AF106">
            <v>152.45100000000002</v>
          </cell>
          <cell r="AG106">
            <v>152.54349999999999</v>
          </cell>
          <cell r="AH106">
            <v>152.51625000000001</v>
          </cell>
          <cell r="AI106">
            <v>152.54349999999999</v>
          </cell>
          <cell r="AJ106">
            <v>152.54349999999999</v>
          </cell>
          <cell r="AK106">
            <v>152.54349999999999</v>
          </cell>
          <cell r="AL106">
            <v>152.54349999999999</v>
          </cell>
          <cell r="AN106" t="str">
            <v>Ave. Square Feet (MM)</v>
          </cell>
          <cell r="DL106">
            <v>82.657000000000011</v>
          </cell>
          <cell r="DN106">
            <v>83.4</v>
          </cell>
          <cell r="DO106" t="str">
            <v>NA</v>
          </cell>
          <cell r="DP106" t="str">
            <v>NA</v>
          </cell>
          <cell r="DQ106">
            <v>84</v>
          </cell>
          <cell r="DR106">
            <v>83.7</v>
          </cell>
          <cell r="DT106">
            <v>84.367032967032969</v>
          </cell>
          <cell r="DU106">
            <v>84.917582417582423</v>
          </cell>
          <cell r="DV106">
            <v>85.835164835164846</v>
          </cell>
          <cell r="DW106">
            <v>85.034615384615392</v>
          </cell>
          <cell r="DX106">
            <v>83.75</v>
          </cell>
          <cell r="DZ106">
            <v>83.591503267973849</v>
          </cell>
          <cell r="EA106">
            <v>84.049019607843135</v>
          </cell>
          <cell r="EB106">
            <v>84.872549019607845</v>
          </cell>
          <cell r="EC106">
            <v>84.665032679738559</v>
          </cell>
          <cell r="ED106">
            <v>83.75</v>
          </cell>
          <cell r="EF106">
            <v>84</v>
          </cell>
          <cell r="EG106">
            <v>83.818518518518516</v>
          </cell>
          <cell r="EH106">
            <v>83.818518518518516</v>
          </cell>
          <cell r="EI106">
            <v>83.65</v>
          </cell>
          <cell r="EJ106">
            <v>83.65</v>
          </cell>
          <cell r="EL106">
            <v>83.3</v>
          </cell>
          <cell r="EM106">
            <v>83.391301843317962</v>
          </cell>
          <cell r="EN106">
            <v>126.85097926267281</v>
          </cell>
          <cell r="EO106">
            <v>164.35967741935485</v>
          </cell>
          <cell r="EP106">
            <v>120.9</v>
          </cell>
          <cell r="ER106">
            <v>157.86200466200467</v>
          </cell>
          <cell r="ES106">
            <v>156.76829836829836</v>
          </cell>
          <cell r="ET106">
            <v>156.40372960372963</v>
          </cell>
          <cell r="EU106">
            <v>156.44743589743592</v>
          </cell>
          <cell r="EV106">
            <v>157.44999999999999</v>
          </cell>
          <cell r="EX106">
            <v>156.7235</v>
          </cell>
          <cell r="EY106">
            <v>156.965</v>
          </cell>
          <cell r="EZ106">
            <v>157.202</v>
          </cell>
          <cell r="FA106">
            <v>156.24099999999999</v>
          </cell>
          <cell r="FB106">
            <v>155.68049999999999</v>
          </cell>
          <cell r="FD106">
            <v>155.00450000000001</v>
          </cell>
          <cell r="FE106">
            <v>155.327</v>
          </cell>
          <cell r="FF106">
            <v>155.51299999999998</v>
          </cell>
          <cell r="FG106">
            <v>154.75549999999998</v>
          </cell>
          <cell r="FH106">
            <v>154.52600000000001</v>
          </cell>
          <cell r="FJ106">
            <v>154.267</v>
          </cell>
          <cell r="FK106">
            <v>154.44300000000001</v>
          </cell>
          <cell r="FL106">
            <v>154.892</v>
          </cell>
          <cell r="FM106">
            <v>154.87049999999999</v>
          </cell>
          <cell r="FN106">
            <v>154.24549999999999</v>
          </cell>
          <cell r="FP106">
            <v>154.35250000000002</v>
          </cell>
          <cell r="FQ106">
            <v>154.30500000000001</v>
          </cell>
          <cell r="FR106">
            <v>154.4855</v>
          </cell>
          <cell r="FS106">
            <v>154.4435</v>
          </cell>
          <cell r="FT106">
            <v>154.2885</v>
          </cell>
          <cell r="FV106">
            <v>154.26249999999999</v>
          </cell>
          <cell r="FW106">
            <v>154.32300000000001</v>
          </cell>
          <cell r="FX106">
            <v>154.291</v>
          </cell>
          <cell r="FY106">
            <v>153.291</v>
          </cell>
          <cell r="FZ106">
            <v>153.23750000000001</v>
          </cell>
          <cell r="GB106">
            <v>152.24799999999999</v>
          </cell>
          <cell r="GC106">
            <v>152.20100000000002</v>
          </cell>
          <cell r="GD106">
            <v>152.25400000000002</v>
          </cell>
          <cell r="GE106">
            <v>152.30400000000003</v>
          </cell>
          <cell r="GF106">
            <v>152.30100000000002</v>
          </cell>
        </row>
        <row r="107">
          <cell r="A107" t="str">
            <v>% Change</v>
          </cell>
          <cell r="N107" t="str">
            <v>NA</v>
          </cell>
          <cell r="O107">
            <v>5.6363670965572821E-2</v>
          </cell>
          <cell r="P107">
            <v>-1.4934963548359992E-2</v>
          </cell>
          <cell r="Q107">
            <v>-4.2673819611667163E-3</v>
          </cell>
          <cell r="R107">
            <v>5.4979030826216579E-3</v>
          </cell>
          <cell r="S107">
            <v>6.5821119994156074E-3</v>
          </cell>
          <cell r="T107">
            <v>1.2618411023869625E-2</v>
          </cell>
          <cell r="U107">
            <v>5.9737156511352474E-4</v>
          </cell>
          <cell r="V107">
            <v>0</v>
          </cell>
          <cell r="W107">
            <v>-1.1940298507462366E-3</v>
          </cell>
          <cell r="X107">
            <v>0.44530783024506881</v>
          </cell>
          <cell r="Y107">
            <v>0.30231596360628599</v>
          </cell>
          <cell r="Z107">
            <v>-1.1238488409018643E-2</v>
          </cell>
          <cell r="AA107">
            <v>-7.4158292143202686E-3</v>
          </cell>
          <cell r="AB107">
            <v>-1.8152285052355221E-3</v>
          </cell>
          <cell r="AC107">
            <v>2.7877636624729085E-4</v>
          </cell>
          <cell r="AD107">
            <v>-6.8119140441444959E-3</v>
          </cell>
          <cell r="AE107">
            <v>-6.1114283383636447E-3</v>
          </cell>
          <cell r="AF107">
            <v>9.8489176039562309E-4</v>
          </cell>
          <cell r="AG107">
            <v>6.0675233353646441E-4</v>
          </cell>
          <cell r="AH107">
            <v>-1.7863756895564187E-4</v>
          </cell>
          <cell r="AI107">
            <v>1.7866948603817434E-4</v>
          </cell>
          <cell r="AJ107">
            <v>0</v>
          </cell>
          <cell r="AK107">
            <v>0</v>
          </cell>
          <cell r="AL107">
            <v>0</v>
          </cell>
          <cell r="AN107" t="str">
            <v>% Change</v>
          </cell>
          <cell r="DL107">
            <v>6.5821119994156074E-3</v>
          </cell>
          <cell r="DN107" t="str">
            <v>NA</v>
          </cell>
          <cell r="DO107" t="str">
            <v>NA</v>
          </cell>
          <cell r="DP107" t="str">
            <v>NA</v>
          </cell>
          <cell r="DQ107" t="str">
            <v>NA</v>
          </cell>
          <cell r="DR107">
            <v>1.2618411023869625E-2</v>
          </cell>
          <cell r="DT107">
            <v>1.1595119508788443E-2</v>
          </cell>
          <cell r="DU107" t="str">
            <v>NA</v>
          </cell>
          <cell r="DV107" t="str">
            <v>NA</v>
          </cell>
          <cell r="DW107">
            <v>1.2316849816849995E-2</v>
          </cell>
          <cell r="DX107">
            <v>5.9737156511352474E-4</v>
          </cell>
          <cell r="DZ107">
            <v>-9.1923310774976175E-3</v>
          </cell>
          <cell r="EA107">
            <v>-1.0228303550472329E-2</v>
          </cell>
          <cell r="EB107">
            <v>-1.1214702242438479E-2</v>
          </cell>
          <cell r="EC107">
            <v>-4.3462618511908024E-3</v>
          </cell>
          <cell r="ED107">
            <v>0</v>
          </cell>
          <cell r="EF107">
            <v>4.8868212205326333E-3</v>
          </cell>
          <cell r="EG107">
            <v>-2.7424601785969172E-3</v>
          </cell>
          <cell r="EH107">
            <v>-1.2418980144520253E-2</v>
          </cell>
          <cell r="EI107">
            <v>-1.1988806330213153E-2</v>
          </cell>
          <cell r="EJ107">
            <v>-1.1940298507462366E-3</v>
          </cell>
          <cell r="EL107">
            <v>-8.3333333333334147E-3</v>
          </cell>
          <cell r="EM107">
            <v>-5.096924674302894E-3</v>
          </cell>
          <cell r="EN107">
            <v>0.51340039772531743</v>
          </cell>
          <cell r="EO107">
            <v>0.9648497001716061</v>
          </cell>
          <cell r="EP107">
            <v>0.44530783024506881</v>
          </cell>
          <cell r="ER107">
            <v>0.8951020967827692</v>
          </cell>
          <cell r="ES107">
            <v>0.87991187213801725</v>
          </cell>
          <cell r="ET107">
            <v>0.23297218920053719</v>
          </cell>
          <cell r="EU107">
            <v>-4.8139797097138781E-2</v>
          </cell>
          <cell r="EV107">
            <v>0.30231596360628599</v>
          </cell>
          <cell r="EX107">
            <v>-7.2120246061887494E-3</v>
          </cell>
          <cell r="EY107">
            <v>1.2547283714181567E-3</v>
          </cell>
          <cell r="EZ107">
            <v>5.1039089559621331E-3</v>
          </cell>
          <cell r="FA107">
            <v>-1.3195224086079982E-3</v>
          </cell>
          <cell r="FB107">
            <v>-1.1238488409018643E-2</v>
          </cell>
          <cell r="FD107">
            <v>-1.0968361477378896E-2</v>
          </cell>
          <cell r="FE107">
            <v>-1.0435447392730945E-2</v>
          </cell>
          <cell r="FF107">
            <v>-1.0744138115291291E-2</v>
          </cell>
          <cell r="FG107">
            <v>-9.5077476462643862E-3</v>
          </cell>
          <cell r="FH107">
            <v>-7.4158292143202686E-3</v>
          </cell>
          <cell r="FJ107">
            <v>-4.7579263827824958E-3</v>
          </cell>
          <cell r="FK107">
            <v>-5.6912191698802461E-3</v>
          </cell>
          <cell r="FL107">
            <v>-3.9932352922262826E-3</v>
          </cell>
          <cell r="FM107">
            <v>7.4310767630225705E-4</v>
          </cell>
          <cell r="FN107">
            <v>-1.8152285052355221E-3</v>
          </cell>
          <cell r="FP107">
            <v>5.5423389318542959E-4</v>
          </cell>
          <cell r="FQ107">
            <v>-8.9353353664467505E-4</v>
          </cell>
          <cell r="FR107">
            <v>-2.6244092658109786E-3</v>
          </cell>
          <cell r="FS107">
            <v>-2.7571422575635163E-3</v>
          </cell>
          <cell r="FT107">
            <v>2.7877636624729085E-4</v>
          </cell>
          <cell r="FV107">
            <v>-5.8308093487335899E-4</v>
          </cell>
          <cell r="FW107">
            <v>1.1665208515609926E-4</v>
          </cell>
          <cell r="FX107">
            <v>-1.25901783662552E-3</v>
          </cell>
          <cell r="FY107">
            <v>-7.4622758484494955E-3</v>
          </cell>
          <cell r="FZ107">
            <v>-6.8119140441444959E-3</v>
          </cell>
          <cell r="GB107">
            <v>-1.3058909326634782E-2</v>
          </cell>
          <cell r="GC107">
            <v>-1.3750380695035647E-2</v>
          </cell>
          <cell r="GD107">
            <v>-1.320232547588629E-2</v>
          </cell>
          <cell r="GE107">
            <v>-6.4387341722603741E-3</v>
          </cell>
          <cell r="GF107">
            <v>-6.1114283383636447E-3</v>
          </cell>
        </row>
        <row r="108">
          <cell r="A108" t="str">
            <v>Ave. Square Feet Per Store (000's)</v>
          </cell>
          <cell r="N108">
            <v>205.52411994784876</v>
          </cell>
          <cell r="O108">
            <v>202.33535844471447</v>
          </cell>
          <cell r="P108">
            <v>202.26263871763254</v>
          </cell>
          <cell r="Q108">
            <v>203.91385767790263</v>
          </cell>
          <cell r="R108">
            <v>204.26990049751242</v>
          </cell>
          <cell r="S108">
            <v>196.10201660735473</v>
          </cell>
          <cell r="T108">
            <v>186.20689655172413</v>
          </cell>
          <cell r="U108">
            <v>183.26039387308535</v>
          </cell>
          <cell r="V108">
            <v>183.26039387308535</v>
          </cell>
          <cell r="W108">
            <v>182.24400871459696</v>
          </cell>
          <cell r="X108">
            <v>182.21552373775432</v>
          </cell>
          <cell r="Y108">
            <v>182.44495944380068</v>
          </cell>
          <cell r="Z108">
            <v>181.97603740502629</v>
          </cell>
          <cell r="AA108">
            <v>181.79529411764705</v>
          </cell>
          <cell r="AB108">
            <v>181.78609310548026</v>
          </cell>
          <cell r="AC108">
            <v>181.51588235294119</v>
          </cell>
          <cell r="AD108">
            <v>181.13179669030734</v>
          </cell>
          <cell r="AE108">
            <v>180.6654804270463</v>
          </cell>
          <cell r="AF108">
            <v>180.2021276595745</v>
          </cell>
          <cell r="AG108">
            <v>179.88620283018867</v>
          </cell>
          <cell r="AH108">
            <v>179.88620283018867</v>
          </cell>
          <cell r="AI108">
            <v>179.88620283018867</v>
          </cell>
          <cell r="AJ108">
            <v>179.88620283018867</v>
          </cell>
          <cell r="AK108">
            <v>179.88620283018867</v>
          </cell>
          <cell r="AL108">
            <v>179.88620283018867</v>
          </cell>
          <cell r="AN108" t="str">
            <v>Ave. Square Feet Per Store (000's)</v>
          </cell>
          <cell r="DL108">
            <v>196.10201660735473</v>
          </cell>
          <cell r="DN108">
            <v>189.54545454545453</v>
          </cell>
          <cell r="DO108" t="str">
            <v>NA</v>
          </cell>
          <cell r="DP108" t="str">
            <v>NA</v>
          </cell>
          <cell r="DQ108">
            <v>183.00653594771242</v>
          </cell>
          <cell r="DR108">
            <v>186.20689655172413</v>
          </cell>
          <cell r="DT108">
            <v>183.00874830158995</v>
          </cell>
          <cell r="DU108">
            <v>183.01203107237592</v>
          </cell>
          <cell r="DV108">
            <v>183.01740903020223</v>
          </cell>
          <cell r="DW108">
            <v>183.26425729442971</v>
          </cell>
          <cell r="DX108">
            <v>183.26039387308535</v>
          </cell>
          <cell r="DZ108">
            <v>183.51592374966816</v>
          </cell>
          <cell r="EA108">
            <v>183.5131432485658</v>
          </cell>
          <cell r="EB108">
            <v>183.50821409644939</v>
          </cell>
          <cell r="EC108">
            <v>183.25764649294061</v>
          </cell>
          <cell r="ED108">
            <v>183.26039387308535</v>
          </cell>
          <cell r="EF108">
            <v>183.00653594771242</v>
          </cell>
          <cell r="EG108">
            <v>183.00986576095744</v>
          </cell>
          <cell r="EH108">
            <v>183.00986576095744</v>
          </cell>
          <cell r="EI108">
            <v>182.24400871459696</v>
          </cell>
          <cell r="EJ108">
            <v>182.24400871459696</v>
          </cell>
          <cell r="EL108">
            <v>181.4814814814815</v>
          </cell>
          <cell r="EM108">
            <v>181.48270259699231</v>
          </cell>
          <cell r="EN108">
            <v>181.86520324397534</v>
          </cell>
          <cell r="EO108">
            <v>182.31800046517455</v>
          </cell>
          <cell r="EP108">
            <v>182.21552373775432</v>
          </cell>
          <cell r="ER108">
            <v>182.60497936611299</v>
          </cell>
          <cell r="ES108">
            <v>182.60721999801788</v>
          </cell>
          <cell r="ET108">
            <v>182.60797385140646</v>
          </cell>
          <cell r="EU108">
            <v>182.44598938476494</v>
          </cell>
          <cell r="EV108">
            <v>182.44495944380068</v>
          </cell>
          <cell r="EX108">
            <v>182.13073794305637</v>
          </cell>
          <cell r="EY108">
            <v>181.88296639629201</v>
          </cell>
          <cell r="EZ108">
            <v>181.84152689415848</v>
          </cell>
          <cell r="FA108">
            <v>181.88707799767172</v>
          </cell>
          <cell r="FB108">
            <v>181.97603740502629</v>
          </cell>
          <cell r="FD108">
            <v>182.03699354081033</v>
          </cell>
          <cell r="FE108">
            <v>182.09495896834702</v>
          </cell>
          <cell r="FF108">
            <v>181.78024547048506</v>
          </cell>
          <cell r="FG108">
            <v>181.74456840869053</v>
          </cell>
          <cell r="FH108">
            <v>181.79529411764705</v>
          </cell>
          <cell r="FJ108">
            <v>182.02595870206488</v>
          </cell>
          <cell r="FK108">
            <v>182.12617924528303</v>
          </cell>
          <cell r="FL108">
            <v>182.01175088131609</v>
          </cell>
          <cell r="FM108">
            <v>181.77288732394365</v>
          </cell>
          <cell r="FN108">
            <v>179.88620283018867</v>
          </cell>
          <cell r="FP108">
            <v>181.69805768098885</v>
          </cell>
          <cell r="FQ108">
            <v>181.74911660777386</v>
          </cell>
          <cell r="FR108">
            <v>181.42748091603053</v>
          </cell>
          <cell r="FS108">
            <v>181.27171361502349</v>
          </cell>
          <cell r="FT108">
            <v>0</v>
          </cell>
          <cell r="FV108">
            <v>181.48529411764707</v>
          </cell>
          <cell r="FW108">
            <v>181.66333137139495</v>
          </cell>
          <cell r="FX108">
            <v>181.62566215420836</v>
          </cell>
          <cell r="FY108">
            <v>181.1950354609929</v>
          </cell>
          <cell r="FZ108">
            <v>181.13179669030734</v>
          </cell>
          <cell r="GB108">
            <v>180.60260972716489</v>
          </cell>
          <cell r="GC108">
            <v>180.22616933096509</v>
          </cell>
          <cell r="GD108">
            <v>179.96926713947994</v>
          </cell>
          <cell r="GE108">
            <v>180.13483146067418</v>
          </cell>
          <cell r="GF108">
            <v>180.6654804270463</v>
          </cell>
        </row>
        <row r="109">
          <cell r="A109" t="str">
            <v>% Change</v>
          </cell>
          <cell r="N109" t="str">
            <v>NA</v>
          </cell>
          <cell r="O109">
            <v>-1.5515266548488005E-2</v>
          </cell>
          <cell r="P109">
            <v>-3.5940197324335621E-4</v>
          </cell>
          <cell r="Q109">
            <v>8.1637368657849763E-3</v>
          </cell>
          <cell r="R109">
            <v>1.7460452352981992E-3</v>
          </cell>
          <cell r="S109">
            <v>-3.9985743715859723E-2</v>
          </cell>
          <cell r="T109">
            <v>-5.045904283301228E-2</v>
          </cell>
          <cell r="U109">
            <v>-1.5823810681578676E-2</v>
          </cell>
          <cell r="V109">
            <v>0</v>
          </cell>
          <cell r="W109">
            <v>-5.5461255812441212E-3</v>
          </cell>
          <cell r="X109">
            <v>-1.5630130748078841E-4</v>
          </cell>
          <cell r="Y109">
            <v>1.2591446729675049E-3</v>
          </cell>
          <cell r="Z109">
            <v>-2.570210984200072E-3</v>
          </cell>
          <cell r="AA109">
            <v>-9.9322575629534615E-4</v>
          </cell>
          <cell r="AB109">
            <v>-5.0611938067213202E-5</v>
          </cell>
          <cell r="AC109">
            <v>-1.4864214743989246E-3</v>
          </cell>
          <cell r="AD109">
            <v>-2.1159892878521713E-3</v>
          </cell>
          <cell r="AE109">
            <v>-2.5744583324501802E-3</v>
          </cell>
          <cell r="AF109">
            <v>-2.5647000543577159E-3</v>
          </cell>
          <cell r="AG109">
            <v>-1.7531692521558506E-3</v>
          </cell>
          <cell r="AH109">
            <v>0</v>
          </cell>
          <cell r="AI109">
            <v>0</v>
          </cell>
          <cell r="AJ109">
            <v>0</v>
          </cell>
          <cell r="AK109">
            <v>0</v>
          </cell>
          <cell r="AL109">
            <v>0</v>
          </cell>
          <cell r="AN109" t="str">
            <v>% Change</v>
          </cell>
          <cell r="DL109">
            <v>-3.9985743715859723E-2</v>
          </cell>
          <cell r="DN109" t="str">
            <v>NA</v>
          </cell>
          <cell r="DO109" t="str">
            <v>NA</v>
          </cell>
          <cell r="DP109" t="str">
            <v>NA</v>
          </cell>
          <cell r="DQ109" t="str">
            <v>NA</v>
          </cell>
          <cell r="DR109">
            <v>-5.045904283301228E-2</v>
          </cell>
          <cell r="DT109">
            <v>-3.4486219991611722E-2</v>
          </cell>
          <cell r="DU109" t="str">
            <v>NA</v>
          </cell>
          <cell r="DV109" t="str">
            <v>NA</v>
          </cell>
          <cell r="DW109">
            <v>1.4082630731337975E-3</v>
          </cell>
          <cell r="DX109">
            <v>-1.5823810681578676E-2</v>
          </cell>
          <cell r="DZ109">
            <v>2.7713180532900061E-3</v>
          </cell>
          <cell r="EA109">
            <v>2.7381378877309182E-3</v>
          </cell>
          <cell r="EB109">
            <v>2.681739780100223E-3</v>
          </cell>
          <cell r="EC109">
            <v>-3.6072508555085037E-5</v>
          </cell>
          <cell r="ED109">
            <v>0</v>
          </cell>
          <cell r="EF109">
            <v>-2.7757144532623013E-3</v>
          </cell>
          <cell r="EG109">
            <v>-2.7424601785970282E-3</v>
          </cell>
          <cell r="EH109">
            <v>-2.7156731808747336E-3</v>
          </cell>
          <cell r="EI109">
            <v>-5.5312168291035135E-3</v>
          </cell>
          <cell r="EJ109">
            <v>-5.5461255812441212E-3</v>
          </cell>
          <cell r="EL109">
            <v>-8.3333333333333037E-3</v>
          </cell>
          <cell r="EM109">
            <v>-8.3447040279230889E-3</v>
          </cell>
          <cell r="EN109">
            <v>-6.2546492355620709E-3</v>
          </cell>
          <cell r="EO109">
            <v>4.0600374793919869E-4</v>
          </cell>
          <cell r="EP109">
            <v>-1.5630130748078841E-4</v>
          </cell>
          <cell r="ER109">
            <v>6.1907026296021961E-3</v>
          </cell>
          <cell r="ES109">
            <v>6.1962786807441272E-3</v>
          </cell>
          <cell r="ET109">
            <v>4.0841820985109134E-3</v>
          </cell>
          <cell r="EU109">
            <v>7.0200923257068837E-4</v>
          </cell>
          <cell r="EV109">
            <v>1.2591446729675049E-3</v>
          </cell>
          <cell r="EX109">
            <v>-2.5970892179548732E-3</v>
          </cell>
          <cell r="EY109">
            <v>-3.9661827266946892E-3</v>
          </cell>
          <cell r="EZ109">
            <v>-4.1972261182398052E-3</v>
          </cell>
          <cell r="FA109">
            <v>-3.0634347676150586E-3</v>
          </cell>
          <cell r="FB109">
            <v>-2.570210984200072E-3</v>
          </cell>
          <cell r="FD109">
            <v>-5.147093966937355E-4</v>
          </cell>
          <cell r="FE109">
            <v>1.1655438453379574E-3</v>
          </cell>
          <cell r="FF109">
            <v>-3.3700455952001551E-4</v>
          </cell>
          <cell r="FG109">
            <v>-7.8350584631980968E-4</v>
          </cell>
          <cell r="FH109">
            <v>-9.9322575629534615E-4</v>
          </cell>
          <cell r="FJ109">
            <v>-6.061866069528854E-5</v>
          </cell>
          <cell r="FK109">
            <v>1.7145052841049946E-4</v>
          </cell>
          <cell r="FL109">
            <v>1.2735454847243588E-3</v>
          </cell>
          <cell r="FM109">
            <v>1.5581712015433347E-4</v>
          </cell>
          <cell r="FN109">
            <v>-1.0501324012396784E-2</v>
          </cell>
          <cell r="FP109">
            <v>-1.8013970282817482E-3</v>
          </cell>
          <cell r="FQ109">
            <v>-2.070337384069032E-3</v>
          </cell>
          <cell r="FR109">
            <v>-3.2100672756373294E-3</v>
          </cell>
          <cell r="FS109">
            <v>-2.7571422575634053E-3</v>
          </cell>
          <cell r="FT109">
            <v>-1</v>
          </cell>
          <cell r="FV109">
            <v>-1.1709732402056527E-3</v>
          </cell>
          <cell r="FW109">
            <v>-4.7199809264575343E-4</v>
          </cell>
          <cell r="FX109">
            <v>1.0923440990151523E-3</v>
          </cell>
          <cell r="FY109">
            <v>-4.2300120907690086E-4</v>
          </cell>
          <cell r="FZ109" t="str">
            <v>NA</v>
          </cell>
          <cell r="GB109">
            <v>-4.8636689533091415E-3</v>
          </cell>
          <cell r="GC109">
            <v>-7.9111289525550799E-3</v>
          </cell>
          <cell r="GD109">
            <v>-9.1198291864839076E-3</v>
          </cell>
          <cell r="GE109">
            <v>-5.8511757655024255E-3</v>
          </cell>
          <cell r="GF109">
            <v>-2.5744583324501802E-3</v>
          </cell>
        </row>
        <row r="110">
          <cell r="A110" t="str">
            <v>Productivity Factor</v>
          </cell>
          <cell r="N110" t="str">
            <v>NA</v>
          </cell>
          <cell r="O110">
            <v>0.99020658295615083</v>
          </cell>
          <cell r="P110">
            <v>1.0238160014396207</v>
          </cell>
          <cell r="Q110">
            <v>0.97215995399387289</v>
          </cell>
          <cell r="R110">
            <v>1.0032277258841547</v>
          </cell>
          <cell r="S110">
            <v>0.99950875467894218</v>
          </cell>
          <cell r="T110">
            <v>0.99467282247112343</v>
          </cell>
          <cell r="U110">
            <v>1.0230408956015324</v>
          </cell>
          <cell r="V110">
            <v>0.99283260375178717</v>
          </cell>
          <cell r="W110">
            <v>1.0060621750760674</v>
          </cell>
          <cell r="X110">
            <v>0.73631472463543401</v>
          </cell>
          <cell r="Y110">
            <v>1.1692809442164345</v>
          </cell>
          <cell r="Z110">
            <v>0.99766929211669775</v>
          </cell>
          <cell r="AA110">
            <v>0.99616480017746767</v>
          </cell>
          <cell r="AB110">
            <v>1.011642907621854</v>
          </cell>
          <cell r="AC110">
            <v>1.0017002547102301</v>
          </cell>
          <cell r="AD110">
            <v>1.0152922484576603</v>
          </cell>
          <cell r="AE110">
            <v>1.0083583012001358</v>
          </cell>
          <cell r="AF110">
            <v>1</v>
          </cell>
          <cell r="AG110">
            <v>1</v>
          </cell>
          <cell r="AH110">
            <v>1</v>
          </cell>
          <cell r="AI110">
            <v>1</v>
          </cell>
          <cell r="AJ110">
            <v>1</v>
          </cell>
          <cell r="AK110">
            <v>1</v>
          </cell>
          <cell r="AL110">
            <v>1</v>
          </cell>
        </row>
        <row r="111">
          <cell r="BS111" t="str">
            <v>Q1P</v>
          </cell>
          <cell r="BT111" t="str">
            <v>Q2P</v>
          </cell>
          <cell r="BU111" t="str">
            <v>Q3P</v>
          </cell>
          <cell r="BV111" t="str">
            <v>Q4P</v>
          </cell>
          <cell r="BW111" t="str">
            <v>Year P</v>
          </cell>
          <cell r="BY111" t="str">
            <v>Q1E</v>
          </cell>
          <cell r="BZ111" t="str">
            <v>Q2E</v>
          </cell>
          <cell r="CA111" t="str">
            <v>Q3E</v>
          </cell>
          <cell r="CB111" t="str">
            <v>Q4E</v>
          </cell>
          <cell r="CF111" t="str">
            <v>Year</v>
          </cell>
          <cell r="CJ111" t="str">
            <v>Q1A</v>
          </cell>
          <cell r="CK111" t="str">
            <v>Q2A</v>
          </cell>
          <cell r="CL111" t="str">
            <v>Q3A</v>
          </cell>
          <cell r="CM111" t="str">
            <v>Q4A</v>
          </cell>
          <cell r="CN111" t="str">
            <v>Year</v>
          </cell>
          <cell r="CP111" t="str">
            <v>Q1A</v>
          </cell>
          <cell r="CQ111" t="str">
            <v>Q2A</v>
          </cell>
          <cell r="CR111" t="str">
            <v>Q3A</v>
          </cell>
          <cell r="CS111" t="str">
            <v>Q4A</v>
          </cell>
          <cell r="CT111" t="str">
            <v>Year</v>
          </cell>
          <cell r="CV111" t="str">
            <v>Q1</v>
          </cell>
          <cell r="CW111" t="str">
            <v>Q2</v>
          </cell>
          <cell r="CX111" t="str">
            <v>Q3</v>
          </cell>
          <cell r="CY111" t="str">
            <v>Q4</v>
          </cell>
          <cell r="CZ111" t="str">
            <v>Year</v>
          </cell>
          <cell r="DB111" t="str">
            <v>Q1</v>
          </cell>
          <cell r="DC111" t="str">
            <v>Q2</v>
          </cell>
          <cell r="DD111" t="str">
            <v>Q3</v>
          </cell>
          <cell r="DE111" t="str">
            <v>Q4</v>
          </cell>
          <cell r="DF111" t="str">
            <v>Year</v>
          </cell>
          <cell r="DH111" t="str">
            <v>Q1</v>
          </cell>
          <cell r="DI111" t="str">
            <v>Q2</v>
          </cell>
          <cell r="DJ111" t="str">
            <v>Q3</v>
          </cell>
          <cell r="DK111" t="str">
            <v>Q4</v>
          </cell>
          <cell r="DL111">
            <v>2000</v>
          </cell>
          <cell r="DN111" t="str">
            <v>Q1A</v>
          </cell>
          <cell r="DO111" t="str">
            <v>Q2A</v>
          </cell>
          <cell r="DP111" t="str">
            <v>Q3A</v>
          </cell>
          <cell r="DQ111" t="str">
            <v>Q4A</v>
          </cell>
          <cell r="DR111">
            <v>2001</v>
          </cell>
          <cell r="DT111" t="str">
            <v>Q1A</v>
          </cell>
          <cell r="DU111" t="str">
            <v>Q2A</v>
          </cell>
          <cell r="DV111" t="str">
            <v>Q3A</v>
          </cell>
          <cell r="DW111" t="str">
            <v>Q4A</v>
          </cell>
          <cell r="DX111">
            <v>2002</v>
          </cell>
          <cell r="DZ111" t="str">
            <v>Q1A</v>
          </cell>
          <cell r="EA111" t="str">
            <v>Q2A</v>
          </cell>
          <cell r="EB111" t="str">
            <v>Q3A</v>
          </cell>
          <cell r="EC111" t="str">
            <v>Q4A</v>
          </cell>
          <cell r="ED111">
            <v>2003</v>
          </cell>
          <cell r="EF111" t="str">
            <v>Q1A</v>
          </cell>
          <cell r="EG111" t="str">
            <v>Q2A</v>
          </cell>
          <cell r="EH111" t="str">
            <v>Q3A</v>
          </cell>
          <cell r="EI111" t="str">
            <v>Q4A</v>
          </cell>
          <cell r="EJ111">
            <v>2004</v>
          </cell>
          <cell r="EL111" t="str">
            <v>Q1A</v>
          </cell>
          <cell r="EM111" t="str">
            <v>Q2A</v>
          </cell>
          <cell r="EN111" t="str">
            <v>Q3A</v>
          </cell>
          <cell r="EO111" t="str">
            <v>Q4A</v>
          </cell>
          <cell r="EP111">
            <v>2005</v>
          </cell>
          <cell r="ER111" t="str">
            <v>Q1A</v>
          </cell>
          <cell r="ES111" t="str">
            <v>Q2A</v>
          </cell>
          <cell r="ET111" t="str">
            <v>Q3A</v>
          </cell>
          <cell r="EU111" t="str">
            <v>Q4A</v>
          </cell>
          <cell r="EV111">
            <v>2006</v>
          </cell>
          <cell r="EX111">
            <v>1</v>
          </cell>
          <cell r="EY111">
            <v>2</v>
          </cell>
          <cell r="EZ111">
            <v>3</v>
          </cell>
          <cell r="FA111">
            <v>4</v>
          </cell>
          <cell r="FB111" t="str">
            <v>Year</v>
          </cell>
          <cell r="FD111">
            <v>1</v>
          </cell>
          <cell r="FE111">
            <v>2</v>
          </cell>
          <cell r="FF111">
            <v>3</v>
          </cell>
          <cell r="FG111">
            <v>4</v>
          </cell>
          <cell r="FH111" t="str">
            <v>Year</v>
          </cell>
          <cell r="FJ111">
            <v>1</v>
          </cell>
          <cell r="FK111">
            <v>2</v>
          </cell>
          <cell r="FL111">
            <v>3</v>
          </cell>
          <cell r="FM111">
            <v>4</v>
          </cell>
          <cell r="FN111" t="str">
            <v>Year</v>
          </cell>
          <cell r="FP111">
            <v>1</v>
          </cell>
          <cell r="FQ111">
            <v>2</v>
          </cell>
          <cell r="FR111">
            <v>3</v>
          </cell>
          <cell r="FS111">
            <v>4</v>
          </cell>
          <cell r="FT111" t="str">
            <v>Year</v>
          </cell>
          <cell r="FV111">
            <v>1</v>
          </cell>
          <cell r="FW111">
            <v>2</v>
          </cell>
          <cell r="FX111">
            <v>3</v>
          </cell>
          <cell r="FY111">
            <v>4</v>
          </cell>
          <cell r="FZ111" t="str">
            <v>Year</v>
          </cell>
          <cell r="GB111">
            <v>1</v>
          </cell>
          <cell r="GC111">
            <v>2</v>
          </cell>
          <cell r="GD111">
            <v>3</v>
          </cell>
          <cell r="GE111">
            <v>4</v>
          </cell>
          <cell r="GF111" t="str">
            <v>Year</v>
          </cell>
        </row>
        <row r="112">
          <cell r="A112" t="str">
            <v>Consolidated Stores Monthly Sales ($)</v>
          </cell>
          <cell r="AN112" t="str">
            <v>Consolidated Stores Monthly Sales ($)</v>
          </cell>
          <cell r="EU112">
            <v>356</v>
          </cell>
        </row>
        <row r="113">
          <cell r="A113" t="str">
            <v>Month 1</v>
          </cell>
          <cell r="AN113" t="str">
            <v>Month 1</v>
          </cell>
          <cell r="BS113">
            <v>876.8</v>
          </cell>
          <cell r="BT113">
            <v>954.9</v>
          </cell>
          <cell r="BU113">
            <v>1050.0999999999999</v>
          </cell>
          <cell r="BV113">
            <v>1322.7</v>
          </cell>
          <cell r="BY113">
            <v>912</v>
          </cell>
          <cell r="BZ113">
            <v>1021.7430000000001</v>
          </cell>
          <cell r="CA113">
            <v>1059.5508999999997</v>
          </cell>
          <cell r="CB113">
            <v>1354.4448</v>
          </cell>
          <cell r="CJ113">
            <v>1033.0999999999999</v>
          </cell>
          <cell r="CK113">
            <v>1111.8</v>
          </cell>
          <cell r="CL113">
            <v>1121.3</v>
          </cell>
          <cell r="CM113">
            <v>1550.7</v>
          </cell>
          <cell r="CP113">
            <v>1058.4000000000001</v>
          </cell>
          <cell r="CQ113">
            <v>1147</v>
          </cell>
          <cell r="CR113">
            <v>1168.5</v>
          </cell>
          <cell r="CS113">
            <v>1563.5</v>
          </cell>
          <cell r="CV113">
            <v>1058.4000000000001</v>
          </cell>
          <cell r="CW113">
            <v>1155.5</v>
          </cell>
          <cell r="CX113">
            <v>1127.6025</v>
          </cell>
          <cell r="CY113">
            <v>1539</v>
          </cell>
          <cell r="DB113">
            <v>1025</v>
          </cell>
          <cell r="DC113">
            <v>1147</v>
          </cell>
          <cell r="DD113">
            <v>1119</v>
          </cell>
          <cell r="DE113">
            <v>1499</v>
          </cell>
          <cell r="DN113">
            <v>1081</v>
          </cell>
          <cell r="DO113">
            <v>1161</v>
          </cell>
          <cell r="DP113">
            <v>1130</v>
          </cell>
          <cell r="DQ113">
            <v>1565</v>
          </cell>
          <cell r="DT113">
            <v>1048</v>
          </cell>
          <cell r="DU113">
            <v>1150</v>
          </cell>
          <cell r="DV113">
            <v>1086</v>
          </cell>
          <cell r="DW113">
            <v>1473</v>
          </cell>
          <cell r="DZ113">
            <v>985</v>
          </cell>
          <cell r="EA113">
            <v>1137</v>
          </cell>
          <cell r="EB113">
            <v>1078</v>
          </cell>
          <cell r="EC113">
            <v>1460</v>
          </cell>
          <cell r="EF113">
            <v>1080</v>
          </cell>
          <cell r="EG113">
            <v>1182</v>
          </cell>
          <cell r="EH113">
            <v>1056</v>
          </cell>
          <cell r="EI113">
            <v>1446</v>
          </cell>
          <cell r="EL113">
            <v>1097</v>
          </cell>
          <cell r="EM113">
            <v>1189</v>
          </cell>
          <cell r="EN113">
            <v>1068</v>
          </cell>
          <cell r="EO113">
            <v>2617</v>
          </cell>
          <cell r="ER113">
            <v>1800</v>
          </cell>
          <cell r="ES113">
            <v>2026</v>
          </cell>
          <cell r="ET113">
            <v>1727</v>
          </cell>
          <cell r="EU113">
            <v>2385</v>
          </cell>
          <cell r="EX113">
            <v>1802</v>
          </cell>
          <cell r="EY113">
            <v>1976</v>
          </cell>
          <cell r="EZ113">
            <v>1788</v>
          </cell>
          <cell r="FA113">
            <v>2707</v>
          </cell>
          <cell r="FD113">
            <v>1737</v>
          </cell>
          <cell r="FE113">
            <v>1926</v>
          </cell>
          <cell r="FF113">
            <v>1686</v>
          </cell>
          <cell r="FG113">
            <v>2324</v>
          </cell>
          <cell r="FJ113">
            <v>1602.5975291456411</v>
          </cell>
          <cell r="FK113">
            <v>1783.7565582371458</v>
          </cell>
          <cell r="FL113">
            <v>1576.1490988530857</v>
          </cell>
          <cell r="FM113">
            <v>2202.7766574237457</v>
          </cell>
          <cell r="FP113">
            <v>1667</v>
          </cell>
          <cell r="FQ113">
            <v>1789</v>
          </cell>
          <cell r="FR113">
            <v>1638</v>
          </cell>
          <cell r="FS113">
            <v>2341</v>
          </cell>
          <cell r="FV113">
            <v>1763</v>
          </cell>
          <cell r="FW113">
            <v>1937</v>
          </cell>
          <cell r="FX113">
            <v>1714</v>
          </cell>
          <cell r="FY113">
            <v>2465</v>
          </cell>
          <cell r="GB113">
            <v>1860</v>
          </cell>
          <cell r="GC113">
            <v>2015</v>
          </cell>
          <cell r="GD113">
            <v>1812</v>
          </cell>
          <cell r="GE113">
            <v>2539.5720461726355</v>
          </cell>
        </row>
        <row r="114">
          <cell r="A114" t="str">
            <v>Month 2</v>
          </cell>
          <cell r="AN114" t="str">
            <v>Month 2</v>
          </cell>
          <cell r="BS114">
            <v>1162.8</v>
          </cell>
          <cell r="BT114">
            <v>1162.4000000000001</v>
          </cell>
          <cell r="BU114">
            <v>1281.9000000000001</v>
          </cell>
          <cell r="BV114">
            <v>2551.6999999999998</v>
          </cell>
          <cell r="BY114">
            <v>1133.73</v>
          </cell>
          <cell r="BZ114">
            <v>1218.1952000000001</v>
          </cell>
          <cell r="CA114">
            <v>1344.7130999999999</v>
          </cell>
          <cell r="CB114">
            <v>2584.8720999999996</v>
          </cell>
          <cell r="CJ114">
            <v>1277.0999999999999</v>
          </cell>
          <cell r="CK114">
            <v>1278.2</v>
          </cell>
          <cell r="CL114">
            <v>1397.4</v>
          </cell>
          <cell r="CM114">
            <v>2742.6</v>
          </cell>
          <cell r="CP114">
            <v>1289.2</v>
          </cell>
          <cell r="CQ114">
            <v>1328</v>
          </cell>
          <cell r="CR114">
            <v>1446.2</v>
          </cell>
          <cell r="CS114">
            <v>2748.7</v>
          </cell>
          <cell r="CV114">
            <v>1288</v>
          </cell>
          <cell r="CW114">
            <v>1358.5</v>
          </cell>
          <cell r="CX114">
            <v>1417.2760000000001</v>
          </cell>
          <cell r="CY114">
            <v>2869.0930599999992</v>
          </cell>
          <cell r="DB114">
            <v>1343</v>
          </cell>
          <cell r="DC114">
            <v>1407</v>
          </cell>
          <cell r="DD114">
            <v>1423</v>
          </cell>
          <cell r="DE114">
            <v>2916</v>
          </cell>
          <cell r="DN114">
            <v>1317</v>
          </cell>
          <cell r="DO114">
            <v>1326</v>
          </cell>
          <cell r="DP114">
            <v>1289</v>
          </cell>
          <cell r="DQ114">
            <v>2795</v>
          </cell>
          <cell r="DT114">
            <v>1311</v>
          </cell>
          <cell r="DU114">
            <v>1367</v>
          </cell>
          <cell r="DV114">
            <v>1315</v>
          </cell>
          <cell r="DW114">
            <v>2772</v>
          </cell>
          <cell r="DZ114">
            <v>1233</v>
          </cell>
          <cell r="EA114">
            <v>1337</v>
          </cell>
          <cell r="EB114">
            <v>1352</v>
          </cell>
          <cell r="EC114">
            <v>2782</v>
          </cell>
          <cell r="EF114">
            <v>1326</v>
          </cell>
          <cell r="EG114">
            <v>1394</v>
          </cell>
          <cell r="EH114">
            <v>1361</v>
          </cell>
          <cell r="EI114">
            <v>2856</v>
          </cell>
          <cell r="EL114">
            <v>1371</v>
          </cell>
          <cell r="EM114">
            <v>1436</v>
          </cell>
          <cell r="EN114">
            <v>2464</v>
          </cell>
          <cell r="EO114">
            <v>5459</v>
          </cell>
          <cell r="ER114">
            <v>2255</v>
          </cell>
          <cell r="ES114">
            <v>2367</v>
          </cell>
          <cell r="ET114">
            <v>2303</v>
          </cell>
          <cell r="EU114">
            <v>4997</v>
          </cell>
          <cell r="EX114">
            <v>2288</v>
          </cell>
          <cell r="EY114">
            <v>2321</v>
          </cell>
          <cell r="EZ114">
            <v>2274</v>
          </cell>
          <cell r="FA114">
            <v>4624</v>
          </cell>
          <cell r="FD114">
            <v>2142</v>
          </cell>
          <cell r="FE114">
            <v>2249</v>
          </cell>
          <cell r="FF114">
            <v>2093</v>
          </cell>
          <cell r="FG114">
            <v>4397</v>
          </cell>
          <cell r="FJ114">
            <v>1963.7990255785628</v>
          </cell>
          <cell r="FK114">
            <v>2092.5916404337181</v>
          </cell>
          <cell r="FL114">
            <v>2084.1512834516657</v>
          </cell>
          <cell r="FM114">
            <v>4474.7693471136881</v>
          </cell>
          <cell r="FP114">
            <v>2172</v>
          </cell>
          <cell r="FQ114">
            <v>2229</v>
          </cell>
          <cell r="FR114">
            <v>2181</v>
          </cell>
          <cell r="FS114">
            <v>4619</v>
          </cell>
          <cell r="FV114">
            <v>2206</v>
          </cell>
          <cell r="FW114">
            <v>2392</v>
          </cell>
          <cell r="FX114">
            <v>2298</v>
          </cell>
          <cell r="FY114">
            <v>4925</v>
          </cell>
          <cell r="GB114">
            <v>2358</v>
          </cell>
          <cell r="GC114">
            <v>2412</v>
          </cell>
          <cell r="GD114">
            <v>2339.3160690399509</v>
          </cell>
          <cell r="GE114">
            <v>5073.9928305883286</v>
          </cell>
        </row>
        <row r="115">
          <cell r="A115" t="str">
            <v>Month 3</v>
          </cell>
          <cell r="AN115" t="str">
            <v>Month 3</v>
          </cell>
          <cell r="BS115">
            <v>898.4</v>
          </cell>
          <cell r="BT115">
            <v>813.5</v>
          </cell>
          <cell r="BU115">
            <v>1020.6</v>
          </cell>
          <cell r="BV115">
            <v>605.70000000000005</v>
          </cell>
          <cell r="CJ115">
            <v>990.5</v>
          </cell>
          <cell r="CK115">
            <v>894.2</v>
          </cell>
          <cell r="CL115">
            <v>1090.4000000000001</v>
          </cell>
          <cell r="CM115">
            <v>742.1</v>
          </cell>
          <cell r="CP115">
            <v>1061</v>
          </cell>
          <cell r="CQ115">
            <v>977.8</v>
          </cell>
          <cell r="CR115">
            <v>1131.4000000000001</v>
          </cell>
          <cell r="CS115">
            <v>749.2</v>
          </cell>
          <cell r="CV115">
            <v>1111</v>
          </cell>
          <cell r="CW115">
            <v>1010.5</v>
          </cell>
          <cell r="CX115">
            <v>1101.0784800000001</v>
          </cell>
          <cell r="CY115">
            <v>800</v>
          </cell>
          <cell r="DB115">
            <v>1077</v>
          </cell>
          <cell r="DC115">
            <v>1015</v>
          </cell>
          <cell r="DD115">
            <v>1105</v>
          </cell>
          <cell r="DE115">
            <v>783</v>
          </cell>
          <cell r="DN115">
            <v>1162</v>
          </cell>
          <cell r="DO115">
            <v>1005</v>
          </cell>
          <cell r="DP115">
            <v>1058</v>
          </cell>
          <cell r="DQ115">
            <v>774</v>
          </cell>
          <cell r="DT115">
            <v>1097</v>
          </cell>
          <cell r="DU115">
            <v>970</v>
          </cell>
          <cell r="DV115">
            <v>1083</v>
          </cell>
          <cell r="DW115">
            <v>775</v>
          </cell>
          <cell r="DZ115">
            <v>1076</v>
          </cell>
          <cell r="EA115">
            <v>963</v>
          </cell>
          <cell r="EB115">
            <v>1058</v>
          </cell>
          <cell r="EC115">
            <v>814</v>
          </cell>
          <cell r="EF115">
            <v>1144</v>
          </cell>
          <cell r="EG115">
            <v>1005</v>
          </cell>
          <cell r="EH115">
            <v>1108</v>
          </cell>
          <cell r="EI115">
            <v>818</v>
          </cell>
          <cell r="EL115">
            <v>1173</v>
          </cell>
          <cell r="EM115">
            <v>998</v>
          </cell>
          <cell r="EN115">
            <v>2023</v>
          </cell>
          <cell r="EO115">
            <v>1495</v>
          </cell>
          <cell r="ER115">
            <v>1878</v>
          </cell>
          <cell r="ES115">
            <v>1608</v>
          </cell>
          <cell r="ET115">
            <v>1863</v>
          </cell>
          <cell r="EU115">
            <v>1780</v>
          </cell>
          <cell r="EX115">
            <v>1837</v>
          </cell>
          <cell r="EY115">
            <v>1602</v>
          </cell>
          <cell r="EZ115">
            <v>1849</v>
          </cell>
          <cell r="FA115">
            <v>1273</v>
          </cell>
          <cell r="FD115">
            <v>1868</v>
          </cell>
          <cell r="FE115">
            <v>1543</v>
          </cell>
          <cell r="FF115">
            <v>1714</v>
          </cell>
          <cell r="FG115">
            <v>1213</v>
          </cell>
          <cell r="FJ115">
            <v>1720.603445275796</v>
          </cell>
          <cell r="FK115">
            <v>1409.6518013291361</v>
          </cell>
          <cell r="FL115">
            <v>1725.6996176952484</v>
          </cell>
          <cell r="FM115">
            <v>1268.4539954625661</v>
          </cell>
          <cell r="FP115">
            <v>1739</v>
          </cell>
          <cell r="FQ115">
            <v>1528</v>
          </cell>
          <cell r="FR115">
            <v>1806</v>
          </cell>
          <cell r="FS115">
            <v>1310</v>
          </cell>
          <cell r="FV115">
            <v>1920</v>
          </cell>
          <cell r="FW115">
            <v>1612</v>
          </cell>
          <cell r="FX115">
            <v>1842</v>
          </cell>
          <cell r="FY115">
            <v>1336</v>
          </cell>
          <cell r="GB115">
            <v>1928</v>
          </cell>
          <cell r="GC115">
            <v>1693</v>
          </cell>
          <cell r="GD115">
            <v>1918.3705778953104</v>
          </cell>
          <cell r="GE115">
            <v>1753.5690816688336</v>
          </cell>
        </row>
        <row r="116">
          <cell r="A116" t="str">
            <v>Total</v>
          </cell>
          <cell r="AN116" t="str">
            <v>Total</v>
          </cell>
          <cell r="BS116">
            <v>2938</v>
          </cell>
          <cell r="BT116">
            <v>2930.8</v>
          </cell>
          <cell r="BU116">
            <v>3352.6</v>
          </cell>
          <cell r="BV116">
            <v>4480.0999999999995</v>
          </cell>
          <cell r="BW116">
            <v>13701.5</v>
          </cell>
          <cell r="CJ116">
            <v>3300.7</v>
          </cell>
          <cell r="CK116">
            <v>3284.2</v>
          </cell>
          <cell r="CL116">
            <v>3609.1</v>
          </cell>
          <cell r="CM116">
            <v>5035.4000000000005</v>
          </cell>
          <cell r="CN116">
            <v>15229.400000000001</v>
          </cell>
          <cell r="CP116">
            <v>3408.6000000000004</v>
          </cell>
          <cell r="CQ116">
            <v>3452.8</v>
          </cell>
          <cell r="CR116">
            <v>3746.1</v>
          </cell>
          <cell r="CS116">
            <v>5061.3999999999996</v>
          </cell>
          <cell r="CT116">
            <v>15668.9</v>
          </cell>
          <cell r="CV116">
            <v>3357</v>
          </cell>
          <cell r="CW116">
            <v>3524.5</v>
          </cell>
          <cell r="CX116">
            <v>3645.9569799999999</v>
          </cell>
          <cell r="CY116">
            <v>5208.0930599999992</v>
          </cell>
          <cell r="CZ116">
            <v>15735.550039999998</v>
          </cell>
          <cell r="DB116">
            <v>3470</v>
          </cell>
          <cell r="DC116">
            <v>3609</v>
          </cell>
          <cell r="DD116">
            <v>3691</v>
          </cell>
          <cell r="DE116">
            <v>5259</v>
          </cell>
          <cell r="DF116">
            <v>16029</v>
          </cell>
          <cell r="DH116">
            <v>3573</v>
          </cell>
          <cell r="DI116">
            <v>3679</v>
          </cell>
          <cell r="DJ116">
            <v>3782</v>
          </cell>
          <cell r="DK116">
            <v>5604</v>
          </cell>
          <cell r="DL116">
            <v>16638</v>
          </cell>
          <cell r="DN116">
            <v>3556</v>
          </cell>
          <cell r="DO116">
            <v>3488</v>
          </cell>
          <cell r="DP116">
            <v>3475</v>
          </cell>
          <cell r="DQ116">
            <v>5132</v>
          </cell>
          <cell r="DR116">
            <v>15785</v>
          </cell>
          <cell r="DT116">
            <v>3453</v>
          </cell>
          <cell r="DU116">
            <v>3486</v>
          </cell>
          <cell r="DV116">
            <v>3479</v>
          </cell>
          <cell r="DW116">
            <v>5017</v>
          </cell>
          <cell r="DX116">
            <v>15571</v>
          </cell>
          <cell r="DZ116">
            <v>3291</v>
          </cell>
          <cell r="EA116">
            <v>3434</v>
          </cell>
          <cell r="EB116">
            <v>3486</v>
          </cell>
          <cell r="EC116">
            <v>5053</v>
          </cell>
          <cell r="ED116">
            <v>15412</v>
          </cell>
          <cell r="EF116">
            <v>3550</v>
          </cell>
          <cell r="EG116">
            <v>3581</v>
          </cell>
          <cell r="EH116">
            <v>3525</v>
          </cell>
          <cell r="EI116">
            <v>5120</v>
          </cell>
          <cell r="EJ116">
            <v>15776</v>
          </cell>
          <cell r="EL116">
            <v>3641</v>
          </cell>
          <cell r="EM116">
            <v>3623</v>
          </cell>
          <cell r="EN116">
            <v>5555</v>
          </cell>
          <cell r="EO116">
            <v>9571</v>
          </cell>
          <cell r="EP116">
            <v>22390</v>
          </cell>
          <cell r="ER116">
            <v>5930</v>
          </cell>
          <cell r="ES116">
            <v>5995</v>
          </cell>
          <cell r="ET116">
            <v>5886</v>
          </cell>
          <cell r="EU116">
            <v>9159</v>
          </cell>
          <cell r="EV116">
            <v>26970</v>
          </cell>
          <cell r="EX116">
            <v>5921</v>
          </cell>
          <cell r="EY116">
            <v>5892</v>
          </cell>
          <cell r="EZ116">
            <v>5906</v>
          </cell>
          <cell r="FA116">
            <v>8594</v>
          </cell>
          <cell r="FB116">
            <v>26313</v>
          </cell>
          <cell r="FD116">
            <v>5747</v>
          </cell>
          <cell r="FE116">
            <v>5718</v>
          </cell>
          <cell r="FF116">
            <v>5493</v>
          </cell>
          <cell r="FG116">
            <v>7934</v>
          </cell>
          <cell r="FH116">
            <v>24892</v>
          </cell>
          <cell r="FJ116">
            <v>5288</v>
          </cell>
          <cell r="FK116">
            <v>5285</v>
          </cell>
          <cell r="FL116">
            <v>5385</v>
          </cell>
          <cell r="FM116">
            <v>7937</v>
          </cell>
          <cell r="FN116">
            <v>23895</v>
          </cell>
          <cell r="FP116">
            <v>5574</v>
          </cell>
          <cell r="FQ116">
            <v>5537</v>
          </cell>
          <cell r="FR116">
            <v>5623</v>
          </cell>
          <cell r="FS116">
            <v>8269</v>
          </cell>
          <cell r="FT116">
            <v>25003</v>
          </cell>
          <cell r="FV116">
            <v>5889</v>
          </cell>
          <cell r="FW116">
            <v>5939</v>
          </cell>
          <cell r="FX116">
            <v>5853</v>
          </cell>
          <cell r="FY116">
            <v>8724</v>
          </cell>
          <cell r="FZ116">
            <v>26405</v>
          </cell>
          <cell r="GB116">
            <v>6143</v>
          </cell>
          <cell r="GC116">
            <v>6118</v>
          </cell>
          <cell r="GD116">
            <v>6069.6866469352608</v>
          </cell>
          <cell r="GE116">
            <v>9367.1339584297966</v>
          </cell>
          <cell r="GF116">
            <v>27697.820605365057</v>
          </cell>
        </row>
        <row r="117">
          <cell r="FJ117">
            <v>1255</v>
          </cell>
          <cell r="FK117">
            <v>4426</v>
          </cell>
          <cell r="FL117">
            <v>2177</v>
          </cell>
          <cell r="FM117">
            <v>7849</v>
          </cell>
        </row>
        <row r="118">
          <cell r="A118" t="str">
            <v>Consolidated Monthly Comps</v>
          </cell>
          <cell r="AN118" t="str">
            <v>Consolidated Monthly Comps</v>
          </cell>
        </row>
        <row r="119">
          <cell r="A119" t="str">
            <v>Month 1</v>
          </cell>
          <cell r="AN119" t="str">
            <v>Month 1</v>
          </cell>
          <cell r="BS119">
            <v>3.9E-2</v>
          </cell>
          <cell r="BT119">
            <v>8.9999999999999993E-3</v>
          </cell>
          <cell r="BU119">
            <v>4.7E-2</v>
          </cell>
          <cell r="BV119">
            <v>4.2999999999999997E-2</v>
          </cell>
          <cell r="BY119">
            <v>3.1E-2</v>
          </cell>
          <cell r="BZ119">
            <v>7.0000000000000007E-2</v>
          </cell>
          <cell r="CA119">
            <v>8.9999999999999993E-3</v>
          </cell>
          <cell r="CB119">
            <v>2.4E-2</v>
          </cell>
          <cell r="CJ119">
            <v>0.09</v>
          </cell>
          <cell r="CK119">
            <v>2.1000000000000001E-2</v>
          </cell>
          <cell r="CL119">
            <v>2.5000000000000001E-2</v>
          </cell>
          <cell r="CM119">
            <v>9.6000000000000002E-2</v>
          </cell>
          <cell r="CP119">
            <v>2.1999999999999999E-2</v>
          </cell>
          <cell r="CQ119">
            <v>2.5000000000000001E-2</v>
          </cell>
          <cell r="CR119">
            <v>3.5000000000000003E-2</v>
          </cell>
          <cell r="CS119">
            <v>0.02</v>
          </cell>
          <cell r="CV119">
            <v>1.4999999999999999E-2</v>
          </cell>
          <cell r="CW119">
            <v>1.7999999999999999E-2</v>
          </cell>
          <cell r="CX119">
            <v>-1.2999999999999999E-2</v>
          </cell>
          <cell r="CY119">
            <v>-2E-3</v>
          </cell>
          <cell r="DB119">
            <v>0.01</v>
          </cell>
          <cell r="DC119">
            <v>4.1000000000000002E-2</v>
          </cell>
          <cell r="DD119">
            <v>2.9000000000000001E-2</v>
          </cell>
          <cell r="DE119">
            <v>1.0999999999999999E-2</v>
          </cell>
          <cell r="DH119">
            <v>5.2999999999999999E-2</v>
          </cell>
          <cell r="DI119">
            <v>4.2000000000000003E-2</v>
          </cell>
          <cell r="DJ119">
            <v>1.0999999999999999E-2</v>
          </cell>
          <cell r="DK119">
            <v>1.4E-2</v>
          </cell>
          <cell r="DN119">
            <v>-1.6E-2</v>
          </cell>
          <cell r="DO119">
            <v>-3.3000000000000002E-2</v>
          </cell>
          <cell r="DP119">
            <v>-2.5999999999999999E-2</v>
          </cell>
          <cell r="DQ119">
            <v>8.9999999999999993E-3</v>
          </cell>
          <cell r="DT119">
            <v>-2.8000000000000001E-2</v>
          </cell>
          <cell r="DU119">
            <v>-3.4000000000000002E-2</v>
          </cell>
          <cell r="DV119">
            <v>-5.8000000000000003E-2</v>
          </cell>
          <cell r="DW119">
            <v>-7.3999999999999996E-2</v>
          </cell>
          <cell r="DZ119">
            <v>-6.8000000000000005E-2</v>
          </cell>
          <cell r="EA119">
            <v>-8.0000000000000002E-3</v>
          </cell>
          <cell r="EB119">
            <v>-8.0000000000000002E-3</v>
          </cell>
          <cell r="EC119">
            <v>-1E-3</v>
          </cell>
          <cell r="EF119">
            <v>0.09</v>
          </cell>
          <cell r="EG119">
            <v>2.9000000000000001E-2</v>
          </cell>
          <cell r="EH119">
            <v>-2.4E-2</v>
          </cell>
          <cell r="EI119">
            <v>-1.4E-2</v>
          </cell>
          <cell r="EL119">
            <v>1.7999999999999999E-2</v>
          </cell>
          <cell r="EM119">
            <v>8.0000000000000002E-3</v>
          </cell>
          <cell r="EN119">
            <v>1.0999999999999999E-2</v>
          </cell>
          <cell r="EO119">
            <v>-3.4000000000000002E-2</v>
          </cell>
          <cell r="ER119">
            <v>0.01</v>
          </cell>
          <cell r="ES119">
            <v>9.1999999999999998E-2</v>
          </cell>
          <cell r="ET119">
            <v>3.7999999999999999E-2</v>
          </cell>
          <cell r="EU119">
            <v>8.5000000000000006E-2</v>
          </cell>
          <cell r="EX119">
            <v>1.2E-2</v>
          </cell>
          <cell r="EY119">
            <v>-3.3000000000000002E-2</v>
          </cell>
          <cell r="EZ119">
            <v>2.4E-2</v>
          </cell>
          <cell r="FA119">
            <v>0.13400000000000001</v>
          </cell>
          <cell r="FD119">
            <v>-3.5000000000000003E-2</v>
          </cell>
          <cell r="FE119">
            <v>-1.4999999999999999E-2</v>
          </cell>
          <cell r="FF119">
            <v>-4.8000000000000001E-2</v>
          </cell>
          <cell r="FG119">
            <v>-0.13300000000000001</v>
          </cell>
          <cell r="FJ119">
            <v>-8.5000000000000006E-2</v>
          </cell>
          <cell r="FK119">
            <v>-9.0999999999999998E-2</v>
          </cell>
          <cell r="FL119">
            <v>-8.1000000000000003E-2</v>
          </cell>
          <cell r="FM119">
            <v>-6.0999999999999999E-2</v>
          </cell>
          <cell r="FP119">
            <v>3.6999999999999998E-2</v>
          </cell>
          <cell r="FQ119">
            <v>1.4E-2</v>
          </cell>
          <cell r="FR119">
            <v>4.2999999999999997E-2</v>
          </cell>
          <cell r="FS119">
            <v>6.0999999999999999E-2</v>
          </cell>
          <cell r="FV119">
            <v>5.8000000000000003E-2</v>
          </cell>
          <cell r="FW119">
            <v>7.3999999999999996E-2</v>
          </cell>
          <cell r="FX119">
            <v>0.05</v>
          </cell>
          <cell r="FY119">
            <v>4.8000000000000001E-2</v>
          </cell>
          <cell r="GB119">
            <v>4.5999999999999999E-2</v>
          </cell>
          <cell r="GC119">
            <v>4.2000000000000003E-2</v>
          </cell>
          <cell r="GD119">
            <v>5.0999999999999997E-2</v>
          </cell>
          <cell r="GE119">
            <v>0.04</v>
          </cell>
        </row>
        <row r="120">
          <cell r="A120" t="str">
            <v>Month 2</v>
          </cell>
          <cell r="AN120" t="str">
            <v>Month 2</v>
          </cell>
          <cell r="BS120">
            <v>0.08</v>
          </cell>
          <cell r="BT120">
            <v>1.9E-2</v>
          </cell>
          <cell r="BU120">
            <v>3.7999999999999999E-2</v>
          </cell>
          <cell r="BV120">
            <v>2.1000000000000001E-2</v>
          </cell>
          <cell r="BY120">
            <v>-2.5000000000000001E-2</v>
          </cell>
          <cell r="BZ120">
            <v>4.8000000000000001E-2</v>
          </cell>
          <cell r="CA120">
            <v>4.9000000000000002E-2</v>
          </cell>
          <cell r="CB120">
            <v>1.2999999999999999E-2</v>
          </cell>
          <cell r="CJ120">
            <v>6.0999999999999999E-2</v>
          </cell>
          <cell r="CK120">
            <v>1.4999999999999999E-2</v>
          </cell>
          <cell r="CL120">
            <v>8.0000000000000002E-3</v>
          </cell>
          <cell r="CM120">
            <v>0</v>
          </cell>
          <cell r="CP120">
            <v>-2E-3</v>
          </cell>
          <cell r="CQ120">
            <v>3.2000000000000001E-2</v>
          </cell>
          <cell r="CR120">
            <v>2.7E-2</v>
          </cell>
          <cell r="CS120">
            <v>0.01</v>
          </cell>
          <cell r="CV120">
            <v>8.9999999999999993E-3</v>
          </cell>
          <cell r="CW120">
            <v>3.4000000000000002E-2</v>
          </cell>
          <cell r="CX120">
            <v>-7.0000000000000001E-3</v>
          </cell>
          <cell r="CY120">
            <v>5.7000000000000002E-2</v>
          </cell>
          <cell r="DB120">
            <v>0.09</v>
          </cell>
          <cell r="DC120">
            <v>8.4000000000000005E-2</v>
          </cell>
          <cell r="DD120">
            <v>3.6999999999999998E-2</v>
          </cell>
          <cell r="DE120">
            <v>6.4000000000000001E-2</v>
          </cell>
          <cell r="DH120">
            <v>-6.0000000000000001E-3</v>
          </cell>
          <cell r="DI120">
            <v>5.0000000000000001E-3</v>
          </cell>
          <cell r="DJ120">
            <v>2.9000000000000001E-2</v>
          </cell>
          <cell r="DK120">
            <v>1.2E-2</v>
          </cell>
          <cell r="DN120">
            <v>-3.2000000000000001E-2</v>
          </cell>
          <cell r="DO120">
            <v>-6.4000000000000001E-2</v>
          </cell>
          <cell r="DP120">
            <v>-0.129</v>
          </cell>
          <cell r="DQ120">
            <v>-8.6999999999999994E-2</v>
          </cell>
          <cell r="DT120">
            <v>-2E-3</v>
          </cell>
          <cell r="DU120">
            <v>-4.0000000000000001E-3</v>
          </cell>
          <cell r="DV120">
            <v>0</v>
          </cell>
          <cell r="DW120">
            <v>-2.5999999999999999E-2</v>
          </cell>
          <cell r="DZ120">
            <v>-6.5000000000000002E-2</v>
          </cell>
          <cell r="EA120">
            <v>-0.02</v>
          </cell>
          <cell r="EB120">
            <v>3.2000000000000001E-2</v>
          </cell>
          <cell r="EC120">
            <v>1.2E-2</v>
          </cell>
          <cell r="EF120">
            <v>6.8000000000000005E-2</v>
          </cell>
          <cell r="EG120">
            <v>3.4000000000000002E-2</v>
          </cell>
          <cell r="EH120">
            <v>1E-3</v>
          </cell>
          <cell r="EI120">
            <v>2.3E-2</v>
          </cell>
          <cell r="EL120">
            <v>3.4000000000000002E-2</v>
          </cell>
          <cell r="EM120">
            <v>2.9000000000000001E-2</v>
          </cell>
          <cell r="EN120">
            <v>1.2999999999999999E-2</v>
          </cell>
          <cell r="EO120">
            <v>3.4000000000000002E-2</v>
          </cell>
          <cell r="ER120">
            <v>0</v>
          </cell>
          <cell r="ES120">
            <v>1.7000000000000001E-2</v>
          </cell>
          <cell r="ET120">
            <v>6.5000000000000002E-2</v>
          </cell>
          <cell r="EU120">
            <v>4.3999999999999997E-2</v>
          </cell>
          <cell r="EX120">
            <v>2.3E-2</v>
          </cell>
          <cell r="EY120">
            <v>-2.7E-2</v>
          </cell>
          <cell r="EZ120">
            <v>-2.7E-2</v>
          </cell>
          <cell r="FA120">
            <v>-7.9000000000000001E-2</v>
          </cell>
          <cell r="FD120">
            <v>-6.2E-2</v>
          </cell>
          <cell r="FE120">
            <v>-2.1000000000000001E-2</v>
          </cell>
          <cell r="FF120">
            <v>-6.6000000000000003E-2</v>
          </cell>
          <cell r="FG120">
            <v>-0.04</v>
          </cell>
          <cell r="FJ120">
            <v>-9.1999999999999998E-2</v>
          </cell>
          <cell r="FK120">
            <v>-8.8999999999999996E-2</v>
          </cell>
          <cell r="FL120">
            <v>-2.3E-2</v>
          </cell>
          <cell r="FM120">
            <v>0.01</v>
          </cell>
          <cell r="FP120">
            <v>0.10800000000000001</v>
          </cell>
          <cell r="FQ120">
            <v>6.5000000000000002E-2</v>
          </cell>
          <cell r="FR120">
            <v>4.8000000000000001E-2</v>
          </cell>
          <cell r="FS120">
            <v>3.9E-2</v>
          </cell>
          <cell r="FV120">
            <v>8.9999999999999993E-3</v>
          </cell>
          <cell r="FW120">
            <v>6.7000000000000004E-2</v>
          </cell>
          <cell r="FX120">
            <v>4.9000000000000002E-2</v>
          </cell>
          <cell r="FY120">
            <v>6.2E-2</v>
          </cell>
          <cell r="GB120">
            <v>7.2999999999999995E-2</v>
          </cell>
          <cell r="GC120">
            <v>1.2E-2</v>
          </cell>
          <cell r="GD120">
            <v>0.03</v>
          </cell>
          <cell r="GE120">
            <v>0.04</v>
          </cell>
        </row>
        <row r="121">
          <cell r="A121" t="str">
            <v>Month 3</v>
          </cell>
          <cell r="AN121" t="str">
            <v>Month 3</v>
          </cell>
          <cell r="BS121">
            <v>-8.9999999999999993E-3</v>
          </cell>
          <cell r="BT121">
            <v>-8.0000000000000002E-3</v>
          </cell>
          <cell r="BU121">
            <v>2.5000000000000001E-2</v>
          </cell>
          <cell r="BV121">
            <v>8.8999999999999996E-2</v>
          </cell>
          <cell r="BY121">
            <v>4.1000000000000002E-2</v>
          </cell>
          <cell r="BZ121">
            <v>7.0999999999999994E-2</v>
          </cell>
          <cell r="CA121">
            <v>-1.7999999999999999E-2</v>
          </cell>
          <cell r="CB121">
            <v>5.0999999999999997E-2</v>
          </cell>
          <cell r="CJ121">
            <v>-1.0999999999999999E-2</v>
          </cell>
          <cell r="CK121">
            <v>-1.7000000000000001E-2</v>
          </cell>
          <cell r="CL121">
            <v>4.9000000000000002E-2</v>
          </cell>
          <cell r="CM121">
            <v>9.4E-2</v>
          </cell>
          <cell r="CP121">
            <v>6.2E-2</v>
          </cell>
          <cell r="CQ121">
            <v>8.5999999999999993E-2</v>
          </cell>
          <cell r="CR121">
            <v>0.03</v>
          </cell>
          <cell r="CS121">
            <v>1.4999999999999999E-2</v>
          </cell>
          <cell r="CV121">
            <v>0.05</v>
          </cell>
          <cell r="CW121">
            <v>3.9E-2</v>
          </cell>
          <cell r="CX121">
            <v>-1.9E-2</v>
          </cell>
          <cell r="CY121">
            <v>7.2999999999999995E-2</v>
          </cell>
          <cell r="DB121">
            <v>1.4999999999999999E-2</v>
          </cell>
          <cell r="DC121">
            <v>4.7E-2</v>
          </cell>
          <cell r="DD121">
            <v>4.4999999999999998E-2</v>
          </cell>
          <cell r="DE121">
            <v>4.2000000000000003E-2</v>
          </cell>
          <cell r="DH121">
            <v>5.1999999999999998E-2</v>
          </cell>
          <cell r="DI121">
            <v>1.6E-2</v>
          </cell>
          <cell r="DJ121">
            <v>1.6E-2</v>
          </cell>
          <cell r="DK121">
            <v>3.6999999999999998E-2</v>
          </cell>
          <cell r="DN121">
            <v>8.0000000000000002E-3</v>
          </cell>
          <cell r="DO121">
            <v>-4.2000000000000003E-2</v>
          </cell>
          <cell r="DP121">
            <v>-8.6999999999999994E-2</v>
          </cell>
          <cell r="DQ121">
            <v>-8.7999999999999995E-2</v>
          </cell>
          <cell r="DT121">
            <v>-5.8999999999999997E-2</v>
          </cell>
          <cell r="DU121">
            <v>-5.1999999999999998E-2</v>
          </cell>
          <cell r="DV121">
            <v>3.0000000000000001E-3</v>
          </cell>
          <cell r="DW121">
            <v>-1.2E-2</v>
          </cell>
          <cell r="DZ121">
            <v>-1.3999999999999999E-2</v>
          </cell>
          <cell r="EA121">
            <v>-4.0000000000000001E-3</v>
          </cell>
          <cell r="EB121">
            <v>-0.02</v>
          </cell>
          <cell r="EC121">
            <v>5.5E-2</v>
          </cell>
          <cell r="EF121">
            <v>5.3999999999999999E-2</v>
          </cell>
          <cell r="EG121">
            <v>3.6999999999999998E-2</v>
          </cell>
          <cell r="EH121">
            <v>0.04</v>
          </cell>
          <cell r="EI121">
            <v>-4.0000000000000001E-3</v>
          </cell>
          <cell r="EL121">
            <v>2.8000000000000001E-2</v>
          </cell>
          <cell r="EM121">
            <v>-8.9999999999999993E-3</v>
          </cell>
          <cell r="EN121">
            <v>-7.0000000000000001E-3</v>
          </cell>
          <cell r="EO121">
            <v>0.01</v>
          </cell>
          <cell r="ER121">
            <v>-8.0000000000000002E-3</v>
          </cell>
          <cell r="ES121">
            <v>3.3000000000000002E-2</v>
          </cell>
          <cell r="ET121">
            <v>7.6999999999999999E-2</v>
          </cell>
          <cell r="EU121">
            <v>8.5999999999999993E-2</v>
          </cell>
          <cell r="EX121">
            <v>-2.1999999999999999E-2</v>
          </cell>
          <cell r="EY121">
            <v>-1.4E-2</v>
          </cell>
          <cell r="EZ121">
            <v>-1.4999999999999999E-2</v>
          </cell>
          <cell r="FA121">
            <v>-7.0999999999999994E-2</v>
          </cell>
          <cell r="FD121">
            <v>0.03</v>
          </cell>
          <cell r="FE121">
            <v>-2.9000000000000001E-2</v>
          </cell>
          <cell r="FF121">
            <v>-6.3E-2</v>
          </cell>
          <cell r="FG121">
            <v>-4.4999999999999998E-2</v>
          </cell>
          <cell r="FJ121">
            <v>-9.0999999999999998E-2</v>
          </cell>
          <cell r="FK121">
            <v>-0.107</v>
          </cell>
          <cell r="FL121">
            <v>-8.0000000000000002E-3</v>
          </cell>
          <cell r="FM121">
            <v>3.4000000000000002E-2</v>
          </cell>
          <cell r="FP121">
            <v>1.0999999999999999E-2</v>
          </cell>
          <cell r="FQ121">
            <v>7.2999999999999995E-2</v>
          </cell>
          <cell r="FR121">
            <v>2.5000000000000001E-2</v>
          </cell>
          <cell r="FS121">
            <v>2.5999999999999999E-2</v>
          </cell>
          <cell r="FV121">
            <v>0.108</v>
          </cell>
          <cell r="FW121">
            <v>0.05</v>
          </cell>
          <cell r="FX121">
            <v>2.1999999999999999E-2</v>
          </cell>
          <cell r="FY121">
            <v>2.4E-2</v>
          </cell>
          <cell r="GB121">
            <v>1.2E-2</v>
          </cell>
          <cell r="GC121">
            <v>4.1000000000000002E-2</v>
          </cell>
          <cell r="GD121">
            <v>5.5E-2</v>
          </cell>
          <cell r="GE121">
            <v>0.05</v>
          </cell>
        </row>
        <row r="122">
          <cell r="A122" t="str">
            <v>Total</v>
          </cell>
          <cell r="AN122" t="str">
            <v>Total</v>
          </cell>
          <cell r="BS122">
            <v>3.9E-2</v>
          </cell>
          <cell r="BT122">
            <v>8.0000000000000002E-3</v>
          </cell>
          <cell r="BU122">
            <v>3.6999999999999998E-2</v>
          </cell>
          <cell r="BV122">
            <v>3.5999999999999997E-2</v>
          </cell>
          <cell r="BW122">
            <v>3.0898675327518881E-2</v>
          </cell>
          <cell r="CJ122">
            <v>4.8470506256248672E-2</v>
          </cell>
          <cell r="CK122">
            <v>8.3184337129285652E-3</v>
          </cell>
          <cell r="CL122">
            <v>8.9999999999999993E-3</v>
          </cell>
          <cell r="CM122">
            <v>4.3417523930571543E-2</v>
          </cell>
          <cell r="CN122">
            <v>3.0844572544785176E-2</v>
          </cell>
          <cell r="CP122">
            <v>2.5000000000000001E-2</v>
          </cell>
          <cell r="CQ122">
            <v>4.3999999999999997E-2</v>
          </cell>
          <cell r="CR122">
            <v>3.1E-2</v>
          </cell>
          <cell r="CS122">
            <v>1.4E-2</v>
          </cell>
          <cell r="CT122">
            <v>2.7069152758765591E-2</v>
          </cell>
          <cell r="CU122">
            <v>0</v>
          </cell>
          <cell r="CV122">
            <v>2.4E-2</v>
          </cell>
          <cell r="CW122">
            <v>3.0187969924812031E-2</v>
          </cell>
          <cell r="CX122">
            <v>-1.2479646871752174E-2</v>
          </cell>
          <cell r="CY122">
            <v>4.1000000000000002E-2</v>
          </cell>
          <cell r="CZ122">
            <v>4.4999999999999998E-2</v>
          </cell>
          <cell r="DB122">
            <v>0.04</v>
          </cell>
          <cell r="DC122">
            <v>5.8999999999999997E-2</v>
          </cell>
          <cell r="DD122">
            <v>3.9E-2</v>
          </cell>
          <cell r="DE122">
            <v>4.3999999999999997E-2</v>
          </cell>
          <cell r="DF122">
            <v>4.4999999999999998E-2</v>
          </cell>
          <cell r="DH122">
            <v>2.9000000000000001E-2</v>
          </cell>
          <cell r="DI122">
            <v>1.9E-2</v>
          </cell>
          <cell r="DJ122">
            <v>1.9E-2</v>
          </cell>
          <cell r="DK122">
            <v>1.6E-2</v>
          </cell>
          <cell r="DL122">
            <v>0.02</v>
          </cell>
          <cell r="DN122">
            <v>-1.4999999999999999E-2</v>
          </cell>
          <cell r="DO122">
            <v>-4.8000000000000001E-2</v>
          </cell>
          <cell r="DP122">
            <v>-8.5999999999999993E-2</v>
          </cell>
          <cell r="DQ122">
            <v>-0.06</v>
          </cell>
          <cell r="DR122">
            <v>-5.2999999999999999E-2</v>
          </cell>
          <cell r="DT122">
            <v>-2.9000000000000001E-2</v>
          </cell>
          <cell r="DU122">
            <v>-2.8000000000000001E-2</v>
          </cell>
          <cell r="DV122">
            <v>-0.02</v>
          </cell>
          <cell r="DW122">
            <v>-3.9E-2</v>
          </cell>
          <cell r="DX122">
            <v>-0.03</v>
          </cell>
          <cell r="DZ122">
            <v>-0.05</v>
          </cell>
          <cell r="EA122">
            <v>-1.2E-2</v>
          </cell>
          <cell r="EB122">
            <v>2E-3</v>
          </cell>
          <cell r="EC122">
            <v>1.3999999999999999E-2</v>
          </cell>
          <cell r="ED122">
            <v>-9.0000000000000011E-3</v>
          </cell>
          <cell r="EF122">
            <v>6.9000000000000006E-2</v>
          </cell>
          <cell r="EG122">
            <v>3.3000000000000002E-2</v>
          </cell>
          <cell r="EH122">
            <v>4.0000000000000001E-3</v>
          </cell>
          <cell r="EI122">
            <v>8.0000000000000002E-3</v>
          </cell>
          <cell r="EJ122">
            <v>2.5999999999999999E-2</v>
          </cell>
          <cell r="EL122">
            <v>2.5999999999999999E-2</v>
          </cell>
          <cell r="EM122">
            <v>1.0999999999999999E-2</v>
          </cell>
          <cell r="EN122">
            <v>6.0000000000000001E-3</v>
          </cell>
          <cell r="EO122">
            <v>1.0999999999999999E-2</v>
          </cell>
          <cell r="EP122">
            <v>1.2999999999999999E-2</v>
          </cell>
          <cell r="ER122">
            <v>0</v>
          </cell>
          <cell r="ES122">
            <v>4.5999999999999999E-2</v>
          </cell>
          <cell r="ET122">
            <v>5.8999999999999997E-2</v>
          </cell>
          <cell r="EU122">
            <v>6.0999999999999999E-2</v>
          </cell>
          <cell r="EV122">
            <v>4.3999999999999997E-2</v>
          </cell>
          <cell r="EX122">
            <v>6.0000000000000001E-3</v>
          </cell>
          <cell r="EY122">
            <v>-2.5999999999999999E-2</v>
          </cell>
          <cell r="EZ122">
            <v>-8.0000000000000002E-3</v>
          </cell>
          <cell r="FA122">
            <v>-0.02</v>
          </cell>
          <cell r="FB122">
            <v>-1.2999999999999999E-2</v>
          </cell>
          <cell r="FD122">
            <v>-2.5999999999999999E-2</v>
          </cell>
          <cell r="FE122">
            <v>-2.1000000000000001E-2</v>
          </cell>
          <cell r="FF122">
            <v>-0.06</v>
          </cell>
          <cell r="FG122">
            <v>-7.0000000000000007E-2</v>
          </cell>
          <cell r="FH122">
            <v>-4.4999999999999998E-2</v>
          </cell>
          <cell r="FJ122">
            <v>-0.09</v>
          </cell>
          <cell r="FK122">
            <v>-9.5000000000000001E-2</v>
          </cell>
          <cell r="FL122">
            <v>-3.5999999999999997E-2</v>
          </cell>
          <cell r="FM122">
            <v>-8.0000000000000002E-3</v>
          </cell>
          <cell r="FN122">
            <v>-5.2999999999999999E-2</v>
          </cell>
          <cell r="FP122">
            <v>5.5E-2</v>
          </cell>
          <cell r="FQ122">
            <v>4.9000000000000002E-2</v>
          </cell>
          <cell r="FR122">
            <v>3.9E-2</v>
          </cell>
          <cell r="FS122">
            <v>4.2999999999999997E-2</v>
          </cell>
          <cell r="FT122">
            <v>4.610434747830261E-2</v>
          </cell>
          <cell r="FV122">
            <v>5.3999999999999999E-2</v>
          </cell>
          <cell r="FW122">
            <v>6.4000000000000001E-2</v>
          </cell>
          <cell r="FX122">
            <v>0.04</v>
          </cell>
          <cell r="FY122">
            <v>5.1999999999999998E-2</v>
          </cell>
          <cell r="FZ122">
            <v>5.2999999999999999E-2</v>
          </cell>
          <cell r="GB122">
            <v>4.3999999999999997E-2</v>
          </cell>
          <cell r="GC122">
            <v>0.03</v>
          </cell>
          <cell r="GD122">
            <v>4.4170626829774157E-2</v>
          </cell>
          <cell r="GE122">
            <v>4.1872044415560798E-2</v>
          </cell>
          <cell r="GF122">
            <v>4.02253638971692E-2</v>
          </cell>
        </row>
        <row r="124">
          <cell r="A124" t="str">
            <v>Consolidated Productivity Factor</v>
          </cell>
          <cell r="AN124" t="str">
            <v>Consolidated Productivity Factor</v>
          </cell>
        </row>
        <row r="125">
          <cell r="A125" t="str">
            <v>Month 1</v>
          </cell>
          <cell r="AN125" t="str">
            <v>Month 1</v>
          </cell>
          <cell r="EF125">
            <v>1.0043063843845854</v>
          </cell>
          <cell r="EG125">
            <v>1.010810633855717</v>
          </cell>
          <cell r="EH125">
            <v>1.0130234439561103</v>
          </cell>
          <cell r="EI125">
            <v>1.0261552566722514</v>
          </cell>
          <cell r="EL125">
            <v>1.0039733185357242</v>
          </cell>
          <cell r="EM125">
            <v>0.99978472992257905</v>
          </cell>
          <cell r="EN125">
            <v>1.0012187282870586</v>
          </cell>
          <cell r="EO125">
            <v>0.91407567624195751</v>
          </cell>
          <cell r="ER125">
            <v>0.85379589916801657</v>
          </cell>
          <cell r="ES125">
            <v>0.82852877251430668</v>
          </cell>
          <cell r="ET125">
            <v>0.83475030563790842</v>
          </cell>
          <cell r="EU125">
            <v>0.91480422703367681</v>
          </cell>
          <cell r="EX125">
            <v>1.0042251017232908</v>
          </cell>
          <cell r="EY125">
            <v>1.0108075527611304</v>
          </cell>
          <cell r="EZ125">
            <v>1.0032705612197608</v>
          </cell>
          <cell r="FA125">
            <v>0.99617129302855612</v>
          </cell>
          <cell r="FD125">
            <v>1.0047260256693704</v>
          </cell>
          <cell r="FE125">
            <v>1.0011731147187122</v>
          </cell>
          <cell r="FF125">
            <v>1.0015681684828099</v>
          </cell>
          <cell r="FG125">
            <v>0.9980273685296247</v>
          </cell>
          <cell r="FJ125">
            <v>1.0146680194879518</v>
          </cell>
          <cell r="FK125">
            <v>1.0229325701507319</v>
          </cell>
          <cell r="FL125">
            <v>1.0237530410429481</v>
          </cell>
          <cell r="FM125">
            <v>1.0168796021749338</v>
          </cell>
          <cell r="FP125">
            <v>1.0016060228776302</v>
          </cell>
          <cell r="FQ125">
            <v>0.98881215735067063</v>
          </cell>
          <cell r="FR125">
            <v>1.0007452413933455</v>
          </cell>
          <cell r="FS125">
            <v>1.0028115913956974</v>
          </cell>
          <cell r="FV125">
            <v>1.0005096291516782</v>
          </cell>
          <cell r="FW125">
            <v>1.0081721608307339</v>
          </cell>
          <cell r="FX125">
            <v>0.99435769750356207</v>
          </cell>
          <cell r="FY125">
            <v>1.0114048185081832</v>
          </cell>
          <cell r="GB125">
            <v>1.0253009585429893</v>
          </cell>
          <cell r="GC125">
            <v>1.0133052611979987</v>
          </cell>
          <cell r="GD125">
            <v>1.018088666893139</v>
          </cell>
          <cell r="GE125">
            <v>1.0011764705882353</v>
          </cell>
        </row>
        <row r="126">
          <cell r="A126" t="str">
            <v>Month 2</v>
          </cell>
          <cell r="AN126" t="str">
            <v>Month 2</v>
          </cell>
          <cell r="EF126">
            <v>1.0053433076034095</v>
          </cell>
          <cell r="EG126">
            <v>1.0066663386950321</v>
          </cell>
          <cell r="EH126">
            <v>1.012796599849775</v>
          </cell>
          <cell r="EI126">
            <v>1.0251796947783753</v>
          </cell>
          <cell r="EL126">
            <v>1.0061447584995618</v>
          </cell>
          <cell r="EM126">
            <v>1.0029492195249803</v>
          </cell>
          <cell r="EN126">
            <v>0.88191400316768354</v>
          </cell>
          <cell r="EO126">
            <v>0.90286524641517052</v>
          </cell>
          <cell r="ER126">
            <v>0.87143545576033965</v>
          </cell>
          <cell r="ES126">
            <v>0.86259214604526391</v>
          </cell>
          <cell r="ET126">
            <v>0.95476655228407081</v>
          </cell>
          <cell r="EU126">
            <v>0.95390310394604827</v>
          </cell>
          <cell r="EX126">
            <v>0.99756383077735888</v>
          </cell>
          <cell r="EY126">
            <v>1.0076309712339664</v>
          </cell>
          <cell r="EZ126">
            <v>1.0058439901456568</v>
          </cell>
          <cell r="FA126">
            <v>1.0104925603418453</v>
          </cell>
          <cell r="FD126">
            <v>1.0038919718017412</v>
          </cell>
          <cell r="FE126">
            <v>1.0002262623646179</v>
          </cell>
          <cell r="FF126">
            <v>1.0022779610885877</v>
          </cell>
          <cell r="FG126">
            <v>0.98797059201406712</v>
          </cell>
          <cell r="FJ126">
            <v>1.0172356632303496</v>
          </cell>
          <cell r="FK126">
            <v>1.0266388149144143</v>
          </cell>
          <cell r="FL126">
            <v>1.0185440088098592</v>
          </cell>
          <cell r="FM126">
            <v>1.0150644106268683</v>
          </cell>
          <cell r="FP126">
            <v>0.9967530496300272</v>
          </cell>
          <cell r="FQ126">
            <v>0.99989171377441255</v>
          </cell>
          <cell r="FR126">
            <v>1.0028971230689774</v>
          </cell>
          <cell r="FS126">
            <v>0.9946391314592461</v>
          </cell>
          <cell r="FV126">
            <v>1.0074992903911262</v>
          </cell>
          <cell r="FW126">
            <v>1.0057878604073234</v>
          </cell>
          <cell r="FX126">
            <v>1.0057401642886414</v>
          </cell>
          <cell r="FY126">
            <v>1.0118477756232767</v>
          </cell>
          <cell r="GB126">
            <v>1.0102541230632647</v>
          </cell>
          <cell r="GC126">
            <v>1.011143062170935</v>
          </cell>
          <cell r="GD126">
            <v>1</v>
          </cell>
          <cell r="GE126">
            <v>1</v>
          </cell>
        </row>
        <row r="127">
          <cell r="A127" t="str">
            <v>Month 3</v>
          </cell>
          <cell r="AN127" t="str">
            <v>Month 3</v>
          </cell>
          <cell r="EF127">
            <v>1.0049191704800837</v>
          </cell>
          <cell r="EG127">
            <v>1.0157391039871562</v>
          </cell>
          <cell r="EH127">
            <v>1.0229244178565875</v>
          </cell>
          <cell r="EI127">
            <v>1.0174283739131365</v>
          </cell>
          <cell r="EL127">
            <v>1.0058035349864145</v>
          </cell>
          <cell r="EM127">
            <v>1.0039069906098907</v>
          </cell>
          <cell r="EN127">
            <v>0.90735496459885556</v>
          </cell>
          <cell r="EO127">
            <v>0.95100379512625965</v>
          </cell>
          <cell r="ER127">
            <v>0.85509041472763314</v>
          </cell>
          <cell r="ES127">
            <v>0.83302342705472399</v>
          </cell>
          <cell r="ET127">
            <v>0.9300581404093593</v>
          </cell>
          <cell r="EU127">
            <v>0.88885616548937241</v>
          </cell>
          <cell r="EX127">
            <v>1.0012993536198342</v>
          </cell>
          <cell r="EY127">
            <v>1.0067406823426219</v>
          </cell>
          <cell r="EZ127">
            <v>1.0010354929971583</v>
          </cell>
          <cell r="FA127">
            <v>0.77697496531497701</v>
          </cell>
          <cell r="FD127">
            <v>0.99998610863561077</v>
          </cell>
          <cell r="FE127">
            <v>1.0000776716315167</v>
          </cell>
          <cell r="FF127">
            <v>1.0026881239876493</v>
          </cell>
          <cell r="FG127">
            <v>1.0034001517037674</v>
          </cell>
          <cell r="FJ127">
            <v>1.017274065207098</v>
          </cell>
          <cell r="FK127">
            <v>1.0307481774152398</v>
          </cell>
          <cell r="FL127">
            <v>1.0154616377110075</v>
          </cell>
          <cell r="FM127">
            <v>1.009307170702717</v>
          </cell>
          <cell r="FP127">
            <v>1.0005893323256754</v>
          </cell>
          <cell r="FQ127">
            <v>1.0111137394005785</v>
          </cell>
          <cell r="FR127">
            <v>1.0254628236300125</v>
          </cell>
          <cell r="FS127">
            <v>1.00775043725629</v>
          </cell>
          <cell r="FV127">
            <v>0.99618702023241001</v>
          </cell>
          <cell r="FW127">
            <v>1.0047825549823146</v>
          </cell>
          <cell r="FX127">
            <v>1.0004489851343907</v>
          </cell>
          <cell r="FY127">
            <v>1.008520012530175</v>
          </cell>
          <cell r="GB127">
            <v>1.0062765433093959</v>
          </cell>
          <cell r="GC127">
            <v>1.0227639737625074</v>
          </cell>
          <cell r="GD127">
            <v>1</v>
          </cell>
          <cell r="GE127">
            <v>1.25</v>
          </cell>
        </row>
        <row r="128">
          <cell r="EX128">
            <v>0.99364581839822941</v>
          </cell>
          <cell r="EY128">
            <v>1.0053855991928882</v>
          </cell>
          <cell r="EZ128">
            <v>1.0049007333596589</v>
          </cell>
          <cell r="FA128">
            <v>0.96635245216954013</v>
          </cell>
          <cell r="FD128">
            <v>1.0093706103322386</v>
          </cell>
          <cell r="FE128">
            <v>0.99942053289687438</v>
          </cell>
          <cell r="FF128">
            <v>1.0028127761391281</v>
          </cell>
          <cell r="FG128">
            <v>0.99829531956488382</v>
          </cell>
          <cell r="FH128">
            <v>0.99616480017746767</v>
          </cell>
          <cell r="FJ128">
            <v>1.0150952522446879</v>
          </cell>
          <cell r="FK128">
            <v>1.028988144998136</v>
          </cell>
          <cell r="FL128">
            <v>1.0174659464761271</v>
          </cell>
          <cell r="FM128">
            <v>1.004258927748259</v>
          </cell>
          <cell r="FN128">
            <v>1.0094977226152135</v>
          </cell>
          <cell r="FP128">
            <v>1.0000259928958455</v>
          </cell>
          <cell r="FQ128">
            <v>0.99963688802128137</v>
          </cell>
          <cell r="FR128">
            <v>1.0093878458063197</v>
          </cell>
          <cell r="FS128">
            <v>1.0000370362620763</v>
          </cell>
          <cell r="FT128">
            <v>1.0017002547102301</v>
          </cell>
          <cell r="FV128">
            <v>1.0021044058948783</v>
          </cell>
          <cell r="FW128">
            <v>1.0081307827273334</v>
          </cell>
          <cell r="FX128">
            <v>1.0033467891940979</v>
          </cell>
          <cell r="FY128">
            <v>1.0155381429309334</v>
          </cell>
          <cell r="FZ128">
            <v>1.0152922484576603</v>
          </cell>
          <cell r="GB128">
            <v>1.0132824557239268</v>
          </cell>
          <cell r="GC128">
            <v>1.0138954016780533</v>
          </cell>
          <cell r="GD128">
            <v>1.0060645702976547</v>
          </cell>
          <cell r="GE128">
            <v>1.0305274860110949</v>
          </cell>
          <cell r="GF128">
            <v>1.0083583012001358</v>
          </cell>
        </row>
        <row r="129">
          <cell r="A129" t="str">
            <v>Consolidated Store Count</v>
          </cell>
          <cell r="AN129" t="str">
            <v>Consolidated Store Count</v>
          </cell>
        </row>
        <row r="130">
          <cell r="A130" t="str">
            <v>Month 1</v>
          </cell>
          <cell r="AN130" t="str">
            <v>Month 1</v>
          </cell>
          <cell r="DZ130">
            <v>456</v>
          </cell>
          <cell r="EA130">
            <v>456</v>
          </cell>
          <cell r="EB130">
            <v>460</v>
          </cell>
          <cell r="EC130">
            <v>465</v>
          </cell>
          <cell r="EF130">
            <v>458</v>
          </cell>
          <cell r="EG130">
            <v>457</v>
          </cell>
          <cell r="EH130">
            <v>457</v>
          </cell>
          <cell r="EI130">
            <v>459</v>
          </cell>
          <cell r="EL130">
            <v>459</v>
          </cell>
          <cell r="EM130">
            <v>460</v>
          </cell>
          <cell r="EN130">
            <v>459</v>
          </cell>
          <cell r="EO130">
            <v>935</v>
          </cell>
          <cell r="ER130">
            <v>868</v>
          </cell>
          <cell r="ES130">
            <v>861</v>
          </cell>
          <cell r="ET130">
            <v>854</v>
          </cell>
          <cell r="EU130">
            <v>860</v>
          </cell>
          <cell r="EX130">
            <v>858</v>
          </cell>
          <cell r="EY130">
            <v>863</v>
          </cell>
          <cell r="EZ130">
            <v>864</v>
          </cell>
          <cell r="FA130">
            <v>866</v>
          </cell>
          <cell r="FD130">
            <v>852</v>
          </cell>
          <cell r="FE130">
            <v>852</v>
          </cell>
          <cell r="FF130">
            <v>856</v>
          </cell>
          <cell r="FG130">
            <v>859</v>
          </cell>
          <cell r="FJ130">
            <v>847</v>
          </cell>
          <cell r="FK130">
            <v>848</v>
          </cell>
          <cell r="FL130">
            <v>849</v>
          </cell>
          <cell r="FM130">
            <v>854</v>
          </cell>
          <cell r="FP130">
            <v>850</v>
          </cell>
          <cell r="FQ130">
            <v>850</v>
          </cell>
          <cell r="FR130">
            <v>849</v>
          </cell>
          <cell r="FS130">
            <v>854</v>
          </cell>
          <cell r="FV130">
            <v>850</v>
          </cell>
          <cell r="FW130">
            <v>850</v>
          </cell>
          <cell r="FX130">
            <v>849</v>
          </cell>
          <cell r="FY130">
            <v>851</v>
          </cell>
          <cell r="GB130">
            <v>842</v>
          </cell>
          <cell r="GC130">
            <v>844</v>
          </cell>
          <cell r="GD130">
            <v>846</v>
          </cell>
          <cell r="GE130">
            <v>847</v>
          </cell>
        </row>
        <row r="131">
          <cell r="A131" t="str">
            <v>Month 2</v>
          </cell>
          <cell r="AN131" t="str">
            <v>Month 2</v>
          </cell>
          <cell r="DZ131">
            <v>456</v>
          </cell>
          <cell r="EA131">
            <v>455</v>
          </cell>
          <cell r="EB131">
            <v>460</v>
          </cell>
          <cell r="EC131">
            <v>465</v>
          </cell>
          <cell r="EF131">
            <v>458</v>
          </cell>
          <cell r="EG131">
            <v>457</v>
          </cell>
          <cell r="EH131">
            <v>458</v>
          </cell>
          <cell r="EI131">
            <v>459</v>
          </cell>
          <cell r="EL131">
            <v>459</v>
          </cell>
          <cell r="EM131">
            <v>460</v>
          </cell>
          <cell r="EN131">
            <v>933</v>
          </cell>
          <cell r="EO131">
            <v>934</v>
          </cell>
          <cell r="ER131">
            <v>861</v>
          </cell>
          <cell r="ES131">
            <v>859</v>
          </cell>
          <cell r="ET131">
            <v>855</v>
          </cell>
          <cell r="EU131">
            <v>860</v>
          </cell>
          <cell r="EX131">
            <v>859</v>
          </cell>
          <cell r="EY131">
            <v>863</v>
          </cell>
          <cell r="EZ131">
            <v>866</v>
          </cell>
          <cell r="FA131">
            <v>857</v>
          </cell>
          <cell r="FD131">
            <v>853</v>
          </cell>
          <cell r="FE131">
            <v>853</v>
          </cell>
          <cell r="FF131">
            <v>853</v>
          </cell>
          <cell r="FG131">
            <v>859</v>
          </cell>
          <cell r="FJ131">
            <v>847</v>
          </cell>
          <cell r="FK131">
            <v>848</v>
          </cell>
          <cell r="FL131">
            <v>852</v>
          </cell>
          <cell r="FM131">
            <v>854</v>
          </cell>
          <cell r="FP131">
            <v>850</v>
          </cell>
          <cell r="FQ131">
            <v>850</v>
          </cell>
          <cell r="FR131">
            <v>852</v>
          </cell>
          <cell r="FS131">
            <v>854</v>
          </cell>
          <cell r="FV131">
            <v>850</v>
          </cell>
          <cell r="FW131">
            <v>850</v>
          </cell>
          <cell r="FX131">
            <v>849</v>
          </cell>
          <cell r="FY131">
            <v>850</v>
          </cell>
          <cell r="GB131">
            <v>844</v>
          </cell>
          <cell r="GC131">
            <v>846</v>
          </cell>
          <cell r="GD131">
            <v>847</v>
          </cell>
          <cell r="GE131">
            <v>848</v>
          </cell>
        </row>
        <row r="132">
          <cell r="A132" t="str">
            <v>Month 3</v>
          </cell>
          <cell r="AN132" t="str">
            <v>Month 3</v>
          </cell>
          <cell r="DZ132">
            <v>456</v>
          </cell>
          <cell r="EA132">
            <v>460</v>
          </cell>
          <cell r="EB132">
            <v>465</v>
          </cell>
          <cell r="EC132">
            <v>459</v>
          </cell>
          <cell r="EF132">
            <v>459</v>
          </cell>
          <cell r="EG132">
            <v>457</v>
          </cell>
          <cell r="EH132">
            <v>459</v>
          </cell>
          <cell r="EI132">
            <v>459</v>
          </cell>
          <cell r="EL132">
            <v>459</v>
          </cell>
          <cell r="EM132">
            <v>460</v>
          </cell>
          <cell r="EN132">
            <v>935</v>
          </cell>
          <cell r="EO132">
            <v>868</v>
          </cell>
          <cell r="ER132">
            <v>861</v>
          </cell>
          <cell r="ES132">
            <v>856</v>
          </cell>
          <cell r="ET132">
            <v>857</v>
          </cell>
          <cell r="EU132">
            <v>858</v>
          </cell>
          <cell r="EX132">
            <v>863</v>
          </cell>
          <cell r="EY132">
            <v>863</v>
          </cell>
          <cell r="EZ132">
            <v>866</v>
          </cell>
          <cell r="FA132">
            <v>852</v>
          </cell>
          <cell r="FD132">
            <v>851</v>
          </cell>
          <cell r="FE132">
            <v>855</v>
          </cell>
          <cell r="FF132">
            <v>856</v>
          </cell>
          <cell r="FG132">
            <v>847</v>
          </cell>
          <cell r="FJ132">
            <v>848</v>
          </cell>
          <cell r="FK132">
            <v>848</v>
          </cell>
          <cell r="FL132">
            <v>854</v>
          </cell>
          <cell r="FM132">
            <v>850</v>
          </cell>
          <cell r="FP132">
            <v>849</v>
          </cell>
          <cell r="FQ132">
            <v>849</v>
          </cell>
          <cell r="FR132">
            <v>854</v>
          </cell>
          <cell r="FS132">
            <v>850</v>
          </cell>
          <cell r="FV132">
            <v>850</v>
          </cell>
          <cell r="FW132">
            <v>849</v>
          </cell>
          <cell r="FX132">
            <v>850</v>
          </cell>
          <cell r="FY132">
            <v>842</v>
          </cell>
          <cell r="GB132">
            <v>844</v>
          </cell>
          <cell r="GC132">
            <v>845</v>
          </cell>
          <cell r="GD132">
            <v>847</v>
          </cell>
          <cell r="GE132">
            <v>844</v>
          </cell>
        </row>
        <row r="133">
          <cell r="A133" t="str">
            <v>Total</v>
          </cell>
          <cell r="AN133" t="str">
            <v>Total</v>
          </cell>
          <cell r="DZ133">
            <v>456</v>
          </cell>
          <cell r="EA133">
            <v>460</v>
          </cell>
          <cell r="EB133">
            <v>465</v>
          </cell>
          <cell r="EC133">
            <v>459</v>
          </cell>
          <cell r="ED133">
            <v>459</v>
          </cell>
          <cell r="EF133">
            <v>459</v>
          </cell>
          <cell r="EG133">
            <v>457</v>
          </cell>
          <cell r="EH133">
            <v>459</v>
          </cell>
          <cell r="EI133">
            <v>459</v>
          </cell>
          <cell r="EJ133">
            <v>459</v>
          </cell>
          <cell r="EL133">
            <v>459</v>
          </cell>
          <cell r="EM133">
            <v>460</v>
          </cell>
          <cell r="EN133">
            <v>935</v>
          </cell>
          <cell r="EO133">
            <v>868</v>
          </cell>
          <cell r="EP133">
            <v>868</v>
          </cell>
          <cell r="ER133">
            <v>861</v>
          </cell>
          <cell r="ES133">
            <v>856</v>
          </cell>
          <cell r="ET133">
            <v>857</v>
          </cell>
          <cell r="EU133">
            <v>858</v>
          </cell>
          <cell r="EV133">
            <v>858</v>
          </cell>
          <cell r="EX133">
            <v>863</v>
          </cell>
          <cell r="EY133">
            <v>863</v>
          </cell>
          <cell r="EZ133">
            <v>866</v>
          </cell>
          <cell r="FA133">
            <v>852</v>
          </cell>
          <cell r="FB133">
            <v>852</v>
          </cell>
          <cell r="FD133">
            <v>851</v>
          </cell>
          <cell r="FE133">
            <v>855</v>
          </cell>
          <cell r="FF133">
            <v>856</v>
          </cell>
          <cell r="FG133">
            <v>847</v>
          </cell>
          <cell r="FH133">
            <v>847</v>
          </cell>
          <cell r="FJ133">
            <v>848</v>
          </cell>
          <cell r="FK133">
            <v>848</v>
          </cell>
          <cell r="FL133">
            <v>854</v>
          </cell>
          <cell r="FM133">
            <v>850</v>
          </cell>
          <cell r="FN133">
            <v>850</v>
          </cell>
          <cell r="FP133">
            <v>849</v>
          </cell>
          <cell r="FQ133">
            <v>849</v>
          </cell>
          <cell r="FR133">
            <v>854</v>
          </cell>
          <cell r="FS133">
            <v>850</v>
          </cell>
          <cell r="FT133">
            <v>850</v>
          </cell>
          <cell r="FV133">
            <v>850</v>
          </cell>
          <cell r="FW133">
            <v>849</v>
          </cell>
          <cell r="FX133">
            <v>850</v>
          </cell>
          <cell r="FY133">
            <v>842</v>
          </cell>
          <cell r="FZ133">
            <v>842</v>
          </cell>
          <cell r="GB133">
            <v>844</v>
          </cell>
          <cell r="GC133">
            <v>845</v>
          </cell>
          <cell r="GD133">
            <v>847</v>
          </cell>
          <cell r="GE133">
            <v>844</v>
          </cell>
          <cell r="GF133">
            <v>844</v>
          </cell>
        </row>
        <row r="134">
          <cell r="GB134">
            <v>2</v>
          </cell>
          <cell r="GC134">
            <v>1</v>
          </cell>
          <cell r="GD134">
            <v>2</v>
          </cell>
          <cell r="GE134">
            <v>-3</v>
          </cell>
        </row>
        <row r="135">
          <cell r="A135" t="str">
            <v>Consolidated EOP Sq. Ft. (Estimated)</v>
          </cell>
          <cell r="AN135" t="str">
            <v>Consolidated EOP Sq. Ft. (Estimated)</v>
          </cell>
        </row>
        <row r="136">
          <cell r="A136" t="str">
            <v>Month 1</v>
          </cell>
          <cell r="AN136" t="str">
            <v>Month 1</v>
          </cell>
          <cell r="DZ136">
            <v>83.683006535947712</v>
          </cell>
          <cell r="EA136">
            <v>83.680988917306053</v>
          </cell>
          <cell r="EB136">
            <v>84.412537774966609</v>
          </cell>
          <cell r="EC136">
            <v>85.098039215686271</v>
          </cell>
          <cell r="EF136">
            <v>83.816993464052288</v>
          </cell>
          <cell r="EG136">
            <v>83.637037037037032</v>
          </cell>
          <cell r="EH136">
            <v>83.633986928104576</v>
          </cell>
          <cell r="EI136">
            <v>83.3</v>
          </cell>
          <cell r="EL136">
            <v>83.3</v>
          </cell>
          <cell r="EM136">
            <v>83.48260368663594</v>
          </cell>
          <cell r="EN136">
            <v>83.562228739002933</v>
          </cell>
          <cell r="EO136">
            <v>170.73444700460828</v>
          </cell>
          <cell r="ER136">
            <v>158.50225330225331</v>
          </cell>
          <cell r="ES136">
            <v>157.2256282269133</v>
          </cell>
          <cell r="ET136">
            <v>155.94704843969723</v>
          </cell>
          <cell r="EU136">
            <v>156.76456876456876</v>
          </cell>
          <cell r="EX136">
            <v>156.13711008111241</v>
          </cell>
          <cell r="EY136">
            <v>156.88300000000001</v>
          </cell>
          <cell r="EZ136">
            <v>157.15721016166282</v>
          </cell>
          <cell r="FA136">
            <v>157.50730751173711</v>
          </cell>
          <cell r="FD136">
            <v>155.23019506462987</v>
          </cell>
          <cell r="FE136">
            <v>155.06001403508773</v>
          </cell>
          <cell r="FF136">
            <v>155.41999999999999</v>
          </cell>
          <cell r="FG136">
            <v>156.27410743801653</v>
          </cell>
          <cell r="FJ136">
            <v>154.26087382075474</v>
          </cell>
          <cell r="FK136">
            <v>154.44300000000001</v>
          </cell>
          <cell r="FL136">
            <v>154.43150936768151</v>
          </cell>
          <cell r="FM136">
            <v>155.12658823529412</v>
          </cell>
          <cell r="FP136">
            <v>154.48674911660777</v>
          </cell>
          <cell r="FQ136">
            <v>154.48674911660777</v>
          </cell>
          <cell r="FR136">
            <v>153.76046135831382</v>
          </cell>
          <cell r="FS136">
            <v>154.94674588235296</v>
          </cell>
          <cell r="FV136">
            <v>154.34800000000001</v>
          </cell>
          <cell r="FW136">
            <v>154.47974087161367</v>
          </cell>
          <cell r="FX136">
            <v>154.10248941176471</v>
          </cell>
          <cell r="FY136">
            <v>153.92588836104514</v>
          </cell>
          <cell r="GB136">
            <v>151.83734123222749</v>
          </cell>
          <cell r="GC136">
            <v>152.19800000000001</v>
          </cell>
          <cell r="GD136">
            <v>152.25400000000002</v>
          </cell>
          <cell r="GE136">
            <v>152.30400000000003</v>
          </cell>
        </row>
        <row r="137">
          <cell r="A137" t="str">
            <v>Month 2</v>
          </cell>
          <cell r="AN137" t="str">
            <v>Month 2</v>
          </cell>
          <cell r="DZ137">
            <v>83.683006535947712</v>
          </cell>
          <cell r="EA137">
            <v>83.497477976697922</v>
          </cell>
          <cell r="EB137">
            <v>84.412537774966609</v>
          </cell>
          <cell r="EC137">
            <v>85.098039215686271</v>
          </cell>
          <cell r="EF137">
            <v>83.816993464052288</v>
          </cell>
          <cell r="EG137">
            <v>83.637037037037032</v>
          </cell>
          <cell r="EH137">
            <v>83.816993464052288</v>
          </cell>
          <cell r="EI137">
            <v>83.3</v>
          </cell>
          <cell r="EL137">
            <v>83.3</v>
          </cell>
          <cell r="EM137">
            <v>83.48260368663594</v>
          </cell>
          <cell r="EN137">
            <v>169.85524926686216</v>
          </cell>
          <cell r="EO137">
            <v>170.55184331797236</v>
          </cell>
          <cell r="ER137">
            <v>157.22400932400933</v>
          </cell>
          <cell r="ES137">
            <v>156.86041190118294</v>
          </cell>
          <cell r="ET137">
            <v>156.12965622475542</v>
          </cell>
          <cell r="EU137">
            <v>156.76456876456876</v>
          </cell>
          <cell r="EX137">
            <v>156.31908806488991</v>
          </cell>
          <cell r="EY137">
            <v>156.88300000000001</v>
          </cell>
          <cell r="EZ137">
            <v>157.52099999999999</v>
          </cell>
          <cell r="FA137">
            <v>155.87039553990613</v>
          </cell>
          <cell r="FD137">
            <v>155.41239012925971</v>
          </cell>
          <cell r="FE137">
            <v>155.24200935672516</v>
          </cell>
          <cell r="FF137">
            <v>154.87530373831774</v>
          </cell>
          <cell r="FG137">
            <v>156.27410743801653</v>
          </cell>
          <cell r="FJ137">
            <v>154.26087382075474</v>
          </cell>
          <cell r="FK137">
            <v>154.44300000000001</v>
          </cell>
          <cell r="FL137">
            <v>154.97720374707259</v>
          </cell>
          <cell r="FM137">
            <v>155.12658823529412</v>
          </cell>
          <cell r="FP137">
            <v>154.48674911660777</v>
          </cell>
          <cell r="FQ137">
            <v>154.48674911660777</v>
          </cell>
          <cell r="FR137">
            <v>154.30378454332552</v>
          </cell>
          <cell r="FS137">
            <v>154.94674588235296</v>
          </cell>
          <cell r="FV137">
            <v>154.34800000000001</v>
          </cell>
          <cell r="FW137">
            <v>154.47974087161367</v>
          </cell>
          <cell r="FX137">
            <v>154.10248941176471</v>
          </cell>
          <cell r="FY137">
            <v>153.74501187648457</v>
          </cell>
          <cell r="GB137">
            <v>152.19800000000001</v>
          </cell>
          <cell r="GC137">
            <v>152.22800000000001</v>
          </cell>
          <cell r="GD137">
            <v>152.30400000000003</v>
          </cell>
          <cell r="GE137">
            <v>152.30400000000003</v>
          </cell>
        </row>
        <row r="138">
          <cell r="A138" t="str">
            <v>Month 3</v>
          </cell>
          <cell r="AN138" t="str">
            <v>Month 3</v>
          </cell>
          <cell r="DZ138">
            <v>83.683006535947712</v>
          </cell>
          <cell r="EA138">
            <v>84.415032679738559</v>
          </cell>
          <cell r="EB138">
            <v>85.330065359477118</v>
          </cell>
          <cell r="EC138">
            <v>84</v>
          </cell>
          <cell r="EF138">
            <v>84</v>
          </cell>
          <cell r="EG138">
            <v>83.637037037037032</v>
          </cell>
          <cell r="EH138">
            <v>84</v>
          </cell>
          <cell r="EI138">
            <v>83.3</v>
          </cell>
          <cell r="EL138">
            <v>83.3</v>
          </cell>
          <cell r="EM138">
            <v>83.48260368663594</v>
          </cell>
          <cell r="EN138">
            <v>170.21935483870968</v>
          </cell>
          <cell r="EO138">
            <v>158.5</v>
          </cell>
          <cell r="ER138">
            <v>157.22400932400933</v>
          </cell>
          <cell r="ES138">
            <v>156.31258741258742</v>
          </cell>
          <cell r="ET138">
            <v>156.49487179487181</v>
          </cell>
          <cell r="EU138">
            <v>156.4</v>
          </cell>
          <cell r="EX138">
            <v>157.047</v>
          </cell>
          <cell r="EY138">
            <v>156.88300000000001</v>
          </cell>
          <cell r="EZ138">
            <v>157.52099999999999</v>
          </cell>
          <cell r="FA138">
            <v>154.96100000000001</v>
          </cell>
          <cell r="FD138">
            <v>155.048</v>
          </cell>
          <cell r="FE138">
            <v>155.60599999999999</v>
          </cell>
          <cell r="FF138">
            <v>155.41999999999999</v>
          </cell>
          <cell r="FG138">
            <v>154.09100000000001</v>
          </cell>
          <cell r="FJ138">
            <v>154.44300000000001</v>
          </cell>
          <cell r="FK138">
            <v>154.44300000000001</v>
          </cell>
          <cell r="FL138">
            <v>155.34100000000001</v>
          </cell>
          <cell r="FM138">
            <v>154.4</v>
          </cell>
          <cell r="FP138">
            <v>154.30500000000001</v>
          </cell>
          <cell r="FQ138">
            <v>154.30500000000001</v>
          </cell>
          <cell r="FR138">
            <v>154.666</v>
          </cell>
          <cell r="FS138">
            <v>154.221</v>
          </cell>
          <cell r="FV138">
            <v>154.34800000000001</v>
          </cell>
          <cell r="FW138">
            <v>154.298</v>
          </cell>
          <cell r="FX138">
            <v>154.28399999999999</v>
          </cell>
          <cell r="FY138">
            <v>152.298</v>
          </cell>
          <cell r="GB138">
            <v>152.19800000000001</v>
          </cell>
          <cell r="GC138">
            <v>152.20400000000001</v>
          </cell>
          <cell r="GD138">
            <v>152.30400000000003</v>
          </cell>
          <cell r="GE138">
            <v>152.30400000000003</v>
          </cell>
        </row>
        <row r="139">
          <cell r="A139" t="str">
            <v>Total</v>
          </cell>
          <cell r="AN139" t="str">
            <v>Total</v>
          </cell>
          <cell r="DZ139">
            <v>83.683006535947712</v>
          </cell>
          <cell r="EA139">
            <v>84.415032679738559</v>
          </cell>
          <cell r="EB139">
            <v>85.330065359477118</v>
          </cell>
          <cell r="EC139">
            <v>84</v>
          </cell>
          <cell r="ED139">
            <v>84</v>
          </cell>
          <cell r="EF139">
            <v>84</v>
          </cell>
          <cell r="EG139">
            <v>83.637037037037032</v>
          </cell>
          <cell r="EH139">
            <v>84</v>
          </cell>
          <cell r="EI139">
            <v>83.3</v>
          </cell>
          <cell r="EJ139">
            <v>83.3</v>
          </cell>
          <cell r="EL139">
            <v>83.3</v>
          </cell>
          <cell r="EM139">
            <v>83.48260368663594</v>
          </cell>
          <cell r="EN139">
            <v>170.21935483870968</v>
          </cell>
          <cell r="EO139">
            <v>158.5</v>
          </cell>
          <cell r="EP139">
            <v>158.5</v>
          </cell>
          <cell r="ER139">
            <v>157.22400932400933</v>
          </cell>
          <cell r="ES139">
            <v>156.31258741258742</v>
          </cell>
          <cell r="ET139">
            <v>156.49487179487181</v>
          </cell>
          <cell r="EU139">
            <v>156.4</v>
          </cell>
          <cell r="EV139">
            <v>156.4</v>
          </cell>
          <cell r="EX139">
            <v>157.047</v>
          </cell>
          <cell r="EY139">
            <v>156.88300000000001</v>
          </cell>
          <cell r="EZ139">
            <v>157.52099999999999</v>
          </cell>
          <cell r="FA139">
            <v>154.96100000000001</v>
          </cell>
          <cell r="FB139">
            <v>154.96100000000001</v>
          </cell>
          <cell r="FD139">
            <v>155.048</v>
          </cell>
          <cell r="FE139">
            <v>155.60599999999999</v>
          </cell>
          <cell r="FF139">
            <v>155.41999999999999</v>
          </cell>
          <cell r="FG139">
            <v>154.09100000000001</v>
          </cell>
          <cell r="FH139">
            <v>154.09100000000001</v>
          </cell>
          <cell r="FJ139">
            <v>154.44300000000001</v>
          </cell>
          <cell r="FK139">
            <v>154.44300000000001</v>
          </cell>
          <cell r="FL139">
            <v>155.34100000000001</v>
          </cell>
          <cell r="FM139">
            <v>154.4</v>
          </cell>
          <cell r="FN139">
            <v>154.4</v>
          </cell>
          <cell r="FP139">
            <v>154.30500000000001</v>
          </cell>
          <cell r="FQ139">
            <v>154.30500000000001</v>
          </cell>
          <cell r="FR139">
            <v>154.666</v>
          </cell>
          <cell r="FS139">
            <v>154.221</v>
          </cell>
          <cell r="FT139">
            <v>154.221</v>
          </cell>
          <cell r="FV139">
            <v>154.34800000000001</v>
          </cell>
          <cell r="FW139">
            <v>154.298</v>
          </cell>
          <cell r="FX139">
            <v>154.28399999999999</v>
          </cell>
          <cell r="FY139">
            <v>152.298</v>
          </cell>
          <cell r="FZ139">
            <v>152.298</v>
          </cell>
          <cell r="GB139">
            <v>152.19800000000001</v>
          </cell>
          <cell r="GC139">
            <v>152.20400000000001</v>
          </cell>
          <cell r="GD139">
            <v>152.30400000000003</v>
          </cell>
          <cell r="GE139">
            <v>152.30400000000003</v>
          </cell>
          <cell r="GF139">
            <v>152.30400000000003</v>
          </cell>
        </row>
        <row r="141">
          <cell r="A141" t="str">
            <v>Dept. Stores Monthly Sales - % change</v>
          </cell>
          <cell r="AN141" t="str">
            <v>Dept. Stores Monthly Sales - % change</v>
          </cell>
        </row>
        <row r="142">
          <cell r="A142" t="str">
            <v>Month 1</v>
          </cell>
          <cell r="AN142" t="str">
            <v>Month 1</v>
          </cell>
          <cell r="BS142" t="str">
            <v xml:space="preserve"> --  </v>
          </cell>
          <cell r="BT142" t="str">
            <v xml:space="preserve"> --  </v>
          </cell>
          <cell r="BU142" t="str">
            <v xml:space="preserve"> --  </v>
          </cell>
          <cell r="BV142" t="str">
            <v xml:space="preserve"> --  </v>
          </cell>
          <cell r="BY142">
            <v>4.014598540145986E-2</v>
          </cell>
          <cell r="BZ142">
            <v>7.0000000000000062E-2</v>
          </cell>
          <cell r="CA142">
            <v>8.999999999999897E-3</v>
          </cell>
          <cell r="CB142">
            <v>2.4000000000000021E-2</v>
          </cell>
          <cell r="CP142">
            <v>2.4489400832446107E-2</v>
          </cell>
          <cell r="CQ142">
            <v>3.166037057024651E-2</v>
          </cell>
          <cell r="CR142">
            <v>4.2093998037991742E-2</v>
          </cell>
          <cell r="CS142">
            <v>8.2543367511445087E-3</v>
          </cell>
          <cell r="CV142">
            <v>0</v>
          </cell>
          <cell r="CW142">
            <v>7.4106364428945248E-3</v>
          </cell>
          <cell r="CX142">
            <v>-3.5000000000000031E-2</v>
          </cell>
          <cell r="CY142">
            <v>-1.5669971218420176E-2</v>
          </cell>
          <cell r="DB142">
            <v>-3.1557067271353101E-2</v>
          </cell>
          <cell r="DC142">
            <v>-7.3561228905235643E-3</v>
          </cell>
          <cell r="DD142">
            <v>-7.6290182045534172E-3</v>
          </cell>
          <cell r="DE142">
            <v>-2.5990903183885639E-2</v>
          </cell>
          <cell r="DH142">
            <v>-1</v>
          </cell>
          <cell r="DI142">
            <v>-1</v>
          </cell>
          <cell r="DJ142">
            <v>-1</v>
          </cell>
          <cell r="DK142">
            <v>-1</v>
          </cell>
          <cell r="DN142" t="str">
            <v>NA</v>
          </cell>
          <cell r="DO142" t="str">
            <v>NA</v>
          </cell>
          <cell r="DP142" t="str">
            <v>NA</v>
          </cell>
          <cell r="DQ142" t="str">
            <v>NA</v>
          </cell>
          <cell r="DT142">
            <v>-3.0527289546716019E-2</v>
          </cell>
          <cell r="DU142">
            <v>-9.4745908699397363E-3</v>
          </cell>
          <cell r="DV142">
            <v>-3.8938053097345104E-2</v>
          </cell>
          <cell r="DW142">
            <v>-5.8785942492012744E-2</v>
          </cell>
          <cell r="DZ142">
            <v>-6.0114503816793841E-2</v>
          </cell>
          <cell r="EA142">
            <v>-1.1304347826086913E-2</v>
          </cell>
          <cell r="EB142">
            <v>-7.3664825046040328E-3</v>
          </cell>
          <cell r="EC142">
            <v>-8.8255261371350535E-3</v>
          </cell>
          <cell r="EF142">
            <v>9.6446700507614169E-2</v>
          </cell>
          <cell r="EG142">
            <v>3.9577836411609502E-2</v>
          </cell>
          <cell r="EH142">
            <v>-2.0408163265306145E-2</v>
          </cell>
          <cell r="EI142">
            <v>-9.5890410958904271E-3</v>
          </cell>
          <cell r="EL142">
            <v>1.5740740740740833E-2</v>
          </cell>
          <cell r="EM142">
            <v>5.9221658206429773E-3</v>
          </cell>
          <cell r="EN142">
            <v>1.1363636363636465E-2</v>
          </cell>
          <cell r="EO142">
            <v>0.80982019363762103</v>
          </cell>
          <cell r="ER142">
            <v>0.64083865086599823</v>
          </cell>
          <cell r="ES142">
            <v>0.70395290159798152</v>
          </cell>
          <cell r="ET142">
            <v>0.61704119850187267</v>
          </cell>
          <cell r="EU142">
            <v>-8.8651127244936956E-2</v>
          </cell>
          <cell r="EX142">
            <v>1.1111111111110628E-3</v>
          </cell>
          <cell r="EY142">
            <v>-2.4679170779861814E-2</v>
          </cell>
          <cell r="EZ142">
            <v>3.5321366531557707E-2</v>
          </cell>
          <cell r="FA142">
            <v>0.13501048218029355</v>
          </cell>
          <cell r="FD142">
            <v>-3.6071032186459462E-2</v>
          </cell>
          <cell r="FE142">
            <v>-2.5303643724696401E-2</v>
          </cell>
          <cell r="FF142">
            <v>-5.7046979865771785E-2</v>
          </cell>
          <cell r="FG142">
            <v>-0.14148503878832652</v>
          </cell>
          <cell r="FJ142">
            <v>-7.7376206594334418E-2</v>
          </cell>
          <cell r="FK142">
            <v>-7.3854331133361484E-2</v>
          </cell>
          <cell r="FL142">
            <v>-6.5154745638739242E-2</v>
          </cell>
          <cell r="FM142">
            <v>-5.2161507132639562E-2</v>
          </cell>
          <cell r="FP142">
            <v>4.0186303599689444E-2</v>
          </cell>
          <cell r="FQ142">
            <v>2.9395500964750632E-3</v>
          </cell>
          <cell r="FR142">
            <v>3.9241783148511233E-2</v>
          </cell>
          <cell r="FS142">
            <v>6.2749594749162307E-2</v>
          </cell>
          <cell r="FV142">
            <v>5.7588482303539301E-2</v>
          </cell>
          <cell r="FW142">
            <v>8.2727780883175006E-2</v>
          </cell>
          <cell r="FX142">
            <v>4.6398046398046455E-2</v>
          </cell>
          <cell r="FY142">
            <v>5.2968816744980884E-2</v>
          </cell>
          <cell r="GB142">
            <v>5.5019852524106572E-2</v>
          </cell>
          <cell r="GC142">
            <v>4.0268456375838868E-2</v>
          </cell>
          <cell r="GD142">
            <v>5.7176196032672211E-2</v>
          </cell>
          <cell r="GE142">
            <v>3.0252351388493137E-2</v>
          </cell>
        </row>
        <row r="143">
          <cell r="A143" t="str">
            <v>Month 2</v>
          </cell>
          <cell r="AN143" t="str">
            <v>Month 2</v>
          </cell>
          <cell r="BS143" t="str">
            <v xml:space="preserve"> --  </v>
          </cell>
          <cell r="BT143" t="str">
            <v xml:space="preserve"> --  </v>
          </cell>
          <cell r="BU143" t="str">
            <v xml:space="preserve"> --  </v>
          </cell>
          <cell r="BV143" t="str">
            <v xml:space="preserve"> --  </v>
          </cell>
          <cell r="BY143">
            <v>-2.4999999999999911E-2</v>
          </cell>
          <cell r="BZ143">
            <v>4.8000000000000043E-2</v>
          </cell>
          <cell r="CA143">
            <v>4.8999999999999932E-2</v>
          </cell>
          <cell r="CB143">
            <v>1.2999999999999901E-2</v>
          </cell>
          <cell r="CP143">
            <v>9.4745908699398473E-3</v>
          </cell>
          <cell r="CQ143">
            <v>3.8961038961038863E-2</v>
          </cell>
          <cell r="CR143">
            <v>3.4921997996278709E-2</v>
          </cell>
          <cell r="CS143">
            <v>2.2241668489753064E-3</v>
          </cell>
          <cell r="CV143">
            <v>-9.3080980452997508E-4</v>
          </cell>
          <cell r="CW143">
            <v>2.2966867469879526E-2</v>
          </cell>
          <cell r="CX143">
            <v>-2.0000000000000018E-2</v>
          </cell>
          <cell r="CY143">
            <v>4.3799999999999839E-2</v>
          </cell>
          <cell r="DB143">
            <v>4.2701863354037251E-2</v>
          </cell>
          <cell r="DC143">
            <v>3.5701140964298883E-2</v>
          </cell>
          <cell r="DD143">
            <v>4.0387334577032252E-3</v>
          </cell>
          <cell r="DE143">
            <v>1.6349047946182971E-2</v>
          </cell>
          <cell r="DH143">
            <v>-1</v>
          </cell>
          <cell r="DI143">
            <v>-1</v>
          </cell>
          <cell r="DJ143">
            <v>-1</v>
          </cell>
          <cell r="DK143">
            <v>-1</v>
          </cell>
          <cell r="DN143" t="str">
            <v>NA</v>
          </cell>
          <cell r="DO143" t="str">
            <v>NA</v>
          </cell>
          <cell r="DP143" t="str">
            <v>NA</v>
          </cell>
          <cell r="DQ143" t="str">
            <v>NA</v>
          </cell>
          <cell r="DT143">
            <v>-4.5558086560364419E-3</v>
          </cell>
          <cell r="DU143">
            <v>3.0920060331824928E-2</v>
          </cell>
          <cell r="DV143">
            <v>2.0170674941815347E-2</v>
          </cell>
          <cell r="DW143">
            <v>-8.2289803220035873E-3</v>
          </cell>
          <cell r="DZ143">
            <v>-5.9496567505720854E-2</v>
          </cell>
          <cell r="EA143">
            <v>-2.1945866861741048E-2</v>
          </cell>
          <cell r="EB143">
            <v>2.8136882129277563E-2</v>
          </cell>
          <cell r="EC143">
            <v>3.6075036075036149E-3</v>
          </cell>
          <cell r="EF143">
            <v>7.5425790754257926E-2</v>
          </cell>
          <cell r="EG143">
            <v>4.2632759910246731E-2</v>
          </cell>
          <cell r="EH143">
            <v>6.6568047337278724E-3</v>
          </cell>
          <cell r="EI143">
            <v>2.6599568655643502E-2</v>
          </cell>
          <cell r="EL143">
            <v>3.3936651583710509E-2</v>
          </cell>
          <cell r="EM143">
            <v>3.0129124820659881E-2</v>
          </cell>
          <cell r="EN143">
            <v>0.81043350477590015</v>
          </cell>
          <cell r="EO143">
            <v>0.91141456582633062</v>
          </cell>
          <cell r="ER143">
            <v>0.64478482859226838</v>
          </cell>
          <cell r="ES143">
            <v>0.64832869080779942</v>
          </cell>
          <cell r="ET143">
            <v>-6.5340909090909061E-2</v>
          </cell>
          <cell r="EU143">
            <v>-8.4630884777431747E-2</v>
          </cell>
          <cell r="EX143">
            <v>1.4634146341463428E-2</v>
          </cell>
          <cell r="EY143">
            <v>-1.9433882551753268E-2</v>
          </cell>
          <cell r="EZ143">
            <v>-1.2592270950933515E-2</v>
          </cell>
          <cell r="FA143">
            <v>-7.4644786872123281E-2</v>
          </cell>
          <cell r="FD143">
            <v>-6.3811188811188857E-2</v>
          </cell>
          <cell r="FE143">
            <v>-3.1021111589832007E-2</v>
          </cell>
          <cell r="FF143">
            <v>-7.9595426561125726E-2</v>
          </cell>
          <cell r="FG143">
            <v>-4.9091695501730093E-2</v>
          </cell>
          <cell r="FJ143">
            <v>-8.3193732222893169E-2</v>
          </cell>
          <cell r="FK143">
            <v>-6.9545735689765187E-2</v>
          </cell>
          <cell r="FL143">
            <v>-4.2277671038386533E-3</v>
          </cell>
          <cell r="FM143">
            <v>1.7686910874161521E-2</v>
          </cell>
          <cell r="FP143">
            <v>0.10601949166366365</v>
          </cell>
          <cell r="FQ143">
            <v>6.5186325382629029E-2</v>
          </cell>
          <cell r="FR143">
            <v>4.6469139412921301E-2</v>
          </cell>
          <cell r="FS143">
            <v>3.2231974812141573E-2</v>
          </cell>
          <cell r="FV143">
            <v>1.5653775322283625E-2</v>
          </cell>
          <cell r="FW143">
            <v>7.3126962763571113E-2</v>
          </cell>
          <cell r="FX143">
            <v>5.3645116918844549E-2</v>
          </cell>
          <cell r="FY143">
            <v>6.6248105650573708E-2</v>
          </cell>
          <cell r="GB143">
            <v>6.8902991840435135E-2</v>
          </cell>
          <cell r="GC143">
            <v>8.3612040133780319E-3</v>
          </cell>
          <cell r="GD143">
            <v>1.7979142315035279E-2</v>
          </cell>
          <cell r="GE143">
            <v>3.0252351388493137E-2</v>
          </cell>
        </row>
        <row r="144">
          <cell r="A144" t="str">
            <v>Month 3</v>
          </cell>
          <cell r="AN144" t="str">
            <v>Month 3</v>
          </cell>
          <cell r="BS144" t="str">
            <v xml:space="preserve"> --  </v>
          </cell>
          <cell r="BT144" t="str">
            <v xml:space="preserve"> --  </v>
          </cell>
          <cell r="BU144" t="str">
            <v xml:space="preserve"> --  </v>
          </cell>
          <cell r="BV144" t="str">
            <v xml:space="preserve"> --  </v>
          </cell>
          <cell r="BY144">
            <v>-1</v>
          </cell>
          <cell r="BZ144">
            <v>-1</v>
          </cell>
          <cell r="CA144">
            <v>-1</v>
          </cell>
          <cell r="CB144">
            <v>-1</v>
          </cell>
          <cell r="CP144">
            <v>7.1176173649671881E-2</v>
          </cell>
          <cell r="CQ144">
            <v>9.3491388951017607E-2</v>
          </cell>
          <cell r="CR144">
            <v>3.7600880410858295E-2</v>
          </cell>
          <cell r="CS144">
            <v>9.5674437407358148E-3</v>
          </cell>
          <cell r="CV144">
            <v>4.7125353440150786E-2</v>
          </cell>
          <cell r="CW144">
            <v>3.3442421763141716E-2</v>
          </cell>
          <cell r="CX144">
            <v>-2.6799999999999935E-2</v>
          </cell>
          <cell r="CY144">
            <v>6.7805659369994498E-2</v>
          </cell>
          <cell r="DB144">
            <v>-3.0603060306030549E-2</v>
          </cell>
          <cell r="DC144">
            <v>4.4532409698170294E-3</v>
          </cell>
          <cell r="DD144">
            <v>5.2999999999999999E-2</v>
          </cell>
          <cell r="DE144">
            <v>-2.1249999999999991E-2</v>
          </cell>
          <cell r="DH144">
            <v>-1</v>
          </cell>
          <cell r="DI144">
            <v>-1</v>
          </cell>
          <cell r="DJ144">
            <v>-1</v>
          </cell>
          <cell r="DK144">
            <v>-1</v>
          </cell>
          <cell r="DN144" t="str">
            <v>NA</v>
          </cell>
          <cell r="DO144" t="str">
            <v>NA</v>
          </cell>
          <cell r="DP144" t="str">
            <v>NA</v>
          </cell>
          <cell r="DQ144" t="str">
            <v>NA</v>
          </cell>
          <cell r="DT144">
            <v>-5.5938037865748691E-2</v>
          </cell>
          <cell r="DU144">
            <v>-3.4825870646766122E-2</v>
          </cell>
          <cell r="DV144">
            <v>2.3629489603024467E-2</v>
          </cell>
          <cell r="DW144">
            <v>1.2919896640826156E-3</v>
          </cell>
          <cell r="DZ144">
            <v>-1.9143117593436676E-2</v>
          </cell>
          <cell r="EA144">
            <v>-7.2164948453607991E-3</v>
          </cell>
          <cell r="EB144">
            <v>-2.3084025854108958E-2</v>
          </cell>
          <cell r="EC144">
            <v>5.0322580645161263E-2</v>
          </cell>
          <cell r="EF144">
            <v>6.3197026022304925E-2</v>
          </cell>
          <cell r="EG144">
            <v>4.3613707165109039E-2</v>
          </cell>
          <cell r="EH144">
            <v>4.7258979206049156E-2</v>
          </cell>
          <cell r="EI144">
            <v>4.9140049140048436E-3</v>
          </cell>
          <cell r="EL144">
            <v>2.5349650349650421E-2</v>
          </cell>
          <cell r="EM144">
            <v>-6.9651741293532687E-3</v>
          </cell>
          <cell r="EN144">
            <v>0.82581227436823101</v>
          </cell>
          <cell r="EO144">
            <v>0.82762836185819078</v>
          </cell>
          <cell r="ER144">
            <v>0.60102301790281332</v>
          </cell>
          <cell r="ES144">
            <v>0.61122244488977961</v>
          </cell>
          <cell r="ET144">
            <v>-7.909045971329709E-2</v>
          </cell>
          <cell r="EU144">
            <v>0.19063545150501682</v>
          </cell>
          <cell r="EX144">
            <v>-2.183173588924392E-2</v>
          </cell>
          <cell r="EY144">
            <v>-3.7313432835820448E-3</v>
          </cell>
          <cell r="EZ144">
            <v>-7.5147611379495771E-3</v>
          </cell>
          <cell r="FA144">
            <v>-0.28483146067415732</v>
          </cell>
          <cell r="FD144">
            <v>1.6875340228633684E-2</v>
          </cell>
          <cell r="FE144">
            <v>-3.6828963795255909E-2</v>
          </cell>
          <cell r="FF144">
            <v>-7.3012439156300735E-2</v>
          </cell>
          <cell r="FG144">
            <v>-4.7132757266300063E-2</v>
          </cell>
          <cell r="FJ144">
            <v>-7.8906078546147729E-2</v>
          </cell>
          <cell r="FK144">
            <v>-8.6421386047222271E-2</v>
          </cell>
          <cell r="FL144">
            <v>6.8259146413351957E-3</v>
          </cell>
          <cell r="FM144">
            <v>4.5716401865264711E-2</v>
          </cell>
          <cell r="FP144">
            <v>1.0691920195042393E-2</v>
          </cell>
          <cell r="FQ144">
            <v>8.3955625466711314E-2</v>
          </cell>
          <cell r="FR144">
            <v>4.6532073995587009E-2</v>
          </cell>
          <cell r="FS144">
            <v>3.2753260808866314E-2</v>
          </cell>
          <cell r="FV144">
            <v>0.10408280621046573</v>
          </cell>
          <cell r="FW144">
            <v>5.4973821989528826E-2</v>
          </cell>
          <cell r="FX144">
            <v>1.9933554817275656E-2</v>
          </cell>
          <cell r="FY144">
            <v>1.984732824427482E-2</v>
          </cell>
          <cell r="GB144">
            <v>4.1666666666666519E-3</v>
          </cell>
          <cell r="GC144">
            <v>5.0248138957816435E-2</v>
          </cell>
          <cell r="GD144">
            <v>4.1460682896476753E-2</v>
          </cell>
          <cell r="GE144">
            <v>0.31255170783595321</v>
          </cell>
        </row>
        <row r="145">
          <cell r="A145" t="str">
            <v>Total</v>
          </cell>
          <cell r="AN145" t="str">
            <v>Total</v>
          </cell>
          <cell r="BS145" t="str">
            <v xml:space="preserve"> --  </v>
          </cell>
          <cell r="BT145" t="str">
            <v xml:space="preserve"> --  </v>
          </cell>
          <cell r="BU145" t="str">
            <v xml:space="preserve"> --  </v>
          </cell>
          <cell r="BV145" t="str">
            <v xml:space="preserve"> --  </v>
          </cell>
          <cell r="BW145" t="str">
            <v xml:space="preserve"> --  </v>
          </cell>
          <cell r="BY145">
            <v>-1</v>
          </cell>
          <cell r="BZ145">
            <v>-1</v>
          </cell>
          <cell r="CA145">
            <v>-1</v>
          </cell>
          <cell r="CB145">
            <v>-1</v>
          </cell>
          <cell r="CF145">
            <v>-1</v>
          </cell>
          <cell r="CP145">
            <v>3.2690035447026533E-2</v>
          </cell>
          <cell r="CQ145">
            <v>5.1336703002253348E-2</v>
          </cell>
          <cell r="CR145">
            <v>3.7959602116871327E-2</v>
          </cell>
          <cell r="CS145">
            <v>5.1634428248001907E-3</v>
          </cell>
          <cell r="CT145">
            <v>3.3414978803579842</v>
          </cell>
          <cell r="CV145">
            <v>-1.5138179897905446E-2</v>
          </cell>
          <cell r="CW145">
            <v>2.0765755329008373E-2</v>
          </cell>
          <cell r="CX145">
            <v>-2.6732607244868034E-2</v>
          </cell>
          <cell r="CY145">
            <v>2.8982704390089653E-2</v>
          </cell>
          <cell r="CZ145">
            <v>4.2536515007434161E-3</v>
          </cell>
          <cell r="DB145">
            <v>3.3661006851355424E-2</v>
          </cell>
          <cell r="DC145">
            <v>2.3975031919421186E-2</v>
          </cell>
          <cell r="DD145">
            <v>1.2354237926307077E-2</v>
          </cell>
          <cell r="DE145">
            <v>9.7745834057736403E-3</v>
          </cell>
          <cell r="DF145">
            <v>1.8648853027320111E-2</v>
          </cell>
          <cell r="DH145">
            <v>2.9682997118155585E-2</v>
          </cell>
          <cell r="DI145">
            <v>1.9395954558049322E-2</v>
          </cell>
          <cell r="DJ145">
            <v>2.4654565158493735E-2</v>
          </cell>
          <cell r="DK145">
            <v>6.560182544209936E-2</v>
          </cell>
          <cell r="DL145">
            <v>3.7993636533782515E-2</v>
          </cell>
          <cell r="DN145">
            <v>-4.7579065211307281E-3</v>
          </cell>
          <cell r="DO145">
            <v>-5.191628159826045E-2</v>
          </cell>
          <cell r="DP145">
            <v>-8.1173982020095181E-2</v>
          </cell>
          <cell r="DQ145">
            <v>-8.4225553176302648E-2</v>
          </cell>
          <cell r="DR145">
            <v>-5.126818127178745E-2</v>
          </cell>
          <cell r="DT145">
            <v>-2.8965129358830111E-2</v>
          </cell>
          <cell r="DU145">
            <v>-5.7339449541282672E-4</v>
          </cell>
          <cell r="DV145">
            <v>1.1510791366906581E-3</v>
          </cell>
          <cell r="DW145">
            <v>-2.2408417770849565E-2</v>
          </cell>
          <cell r="DX145">
            <v>-1.3557174532784266E-2</v>
          </cell>
          <cell r="DZ145">
            <v>-4.6915725456125101E-2</v>
          </cell>
          <cell r="EA145">
            <v>-1.4916810097532984E-2</v>
          </cell>
          <cell r="EB145">
            <v>2.012072434607548E-3</v>
          </cell>
          <cell r="EC145">
            <v>7.1756029499701057E-3</v>
          </cell>
          <cell r="ED145">
            <v>-1.0211290218996805E-2</v>
          </cell>
          <cell r="EF145">
            <v>7.8699483439683915E-2</v>
          </cell>
          <cell r="EG145">
            <v>4.2807221898660375E-2</v>
          </cell>
          <cell r="EH145">
            <v>1.1187607573149849E-2</v>
          </cell>
          <cell r="EI145">
            <v>1.3259449831783066E-2</v>
          </cell>
          <cell r="EJ145">
            <v>2.361796003114458E-2</v>
          </cell>
          <cell r="EL145">
            <v>2.5633802816901419E-2</v>
          </cell>
          <cell r="EM145">
            <v>1.1728567439262871E-2</v>
          </cell>
          <cell r="EN145">
            <v>0.57588652482269498</v>
          </cell>
          <cell r="EO145">
            <v>0.86933593750000004</v>
          </cell>
          <cell r="EP145">
            <v>0.41924442190669375</v>
          </cell>
          <cell r="ER145">
            <v>0.62867344136226322</v>
          </cell>
          <cell r="ES145">
            <v>0.65470604471432514</v>
          </cell>
          <cell r="ET145">
            <v>5.9585958595859578E-2</v>
          </cell>
          <cell r="EU145">
            <v>-4.3046703583742518E-2</v>
          </cell>
          <cell r="EV145">
            <v>0.20455560518088434</v>
          </cell>
          <cell r="EX145">
            <v>-1.5177065767284503E-3</v>
          </cell>
          <cell r="EY145">
            <v>-1.7180984153461254E-2</v>
          </cell>
          <cell r="EZ145">
            <v>3.397893306150257E-3</v>
          </cell>
          <cell r="FA145">
            <v>-6.1687957200567745E-2</v>
          </cell>
          <cell r="FB145">
            <v>-2.4360400444938812E-2</v>
          </cell>
          <cell r="FD145">
            <v>-2.9386927883803371E-2</v>
          </cell>
          <cell r="FE145">
            <v>-2.9531568228105876E-2</v>
          </cell>
          <cell r="FF145">
            <v>-6.9928885878767333E-2</v>
          </cell>
          <cell r="FG145">
            <v>-7.6797765883174329E-2</v>
          </cell>
          <cell r="FH145">
            <v>-5.4003724394785846E-2</v>
          </cell>
          <cell r="FJ145">
            <v>-7.9867757090655966E-2</v>
          </cell>
          <cell r="FK145">
            <v>-7.5725778244141284E-2</v>
          </cell>
          <cell r="FL145">
            <v>-1.9661387220098359E-2</v>
          </cell>
          <cell r="FM145">
            <v>3.7811948575749987E-4</v>
          </cell>
          <cell r="FN145">
            <v>-4.0053029085650005E-2</v>
          </cell>
          <cell r="FP145">
            <v>5.4084720121028829E-2</v>
          </cell>
          <cell r="FQ145">
            <v>4.7682119205298079E-2</v>
          </cell>
          <cell r="FR145">
            <v>4.4196843082636939E-2</v>
          </cell>
          <cell r="FS145">
            <v>4.182940657679235E-2</v>
          </cell>
          <cell r="FT145">
            <v>4.6369533375183014E-2</v>
          </cell>
          <cell r="FV145">
            <v>5.6512378902045191E-2</v>
          </cell>
          <cell r="FW145">
            <v>7.2602492324363332E-2</v>
          </cell>
          <cell r="FX145">
            <v>4.0903432331495626E-2</v>
          </cell>
          <cell r="FY145">
            <v>5.5024791389527206E-2</v>
          </cell>
          <cell r="FZ145">
            <v>5.60732712074552E-2</v>
          </cell>
          <cell r="GB145">
            <v>4.313126167430803E-2</v>
          </cell>
          <cell r="GC145">
            <v>3.0139754167368249E-2</v>
          </cell>
          <cell r="GD145">
            <v>3.7021467099822347E-2</v>
          </cell>
          <cell r="GE145">
            <v>7.372007776590972E-2</v>
          </cell>
          <cell r="GF145">
            <v>4.8961204520547419E-2</v>
          </cell>
        </row>
        <row r="147">
          <cell r="A147" t="str">
            <v>Dept. Stores Monthly Sales - % of Total Year</v>
          </cell>
          <cell r="AN147" t="str">
            <v>Dept. Stores Monthly Sales - % of Total Year</v>
          </cell>
        </row>
        <row r="148">
          <cell r="A148" t="str">
            <v>Month 1</v>
          </cell>
          <cell r="AN148" t="str">
            <v>Month 1</v>
          </cell>
          <cell r="BS148">
            <v>6.3992993467868478E-2</v>
          </cell>
          <cell r="BT148">
            <v>6.9693099295697544E-2</v>
          </cell>
          <cell r="BU148">
            <v>7.6641243659453337E-2</v>
          </cell>
          <cell r="BV148">
            <v>9.6536875524577598E-2</v>
          </cell>
          <cell r="CP148">
            <v>6.7547817651526273E-2</v>
          </cell>
          <cell r="CQ148">
            <v>7.3202330731576559E-2</v>
          </cell>
          <cell r="CR148">
            <v>7.4574475553484926E-2</v>
          </cell>
          <cell r="CS148">
            <v>9.9783647862964217E-2</v>
          </cell>
          <cell r="CV148">
            <v>6.7261709778783194E-2</v>
          </cell>
          <cell r="CW148">
            <v>7.3432450537966709E-2</v>
          </cell>
          <cell r="CX148">
            <v>7.1659554139106546E-2</v>
          </cell>
          <cell r="CY148">
            <v>9.7804016770169422E-2</v>
          </cell>
          <cell r="DB148">
            <v>6.3946596793312119E-2</v>
          </cell>
          <cell r="DC148">
            <v>7.1557801484808781E-2</v>
          </cell>
          <cell r="DD148">
            <v>6.9810967621186604E-2</v>
          </cell>
          <cell r="DE148">
            <v>9.3517998627487678E-2</v>
          </cell>
          <cell r="DH148">
            <v>0</v>
          </cell>
          <cell r="DI148">
            <v>0</v>
          </cell>
          <cell r="DJ148">
            <v>0</v>
          </cell>
          <cell r="DK148">
            <v>0</v>
          </cell>
          <cell r="DN148">
            <v>6.8482736775419703E-2</v>
          </cell>
          <cell r="DO148">
            <v>7.3550839404497942E-2</v>
          </cell>
          <cell r="DP148">
            <v>7.1586949635730118E-2</v>
          </cell>
          <cell r="DQ148">
            <v>9.9144757681343051E-2</v>
          </cell>
          <cell r="DT148">
            <v>6.7304604713891214E-2</v>
          </cell>
          <cell r="DU148">
            <v>7.3855243722304287E-2</v>
          </cell>
          <cell r="DV148">
            <v>6.9745038854280392E-2</v>
          </cell>
          <cell r="DW148">
            <v>9.459893391561236E-2</v>
          </cell>
          <cell r="DZ148">
            <v>6.3911237996366471E-2</v>
          </cell>
          <cell r="EA148">
            <v>7.3773682844536725E-2</v>
          </cell>
          <cell r="EB148">
            <v>6.9945497015312746E-2</v>
          </cell>
          <cell r="EC148">
            <v>9.4731378146898526E-2</v>
          </cell>
          <cell r="EF148">
            <v>6.8458417849898576E-2</v>
          </cell>
          <cell r="EG148">
            <v>7.4923935091277885E-2</v>
          </cell>
          <cell r="EH148">
            <v>6.6937119675456389E-2</v>
          </cell>
          <cell r="EI148">
            <v>9.1658215010141986E-2</v>
          </cell>
          <cell r="EL148">
            <v>4.899508709245199E-2</v>
          </cell>
          <cell r="EM148">
            <v>5.3104064314426082E-2</v>
          </cell>
          <cell r="EN148">
            <v>4.769986601161233E-2</v>
          </cell>
          <cell r="EO148">
            <v>0.11688253684680661</v>
          </cell>
          <cell r="ER148">
            <v>6.6740823136818686E-2</v>
          </cell>
          <cell r="ES148">
            <v>7.5120504263997037E-2</v>
          </cell>
          <cell r="ET148">
            <v>6.4034111976269931E-2</v>
          </cell>
          <cell r="EU148">
            <v>8.8431590656284767E-2</v>
          </cell>
          <cell r="EX148">
            <v>6.8483259225477905E-2</v>
          </cell>
          <cell r="EY148">
            <v>7.5095960171778206E-2</v>
          </cell>
          <cell r="EZ148">
            <v>6.795120282749971E-2</v>
          </cell>
          <cell r="FA148">
            <v>0.10287690495192491</v>
          </cell>
          <cell r="FD148">
            <v>6.9781455889442387E-2</v>
          </cell>
          <cell r="FE148">
            <v>7.7374256789329909E-2</v>
          </cell>
          <cell r="FF148">
            <v>6.7732604852964812E-2</v>
          </cell>
          <cell r="FG148">
            <v>9.3363329583802029E-2</v>
          </cell>
          <cell r="FJ148">
            <v>6.7068320951899615E-2</v>
          </cell>
          <cell r="FK148">
            <v>7.4649782725973876E-2</v>
          </cell>
          <cell r="FL148">
            <v>6.5961460508603714E-2</v>
          </cell>
          <cell r="FM148">
            <v>9.2185673045563743E-2</v>
          </cell>
          <cell r="FP148">
            <v>6.6671999360076797E-2</v>
          </cell>
          <cell r="FQ148">
            <v>7.155141383034036E-2</v>
          </cell>
          <cell r="FR148">
            <v>6.5512138543374801E-2</v>
          </cell>
          <cell r="FS148">
            <v>9.3628764548254209E-2</v>
          </cell>
          <cell r="FV148">
            <v>6.6767657640598374E-2</v>
          </cell>
          <cell r="FW148">
            <v>7.3357318689642112E-2</v>
          </cell>
          <cell r="FX148">
            <v>6.49119484946033E-2</v>
          </cell>
          <cell r="FY148">
            <v>9.3353531528119676E-2</v>
          </cell>
          <cell r="GB148">
            <v>6.7153297961635244E-2</v>
          </cell>
          <cell r="GC148">
            <v>7.2749406125104846E-2</v>
          </cell>
          <cell r="GD148">
            <v>6.5420309627141432E-2</v>
          </cell>
          <cell r="GE148">
            <v>9.1688515221328329E-2</v>
          </cell>
        </row>
        <row r="149">
          <cell r="A149" t="str">
            <v>Month 2</v>
          </cell>
          <cell r="AN149" t="str">
            <v>Month 2</v>
          </cell>
          <cell r="BS149">
            <v>8.4866620443017182E-2</v>
          </cell>
          <cell r="BT149">
            <v>8.483742655913587E-2</v>
          </cell>
          <cell r="BU149">
            <v>9.3559099368682272E-2</v>
          </cell>
          <cell r="BV149">
            <v>0.18623508374995437</v>
          </cell>
          <cell r="CP149">
            <v>8.2277632762989106E-2</v>
          </cell>
          <cell r="CQ149">
            <v>8.4753875511363277E-2</v>
          </cell>
          <cell r="CR149">
            <v>9.2297480997389741E-2</v>
          </cell>
          <cell r="CS149">
            <v>0.1754239289292803</v>
          </cell>
          <cell r="CV149">
            <v>8.1852874333968956E-2</v>
          </cell>
          <cell r="CW149">
            <v>8.6333175297124864E-2</v>
          </cell>
          <cell r="CX149">
            <v>9.0068411742663196E-2</v>
          </cell>
          <cell r="CY149">
            <v>0.18233192056882172</v>
          </cell>
          <cell r="DB149">
            <v>8.3785638530164075E-2</v>
          </cell>
          <cell r="DC149">
            <v>8.7778401647014781E-2</v>
          </cell>
          <cell r="DD149">
            <v>8.8776592426227457E-2</v>
          </cell>
          <cell r="DE149">
            <v>0.18192026951151039</v>
          </cell>
          <cell r="DH149">
            <v>0</v>
          </cell>
          <cell r="DI149">
            <v>0</v>
          </cell>
          <cell r="DJ149">
            <v>0</v>
          </cell>
          <cell r="DK149">
            <v>0</v>
          </cell>
          <cell r="DN149">
            <v>8.3433639531200504E-2</v>
          </cell>
          <cell r="DO149">
            <v>8.4003801076971807E-2</v>
          </cell>
          <cell r="DP149">
            <v>8.1659803611023124E-2</v>
          </cell>
          <cell r="DQ149">
            <v>0.17706683560342096</v>
          </cell>
          <cell r="DT149">
            <v>8.4194977843426888E-2</v>
          </cell>
          <cell r="DU149">
            <v>8.7791407102947791E-2</v>
          </cell>
          <cell r="DV149">
            <v>8.445186564767837E-2</v>
          </cell>
          <cell r="DW149">
            <v>0.17802324834628477</v>
          </cell>
          <cell r="DZ149">
            <v>8.0002595380223196E-2</v>
          </cell>
          <cell r="EA149">
            <v>8.6750583960550215E-2</v>
          </cell>
          <cell r="EB149">
            <v>8.7723851544251233E-2</v>
          </cell>
          <cell r="EC149">
            <v>0.18050869452374774</v>
          </cell>
          <cell r="EF149">
            <v>8.4051724137931036E-2</v>
          </cell>
          <cell r="EG149">
            <v>8.8362068965517238E-2</v>
          </cell>
          <cell r="EH149">
            <v>8.6270283975659223E-2</v>
          </cell>
          <cell r="EI149">
            <v>0.18103448275862069</v>
          </cell>
          <cell r="EL149">
            <v>6.1232693166592231E-2</v>
          </cell>
          <cell r="EM149">
            <v>6.413577489950871E-2</v>
          </cell>
          <cell r="EN149">
            <v>0.11004912907548013</v>
          </cell>
          <cell r="EO149">
            <v>0.24381420276909335</v>
          </cell>
          <cell r="ER149">
            <v>8.3611420096403405E-2</v>
          </cell>
          <cell r="ES149">
            <v>8.776418242491657E-2</v>
          </cell>
          <cell r="ET149">
            <v>8.5391175380051906E-2</v>
          </cell>
          <cell r="EU149">
            <v>0.18527994067482387</v>
          </cell>
          <cell r="EX149">
            <v>8.695321704100635E-2</v>
          </cell>
          <cell r="EY149">
            <v>8.8207349979097779E-2</v>
          </cell>
          <cell r="EZ149">
            <v>8.6421160643028155E-2</v>
          </cell>
          <cell r="FA149">
            <v>0.17573062744650933</v>
          </cell>
          <cell r="FD149">
            <v>8.6051743532058494E-2</v>
          </cell>
          <cell r="FE149">
            <v>9.0350313353687928E-2</v>
          </cell>
          <cell r="FF149">
            <v>8.4083239595050624E-2</v>
          </cell>
          <cell r="FG149">
            <v>0.17664309818415555</v>
          </cell>
          <cell r="FJ149">
            <v>8.2184516659492057E-2</v>
          </cell>
          <cell r="FK149">
            <v>8.7574456599025657E-2</v>
          </cell>
          <cell r="FL149">
            <v>8.7221229690381485E-2</v>
          </cell>
          <cell r="FM149">
            <v>0.18726802038559062</v>
          </cell>
          <cell r="FP149">
            <v>8.686957565092189E-2</v>
          </cell>
          <cell r="FQ149">
            <v>8.9149302083749951E-2</v>
          </cell>
          <cell r="FR149">
            <v>8.7229532456105263E-2</v>
          </cell>
          <cell r="FS149">
            <v>0.18473783146022477</v>
          </cell>
          <cell r="FV149">
            <v>8.3544783185002844E-2</v>
          </cell>
          <cell r="FW149">
            <v>9.0588903616739255E-2</v>
          </cell>
          <cell r="FX149">
            <v>8.7028971785646655E-2</v>
          </cell>
          <cell r="FY149">
            <v>0.18651770498011741</v>
          </cell>
          <cell r="GB149">
            <v>8.5133051932008555E-2</v>
          </cell>
          <cell r="GC149">
            <v>8.7082663808314087E-2</v>
          </cell>
          <cell r="GD149">
            <v>8.4458488715419958E-2</v>
          </cell>
          <cell r="GE149">
            <v>0.18319104968155864</v>
          </cell>
        </row>
        <row r="150">
          <cell r="A150" t="str">
            <v>Month 3</v>
          </cell>
          <cell r="AN150" t="str">
            <v>Month 3</v>
          </cell>
          <cell r="BS150">
            <v>6.5569463197460126E-2</v>
          </cell>
          <cell r="BT150">
            <v>5.9373061343648503E-2</v>
          </cell>
          <cell r="BU150">
            <v>7.4488194723205489E-2</v>
          </cell>
          <cell r="BV150">
            <v>4.4206838667299207E-2</v>
          </cell>
          <cell r="CP150">
            <v>6.7713751443943093E-2</v>
          </cell>
          <cell r="CQ150">
            <v>6.2403870086604675E-2</v>
          </cell>
          <cell r="CR150">
            <v>7.2206727977075613E-2</v>
          </cell>
          <cell r="CS150">
            <v>4.7814460491802234E-2</v>
          </cell>
          <cell r="CV150">
            <v>7.0604459149875398E-2</v>
          </cell>
          <cell r="CW150">
            <v>6.4217647138568035E-2</v>
          </cell>
          <cell r="CX150">
            <v>6.9973942900060218E-2</v>
          </cell>
          <cell r="CY150">
            <v>5.0840294617372023E-2</v>
          </cell>
          <cell r="DB150">
            <v>6.7190716825753324E-2</v>
          </cell>
          <cell r="DC150">
            <v>6.3322727556304192E-2</v>
          </cell>
          <cell r="DD150">
            <v>6.8937550689375501E-2</v>
          </cell>
          <cell r="DE150">
            <v>4.8848961257720383E-2</v>
          </cell>
          <cell r="DH150">
            <v>0</v>
          </cell>
          <cell r="DI150">
            <v>0</v>
          </cell>
          <cell r="DJ150">
            <v>0</v>
          </cell>
          <cell r="DK150">
            <v>0</v>
          </cell>
          <cell r="DN150">
            <v>7.3614190687361414E-2</v>
          </cell>
          <cell r="DO150">
            <v>6.366803927779538E-2</v>
          </cell>
          <cell r="DP150">
            <v>6.702565726955971E-2</v>
          </cell>
          <cell r="DQ150">
            <v>4.9033892936331959E-2</v>
          </cell>
          <cell r="DT150">
            <v>7.0451480315971995E-2</v>
          </cell>
          <cell r="DU150">
            <v>6.229529253098709E-2</v>
          </cell>
          <cell r="DV150">
            <v>6.9552373001091766E-2</v>
          </cell>
          <cell r="DW150">
            <v>4.97720120737268E-2</v>
          </cell>
          <cell r="DZ150">
            <v>6.9815728004152602E-2</v>
          </cell>
          <cell r="EA150">
            <v>6.2483778873604984E-2</v>
          </cell>
          <cell r="EB150">
            <v>6.8647806903711389E-2</v>
          </cell>
          <cell r="EC150">
            <v>5.2815987542174932E-2</v>
          </cell>
          <cell r="EF150">
            <v>7.2515212981744417E-2</v>
          </cell>
          <cell r="EG150">
            <v>6.3704361054766734E-2</v>
          </cell>
          <cell r="EH150">
            <v>7.0233265720081137E-2</v>
          </cell>
          <cell r="EI150">
            <v>5.1850912778904662E-2</v>
          </cell>
          <cell r="EL150">
            <v>5.2389459580169717E-2</v>
          </cell>
          <cell r="EM150">
            <v>4.4573470299240733E-2</v>
          </cell>
          <cell r="EN150">
            <v>9.0352836087539079E-2</v>
          </cell>
          <cell r="EO150">
            <v>6.6770879857079052E-2</v>
          </cell>
          <cell r="ER150">
            <v>6.9632925472747492E-2</v>
          </cell>
          <cell r="ES150">
            <v>5.9621802002224694E-2</v>
          </cell>
          <cell r="ET150">
            <v>6.907675194660734E-2</v>
          </cell>
          <cell r="EU150">
            <v>6.5999258435298483E-2</v>
          </cell>
          <cell r="EX150">
            <v>6.9813400220423372E-2</v>
          </cell>
          <cell r="EY150">
            <v>6.0882453540075245E-2</v>
          </cell>
          <cell r="EZ150">
            <v>7.0269448561547529E-2</v>
          </cell>
          <cell r="FA150">
            <v>4.8379128187587883E-2</v>
          </cell>
          <cell r="FD150">
            <v>7.5044190904708347E-2</v>
          </cell>
          <cell r="FE150">
            <v>6.1987787240880603E-2</v>
          </cell>
          <cell r="FF150">
            <v>6.8857464245540734E-2</v>
          </cell>
          <cell r="FG150">
            <v>4.8730515828378597E-2</v>
          </cell>
          <cell r="FJ150">
            <v>7.2006840145461229E-2</v>
          </cell>
          <cell r="FK150">
            <v>5.899358867248948E-2</v>
          </cell>
          <cell r="FL150">
            <v>7.2220113734892177E-2</v>
          </cell>
          <cell r="FM150">
            <v>5.3084494474265165E-2</v>
          </cell>
          <cell r="FP150">
            <v>6.9551653801543808E-2</v>
          </cell>
          <cell r="FQ150">
            <v>6.11126664800224E-2</v>
          </cell>
          <cell r="FR150">
            <v>7.2231332240131188E-2</v>
          </cell>
          <cell r="FS150">
            <v>5.2393712754469461E-2</v>
          </cell>
          <cell r="FV150">
            <v>7.2713501230827496E-2</v>
          </cell>
          <cell r="FW150">
            <v>6.1049043741715582E-2</v>
          </cell>
          <cell r="FX150">
            <v>6.9759515243325132E-2</v>
          </cell>
          <cell r="FY150">
            <v>5.0596477939784133E-2</v>
          </cell>
          <cell r="GB150">
            <v>6.9608364768834807E-2</v>
          </cell>
          <cell r="GC150">
            <v>6.112394271454219E-2</v>
          </cell>
          <cell r="GD150">
            <v>6.9260704848515153E-2</v>
          </cell>
          <cell r="GE150">
            <v>6.3310724213773262E-2</v>
          </cell>
        </row>
        <row r="151">
          <cell r="A151" t="str">
            <v>Total</v>
          </cell>
          <cell r="AN151" t="str">
            <v>Total</v>
          </cell>
          <cell r="BS151">
            <v>0.2144290771083458</v>
          </cell>
          <cell r="BT151">
            <v>0.21390358719848193</v>
          </cell>
          <cell r="BU151">
            <v>0.24468853775134108</v>
          </cell>
          <cell r="BV151">
            <v>0.32697879794183116</v>
          </cell>
          <cell r="BW151">
            <v>1</v>
          </cell>
          <cell r="CP151">
            <v>0.21753920185845851</v>
          </cell>
          <cell r="CQ151">
            <v>0.22036007632954452</v>
          </cell>
          <cell r="CR151">
            <v>0.23907868452795028</v>
          </cell>
          <cell r="CS151">
            <v>0.32302203728404671</v>
          </cell>
          <cell r="CT151">
            <v>1</v>
          </cell>
          <cell r="CV151">
            <v>0.21333858628814734</v>
          </cell>
          <cell r="CW151">
            <v>0.22398327297365961</v>
          </cell>
          <cell r="CX151">
            <v>0.23170190878182992</v>
          </cell>
          <cell r="CY151">
            <v>0.33097623195636316</v>
          </cell>
          <cell r="CZ151">
            <v>1</v>
          </cell>
          <cell r="DB151">
            <v>0.21648262524174933</v>
          </cell>
          <cell r="DC151">
            <v>0.22515440763615946</v>
          </cell>
          <cell r="DD151">
            <v>0.23027013537962443</v>
          </cell>
          <cell r="DE151">
            <v>0.32809283174246678</v>
          </cell>
          <cell r="DF151">
            <v>1</v>
          </cell>
          <cell r="DH151">
            <v>0.214749368914533</v>
          </cell>
          <cell r="DI151">
            <v>0.2211203269623753</v>
          </cell>
          <cell r="DJ151">
            <v>0.22731097487678809</v>
          </cell>
          <cell r="DK151">
            <v>0.33681932924630364</v>
          </cell>
          <cell r="DL151">
            <v>1</v>
          </cell>
          <cell r="DN151">
            <v>0.22527716186252772</v>
          </cell>
          <cell r="DO151">
            <v>0.22096927462781121</v>
          </cell>
          <cell r="DP151">
            <v>0.22014570795058599</v>
          </cell>
          <cell r="DQ151">
            <v>0.325118783655369</v>
          </cell>
          <cell r="DR151">
            <v>1</v>
          </cell>
          <cell r="DT151">
            <v>0.22175839702010147</v>
          </cell>
          <cell r="DU151">
            <v>0.22387772140517628</v>
          </cell>
          <cell r="DV151">
            <v>0.22342816774773619</v>
          </cell>
          <cell r="DW151">
            <v>0.32220152848243527</v>
          </cell>
          <cell r="DX151">
            <v>1</v>
          </cell>
          <cell r="DZ151">
            <v>0.21353490786400209</v>
          </cell>
          <cell r="EA151">
            <v>0.22281339216195173</v>
          </cell>
          <cell r="EB151">
            <v>0.22618738645211522</v>
          </cell>
          <cell r="EC151">
            <v>0.32786140669608099</v>
          </cell>
          <cell r="ED151">
            <v>1</v>
          </cell>
          <cell r="EF151">
            <v>0.22502535496957404</v>
          </cell>
          <cell r="EG151">
            <v>0.22699036511156187</v>
          </cell>
          <cell r="EH151">
            <v>0.22344066937119675</v>
          </cell>
          <cell r="EI151">
            <v>0.32454361054766734</v>
          </cell>
          <cell r="EJ151">
            <v>1</v>
          </cell>
          <cell r="EL151">
            <v>0.16261723983921395</v>
          </cell>
          <cell r="EM151">
            <v>0.16181330951317552</v>
          </cell>
          <cell r="EN151">
            <v>0.24810183117463153</v>
          </cell>
          <cell r="EO151">
            <v>0.42746761947297901</v>
          </cell>
          <cell r="EP151">
            <v>1</v>
          </cell>
          <cell r="ER151">
            <v>0.21987393400074157</v>
          </cell>
          <cell r="ES151">
            <v>0.22228401928068223</v>
          </cell>
          <cell r="ET151">
            <v>0.21824249165739712</v>
          </cell>
          <cell r="EU151">
            <v>0.33959955506117911</v>
          </cell>
          <cell r="EV151">
            <v>1</v>
          </cell>
          <cell r="EX151">
            <v>0.22502185231634553</v>
          </cell>
          <cell r="EY151">
            <v>0.22391973549196215</v>
          </cell>
          <cell r="EZ151">
            <v>0.22445179188994033</v>
          </cell>
          <cell r="FA151">
            <v>0.32660662030175197</v>
          </cell>
          <cell r="FB151">
            <v>1</v>
          </cell>
          <cell r="FD151">
            <v>0.23087739032620921</v>
          </cell>
          <cell r="FE151">
            <v>0.22971235738389845</v>
          </cell>
          <cell r="FF151">
            <v>0.22067330869355617</v>
          </cell>
          <cell r="FG151">
            <v>0.3187369435963362</v>
          </cell>
          <cell r="FH151">
            <v>1</v>
          </cell>
          <cell r="FJ151">
            <v>0.22130152751621679</v>
          </cell>
          <cell r="FK151">
            <v>0.22117597823812513</v>
          </cell>
          <cell r="FL151">
            <v>0.22536095417451349</v>
          </cell>
          <cell r="FM151">
            <v>0.33216154007114457</v>
          </cell>
          <cell r="FN151">
            <v>1</v>
          </cell>
          <cell r="FP151">
            <v>0.22293324801023878</v>
          </cell>
          <cell r="FQ151">
            <v>0.22145342558892933</v>
          </cell>
          <cell r="FR151">
            <v>0.22489301283845939</v>
          </cell>
          <cell r="FS151">
            <v>0.33072031356237253</v>
          </cell>
          <cell r="FT151">
            <v>1</v>
          </cell>
          <cell r="FV151">
            <v>0.2230259420564287</v>
          </cell>
          <cell r="FW151">
            <v>0.22491952281764818</v>
          </cell>
          <cell r="FX151">
            <v>0.22166256390835068</v>
          </cell>
          <cell r="FY151">
            <v>0.33039197121757241</v>
          </cell>
          <cell r="FZ151">
            <v>1</v>
          </cell>
          <cell r="GB151">
            <v>0.22178640289157275</v>
          </cell>
          <cell r="GC151">
            <v>0.22088380480069056</v>
          </cell>
          <cell r="GD151">
            <v>0.2191395031910765</v>
          </cell>
          <cell r="GE151">
            <v>0.33819028911666016</v>
          </cell>
          <cell r="GF151">
            <v>1</v>
          </cell>
        </row>
        <row r="153">
          <cell r="A153" t="str">
            <v>Original Federated Doors Monthly Sales</v>
          </cell>
          <cell r="AN153" t="str">
            <v>Original Federated Doors Monthly Sales</v>
          </cell>
        </row>
        <row r="154">
          <cell r="A154" t="str">
            <v>Month 1</v>
          </cell>
          <cell r="AN154" t="str">
            <v>Month 1</v>
          </cell>
          <cell r="DZ154">
            <v>985</v>
          </cell>
          <cell r="EA154">
            <v>1137</v>
          </cell>
          <cell r="EB154">
            <v>1078</v>
          </cell>
          <cell r="EC154">
            <v>1460</v>
          </cell>
          <cell r="EF154">
            <v>1080</v>
          </cell>
          <cell r="EG154">
            <v>1182</v>
          </cell>
          <cell r="EH154">
            <v>1056</v>
          </cell>
          <cell r="EI154">
            <v>1446</v>
          </cell>
          <cell r="EL154">
            <v>1097</v>
          </cell>
          <cell r="EM154">
            <v>1189</v>
          </cell>
          <cell r="EN154">
            <v>1068</v>
          </cell>
        </row>
        <row r="155">
          <cell r="A155" t="str">
            <v>Month 2</v>
          </cell>
          <cell r="AN155" t="str">
            <v>Month 2</v>
          </cell>
          <cell r="DZ155">
            <v>1233</v>
          </cell>
          <cell r="EA155">
            <v>1337</v>
          </cell>
          <cell r="EB155">
            <v>1352</v>
          </cell>
          <cell r="EC155">
            <v>2782</v>
          </cell>
          <cell r="EF155">
            <v>1326</v>
          </cell>
          <cell r="EG155">
            <v>1394</v>
          </cell>
          <cell r="EH155">
            <v>1361</v>
          </cell>
          <cell r="EI155">
            <v>2856</v>
          </cell>
          <cell r="EL155">
            <v>1371</v>
          </cell>
          <cell r="EM155">
            <v>1436</v>
          </cell>
        </row>
        <row r="156">
          <cell r="A156" t="str">
            <v>Month 3</v>
          </cell>
          <cell r="AN156" t="str">
            <v>Month 3</v>
          </cell>
          <cell r="DZ156">
            <v>1076</v>
          </cell>
          <cell r="EA156">
            <v>963</v>
          </cell>
          <cell r="EB156">
            <v>1058</v>
          </cell>
          <cell r="EC156">
            <v>814</v>
          </cell>
          <cell r="EF156">
            <v>1144</v>
          </cell>
          <cell r="EG156">
            <v>1005</v>
          </cell>
          <cell r="EH156">
            <v>1108</v>
          </cell>
          <cell r="EI156">
            <v>818</v>
          </cell>
          <cell r="EL156">
            <v>1173</v>
          </cell>
          <cell r="EM156">
            <v>998</v>
          </cell>
        </row>
        <row r="157">
          <cell r="A157" t="str">
            <v>Total</v>
          </cell>
          <cell r="AN157" t="str">
            <v>Total</v>
          </cell>
          <cell r="DZ157">
            <v>3291</v>
          </cell>
          <cell r="EA157">
            <v>3434</v>
          </cell>
          <cell r="EB157">
            <v>3486</v>
          </cell>
          <cell r="EC157">
            <v>5053</v>
          </cell>
          <cell r="ED157">
            <v>15412</v>
          </cell>
          <cell r="EF157">
            <v>3550</v>
          </cell>
          <cell r="EG157">
            <v>3581</v>
          </cell>
          <cell r="EH157">
            <v>3525</v>
          </cell>
          <cell r="EI157">
            <v>5120</v>
          </cell>
          <cell r="EJ157">
            <v>15776</v>
          </cell>
          <cell r="EL157">
            <v>3641</v>
          </cell>
          <cell r="EM157">
            <v>3623</v>
          </cell>
        </row>
        <row r="159">
          <cell r="A159" t="str">
            <v>Original Federated Doors Monthly Comps</v>
          </cell>
          <cell r="AN159" t="str">
            <v>Original Federated Doors Monthly Comps</v>
          </cell>
        </row>
        <row r="160">
          <cell r="A160" t="str">
            <v>Month 1</v>
          </cell>
          <cell r="AN160" t="str">
            <v>Month 1</v>
          </cell>
          <cell r="DH160">
            <v>5.2999999999999999E-2</v>
          </cell>
          <cell r="DI160">
            <v>4.2000000000000003E-2</v>
          </cell>
          <cell r="DJ160">
            <v>1.0999999999999999E-2</v>
          </cell>
          <cell r="DK160">
            <v>1.4E-2</v>
          </cell>
          <cell r="DN160">
            <v>-1.6E-2</v>
          </cell>
          <cell r="DO160">
            <v>-3.3000000000000002E-2</v>
          </cell>
          <cell r="DP160">
            <v>-2.5999999999999999E-2</v>
          </cell>
          <cell r="DQ160">
            <v>8.9999999999999993E-3</v>
          </cell>
          <cell r="DT160">
            <v>-2.8000000000000001E-2</v>
          </cell>
          <cell r="DU160">
            <v>-3.4000000000000002E-2</v>
          </cell>
          <cell r="DV160">
            <v>-5.8000000000000003E-2</v>
          </cell>
          <cell r="DW160">
            <v>-7.3999999999999996E-2</v>
          </cell>
          <cell r="DZ160">
            <v>-6.8000000000000005E-2</v>
          </cell>
          <cell r="EA160">
            <v>-8.0000000000000002E-3</v>
          </cell>
          <cell r="EB160">
            <v>-8.0000000000000002E-3</v>
          </cell>
          <cell r="EC160">
            <v>-1E-3</v>
          </cell>
          <cell r="EF160">
            <v>0.09</v>
          </cell>
          <cell r="EG160">
            <v>2.9000000000000001E-2</v>
          </cell>
          <cell r="EH160">
            <v>-2.4E-2</v>
          </cell>
          <cell r="EI160">
            <v>-1.4E-2</v>
          </cell>
          <cell r="EL160">
            <v>1.7999999999999999E-2</v>
          </cell>
          <cell r="EM160">
            <v>8.0000000000000002E-3</v>
          </cell>
          <cell r="EN160">
            <v>1.0999999999999999E-2</v>
          </cell>
          <cell r="EO160">
            <v>-3.4000000000000002E-2</v>
          </cell>
          <cell r="ER160">
            <v>0.01</v>
          </cell>
          <cell r="ES160">
            <v>9.1999999999999998E-2</v>
          </cell>
          <cell r="ET160">
            <v>3.7999999999999999E-2</v>
          </cell>
          <cell r="EU160">
            <v>8.5000000000000006E-2</v>
          </cell>
          <cell r="EX160">
            <v>1.2E-2</v>
          </cell>
          <cell r="EY160">
            <v>-3.3000000000000002E-2</v>
          </cell>
          <cell r="EZ160">
            <v>2.4E-2</v>
          </cell>
          <cell r="FA160">
            <v>0.13400000000000001</v>
          </cell>
          <cell r="FD160">
            <v>-3.5000000000000003E-2</v>
          </cell>
          <cell r="FE160">
            <v>-1.4999999999999999E-2</v>
          </cell>
          <cell r="FF160">
            <v>-4.8000000000000001E-2</v>
          </cell>
          <cell r="FG160">
            <v>-0.13300000000000001</v>
          </cell>
          <cell r="FJ160">
            <v>-8.5000000000000006E-2</v>
          </cell>
          <cell r="FK160">
            <v>-9.0999999999999998E-2</v>
          </cell>
          <cell r="FL160">
            <v>-8.1000000000000003E-2</v>
          </cell>
          <cell r="FM160">
            <v>-6.0999999999999999E-2</v>
          </cell>
          <cell r="FP160">
            <v>3.6999999999999998E-2</v>
          </cell>
          <cell r="FQ160">
            <v>1.4E-2</v>
          </cell>
          <cell r="FR160">
            <v>4.2999999999999997E-2</v>
          </cell>
          <cell r="FS160">
            <v>6.0999999999999999E-2</v>
          </cell>
          <cell r="FV160">
            <v>5.8000000000000003E-2</v>
          </cell>
          <cell r="FW160">
            <v>7.3999999999999996E-2</v>
          </cell>
          <cell r="FX160">
            <v>0.05</v>
          </cell>
          <cell r="FY160">
            <v>4.8000000000000001E-2</v>
          </cell>
          <cell r="GB160">
            <v>4.5999999999999999E-2</v>
          </cell>
          <cell r="GC160">
            <v>4.2000000000000003E-2</v>
          </cell>
          <cell r="GD160">
            <v>5.0999999999999997E-2</v>
          </cell>
          <cell r="GE160">
            <v>0.04</v>
          </cell>
        </row>
        <row r="161">
          <cell r="A161" t="str">
            <v>Month 2</v>
          </cell>
          <cell r="AN161" t="str">
            <v>Month 2</v>
          </cell>
          <cell r="DH161">
            <v>-6.0000000000000001E-3</v>
          </cell>
          <cell r="DI161">
            <v>5.0000000000000001E-3</v>
          </cell>
          <cell r="DJ161">
            <v>2.9000000000000001E-2</v>
          </cell>
          <cell r="DK161">
            <v>1.2E-2</v>
          </cell>
          <cell r="DN161">
            <v>-3.2000000000000001E-2</v>
          </cell>
          <cell r="DO161">
            <v>-6.4000000000000001E-2</v>
          </cell>
          <cell r="DP161">
            <v>-0.129</v>
          </cell>
          <cell r="DQ161">
            <v>-8.6999999999999994E-2</v>
          </cell>
          <cell r="DT161">
            <v>-2E-3</v>
          </cell>
          <cell r="DU161">
            <v>-4.0000000000000001E-3</v>
          </cell>
          <cell r="DV161">
            <v>0</v>
          </cell>
          <cell r="DW161">
            <v>-2.5999999999999999E-2</v>
          </cell>
          <cell r="DZ161">
            <v>-6.5000000000000002E-2</v>
          </cell>
          <cell r="EA161">
            <v>-0.02</v>
          </cell>
          <cell r="EB161">
            <v>3.2000000000000001E-2</v>
          </cell>
          <cell r="EC161">
            <v>1.2E-2</v>
          </cell>
          <cell r="EF161">
            <v>6.8000000000000005E-2</v>
          </cell>
          <cell r="EG161">
            <v>3.4000000000000002E-2</v>
          </cell>
          <cell r="EH161">
            <v>1E-3</v>
          </cell>
          <cell r="EI161">
            <v>2.3E-2</v>
          </cell>
          <cell r="EL161">
            <v>3.4000000000000002E-2</v>
          </cell>
          <cell r="EM161">
            <v>2.9000000000000001E-2</v>
          </cell>
          <cell r="EN161">
            <v>1.2999999999999999E-2</v>
          </cell>
          <cell r="EO161">
            <v>3.4000000000000002E-2</v>
          </cell>
          <cell r="ER161">
            <v>0</v>
          </cell>
          <cell r="ES161">
            <v>1.7000000000000001E-2</v>
          </cell>
          <cell r="ET161">
            <v>6.5000000000000002E-2</v>
          </cell>
          <cell r="EU161">
            <v>4.3999999999999997E-2</v>
          </cell>
          <cell r="EX161">
            <v>2.3E-2</v>
          </cell>
          <cell r="EY161">
            <v>-2.7E-2</v>
          </cell>
          <cell r="EZ161">
            <v>-2.7E-2</v>
          </cell>
          <cell r="FA161">
            <v>-7.9000000000000001E-2</v>
          </cell>
          <cell r="FD161">
            <v>-6.2E-2</v>
          </cell>
          <cell r="FE161">
            <v>-2.1000000000000001E-2</v>
          </cell>
          <cell r="FF161">
            <v>-6.6000000000000003E-2</v>
          </cell>
          <cell r="FG161">
            <v>-0.04</v>
          </cell>
          <cell r="FJ161">
            <v>-9.1999999999999998E-2</v>
          </cell>
          <cell r="FK161">
            <v>-8.8999999999999996E-2</v>
          </cell>
          <cell r="FL161">
            <v>-2.3E-2</v>
          </cell>
          <cell r="FM161">
            <v>0.01</v>
          </cell>
          <cell r="FP161">
            <v>0.10800000000000001</v>
          </cell>
          <cell r="FQ161">
            <v>6.5000000000000002E-2</v>
          </cell>
          <cell r="FR161">
            <v>4.8000000000000001E-2</v>
          </cell>
          <cell r="FS161">
            <v>3.9E-2</v>
          </cell>
          <cell r="FV161">
            <v>8.9999999999999993E-3</v>
          </cell>
          <cell r="FW161">
            <v>6.7000000000000004E-2</v>
          </cell>
          <cell r="FX161">
            <v>4.9000000000000002E-2</v>
          </cell>
          <cell r="FY161">
            <v>6.2E-2</v>
          </cell>
          <cell r="GB161">
            <v>7.2999999999999995E-2</v>
          </cell>
          <cell r="GC161">
            <v>1.2E-2</v>
          </cell>
          <cell r="GD161">
            <v>0.03</v>
          </cell>
          <cell r="GE161">
            <v>0.04</v>
          </cell>
        </row>
        <row r="162">
          <cell r="A162" t="str">
            <v>Month 3</v>
          </cell>
          <cell r="AN162" t="str">
            <v>Month 3</v>
          </cell>
          <cell r="DH162">
            <v>5.1999999999999998E-2</v>
          </cell>
          <cell r="DI162">
            <v>1.6E-2</v>
          </cell>
          <cell r="DJ162">
            <v>1.6E-2</v>
          </cell>
          <cell r="DK162">
            <v>3.6999999999999998E-2</v>
          </cell>
          <cell r="DN162">
            <v>8.0000000000000002E-3</v>
          </cell>
          <cell r="DO162">
            <v>-4.2000000000000003E-2</v>
          </cell>
          <cell r="DP162">
            <v>-8.6999999999999994E-2</v>
          </cell>
          <cell r="DQ162">
            <v>-8.7999999999999995E-2</v>
          </cell>
          <cell r="DT162">
            <v>-5.8999999999999997E-2</v>
          </cell>
          <cell r="DU162">
            <v>-5.1999999999999998E-2</v>
          </cell>
          <cell r="DV162">
            <v>3.0000000000000001E-3</v>
          </cell>
          <cell r="DW162">
            <v>-1.2E-2</v>
          </cell>
          <cell r="DZ162">
            <v>-1.3999999999999999E-2</v>
          </cell>
          <cell r="EA162">
            <v>-4.0000000000000001E-3</v>
          </cell>
          <cell r="EB162">
            <v>-0.02</v>
          </cell>
          <cell r="EC162">
            <v>5.5E-2</v>
          </cell>
          <cell r="EF162">
            <v>5.3999999999999999E-2</v>
          </cell>
          <cell r="EG162">
            <v>3.6999999999999998E-2</v>
          </cell>
          <cell r="EH162">
            <v>0.04</v>
          </cell>
          <cell r="EI162">
            <v>-4.0000000000000001E-3</v>
          </cell>
          <cell r="EL162">
            <v>2.8000000000000001E-2</v>
          </cell>
          <cell r="EM162">
            <v>-8.9999999999999993E-3</v>
          </cell>
          <cell r="EN162">
            <v>-7.0000000000000001E-3</v>
          </cell>
          <cell r="EO162">
            <v>0.01</v>
          </cell>
          <cell r="ER162">
            <v>-8.0000000000000002E-3</v>
          </cell>
          <cell r="ES162">
            <v>3.3000000000000002E-2</v>
          </cell>
          <cell r="ET162">
            <v>7.6999999999999999E-2</v>
          </cell>
          <cell r="EU162">
            <v>8.5999999999999993E-2</v>
          </cell>
          <cell r="EX162">
            <v>-2.1999999999999999E-2</v>
          </cell>
          <cell r="EY162">
            <v>-1.4E-2</v>
          </cell>
          <cell r="EZ162">
            <v>-1.4999999999999999E-2</v>
          </cell>
          <cell r="FA162">
            <v>-7.0999999999999994E-2</v>
          </cell>
          <cell r="FD162">
            <v>0.03</v>
          </cell>
          <cell r="FE162">
            <v>-2.9000000000000001E-2</v>
          </cell>
          <cell r="FF162">
            <v>-6.3E-2</v>
          </cell>
          <cell r="FG162">
            <v>-4.4999999999999998E-2</v>
          </cell>
          <cell r="FJ162">
            <v>-9.0999999999999998E-2</v>
          </cell>
          <cell r="FK162">
            <v>-0.107</v>
          </cell>
          <cell r="FL162">
            <v>-8.0000000000000002E-3</v>
          </cell>
          <cell r="FM162">
            <v>3.4000000000000002E-2</v>
          </cell>
          <cell r="FP162">
            <v>1.0999999999999999E-2</v>
          </cell>
          <cell r="FQ162">
            <v>7.2999999999999995E-2</v>
          </cell>
          <cell r="FR162">
            <v>2.5000000000000001E-2</v>
          </cell>
          <cell r="FS162">
            <v>2.5999999999999999E-2</v>
          </cell>
          <cell r="FV162">
            <v>0.108</v>
          </cell>
          <cell r="FW162">
            <v>0.05</v>
          </cell>
          <cell r="FX162">
            <v>2.1999999999999999E-2</v>
          </cell>
          <cell r="FY162">
            <v>2.4E-2</v>
          </cell>
          <cell r="GB162">
            <v>1.2E-2</v>
          </cell>
          <cell r="GC162">
            <v>4.1000000000000002E-2</v>
          </cell>
          <cell r="GD162">
            <v>5.5E-2</v>
          </cell>
          <cell r="GE162">
            <v>0.05</v>
          </cell>
        </row>
        <row r="163">
          <cell r="A163" t="str">
            <v>Total</v>
          </cell>
          <cell r="AN163" t="str">
            <v>Total</v>
          </cell>
          <cell r="DH163">
            <v>2.9000000000000001E-2</v>
          </cell>
          <cell r="DI163">
            <v>1.9E-2</v>
          </cell>
          <cell r="DJ163">
            <v>1.9E-2</v>
          </cell>
          <cell r="DK163">
            <v>1.6E-2</v>
          </cell>
          <cell r="DL163">
            <v>0.02</v>
          </cell>
          <cell r="DN163">
            <v>-1.4999999999999999E-2</v>
          </cell>
          <cell r="DO163">
            <v>-4.8000000000000001E-2</v>
          </cell>
          <cell r="DP163">
            <v>-8.5999999999999993E-2</v>
          </cell>
          <cell r="DQ163">
            <v>-0.06</v>
          </cell>
          <cell r="DR163">
            <v>-5.2999999999999999E-2</v>
          </cell>
          <cell r="DT163">
            <v>-2.9000000000000001E-2</v>
          </cell>
          <cell r="DU163">
            <v>-2.8000000000000001E-2</v>
          </cell>
          <cell r="DV163">
            <v>-0.02</v>
          </cell>
          <cell r="DW163">
            <v>-3.9E-2</v>
          </cell>
          <cell r="DX163">
            <v>-0.03</v>
          </cell>
          <cell r="DZ163">
            <v>-0.05</v>
          </cell>
          <cell r="EA163">
            <v>-1.2E-2</v>
          </cell>
          <cell r="EB163">
            <v>2E-3</v>
          </cell>
          <cell r="EC163">
            <v>1.3999999999999999E-2</v>
          </cell>
          <cell r="ED163">
            <v>-9.0000000000000011E-3</v>
          </cell>
          <cell r="EF163">
            <v>6.9000000000000006E-2</v>
          </cell>
          <cell r="EG163">
            <v>3.3000000000000002E-2</v>
          </cell>
          <cell r="EH163">
            <v>4.0000000000000001E-3</v>
          </cell>
          <cell r="EI163">
            <v>8.0000000000000002E-3</v>
          </cell>
          <cell r="EJ163">
            <v>2.5999999999999999E-2</v>
          </cell>
          <cell r="EL163">
            <v>2.5999999999999999E-2</v>
          </cell>
          <cell r="EM163">
            <v>1.0999999999999999E-2</v>
          </cell>
          <cell r="EN163">
            <v>6.0000000000000001E-3</v>
          </cell>
          <cell r="EO163">
            <v>1.0999999999999999E-2</v>
          </cell>
          <cell r="EP163">
            <v>1.2999999999999999E-2</v>
          </cell>
          <cell r="ER163">
            <v>0</v>
          </cell>
          <cell r="ES163">
            <v>4.5999999999999999E-2</v>
          </cell>
          <cell r="ET163">
            <v>5.8999999999999997E-2</v>
          </cell>
          <cell r="EU163">
            <v>6.0999999999999999E-2</v>
          </cell>
          <cell r="EV163">
            <v>4.3999999999999997E-2</v>
          </cell>
          <cell r="EX163">
            <v>6.0000000000000001E-3</v>
          </cell>
          <cell r="EY163">
            <v>-2.5999999999999999E-2</v>
          </cell>
          <cell r="EZ163">
            <v>-8.0000000000000002E-3</v>
          </cell>
          <cell r="FA163">
            <v>-0.02</v>
          </cell>
          <cell r="FB163">
            <v>-1.2999999999999999E-2</v>
          </cell>
          <cell r="FD163">
            <v>-2.5999999999999999E-2</v>
          </cell>
          <cell r="FE163">
            <v>-2.1000000000000001E-2</v>
          </cell>
          <cell r="FF163">
            <v>-0.06</v>
          </cell>
          <cell r="FG163">
            <v>-7.0000000000000007E-2</v>
          </cell>
          <cell r="FH163">
            <v>-4.4999999999999998E-2</v>
          </cell>
          <cell r="FJ163">
            <v>-0.09</v>
          </cell>
          <cell r="FK163">
            <v>-9.5000000000000001E-2</v>
          </cell>
          <cell r="FL163">
            <v>-3.5999999999999997E-2</v>
          </cell>
          <cell r="FM163">
            <v>-8.0000000000000002E-3</v>
          </cell>
          <cell r="FN163">
            <v>-5.2999999999999999E-2</v>
          </cell>
          <cell r="FP163">
            <v>5.5E-2</v>
          </cell>
          <cell r="FQ163">
            <v>4.9000000000000002E-2</v>
          </cell>
          <cell r="FR163">
            <v>3.9E-2</v>
          </cell>
          <cell r="FS163">
            <v>4.2999999999999997E-2</v>
          </cell>
          <cell r="FT163">
            <v>4.610434747830261E-2</v>
          </cell>
          <cell r="FV163">
            <v>5.3999999999999999E-2</v>
          </cell>
          <cell r="FW163">
            <v>6.4000000000000001E-2</v>
          </cell>
          <cell r="FX163">
            <v>0.04</v>
          </cell>
          <cell r="FY163">
            <v>5.1999999999999998E-2</v>
          </cell>
          <cell r="FZ163">
            <v>5.2999999999999999E-2</v>
          </cell>
          <cell r="GB163">
            <v>4.3999999999999997E-2</v>
          </cell>
          <cell r="GC163">
            <v>0.03</v>
          </cell>
          <cell r="GD163">
            <v>4.4170626829774157E-2</v>
          </cell>
          <cell r="GE163">
            <v>4.1872044415560798E-2</v>
          </cell>
          <cell r="GF163">
            <v>4.02253638971692E-2</v>
          </cell>
        </row>
        <row r="165">
          <cell r="A165" t="str">
            <v>Original Federated Doors Store Count (Estimated)</v>
          </cell>
          <cell r="AN165" t="str">
            <v>Original Federated Doors Store Count (Estimated)</v>
          </cell>
        </row>
        <row r="166">
          <cell r="A166" t="str">
            <v>Month 1</v>
          </cell>
          <cell r="AN166" t="str">
            <v>Month 1</v>
          </cell>
          <cell r="DZ166">
            <v>456</v>
          </cell>
          <cell r="EA166">
            <v>456</v>
          </cell>
          <cell r="EB166">
            <v>460</v>
          </cell>
          <cell r="EC166">
            <v>465</v>
          </cell>
          <cell r="EF166">
            <v>458</v>
          </cell>
          <cell r="EG166">
            <v>457</v>
          </cell>
          <cell r="EH166">
            <v>457</v>
          </cell>
          <cell r="EI166">
            <v>459</v>
          </cell>
          <cell r="EL166">
            <v>459</v>
          </cell>
          <cell r="EM166">
            <v>460</v>
          </cell>
          <cell r="EN166">
            <v>459</v>
          </cell>
          <cell r="EO166">
            <v>444</v>
          </cell>
          <cell r="ER166">
            <v>410</v>
          </cell>
          <cell r="ES166">
            <v>406</v>
          </cell>
          <cell r="ET166">
            <v>402</v>
          </cell>
          <cell r="EU166">
            <v>408</v>
          </cell>
          <cell r="EX166">
            <v>407</v>
          </cell>
          <cell r="EY166">
            <v>412</v>
          </cell>
          <cell r="EZ166">
            <v>413</v>
          </cell>
          <cell r="FA166">
            <v>415</v>
          </cell>
          <cell r="FD166">
            <v>415</v>
          </cell>
          <cell r="FE166">
            <v>415</v>
          </cell>
          <cell r="FF166">
            <v>419</v>
          </cell>
          <cell r="FG166">
            <v>422</v>
          </cell>
          <cell r="FJ166">
            <v>410</v>
          </cell>
          <cell r="FK166">
            <v>411</v>
          </cell>
          <cell r="FL166">
            <v>412</v>
          </cell>
          <cell r="FM166">
            <v>417</v>
          </cell>
          <cell r="FP166">
            <v>413</v>
          </cell>
          <cell r="FQ166">
            <v>413</v>
          </cell>
          <cell r="FR166">
            <v>412</v>
          </cell>
          <cell r="FS166">
            <v>417</v>
          </cell>
          <cell r="FV166">
            <v>413</v>
          </cell>
          <cell r="FW166">
            <v>413</v>
          </cell>
          <cell r="FX166">
            <v>412</v>
          </cell>
          <cell r="FY166">
            <v>414</v>
          </cell>
          <cell r="GB166">
            <v>405</v>
          </cell>
          <cell r="GC166">
            <v>407</v>
          </cell>
          <cell r="GD166">
            <v>409</v>
          </cell>
          <cell r="GE166">
            <v>410</v>
          </cell>
        </row>
        <row r="167">
          <cell r="A167" t="str">
            <v>Month 2</v>
          </cell>
          <cell r="AN167" t="str">
            <v>Month 2</v>
          </cell>
          <cell r="DZ167">
            <v>456</v>
          </cell>
          <cell r="EA167">
            <v>455</v>
          </cell>
          <cell r="EB167">
            <v>460</v>
          </cell>
          <cell r="EC167">
            <v>465</v>
          </cell>
          <cell r="EF167">
            <v>458</v>
          </cell>
          <cell r="EG167">
            <v>457</v>
          </cell>
          <cell r="EH167">
            <v>458</v>
          </cell>
          <cell r="EI167">
            <v>459</v>
          </cell>
          <cell r="EL167">
            <v>459</v>
          </cell>
          <cell r="EM167">
            <v>460</v>
          </cell>
          <cell r="EN167">
            <v>446</v>
          </cell>
          <cell r="EO167">
            <v>443</v>
          </cell>
          <cell r="ER167">
            <v>406</v>
          </cell>
          <cell r="ES167">
            <v>405</v>
          </cell>
          <cell r="ET167">
            <v>403</v>
          </cell>
          <cell r="EU167">
            <v>408</v>
          </cell>
          <cell r="EX167">
            <v>408</v>
          </cell>
          <cell r="EY167">
            <v>412</v>
          </cell>
          <cell r="EZ167">
            <v>415</v>
          </cell>
          <cell r="FA167">
            <v>415</v>
          </cell>
          <cell r="FD167">
            <v>416</v>
          </cell>
          <cell r="FE167">
            <v>416</v>
          </cell>
          <cell r="FF167">
            <v>416</v>
          </cell>
          <cell r="FG167">
            <v>422</v>
          </cell>
          <cell r="FJ167">
            <v>410</v>
          </cell>
          <cell r="FK167">
            <v>411</v>
          </cell>
          <cell r="FL167">
            <v>415</v>
          </cell>
          <cell r="FM167">
            <v>417</v>
          </cell>
          <cell r="FP167">
            <v>413</v>
          </cell>
          <cell r="FQ167">
            <v>413</v>
          </cell>
          <cell r="FR167">
            <v>415</v>
          </cell>
          <cell r="FS167">
            <v>417</v>
          </cell>
          <cell r="FV167">
            <v>413</v>
          </cell>
          <cell r="FW167">
            <v>413</v>
          </cell>
          <cell r="FX167">
            <v>412</v>
          </cell>
          <cell r="FY167">
            <v>413</v>
          </cell>
          <cell r="GB167">
            <v>407</v>
          </cell>
          <cell r="GC167">
            <v>409</v>
          </cell>
          <cell r="GD167">
            <v>410</v>
          </cell>
          <cell r="GE167">
            <v>411</v>
          </cell>
        </row>
        <row r="168">
          <cell r="A168" t="str">
            <v>Month 3</v>
          </cell>
          <cell r="AN168" t="str">
            <v>Month 3</v>
          </cell>
          <cell r="DZ168">
            <v>456</v>
          </cell>
          <cell r="EA168">
            <v>460</v>
          </cell>
          <cell r="EB168">
            <v>465</v>
          </cell>
          <cell r="EC168">
            <v>459</v>
          </cell>
          <cell r="EF168">
            <v>459</v>
          </cell>
          <cell r="EG168">
            <v>457</v>
          </cell>
          <cell r="EH168">
            <v>459</v>
          </cell>
          <cell r="EI168">
            <v>459</v>
          </cell>
          <cell r="EL168">
            <v>459</v>
          </cell>
          <cell r="EM168">
            <v>460</v>
          </cell>
          <cell r="EN168">
            <v>444</v>
          </cell>
          <cell r="EO168">
            <v>410</v>
          </cell>
          <cell r="ER168">
            <v>406</v>
          </cell>
          <cell r="ES168">
            <v>403</v>
          </cell>
          <cell r="ET168">
            <v>405</v>
          </cell>
          <cell r="EU168">
            <v>407</v>
          </cell>
          <cell r="EX168">
            <v>412</v>
          </cell>
          <cell r="EY168">
            <v>412</v>
          </cell>
          <cell r="EZ168">
            <v>415</v>
          </cell>
          <cell r="FA168">
            <v>415</v>
          </cell>
          <cell r="FD168">
            <v>414</v>
          </cell>
          <cell r="FE168">
            <v>418</v>
          </cell>
          <cell r="FF168">
            <v>419</v>
          </cell>
          <cell r="FG168">
            <v>410</v>
          </cell>
          <cell r="FJ168">
            <v>411</v>
          </cell>
          <cell r="FK168">
            <v>411</v>
          </cell>
          <cell r="FL168">
            <v>417</v>
          </cell>
          <cell r="FM168">
            <v>413</v>
          </cell>
          <cell r="FP168">
            <v>412</v>
          </cell>
          <cell r="FQ168">
            <v>412</v>
          </cell>
          <cell r="FR168">
            <v>417</v>
          </cell>
          <cell r="FS168">
            <v>413</v>
          </cell>
          <cell r="FV168">
            <v>413</v>
          </cell>
          <cell r="FW168">
            <v>412</v>
          </cell>
          <cell r="FX168">
            <v>413</v>
          </cell>
          <cell r="FY168">
            <v>405</v>
          </cell>
          <cell r="GB168">
            <v>407</v>
          </cell>
          <cell r="GC168">
            <v>408</v>
          </cell>
          <cell r="GD168">
            <v>410</v>
          </cell>
          <cell r="GE168">
            <v>407</v>
          </cell>
        </row>
        <row r="169">
          <cell r="A169" t="str">
            <v>Total</v>
          </cell>
          <cell r="AN169" t="str">
            <v>Total</v>
          </cell>
          <cell r="DZ169">
            <v>456</v>
          </cell>
          <cell r="EA169">
            <v>460</v>
          </cell>
          <cell r="EB169">
            <v>465</v>
          </cell>
          <cell r="EC169">
            <v>459</v>
          </cell>
          <cell r="ED169">
            <v>459</v>
          </cell>
          <cell r="EF169">
            <v>459</v>
          </cell>
          <cell r="EG169">
            <v>457</v>
          </cell>
          <cell r="EH169">
            <v>459</v>
          </cell>
          <cell r="EI169">
            <v>459</v>
          </cell>
          <cell r="EJ169">
            <v>459</v>
          </cell>
          <cell r="EL169">
            <v>459</v>
          </cell>
          <cell r="EM169">
            <v>460</v>
          </cell>
          <cell r="EN169">
            <v>444</v>
          </cell>
          <cell r="EO169">
            <v>410</v>
          </cell>
          <cell r="EP169">
            <v>410</v>
          </cell>
          <cell r="ER169">
            <v>406</v>
          </cell>
          <cell r="ES169">
            <v>403</v>
          </cell>
          <cell r="ET169">
            <v>405</v>
          </cell>
          <cell r="EU169">
            <v>407</v>
          </cell>
          <cell r="EV169">
            <v>407</v>
          </cell>
          <cell r="EX169">
            <v>412</v>
          </cell>
          <cell r="EY169">
            <v>412</v>
          </cell>
          <cell r="EZ169">
            <v>415</v>
          </cell>
          <cell r="FA169">
            <v>415</v>
          </cell>
          <cell r="FB169">
            <v>415</v>
          </cell>
          <cell r="FD169">
            <v>414</v>
          </cell>
          <cell r="FE169">
            <v>418</v>
          </cell>
          <cell r="FF169">
            <v>419</v>
          </cell>
          <cell r="FG169">
            <v>410</v>
          </cell>
          <cell r="FH169">
            <v>410</v>
          </cell>
          <cell r="FJ169">
            <v>411</v>
          </cell>
          <cell r="FK169">
            <v>411</v>
          </cell>
          <cell r="FL169">
            <v>417</v>
          </cell>
          <cell r="FM169">
            <v>413</v>
          </cell>
          <cell r="FN169">
            <v>413</v>
          </cell>
          <cell r="FP169">
            <v>412</v>
          </cell>
          <cell r="FQ169">
            <v>412</v>
          </cell>
          <cell r="FR169">
            <v>417</v>
          </cell>
          <cell r="FS169">
            <v>413</v>
          </cell>
          <cell r="FT169">
            <v>413</v>
          </cell>
          <cell r="FV169">
            <v>413</v>
          </cell>
          <cell r="FW169">
            <v>412</v>
          </cell>
          <cell r="FX169">
            <v>413</v>
          </cell>
          <cell r="FY169">
            <v>405</v>
          </cell>
          <cell r="FZ169">
            <v>405</v>
          </cell>
          <cell r="GB169">
            <v>407</v>
          </cell>
          <cell r="GC169">
            <v>408</v>
          </cell>
          <cell r="GD169">
            <v>410</v>
          </cell>
          <cell r="GE169">
            <v>407</v>
          </cell>
          <cell r="GF169">
            <v>407</v>
          </cell>
        </row>
        <row r="171">
          <cell r="A171" t="str">
            <v>May Co. Monthly Sales ($)</v>
          </cell>
          <cell r="AN171" t="str">
            <v>May Co. Monthly Sales ($)</v>
          </cell>
        </row>
        <row r="172">
          <cell r="A172" t="str">
            <v>Month 1</v>
          </cell>
          <cell r="AN172" t="str">
            <v>Month 1</v>
          </cell>
          <cell r="DZ172">
            <v>846</v>
          </cell>
          <cell r="EA172">
            <v>1005</v>
          </cell>
          <cell r="EB172">
            <v>953.8</v>
          </cell>
          <cell r="EC172">
            <v>1260.8</v>
          </cell>
          <cell r="EF172">
            <v>880.4</v>
          </cell>
          <cell r="EG172">
            <v>977.8</v>
          </cell>
          <cell r="EH172">
            <v>1053.9000000000001</v>
          </cell>
          <cell r="EI172">
            <v>1386.9</v>
          </cell>
          <cell r="EL172">
            <v>1007.8</v>
          </cell>
          <cell r="EM172">
            <v>1119.3</v>
          </cell>
          <cell r="EN172">
            <v>1027</v>
          </cell>
        </row>
        <row r="173">
          <cell r="A173" t="str">
            <v>Month 2</v>
          </cell>
          <cell r="AN173" t="str">
            <v>Month 2</v>
          </cell>
          <cell r="DZ173">
            <v>1060</v>
          </cell>
          <cell r="EA173">
            <v>1131.9000000000001</v>
          </cell>
          <cell r="EB173">
            <v>1135</v>
          </cell>
          <cell r="EC173">
            <v>2517</v>
          </cell>
          <cell r="EF173">
            <v>1161</v>
          </cell>
          <cell r="EG173">
            <v>1160</v>
          </cell>
          <cell r="EH173">
            <v>1339</v>
          </cell>
          <cell r="EI173">
            <v>2844.1</v>
          </cell>
          <cell r="EL173">
            <v>1280</v>
          </cell>
          <cell r="EM173">
            <v>1398.7</v>
          </cell>
        </row>
        <row r="174">
          <cell r="A174" t="str">
            <v>Month 3</v>
          </cell>
          <cell r="AN174" t="str">
            <v>Month 3</v>
          </cell>
          <cell r="DZ174">
            <v>967.4</v>
          </cell>
          <cell r="EA174">
            <v>863.4</v>
          </cell>
          <cell r="EB174">
            <v>887.2</v>
          </cell>
          <cell r="EC174">
            <v>715.4</v>
          </cell>
          <cell r="EF174">
            <v>901.5</v>
          </cell>
          <cell r="EG174">
            <v>817.9</v>
          </cell>
          <cell r="EH174">
            <v>1090.3</v>
          </cell>
          <cell r="EI174">
            <v>808</v>
          </cell>
          <cell r="EL174">
            <v>1080</v>
          </cell>
          <cell r="EM174">
            <v>927.4</v>
          </cell>
        </row>
        <row r="175">
          <cell r="A175" t="str">
            <v>Total</v>
          </cell>
          <cell r="AN175" t="str">
            <v>Total</v>
          </cell>
          <cell r="DZ175">
            <v>2873.4</v>
          </cell>
          <cell r="EA175">
            <v>3000.3</v>
          </cell>
          <cell r="EB175">
            <v>2976</v>
          </cell>
          <cell r="EC175">
            <v>4493.2</v>
          </cell>
          <cell r="ED175">
            <v>13342.900000000001</v>
          </cell>
          <cell r="EF175">
            <v>2963</v>
          </cell>
          <cell r="EG175">
            <v>2955.7</v>
          </cell>
          <cell r="EH175">
            <v>3483.2</v>
          </cell>
          <cell r="EI175">
            <v>5039</v>
          </cell>
          <cell r="EJ175">
            <v>14440.9</v>
          </cell>
          <cell r="EL175">
            <v>3369</v>
          </cell>
          <cell r="EM175">
            <v>3446</v>
          </cell>
        </row>
        <row r="177">
          <cell r="A177" t="str">
            <v>May Co. Monthly Comps</v>
          </cell>
          <cell r="AN177" t="str">
            <v>May Co. Monthly Comps</v>
          </cell>
        </row>
        <row r="178">
          <cell r="A178" t="str">
            <v>Month 1</v>
          </cell>
          <cell r="AN178" t="str">
            <v>Month 1</v>
          </cell>
          <cell r="DZ178">
            <v>-8.8999999999999996E-2</v>
          </cell>
          <cell r="EA178">
            <v>-3.9E-2</v>
          </cell>
          <cell r="EB178">
            <v>-3.2000000000000001E-2</v>
          </cell>
          <cell r="EC178">
            <v>-1.7000000000000001E-2</v>
          </cell>
          <cell r="EF178">
            <v>2.5999999999999999E-2</v>
          </cell>
          <cell r="EG178">
            <v>-3.7999999999999999E-2</v>
          </cell>
          <cell r="EH178">
            <v>-6.7000000000000004E-2</v>
          </cell>
          <cell r="EI178">
            <v>-7.9000000000000001E-2</v>
          </cell>
          <cell r="EL178">
            <v>-4.2000000000000003E-2</v>
          </cell>
          <cell r="EM178">
            <v>-2.9000000000000001E-2</v>
          </cell>
          <cell r="EN178">
            <v>-2.8000000000000001E-2</v>
          </cell>
        </row>
        <row r="179">
          <cell r="A179" t="str">
            <v>Month 2</v>
          </cell>
          <cell r="AN179" t="str">
            <v>Month 2</v>
          </cell>
          <cell r="DZ179">
            <v>-0.114</v>
          </cell>
          <cell r="EA179">
            <v>-5.8999999999999997E-2</v>
          </cell>
          <cell r="EB179">
            <v>-3.0000000000000001E-3</v>
          </cell>
          <cell r="EC179">
            <v>1.0999999999999999E-2</v>
          </cell>
          <cell r="EF179">
            <v>0.10100000000000001</v>
          </cell>
          <cell r="EG179">
            <v>1.9E-2</v>
          </cell>
          <cell r="EH179">
            <v>-1.4999999999999999E-2</v>
          </cell>
          <cell r="EI179">
            <v>-3.5000000000000003E-2</v>
          </cell>
          <cell r="EL179">
            <v>-0.108</v>
          </cell>
          <cell r="EM179">
            <v>7.0000000000000001E-3</v>
          </cell>
        </row>
        <row r="180">
          <cell r="A180" t="str">
            <v>Month 3</v>
          </cell>
          <cell r="AN180" t="str">
            <v>Month 3</v>
          </cell>
          <cell r="DZ180">
            <v>-5.6000000000000001E-2</v>
          </cell>
          <cell r="EA180">
            <v>1.7999999999999999E-2</v>
          </cell>
          <cell r="EB180">
            <v>-4.2000000000000003E-2</v>
          </cell>
          <cell r="EC180">
            <v>5.2999999999999999E-2</v>
          </cell>
          <cell r="EF180">
            <v>-8.1000000000000003E-2</v>
          </cell>
          <cell r="EG180">
            <v>-5.2999999999999999E-2</v>
          </cell>
          <cell r="EH180">
            <v>-2.3E-2</v>
          </cell>
          <cell r="EI180">
            <v>-7.1999999999999995E-2</v>
          </cell>
          <cell r="EL180">
            <v>1.4999999999999999E-2</v>
          </cell>
          <cell r="EM180">
            <v>-3.3000000000000002E-2</v>
          </cell>
        </row>
        <row r="181">
          <cell r="A181" t="str">
            <v>Total</v>
          </cell>
          <cell r="AN181" t="str">
            <v>Total</v>
          </cell>
          <cell r="DZ181">
            <v>-8.7999999999999995E-2</v>
          </cell>
          <cell r="EA181">
            <v>-3.1E-2</v>
          </cell>
          <cell r="EB181">
            <v>-2.3921034946236562E-2</v>
          </cell>
          <cell r="EC181">
            <v>8.0000000000000002E-3</v>
          </cell>
          <cell r="ED181">
            <v>-2.8562204901446453E-2</v>
          </cell>
          <cell r="EF181">
            <v>1.7000000000000001E-2</v>
          </cell>
          <cell r="EG181">
            <v>-2.1999999999999999E-2</v>
          </cell>
          <cell r="EH181">
            <v>-3.4000000000000002E-2</v>
          </cell>
          <cell r="EI181">
            <v>-5.1999999999999998E-2</v>
          </cell>
          <cell r="EJ181">
            <v>-2.4E-2</v>
          </cell>
          <cell r="EL181">
            <v>-5.0999999999999997E-2</v>
          </cell>
          <cell r="EM181">
            <v>-1.6E-2</v>
          </cell>
        </row>
        <row r="183">
          <cell r="A183" t="str">
            <v>May Co. Store Count (Estimated)</v>
          </cell>
          <cell r="AN183" t="str">
            <v>May Co. Store Count (Estimated)</v>
          </cell>
        </row>
        <row r="184">
          <cell r="A184" t="str">
            <v>Month 1</v>
          </cell>
          <cell r="AN184" t="str">
            <v>Month 1</v>
          </cell>
          <cell r="DZ184">
            <v>444</v>
          </cell>
          <cell r="EA184">
            <v>445</v>
          </cell>
          <cell r="EB184">
            <v>447</v>
          </cell>
          <cell r="EC184">
            <v>448</v>
          </cell>
          <cell r="EF184">
            <v>442</v>
          </cell>
          <cell r="EG184">
            <v>438</v>
          </cell>
          <cell r="EH184">
            <v>497</v>
          </cell>
          <cell r="EI184">
            <v>501</v>
          </cell>
          <cell r="EL184">
            <v>491</v>
          </cell>
          <cell r="EM184">
            <v>489</v>
          </cell>
          <cell r="EN184">
            <v>487</v>
          </cell>
          <cell r="EO184">
            <v>491</v>
          </cell>
          <cell r="ER184">
            <v>458</v>
          </cell>
          <cell r="ES184">
            <v>455</v>
          </cell>
          <cell r="ET184">
            <v>452</v>
          </cell>
          <cell r="EU184">
            <v>452</v>
          </cell>
          <cell r="EX184">
            <v>451</v>
          </cell>
          <cell r="EY184">
            <v>451</v>
          </cell>
          <cell r="EZ184">
            <v>451</v>
          </cell>
          <cell r="FA184">
            <v>451</v>
          </cell>
          <cell r="FD184">
            <v>437</v>
          </cell>
          <cell r="FE184">
            <v>437</v>
          </cell>
          <cell r="FF184">
            <v>437</v>
          </cell>
          <cell r="FG184">
            <v>437</v>
          </cell>
          <cell r="FJ184">
            <v>437</v>
          </cell>
          <cell r="FK184">
            <v>437</v>
          </cell>
          <cell r="FL184">
            <v>437</v>
          </cell>
          <cell r="FM184">
            <v>437</v>
          </cell>
          <cell r="FP184">
            <v>437</v>
          </cell>
          <cell r="FQ184">
            <v>437</v>
          </cell>
          <cell r="FR184">
            <v>437</v>
          </cell>
          <cell r="FS184">
            <v>437</v>
          </cell>
          <cell r="FV184">
            <v>437</v>
          </cell>
          <cell r="FW184">
            <v>437</v>
          </cell>
          <cell r="FX184">
            <v>437</v>
          </cell>
          <cell r="FY184">
            <v>437</v>
          </cell>
          <cell r="GB184">
            <v>437</v>
          </cell>
          <cell r="GC184">
            <v>437</v>
          </cell>
          <cell r="GD184">
            <v>437</v>
          </cell>
          <cell r="GE184">
            <v>437</v>
          </cell>
        </row>
        <row r="185">
          <cell r="A185" t="str">
            <v>Month 2</v>
          </cell>
          <cell r="AN185" t="str">
            <v>Month 2</v>
          </cell>
          <cell r="DZ185">
            <v>444</v>
          </cell>
          <cell r="EA185">
            <v>446</v>
          </cell>
          <cell r="EB185">
            <v>448</v>
          </cell>
          <cell r="EC185">
            <v>448</v>
          </cell>
          <cell r="EF185">
            <v>439</v>
          </cell>
          <cell r="EG185">
            <v>438</v>
          </cell>
          <cell r="EH185">
            <v>497</v>
          </cell>
          <cell r="EI185">
            <v>501</v>
          </cell>
          <cell r="EL185">
            <v>490</v>
          </cell>
          <cell r="EM185">
            <v>487</v>
          </cell>
          <cell r="EN185">
            <v>487</v>
          </cell>
          <cell r="EO185">
            <v>491</v>
          </cell>
          <cell r="ER185">
            <v>455</v>
          </cell>
          <cell r="ES185">
            <v>454</v>
          </cell>
          <cell r="ET185">
            <v>452</v>
          </cell>
          <cell r="EU185">
            <v>452</v>
          </cell>
          <cell r="EX185">
            <v>451</v>
          </cell>
          <cell r="EY185">
            <v>451</v>
          </cell>
          <cell r="EZ185">
            <v>451</v>
          </cell>
          <cell r="FA185">
            <v>442</v>
          </cell>
          <cell r="FD185">
            <v>437</v>
          </cell>
          <cell r="FE185">
            <v>437</v>
          </cell>
          <cell r="FF185">
            <v>437</v>
          </cell>
          <cell r="FG185">
            <v>437</v>
          </cell>
          <cell r="FJ185">
            <v>437</v>
          </cell>
          <cell r="FK185">
            <v>437</v>
          </cell>
          <cell r="FL185">
            <v>437</v>
          </cell>
          <cell r="FM185">
            <v>437</v>
          </cell>
          <cell r="FP185">
            <v>437</v>
          </cell>
          <cell r="FQ185">
            <v>437</v>
          </cell>
          <cell r="FR185">
            <v>437</v>
          </cell>
          <cell r="FS185">
            <v>437</v>
          </cell>
          <cell r="FV185">
            <v>437</v>
          </cell>
          <cell r="FW185">
            <v>437</v>
          </cell>
          <cell r="FX185">
            <v>437</v>
          </cell>
          <cell r="FY185">
            <v>437</v>
          </cell>
          <cell r="GB185">
            <v>437</v>
          </cell>
          <cell r="GC185">
            <v>437</v>
          </cell>
          <cell r="GD185">
            <v>437</v>
          </cell>
          <cell r="GE185">
            <v>437</v>
          </cell>
        </row>
        <row r="186">
          <cell r="A186" t="str">
            <v>Month 3</v>
          </cell>
          <cell r="AN186" t="str">
            <v>Month 3</v>
          </cell>
          <cell r="DZ186">
            <v>444</v>
          </cell>
          <cell r="EA186">
            <v>446</v>
          </cell>
          <cell r="EB186">
            <v>450</v>
          </cell>
          <cell r="EC186">
            <v>444</v>
          </cell>
          <cell r="EF186">
            <v>439</v>
          </cell>
          <cell r="EG186">
            <v>497</v>
          </cell>
          <cell r="EH186">
            <v>500</v>
          </cell>
          <cell r="EI186">
            <v>491</v>
          </cell>
          <cell r="EL186">
            <v>490</v>
          </cell>
          <cell r="EM186">
            <v>487</v>
          </cell>
          <cell r="EN186">
            <v>491</v>
          </cell>
          <cell r="EO186">
            <v>458</v>
          </cell>
          <cell r="ER186">
            <v>455</v>
          </cell>
          <cell r="ES186">
            <v>453</v>
          </cell>
          <cell r="ET186">
            <v>452</v>
          </cell>
          <cell r="EU186">
            <v>451</v>
          </cell>
          <cell r="EX186">
            <v>451</v>
          </cell>
          <cell r="EY186">
            <v>451</v>
          </cell>
          <cell r="EZ186">
            <v>451</v>
          </cell>
          <cell r="FA186">
            <v>437</v>
          </cell>
          <cell r="FD186">
            <v>437</v>
          </cell>
          <cell r="FE186">
            <v>437</v>
          </cell>
          <cell r="FF186">
            <v>437</v>
          </cell>
          <cell r="FG186">
            <v>437</v>
          </cell>
          <cell r="FJ186">
            <v>437</v>
          </cell>
          <cell r="FK186">
            <v>437</v>
          </cell>
          <cell r="FL186">
            <v>437</v>
          </cell>
          <cell r="FM186">
            <v>437</v>
          </cell>
          <cell r="FP186">
            <v>437</v>
          </cell>
          <cell r="FQ186">
            <v>437</v>
          </cell>
          <cell r="FR186">
            <v>437</v>
          </cell>
          <cell r="FS186">
            <v>437</v>
          </cell>
          <cell r="FV186">
            <v>437</v>
          </cell>
          <cell r="FW186">
            <v>437</v>
          </cell>
          <cell r="FX186">
            <v>437</v>
          </cell>
          <cell r="FY186">
            <v>437</v>
          </cell>
          <cell r="GB186">
            <v>437</v>
          </cell>
          <cell r="GC186">
            <v>437</v>
          </cell>
          <cell r="GD186">
            <v>437</v>
          </cell>
          <cell r="GE186">
            <v>437</v>
          </cell>
        </row>
        <row r="187">
          <cell r="A187" t="str">
            <v>Total</v>
          </cell>
          <cell r="AN187" t="str">
            <v>Total</v>
          </cell>
          <cell r="DZ187">
            <v>444</v>
          </cell>
          <cell r="EA187">
            <v>446</v>
          </cell>
          <cell r="EB187">
            <v>450</v>
          </cell>
          <cell r="EC187">
            <v>444</v>
          </cell>
          <cell r="ED187">
            <v>444</v>
          </cell>
          <cell r="EF187">
            <v>439</v>
          </cell>
          <cell r="EG187">
            <v>497</v>
          </cell>
          <cell r="EH187">
            <v>500</v>
          </cell>
          <cell r="EI187">
            <v>491</v>
          </cell>
          <cell r="EJ187">
            <v>491</v>
          </cell>
          <cell r="EL187">
            <v>490</v>
          </cell>
          <cell r="EM187">
            <v>487</v>
          </cell>
          <cell r="EN187">
            <v>491</v>
          </cell>
          <cell r="EO187">
            <v>458</v>
          </cell>
          <cell r="EP187">
            <v>458</v>
          </cell>
          <cell r="ER187">
            <v>455</v>
          </cell>
          <cell r="ES187">
            <v>453</v>
          </cell>
          <cell r="ET187">
            <v>452</v>
          </cell>
          <cell r="EU187">
            <v>451</v>
          </cell>
          <cell r="EV187">
            <v>451</v>
          </cell>
          <cell r="EX187">
            <v>451</v>
          </cell>
          <cell r="EY187">
            <v>451</v>
          </cell>
          <cell r="EZ187">
            <v>451</v>
          </cell>
          <cell r="FA187">
            <v>437</v>
          </cell>
          <cell r="FB187">
            <v>437</v>
          </cell>
          <cell r="FD187">
            <v>437</v>
          </cell>
          <cell r="FE187">
            <v>437</v>
          </cell>
          <cell r="FF187">
            <v>437</v>
          </cell>
          <cell r="FG187">
            <v>437</v>
          </cell>
          <cell r="FH187">
            <v>437</v>
          </cell>
          <cell r="FJ187">
            <v>437</v>
          </cell>
          <cell r="FK187">
            <v>437</v>
          </cell>
          <cell r="FL187">
            <v>437</v>
          </cell>
          <cell r="FM187">
            <v>437</v>
          </cell>
          <cell r="FN187">
            <v>437</v>
          </cell>
          <cell r="FP187">
            <v>437</v>
          </cell>
          <cell r="FQ187">
            <v>437</v>
          </cell>
          <cell r="FR187">
            <v>437</v>
          </cell>
          <cell r="FS187">
            <v>437</v>
          </cell>
          <cell r="FT187">
            <v>437</v>
          </cell>
          <cell r="FV187">
            <v>437</v>
          </cell>
          <cell r="FW187">
            <v>437</v>
          </cell>
          <cell r="FX187">
            <v>437</v>
          </cell>
          <cell r="FY187">
            <v>437</v>
          </cell>
          <cell r="FZ187">
            <v>437</v>
          </cell>
          <cell r="GB187">
            <v>437</v>
          </cell>
          <cell r="GC187">
            <v>437</v>
          </cell>
          <cell r="GD187">
            <v>437</v>
          </cell>
          <cell r="GE187">
            <v>437</v>
          </cell>
          <cell r="GF187">
            <v>437</v>
          </cell>
        </row>
        <row r="189">
          <cell r="AN189" t="str">
            <v>Direct-to-consumer Monthly Sales</v>
          </cell>
        </row>
        <row r="190">
          <cell r="AN190" t="str">
            <v>Month 1</v>
          </cell>
          <cell r="CV190" t="str">
            <v>--</v>
          </cell>
          <cell r="CW190" t="str">
            <v>--</v>
          </cell>
          <cell r="CX190" t="str">
            <v>--</v>
          </cell>
          <cell r="CY190" t="str">
            <v>--</v>
          </cell>
          <cell r="DB190">
            <v>8</v>
          </cell>
          <cell r="DC190">
            <v>141</v>
          </cell>
          <cell r="DD190">
            <v>131</v>
          </cell>
          <cell r="DE190">
            <v>209</v>
          </cell>
          <cell r="DH190">
            <v>137</v>
          </cell>
          <cell r="DI190">
            <v>142</v>
          </cell>
          <cell r="DJ190">
            <v>128</v>
          </cell>
          <cell r="DK190">
            <v>185</v>
          </cell>
          <cell r="DN190">
            <v>69</v>
          </cell>
          <cell r="DO190">
            <v>81</v>
          </cell>
          <cell r="DP190" t="str">
            <v xml:space="preserve"> </v>
          </cell>
        </row>
        <row r="201">
          <cell r="AN201" t="str">
            <v>NA = Not Applicable, NM = Not Meaningful</v>
          </cell>
        </row>
        <row r="202">
          <cell r="N202" t="str">
            <v>1995-FY</v>
          </cell>
          <cell r="O202" t="str">
            <v>1996-FY</v>
          </cell>
          <cell r="P202" t="str">
            <v>1997-FY</v>
          </cell>
          <cell r="Q202" t="str">
            <v>1998-FY</v>
          </cell>
          <cell r="R202" t="str">
            <v>1999-FY</v>
          </cell>
          <cell r="S202" t="str">
            <v>2000-FY</v>
          </cell>
          <cell r="T202" t="str">
            <v>2001-FY</v>
          </cell>
          <cell r="U202" t="str">
            <v>2002-FY</v>
          </cell>
          <cell r="V202" t="str">
            <v>2003-FY</v>
          </cell>
          <cell r="W202" t="str">
            <v>2004-FY</v>
          </cell>
          <cell r="X202" t="str">
            <v>2005-FY</v>
          </cell>
          <cell r="Y202" t="str">
            <v>2006-FY</v>
          </cell>
          <cell r="Z202" t="str">
            <v>2007-FY</v>
          </cell>
          <cell r="AA202" t="str">
            <v>2008-FY</v>
          </cell>
          <cell r="AB202" t="str">
            <v>2009-FY</v>
          </cell>
          <cell r="AC202" t="str">
            <v>2010-FY</v>
          </cell>
          <cell r="AD202" t="str">
            <v>2011-FY</v>
          </cell>
          <cell r="AE202" t="str">
            <v>2012-FY</v>
          </cell>
          <cell r="AF202" t="str">
            <v>2013-FY</v>
          </cell>
          <cell r="AG202" t="str">
            <v>2014-FY</v>
          </cell>
          <cell r="AH202" t="str">
            <v>2015-FY</v>
          </cell>
          <cell r="DH202" t="str">
            <v>2000-Q1</v>
          </cell>
          <cell r="DI202" t="str">
            <v>2000-Q2</v>
          </cell>
          <cell r="DJ202" t="str">
            <v>2000-Q3</v>
          </cell>
          <cell r="DK202" t="str">
            <v>2000-Q4</v>
          </cell>
          <cell r="DN202" t="str">
            <v>2001-Q1</v>
          </cell>
          <cell r="DO202" t="str">
            <v>2001-Q2</v>
          </cell>
          <cell r="DP202" t="str">
            <v>2001-Q3</v>
          </cell>
          <cell r="DQ202" t="str">
            <v>2001-Q4</v>
          </cell>
          <cell r="DT202" t="str">
            <v>2002-Q1</v>
          </cell>
          <cell r="DU202" t="str">
            <v>2002-Q2</v>
          </cell>
          <cell r="DV202" t="str">
            <v>2002-Q3</v>
          </cell>
          <cell r="DW202" t="str">
            <v>2002-Q4</v>
          </cell>
          <cell r="DZ202" t="str">
            <v>2003-Q1</v>
          </cell>
          <cell r="EA202" t="str">
            <v>2003-Q2</v>
          </cell>
          <cell r="EB202" t="str">
            <v>2003-Q3</v>
          </cell>
          <cell r="EC202" t="str">
            <v>2003-Q4</v>
          </cell>
          <cell r="EF202" t="str">
            <v>2004-Q1</v>
          </cell>
          <cell r="EG202" t="str">
            <v>2004-Q2</v>
          </cell>
          <cell r="EH202" t="str">
            <v>2004-Q3</v>
          </cell>
          <cell r="EI202" t="str">
            <v>2004-Q4</v>
          </cell>
          <cell r="EL202" t="str">
            <v>2005-Q1</v>
          </cell>
          <cell r="EM202" t="str">
            <v>2005-Q2</v>
          </cell>
          <cell r="EN202" t="str">
            <v>2005-Q3</v>
          </cell>
          <cell r="EO202" t="str">
            <v>2005-Q4</v>
          </cell>
          <cell r="ER202" t="str">
            <v>2006-Q1</v>
          </cell>
          <cell r="ES202" t="str">
            <v>2006-Q2</v>
          </cell>
          <cell r="ET202" t="str">
            <v>2006-Q3</v>
          </cell>
          <cell r="EU202" t="str">
            <v>2006-Q4</v>
          </cell>
          <cell r="EX202" t="str">
            <v>2007-Q1</v>
          </cell>
          <cell r="EY202" t="str">
            <v>2007-Q2</v>
          </cell>
          <cell r="EZ202" t="str">
            <v>2007-Q3</v>
          </cell>
          <cell r="FA202" t="str">
            <v>2007-Q4</v>
          </cell>
          <cell r="FD202" t="str">
            <v>2008-Q1</v>
          </cell>
          <cell r="FE202" t="str">
            <v>2008-Q2</v>
          </cell>
          <cell r="FF202" t="str">
            <v>2008-Q3</v>
          </cell>
          <cell r="FG202" t="str">
            <v>2008-Q4</v>
          </cell>
          <cell r="FJ202" t="str">
            <v>2009-Q1</v>
          </cell>
          <cell r="FK202" t="str">
            <v>2009-Q2</v>
          </cell>
          <cell r="FL202" t="str">
            <v>2009-Q3</v>
          </cell>
          <cell r="FM202" t="str">
            <v>2009-Q4</v>
          </cell>
          <cell r="FP202" t="str">
            <v>2010-Q1</v>
          </cell>
          <cell r="FQ202" t="str">
            <v>2010-Q2</v>
          </cell>
          <cell r="FR202" t="str">
            <v>2010-Q3</v>
          </cell>
          <cell r="FS202" t="str">
            <v>2010-Q4</v>
          </cell>
          <cell r="FV202" t="str">
            <v>2011-Q1</v>
          </cell>
          <cell r="FW202" t="str">
            <v>2011-Q2</v>
          </cell>
          <cell r="FX202" t="str">
            <v>2011-Q3</v>
          </cell>
          <cell r="FY202" t="str">
            <v>2011-Q4</v>
          </cell>
          <cell r="GB202" t="str">
            <v>2012-Q1</v>
          </cell>
          <cell r="GC202" t="str">
            <v>2012-Q2</v>
          </cell>
          <cell r="GD202" t="str">
            <v>2012-Q3</v>
          </cell>
          <cell r="GE202" t="str">
            <v>2012-Q4</v>
          </cell>
        </row>
        <row r="203">
          <cell r="AA203" t="str">
            <v>LINK OVER TO QUARTERLY BULL/BEAR</v>
          </cell>
        </row>
        <row r="204">
          <cell r="A204" t="str">
            <v>Base Case Assumptions</v>
          </cell>
          <cell r="N204">
            <v>1995</v>
          </cell>
          <cell r="O204">
            <v>1996</v>
          </cell>
          <cell r="P204">
            <v>1997</v>
          </cell>
          <cell r="Q204">
            <v>1998</v>
          </cell>
          <cell r="R204">
            <v>1999</v>
          </cell>
          <cell r="S204">
            <v>2000</v>
          </cell>
          <cell r="T204">
            <v>2001</v>
          </cell>
          <cell r="U204">
            <v>2002</v>
          </cell>
          <cell r="V204">
            <v>2003</v>
          </cell>
          <cell r="W204">
            <v>2004</v>
          </cell>
          <cell r="X204">
            <v>2005</v>
          </cell>
          <cell r="Y204">
            <v>2006</v>
          </cell>
          <cell r="Z204">
            <v>2007</v>
          </cell>
          <cell r="AA204">
            <v>2008</v>
          </cell>
          <cell r="AB204">
            <v>2009</v>
          </cell>
          <cell r="AC204">
            <v>2010</v>
          </cell>
          <cell r="AD204">
            <v>2011</v>
          </cell>
          <cell r="AE204" t="str">
            <v>2012E</v>
          </cell>
          <cell r="AF204" t="str">
            <v>2013E</v>
          </cell>
          <cell r="AG204" t="str">
            <v>2014E</v>
          </cell>
          <cell r="AH204" t="str">
            <v>2015E</v>
          </cell>
          <cell r="AI204" t="str">
            <v>2016E</v>
          </cell>
          <cell r="AJ204" t="str">
            <v>2017E</v>
          </cell>
          <cell r="AK204" t="str">
            <v>2018E</v>
          </cell>
          <cell r="AL204" t="str">
            <v>2019E</v>
          </cell>
          <cell r="AN204" t="str">
            <v>Base Case Assumptions</v>
          </cell>
          <cell r="EL204" t="str">
            <v>Base Case Assumptions</v>
          </cell>
        </row>
        <row r="205">
          <cell r="A205" t="str">
            <v>Revenue</v>
          </cell>
          <cell r="N205">
            <v>14614</v>
          </cell>
          <cell r="O205">
            <v>14833</v>
          </cell>
          <cell r="P205">
            <v>15220</v>
          </cell>
          <cell r="Q205">
            <v>15365</v>
          </cell>
          <cell r="R205">
            <v>16029</v>
          </cell>
          <cell r="S205">
            <v>16638</v>
          </cell>
          <cell r="T205">
            <v>15785</v>
          </cell>
          <cell r="U205">
            <v>15571</v>
          </cell>
          <cell r="V205">
            <v>15412</v>
          </cell>
          <cell r="W205">
            <v>15776</v>
          </cell>
          <cell r="X205">
            <v>22390</v>
          </cell>
          <cell r="Y205">
            <v>26970</v>
          </cell>
          <cell r="Z205">
            <v>26313</v>
          </cell>
          <cell r="AA205">
            <v>24892</v>
          </cell>
          <cell r="AB205">
            <v>23895</v>
          </cell>
          <cell r="AC205">
            <v>25003</v>
          </cell>
          <cell r="AD205">
            <v>26405</v>
          </cell>
          <cell r="AE205">
            <v>27697.820605365057</v>
          </cell>
          <cell r="AF205">
            <v>28358.892641397051</v>
          </cell>
          <cell r="AG205">
            <v>28905.408744504351</v>
          </cell>
          <cell r="AH205">
            <v>29204.897015558319</v>
          </cell>
          <cell r="AI205">
            <v>29496.945985713905</v>
          </cell>
          <cell r="AJ205">
            <v>29791.915445571045</v>
          </cell>
          <cell r="AK205">
            <v>30089.834600026756</v>
          </cell>
          <cell r="AL205">
            <v>30390.732946027023</v>
          </cell>
          <cell r="AN205" t="str">
            <v>Consolidated Stores Monthly Sales ($)</v>
          </cell>
          <cell r="EL205" t="str">
            <v>Consolidated Stores Monthly Sales ($)</v>
          </cell>
          <cell r="EU205">
            <v>356</v>
          </cell>
        </row>
        <row r="206">
          <cell r="A206" t="str">
            <v xml:space="preserve"> % Same-store</v>
          </cell>
          <cell r="N206">
            <v>2.7E-2</v>
          </cell>
          <cell r="O206">
            <v>3.1E-2</v>
          </cell>
          <cell r="P206">
            <v>2.7E-2</v>
          </cell>
          <cell r="Q206">
            <v>2.1999999999999999E-2</v>
          </cell>
          <cell r="R206">
            <v>4.4999999999999998E-2</v>
          </cell>
          <cell r="S206">
            <v>0.02</v>
          </cell>
          <cell r="T206">
            <v>-5.2999999999999999E-2</v>
          </cell>
          <cell r="U206">
            <v>-0.03</v>
          </cell>
          <cell r="V206">
            <v>-9.0000000000000011E-3</v>
          </cell>
          <cell r="W206">
            <v>2.5999999999999999E-2</v>
          </cell>
          <cell r="X206">
            <v>1.2999999999999999E-2</v>
          </cell>
          <cell r="Y206">
            <v>4.3999999999999997E-2</v>
          </cell>
          <cell r="Z206">
            <v>-1.2799528750047504E-2</v>
          </cell>
          <cell r="AA206">
            <v>-4.4999999999999998E-2</v>
          </cell>
          <cell r="AB206">
            <v>-5.0987622799162344E-2</v>
          </cell>
          <cell r="AC206">
            <v>4.610434747830261E-2</v>
          </cell>
          <cell r="AD206">
            <v>5.2999999999999999E-2</v>
          </cell>
          <cell r="AE206">
            <v>4.02253638971692E-2</v>
          </cell>
          <cell r="AF206">
            <v>3.5000000000000003E-2</v>
          </cell>
          <cell r="AG206">
            <v>0.02</v>
          </cell>
          <cell r="AH206">
            <v>0.01</v>
          </cell>
          <cell r="AI206">
            <v>0.01</v>
          </cell>
          <cell r="AJ206">
            <v>0.01</v>
          </cell>
          <cell r="AK206">
            <v>0.01</v>
          </cell>
          <cell r="AL206">
            <v>0.01</v>
          </cell>
          <cell r="AN206" t="str">
            <v>Month 1</v>
          </cell>
          <cell r="EL206" t="str">
            <v>Month 1</v>
          </cell>
          <cell r="ER206">
            <v>1800</v>
          </cell>
          <cell r="ES206">
            <v>2026</v>
          </cell>
          <cell r="ET206">
            <v>1727</v>
          </cell>
          <cell r="EU206">
            <v>2385</v>
          </cell>
          <cell r="EX206">
            <v>1802</v>
          </cell>
          <cell r="EY206">
            <v>1976</v>
          </cell>
          <cell r="EZ206">
            <v>1788</v>
          </cell>
          <cell r="FA206">
            <v>2707</v>
          </cell>
          <cell r="FD206">
            <v>1737</v>
          </cell>
          <cell r="FE206">
            <v>1926</v>
          </cell>
          <cell r="FF206">
            <v>1686</v>
          </cell>
          <cell r="FG206">
            <v>2324</v>
          </cell>
          <cell r="FJ206">
            <v>1602.5975291456411</v>
          </cell>
          <cell r="FK206">
            <v>1783.7565582371458</v>
          </cell>
          <cell r="FL206">
            <v>1576.1490988530857</v>
          </cell>
          <cell r="FM206">
            <v>2202.7766574237457</v>
          </cell>
          <cell r="FP206">
            <v>1667</v>
          </cell>
          <cell r="FQ206">
            <v>1789</v>
          </cell>
          <cell r="FR206">
            <v>1638</v>
          </cell>
          <cell r="FS206">
            <v>2341</v>
          </cell>
          <cell r="FV206">
            <v>1763</v>
          </cell>
          <cell r="FW206">
            <v>1937</v>
          </cell>
          <cell r="FX206">
            <v>1714</v>
          </cell>
          <cell r="FY206">
            <v>2465</v>
          </cell>
          <cell r="GB206">
            <v>1860</v>
          </cell>
          <cell r="GC206">
            <v>2015</v>
          </cell>
          <cell r="GD206">
            <v>1812</v>
          </cell>
          <cell r="GE206">
            <v>2539.5720461726355</v>
          </cell>
        </row>
        <row r="207">
          <cell r="A207" t="str">
            <v>CGS, OCC, Buying Costs</v>
          </cell>
          <cell r="N207">
            <v>9038</v>
          </cell>
          <cell r="O207">
            <v>9018</v>
          </cell>
          <cell r="P207">
            <v>9200</v>
          </cell>
          <cell r="Q207">
            <v>9218</v>
          </cell>
          <cell r="R207">
            <v>9576</v>
          </cell>
          <cell r="S207">
            <v>9955</v>
          </cell>
          <cell r="T207">
            <v>9603</v>
          </cell>
          <cell r="U207">
            <v>9324</v>
          </cell>
          <cell r="V207">
            <v>9175</v>
          </cell>
          <cell r="W207">
            <v>9346</v>
          </cell>
          <cell r="X207">
            <v>13272</v>
          </cell>
          <cell r="Y207">
            <v>16019</v>
          </cell>
          <cell r="Z207">
            <v>15774.299839502128</v>
          </cell>
          <cell r="AA207">
            <v>15009</v>
          </cell>
          <cell r="AB207">
            <v>14278</v>
          </cell>
          <cell r="AC207">
            <v>14824</v>
          </cell>
          <cell r="AD207">
            <v>15738</v>
          </cell>
          <cell r="AE207">
            <v>16473.116703251519</v>
          </cell>
          <cell r="AF207">
            <v>16781.208749826241</v>
          </cell>
          <cell r="AG207">
            <v>17061.248342231931</v>
          </cell>
          <cell r="AH207">
            <v>17267.224438478806</v>
          </cell>
          <cell r="AI207">
            <v>17498.890574835023</v>
          </cell>
          <cell r="AJ207">
            <v>17673.879480583375</v>
          </cell>
          <cell r="AK207">
            <v>17850.618275389206</v>
          </cell>
          <cell r="AL207">
            <v>18029.124458143102</v>
          </cell>
          <cell r="AN207" t="str">
            <v>Month 2</v>
          </cell>
          <cell r="EL207" t="str">
            <v>Month 2</v>
          </cell>
          <cell r="ER207">
            <v>2255</v>
          </cell>
          <cell r="ES207">
            <v>2367</v>
          </cell>
          <cell r="ET207">
            <v>2303</v>
          </cell>
          <cell r="EU207">
            <v>4997</v>
          </cell>
          <cell r="EX207">
            <v>2288</v>
          </cell>
          <cell r="EY207">
            <v>2321</v>
          </cell>
          <cell r="EZ207">
            <v>2274</v>
          </cell>
          <cell r="FA207">
            <v>4624</v>
          </cell>
          <cell r="FD207">
            <v>2142</v>
          </cell>
          <cell r="FE207">
            <v>2249</v>
          </cell>
          <cell r="FF207">
            <v>2093</v>
          </cell>
          <cell r="FG207">
            <v>4397</v>
          </cell>
          <cell r="FJ207">
            <v>1963.7990255785628</v>
          </cell>
          <cell r="FK207">
            <v>2092.5916404337181</v>
          </cell>
          <cell r="FL207">
            <v>2084.1512834516657</v>
          </cell>
          <cell r="FM207">
            <v>4474.7693471136881</v>
          </cell>
          <cell r="FP207">
            <v>2172</v>
          </cell>
          <cell r="FQ207">
            <v>2229</v>
          </cell>
          <cell r="FR207">
            <v>2181</v>
          </cell>
          <cell r="FS207">
            <v>4619</v>
          </cell>
          <cell r="FV207">
            <v>2206</v>
          </cell>
          <cell r="FW207">
            <v>2392</v>
          </cell>
          <cell r="FX207">
            <v>2298</v>
          </cell>
          <cell r="FY207">
            <v>4925</v>
          </cell>
          <cell r="GB207">
            <v>2358</v>
          </cell>
          <cell r="GC207">
            <v>2412</v>
          </cell>
          <cell r="GD207">
            <v>2339.3160690399509</v>
          </cell>
          <cell r="GE207">
            <v>5073.9928305883286</v>
          </cell>
        </row>
        <row r="208">
          <cell r="A208" t="str">
            <v>CGS, OCC, Buying Costs %</v>
          </cell>
          <cell r="N208">
            <v>0.61844806350075265</v>
          </cell>
          <cell r="O208">
            <v>0.60796871839816624</v>
          </cell>
          <cell r="P208">
            <v>0.60446780551905388</v>
          </cell>
          <cell r="Q208">
            <v>0.59993491701919943</v>
          </cell>
          <cell r="R208">
            <v>0.59741718135878719</v>
          </cell>
          <cell r="S208">
            <v>0.5983291260968866</v>
          </cell>
          <cell r="T208">
            <v>0.60836236933797905</v>
          </cell>
          <cell r="U208">
            <v>0.59880547171023057</v>
          </cell>
          <cell r="V208">
            <v>0.59531533869711917</v>
          </cell>
          <cell r="W208">
            <v>0.59241886409736311</v>
          </cell>
          <cell r="X208">
            <v>0.59276462706565436</v>
          </cell>
          <cell r="Y208">
            <v>0.59395624768261035</v>
          </cell>
          <cell r="Z208">
            <v>0.59948693951666965</v>
          </cell>
          <cell r="AA208">
            <v>0.60296480797043228</v>
          </cell>
          <cell r="AB208">
            <v>0.59753086419753088</v>
          </cell>
          <cell r="AC208">
            <v>0.59288885333759944</v>
          </cell>
          <cell r="AD208">
            <v>0.59602348040143915</v>
          </cell>
          <cell r="AE208">
            <v>0.59474414748937621</v>
          </cell>
          <cell r="AF208">
            <v>0.5917441474893762</v>
          </cell>
          <cell r="AG208">
            <v>0.59024414748937615</v>
          </cell>
          <cell r="AH208">
            <v>0.59124414748937626</v>
          </cell>
          <cell r="AI208">
            <v>0.59324414748937615</v>
          </cell>
          <cell r="AJ208">
            <v>0.59324414748937626</v>
          </cell>
          <cell r="AK208">
            <v>0.59324414748937615</v>
          </cell>
          <cell r="AL208">
            <v>0.59324414748937626</v>
          </cell>
          <cell r="AN208" t="str">
            <v>Month 3</v>
          </cell>
          <cell r="EL208" t="str">
            <v>Month 3</v>
          </cell>
          <cell r="ER208">
            <v>1878</v>
          </cell>
          <cell r="ES208">
            <v>1608</v>
          </cell>
          <cell r="ET208">
            <v>1863</v>
          </cell>
          <cell r="EU208">
            <v>1780</v>
          </cell>
          <cell r="EX208">
            <v>1837</v>
          </cell>
          <cell r="EY208">
            <v>1602</v>
          </cell>
          <cell r="EZ208">
            <v>1849</v>
          </cell>
          <cell r="FA208">
            <v>1273</v>
          </cell>
          <cell r="FD208">
            <v>1868</v>
          </cell>
          <cell r="FE208">
            <v>1543</v>
          </cell>
          <cell r="FF208">
            <v>1714</v>
          </cell>
          <cell r="FG208">
            <v>1213</v>
          </cell>
          <cell r="FJ208">
            <v>1720.603445275796</v>
          </cell>
          <cell r="FK208">
            <v>1409.6518013291361</v>
          </cell>
          <cell r="FL208">
            <v>1725.6996176952484</v>
          </cell>
          <cell r="FM208">
            <v>1268.4539954625661</v>
          </cell>
          <cell r="FP208">
            <v>1739</v>
          </cell>
          <cell r="FQ208">
            <v>1528</v>
          </cell>
          <cell r="FR208">
            <v>1806</v>
          </cell>
          <cell r="FS208">
            <v>1310</v>
          </cell>
          <cell r="FV208">
            <v>1920</v>
          </cell>
          <cell r="FW208">
            <v>1612</v>
          </cell>
          <cell r="FX208">
            <v>1842</v>
          </cell>
          <cell r="FY208">
            <v>1336</v>
          </cell>
          <cell r="GB208">
            <v>1928</v>
          </cell>
          <cell r="GC208">
            <v>1693</v>
          </cell>
          <cell r="GD208">
            <v>1918.3705778953104</v>
          </cell>
          <cell r="GE208">
            <v>1753.5690816688336</v>
          </cell>
        </row>
        <row r="209">
          <cell r="A209" t="str">
            <v>Y/Y ∆ CGS, OCC, Buying Costs % (bps)</v>
          </cell>
          <cell r="O209">
            <v>-104.79345102586413</v>
          </cell>
          <cell r="P209">
            <v>-35.009128791123615</v>
          </cell>
          <cell r="Q209">
            <v>-45.328884998544481</v>
          </cell>
          <cell r="R209">
            <v>-25.177356604122458</v>
          </cell>
          <cell r="S209">
            <v>9.1194473809941279</v>
          </cell>
          <cell r="T209">
            <v>100.33243241092448</v>
          </cell>
          <cell r="U209">
            <v>-95.568976277484722</v>
          </cell>
          <cell r="V209">
            <v>-34.901330131114072</v>
          </cell>
          <cell r="W209">
            <v>-28.964745997560605</v>
          </cell>
          <cell r="X209">
            <v>3.4576296829125219</v>
          </cell>
          <cell r="Y209">
            <v>11.916206169559906</v>
          </cell>
          <cell r="Z209">
            <v>55.306918340592979</v>
          </cell>
          <cell r="AA209">
            <v>34.778684537626333</v>
          </cell>
          <cell r="AB209">
            <v>-54.339437729014065</v>
          </cell>
          <cell r="AC209">
            <v>-46.420108599314332</v>
          </cell>
          <cell r="AD209">
            <v>31.346270638397122</v>
          </cell>
          <cell r="AE209">
            <v>-12.793329120629471</v>
          </cell>
          <cell r="AF209">
            <v>-30.000000000000028</v>
          </cell>
          <cell r="AG209">
            <v>-15.000000000000568</v>
          </cell>
          <cell r="AH209">
            <v>10.000000000001119</v>
          </cell>
          <cell r="AI209">
            <v>19.999999999998906</v>
          </cell>
          <cell r="AJ209">
            <v>1.1102230246251565E-12</v>
          </cell>
          <cell r="AK209">
            <v>-1.1102230246251565E-12</v>
          </cell>
          <cell r="AL209">
            <v>1.1102230246251565E-12</v>
          </cell>
          <cell r="AN209" t="str">
            <v>Total</v>
          </cell>
          <cell r="EL209" t="str">
            <v>Total</v>
          </cell>
          <cell r="ER209">
            <v>5930</v>
          </cell>
          <cell r="ES209">
            <v>5995</v>
          </cell>
          <cell r="ET209">
            <v>5886</v>
          </cell>
          <cell r="EU209">
            <v>9159</v>
          </cell>
          <cell r="EV209">
            <v>26970</v>
          </cell>
          <cell r="EX209">
            <v>5921</v>
          </cell>
          <cell r="EY209">
            <v>5892</v>
          </cell>
          <cell r="EZ209">
            <v>5906</v>
          </cell>
          <cell r="FA209">
            <v>8594</v>
          </cell>
          <cell r="FB209">
            <v>26313</v>
          </cell>
          <cell r="FD209">
            <v>5747</v>
          </cell>
          <cell r="FE209">
            <v>5718</v>
          </cell>
          <cell r="FF209">
            <v>5493</v>
          </cell>
          <cell r="FG209">
            <v>7934</v>
          </cell>
          <cell r="FH209">
            <v>24892</v>
          </cell>
          <cell r="FJ209">
            <v>5288</v>
          </cell>
          <cell r="FK209">
            <v>5285</v>
          </cell>
          <cell r="FL209">
            <v>5385</v>
          </cell>
          <cell r="FM209">
            <v>7937</v>
          </cell>
          <cell r="FN209">
            <v>23895</v>
          </cell>
          <cell r="FP209">
            <v>5574</v>
          </cell>
          <cell r="FQ209">
            <v>5537</v>
          </cell>
          <cell r="FR209">
            <v>5623</v>
          </cell>
          <cell r="FS209">
            <v>8269</v>
          </cell>
          <cell r="FT209">
            <v>25003</v>
          </cell>
          <cell r="FV209">
            <v>5889</v>
          </cell>
          <cell r="FW209">
            <v>5939</v>
          </cell>
          <cell r="FX209">
            <v>5853</v>
          </cell>
          <cell r="FY209">
            <v>8724</v>
          </cell>
          <cell r="FZ209">
            <v>26405</v>
          </cell>
          <cell r="GB209">
            <v>6143</v>
          </cell>
          <cell r="GC209">
            <v>6118</v>
          </cell>
          <cell r="GD209">
            <v>6069.6866469352608</v>
          </cell>
          <cell r="GE209">
            <v>9367.1339584297966</v>
          </cell>
          <cell r="GF209">
            <v>27697.820605365057</v>
          </cell>
        </row>
        <row r="210">
          <cell r="A210" t="str">
            <v>Gross Income</v>
          </cell>
          <cell r="N210">
            <v>5576</v>
          </cell>
          <cell r="O210">
            <v>5815</v>
          </cell>
          <cell r="P210">
            <v>6020</v>
          </cell>
          <cell r="Q210">
            <v>6147</v>
          </cell>
          <cell r="R210">
            <v>6453</v>
          </cell>
          <cell r="S210">
            <v>6683</v>
          </cell>
          <cell r="T210">
            <v>6182</v>
          </cell>
          <cell r="U210">
            <v>6247</v>
          </cell>
          <cell r="V210">
            <v>6237</v>
          </cell>
          <cell r="W210">
            <v>6430</v>
          </cell>
          <cell r="X210">
            <v>9118</v>
          </cell>
          <cell r="Y210">
            <v>10951</v>
          </cell>
          <cell r="Z210">
            <v>10538.700160497872</v>
          </cell>
          <cell r="AA210">
            <v>9883</v>
          </cell>
          <cell r="AB210">
            <v>9617</v>
          </cell>
          <cell r="AC210">
            <v>10179</v>
          </cell>
          <cell r="AD210">
            <v>10667</v>
          </cell>
          <cell r="AE210">
            <v>11224.703902113539</v>
          </cell>
          <cell r="AF210">
            <v>11577.683891570809</v>
          </cell>
          <cell r="AG210">
            <v>11844.16040227242</v>
          </cell>
          <cell r="AH210">
            <v>11937.672577079513</v>
          </cell>
          <cell r="AI210">
            <v>11998.055410878882</v>
          </cell>
          <cell r="AJ210">
            <v>12118.035964987672</v>
          </cell>
          <cell r="AK210">
            <v>12239.216324637548</v>
          </cell>
          <cell r="AL210">
            <v>12361.608487883923</v>
          </cell>
        </row>
        <row r="211">
          <cell r="A211" t="str">
            <v>Gross Margin</v>
          </cell>
          <cell r="N211">
            <v>0.38155193649924729</v>
          </cell>
          <cell r="O211">
            <v>0.39203128160183376</v>
          </cell>
          <cell r="P211">
            <v>0.39553219448094612</v>
          </cell>
          <cell r="Q211">
            <v>0.40006508298080051</v>
          </cell>
          <cell r="R211">
            <v>0.40258281864121281</v>
          </cell>
          <cell r="S211">
            <v>0.40167087390311335</v>
          </cell>
          <cell r="T211">
            <v>0.3916376306620209</v>
          </cell>
          <cell r="U211">
            <v>0.40119452828976943</v>
          </cell>
          <cell r="V211">
            <v>0.40468466130288089</v>
          </cell>
          <cell r="W211">
            <v>0.40758113590263689</v>
          </cell>
          <cell r="X211">
            <v>0.4072353729343457</v>
          </cell>
          <cell r="Y211">
            <v>0.40604375231738971</v>
          </cell>
          <cell r="Z211">
            <v>0.40051306048333035</v>
          </cell>
          <cell r="AA211">
            <v>0.39703519202956772</v>
          </cell>
          <cell r="AB211">
            <v>0.40246913580246912</v>
          </cell>
          <cell r="AC211">
            <v>0.4071111466624005</v>
          </cell>
          <cell r="AD211">
            <v>0.4039765195985609</v>
          </cell>
          <cell r="AE211">
            <v>0.40525585251062379</v>
          </cell>
          <cell r="AF211">
            <v>0.4082558525106238</v>
          </cell>
          <cell r="AG211">
            <v>0.4097558525106238</v>
          </cell>
          <cell r="AH211">
            <v>0.4087558525106238</v>
          </cell>
          <cell r="AI211">
            <v>0.40675585251062379</v>
          </cell>
          <cell r="AJ211">
            <v>0.40675585251062379</v>
          </cell>
          <cell r="AK211">
            <v>0.40675585251062379</v>
          </cell>
          <cell r="AL211">
            <v>0.40675585251062379</v>
          </cell>
          <cell r="AN211" t="str">
            <v xml:space="preserve">Consolidated Monthly Comps </v>
          </cell>
          <cell r="EL211" t="str">
            <v xml:space="preserve">Consolidated Monthly Comps </v>
          </cell>
          <cell r="EX211">
            <v>2.9599999999999991E-3</v>
          </cell>
          <cell r="FA211">
            <v>-1.5112275862068966E-2</v>
          </cell>
        </row>
        <row r="212">
          <cell r="A212" t="str">
            <v>Y/Y ∆ Gross Margin (bps)</v>
          </cell>
          <cell r="O212">
            <v>104.79345102586468</v>
          </cell>
          <cell r="P212">
            <v>35.009128791123615</v>
          </cell>
          <cell r="Q212">
            <v>45.328884998543927</v>
          </cell>
          <cell r="R212">
            <v>25.177356604123013</v>
          </cell>
          <cell r="S212">
            <v>-9.1194473809946821</v>
          </cell>
          <cell r="T212">
            <v>-100.33243241092448</v>
          </cell>
          <cell r="U212">
            <v>95.568976277485291</v>
          </cell>
          <cell r="V212">
            <v>34.901330131114626</v>
          </cell>
          <cell r="W212">
            <v>28.964745997560048</v>
          </cell>
          <cell r="X212">
            <v>-3.4576296829119668</v>
          </cell>
          <cell r="Y212">
            <v>-11.916206169559906</v>
          </cell>
          <cell r="Z212">
            <v>-55.306918340593533</v>
          </cell>
          <cell r="AA212">
            <v>-34.778684537626333</v>
          </cell>
          <cell r="AB212">
            <v>54.339437729014065</v>
          </cell>
          <cell r="AC212">
            <v>46.420108599313778</v>
          </cell>
          <cell r="AD212">
            <v>-31.346270638396014</v>
          </cell>
          <cell r="AE212">
            <v>12.793329120628915</v>
          </cell>
          <cell r="AF212">
            <v>30</v>
          </cell>
          <cell r="AG212">
            <v>15</v>
          </cell>
          <cell r="AH212">
            <v>-10</v>
          </cell>
          <cell r="AI212">
            <v>-20</v>
          </cell>
          <cell r="AJ212">
            <v>0</v>
          </cell>
          <cell r="AK212">
            <v>0</v>
          </cell>
          <cell r="AL212">
            <v>0</v>
          </cell>
          <cell r="AN212" t="str">
            <v>Month 1</v>
          </cell>
          <cell r="EL212" t="str">
            <v>Month 1</v>
          </cell>
          <cell r="ER212">
            <v>0.01</v>
          </cell>
          <cell r="ES212">
            <v>9.1999999999999998E-2</v>
          </cell>
          <cell r="ET212">
            <v>3.7999999999999999E-2</v>
          </cell>
          <cell r="EU212">
            <v>8.5000000000000006E-2</v>
          </cell>
          <cell r="EX212">
            <v>1.2E-2</v>
          </cell>
          <cell r="EY212">
            <v>-3.3000000000000002E-2</v>
          </cell>
          <cell r="EZ212">
            <v>2.4E-2</v>
          </cell>
          <cell r="FA212">
            <v>0.13400000000000001</v>
          </cell>
          <cell r="FD212">
            <v>-3.5000000000000003E-2</v>
          </cell>
          <cell r="FE212">
            <v>-1.4999999999999999E-2</v>
          </cell>
          <cell r="FF212">
            <v>-4.8000000000000001E-2</v>
          </cell>
          <cell r="FG212">
            <v>-0.13300000000000001</v>
          </cell>
          <cell r="FJ212">
            <v>-8.5000000000000006E-2</v>
          </cell>
          <cell r="FK212">
            <v>-9.0999999999999998E-2</v>
          </cell>
          <cell r="FL212">
            <v>-8.1000000000000003E-2</v>
          </cell>
          <cell r="FM212">
            <v>-6.0999999999999999E-2</v>
          </cell>
          <cell r="FP212">
            <v>3.6999999999999998E-2</v>
          </cell>
          <cell r="FQ212">
            <v>1.4E-2</v>
          </cell>
          <cell r="FR212">
            <v>4.2999999999999997E-2</v>
          </cell>
          <cell r="FS212">
            <v>6.0999999999999999E-2</v>
          </cell>
          <cell r="FV212">
            <v>5.8000000000000003E-2</v>
          </cell>
          <cell r="FW212">
            <v>7.3999999999999996E-2</v>
          </cell>
          <cell r="FX212">
            <v>0.05</v>
          </cell>
          <cell r="FY212">
            <v>4.8000000000000001E-2</v>
          </cell>
          <cell r="GB212">
            <v>4.5999999999999999E-2</v>
          </cell>
          <cell r="GC212">
            <v>4.2000000000000003E-2</v>
          </cell>
          <cell r="GD212">
            <v>5.0999999999999997E-2</v>
          </cell>
          <cell r="GE212">
            <v>0.04</v>
          </cell>
        </row>
        <row r="213">
          <cell r="A213" t="str">
            <v>SG&amp;A Expenses</v>
          </cell>
          <cell r="N213">
            <v>4913</v>
          </cell>
          <cell r="O213">
            <v>4922</v>
          </cell>
          <cell r="P213">
            <v>4679</v>
          </cell>
          <cell r="Q213">
            <v>4692</v>
          </cell>
          <cell r="R213">
            <v>4760</v>
          </cell>
          <cell r="S213">
            <v>4912</v>
          </cell>
          <cell r="T213">
            <v>4806</v>
          </cell>
          <cell r="U213">
            <v>4836</v>
          </cell>
          <cell r="V213">
            <v>4837</v>
          </cell>
          <cell r="W213">
            <v>4931</v>
          </cell>
          <cell r="X213">
            <v>6980</v>
          </cell>
          <cell r="Y213">
            <v>8678</v>
          </cell>
          <cell r="Z213">
            <v>8505.3177921820607</v>
          </cell>
          <cell r="AA213">
            <v>8458</v>
          </cell>
          <cell r="AB213">
            <v>8163</v>
          </cell>
          <cell r="AC213">
            <v>8260</v>
          </cell>
          <cell r="AD213">
            <v>8281</v>
          </cell>
          <cell r="AE213">
            <v>8553.4072798862726</v>
          </cell>
          <cell r="AF213">
            <v>8800.0923077192638</v>
          </cell>
          <cell r="AG213">
            <v>8940.7771652737574</v>
          </cell>
          <cell r="AH213">
            <v>9004.2074535542979</v>
          </cell>
          <cell r="AI213">
            <v>9064.7525821041272</v>
          </cell>
          <cell r="AJ213">
            <v>9125.6081924795981</v>
          </cell>
          <cell r="AK213">
            <v>9186.7744398043687</v>
          </cell>
          <cell r="AL213">
            <v>9248.2514512563848</v>
          </cell>
          <cell r="AN213" t="str">
            <v>Month 2</v>
          </cell>
          <cell r="EL213" t="str">
            <v>Month 2</v>
          </cell>
          <cell r="ER213">
            <v>0</v>
          </cell>
          <cell r="ES213">
            <v>1.7000000000000001E-2</v>
          </cell>
          <cell r="ET213">
            <v>6.5000000000000002E-2</v>
          </cell>
          <cell r="EU213">
            <v>4.3999999999999997E-2</v>
          </cell>
          <cell r="EX213">
            <v>2.3E-2</v>
          </cell>
          <cell r="EY213">
            <v>-2.7E-2</v>
          </cell>
          <cell r="EZ213">
            <v>-2.7E-2</v>
          </cell>
          <cell r="FA213">
            <v>-7.9000000000000001E-2</v>
          </cell>
          <cell r="FD213">
            <v>-6.2E-2</v>
          </cell>
          <cell r="FE213">
            <v>-2.1000000000000001E-2</v>
          </cell>
          <cell r="FF213">
            <v>-6.6000000000000003E-2</v>
          </cell>
          <cell r="FG213">
            <v>-0.04</v>
          </cell>
          <cell r="FJ213">
            <v>-9.1999999999999998E-2</v>
          </cell>
          <cell r="FK213">
            <v>-8.8999999999999996E-2</v>
          </cell>
          <cell r="FL213">
            <v>-2.3E-2</v>
          </cell>
          <cell r="FM213">
            <v>0.01</v>
          </cell>
          <cell r="FP213">
            <v>0.10800000000000001</v>
          </cell>
          <cell r="FQ213">
            <v>6.5000000000000002E-2</v>
          </cell>
          <cell r="FR213">
            <v>4.8000000000000001E-2</v>
          </cell>
          <cell r="FS213">
            <v>3.9E-2</v>
          </cell>
          <cell r="FV213">
            <v>8.9999999999999993E-3</v>
          </cell>
          <cell r="FW213">
            <v>6.7000000000000004E-2</v>
          </cell>
          <cell r="FX213">
            <v>4.9000000000000002E-2</v>
          </cell>
          <cell r="FY213">
            <v>6.2E-2</v>
          </cell>
          <cell r="GB213">
            <v>7.2999999999999995E-2</v>
          </cell>
          <cell r="GC213">
            <v>1.2E-2</v>
          </cell>
          <cell r="GD213">
            <v>0.03</v>
          </cell>
          <cell r="GE213">
            <v>0.04</v>
          </cell>
        </row>
        <row r="214">
          <cell r="A214" t="str">
            <v>SG&amp;A Ratio</v>
          </cell>
          <cell r="N214">
            <v>0.33618448063500755</v>
          </cell>
          <cell r="O214">
            <v>0.33182768152093306</v>
          </cell>
          <cell r="P214">
            <v>0.30742444152431014</v>
          </cell>
          <cell r="Q214">
            <v>0.30536934591604298</v>
          </cell>
          <cell r="R214">
            <v>0.29696175681577142</v>
          </cell>
          <cell r="S214">
            <v>0.29522779180189929</v>
          </cell>
          <cell r="T214">
            <v>0.30446626544187522</v>
          </cell>
          <cell r="U214">
            <v>0.31057735534005521</v>
          </cell>
          <cell r="V214">
            <v>0.31384635349078638</v>
          </cell>
          <cell r="W214">
            <v>0.31256338742393508</v>
          </cell>
          <cell r="X214">
            <v>0.311746315319339</v>
          </cell>
          <cell r="Y214">
            <v>0.32176492398961809</v>
          </cell>
          <cell r="Z214">
            <v>0.32323633915486871</v>
          </cell>
          <cell r="AA214">
            <v>0.33978788365739998</v>
          </cell>
          <cell r="AB214">
            <v>0.34161958568738232</v>
          </cell>
          <cell r="AC214">
            <v>0.33036035675718911</v>
          </cell>
          <cell r="AD214">
            <v>0.31361484567316794</v>
          </cell>
          <cell r="AE214">
            <v>0.30881156325452847</v>
          </cell>
          <cell r="AF214">
            <v>0.31031156325452847</v>
          </cell>
          <cell r="AG214">
            <v>0.30931156325452847</v>
          </cell>
          <cell r="AH214">
            <v>0.30831156325452846</v>
          </cell>
          <cell r="AI214">
            <v>0.30731156325452846</v>
          </cell>
          <cell r="AJ214">
            <v>0.30631156325452846</v>
          </cell>
          <cell r="AK214">
            <v>0.30531156325452846</v>
          </cell>
          <cell r="AL214">
            <v>0.30431156325452846</v>
          </cell>
          <cell r="AN214" t="str">
            <v>Month 3</v>
          </cell>
          <cell r="EL214" t="str">
            <v>Month 3</v>
          </cell>
          <cell r="ER214">
            <v>-8.0000000000000002E-3</v>
          </cell>
          <cell r="ES214">
            <v>3.3000000000000002E-2</v>
          </cell>
          <cell r="ET214">
            <v>7.6999999999999999E-2</v>
          </cell>
          <cell r="EU214">
            <v>8.5999999999999993E-2</v>
          </cell>
          <cell r="EX214">
            <v>-2.1999999999999999E-2</v>
          </cell>
          <cell r="EY214">
            <v>-1.4E-2</v>
          </cell>
          <cell r="EZ214">
            <v>-1.4999999999999999E-2</v>
          </cell>
          <cell r="FA214">
            <v>-7.0999999999999994E-2</v>
          </cell>
          <cell r="FD214">
            <v>0.03</v>
          </cell>
          <cell r="FE214">
            <v>-2.9000000000000001E-2</v>
          </cell>
          <cell r="FF214">
            <v>-6.3E-2</v>
          </cell>
          <cell r="FG214">
            <v>-4.4999999999999998E-2</v>
          </cell>
          <cell r="FJ214">
            <v>-9.0999999999999998E-2</v>
          </cell>
          <cell r="FK214">
            <v>-0.107</v>
          </cell>
          <cell r="FL214">
            <v>-8.0000000000000002E-3</v>
          </cell>
          <cell r="FM214">
            <v>3.4000000000000002E-2</v>
          </cell>
          <cell r="FP214">
            <v>1.0999999999999999E-2</v>
          </cell>
          <cell r="FQ214">
            <v>7.2999999999999995E-2</v>
          </cell>
          <cell r="FR214">
            <v>2.5000000000000001E-2</v>
          </cell>
          <cell r="FS214">
            <v>2.5999999999999999E-2</v>
          </cell>
          <cell r="FV214">
            <v>0.108</v>
          </cell>
          <cell r="FW214">
            <v>0.05</v>
          </cell>
          <cell r="FX214">
            <v>2.1999999999999999E-2</v>
          </cell>
          <cell r="FY214">
            <v>2.4E-2</v>
          </cell>
          <cell r="GB214">
            <v>1.2E-2</v>
          </cell>
          <cell r="GC214">
            <v>4.1000000000000002E-2</v>
          </cell>
          <cell r="GD214">
            <v>5.5E-2</v>
          </cell>
          <cell r="GE214">
            <v>0.05</v>
          </cell>
        </row>
        <row r="215">
          <cell r="A215" t="str">
            <v>Y/Y ∆ SG&amp;A Ratio (bps)</v>
          </cell>
          <cell r="O215">
            <v>-43.567991140744944</v>
          </cell>
          <cell r="P215">
            <v>-244.03239996622915</v>
          </cell>
          <cell r="Q215">
            <v>-20.550956082671657</v>
          </cell>
          <cell r="R215">
            <v>-84.075891002715622</v>
          </cell>
          <cell r="S215">
            <v>-17.339650138721296</v>
          </cell>
          <cell r="T215">
            <v>92.384736399759305</v>
          </cell>
          <cell r="U215">
            <v>61.110898981799892</v>
          </cell>
          <cell r="V215">
            <v>32.689981507311728</v>
          </cell>
          <cell r="W215">
            <v>-12.829660668512988</v>
          </cell>
          <cell r="X215">
            <v>-8.170721045960839</v>
          </cell>
          <cell r="Y215">
            <v>100.18608670279094</v>
          </cell>
          <cell r="Z215">
            <v>14.714151652506224</v>
          </cell>
          <cell r="AA215">
            <v>165.51544502531269</v>
          </cell>
          <cell r="AB215">
            <v>18.317020299823405</v>
          </cell>
          <cell r="AC215">
            <v>-112.5922893019321</v>
          </cell>
          <cell r="AD215">
            <v>-167.45511084021169</v>
          </cell>
          <cell r="AE215">
            <v>-48.032824186394762</v>
          </cell>
          <cell r="AF215">
            <v>15</v>
          </cell>
          <cell r="AG215">
            <v>-10</v>
          </cell>
          <cell r="AH215">
            <v>-10</v>
          </cell>
          <cell r="AI215">
            <v>-10</v>
          </cell>
          <cell r="AJ215">
            <v>-10</v>
          </cell>
          <cell r="AK215">
            <v>-10</v>
          </cell>
          <cell r="AL215">
            <v>-10</v>
          </cell>
          <cell r="AN215" t="str">
            <v>Total</v>
          </cell>
          <cell r="EL215" t="str">
            <v>Total</v>
          </cell>
          <cell r="ER215">
            <v>0</v>
          </cell>
          <cell r="ES215">
            <v>4.5999999999999999E-2</v>
          </cell>
          <cell r="ET215">
            <v>5.8999999999999997E-2</v>
          </cell>
          <cell r="EU215">
            <v>6.0999999999999999E-2</v>
          </cell>
          <cell r="EV215">
            <v>4.3999999999999997E-2</v>
          </cell>
          <cell r="EX215">
            <v>6.0000000000000001E-3</v>
          </cell>
          <cell r="EY215">
            <v>-2.5999999999999999E-2</v>
          </cell>
          <cell r="EZ215">
            <v>-8.0000000000000002E-3</v>
          </cell>
          <cell r="FA215">
            <v>-0.02</v>
          </cell>
          <cell r="FB215">
            <v>-1.2999999999999999E-2</v>
          </cell>
          <cell r="FD215">
            <v>-2.5999999999999999E-2</v>
          </cell>
          <cell r="FE215">
            <v>-2.1000000000000001E-2</v>
          </cell>
          <cell r="FF215">
            <v>-0.06</v>
          </cell>
          <cell r="FG215">
            <v>-7.0000000000000007E-2</v>
          </cell>
          <cell r="FH215">
            <v>-4.4999999999999998E-2</v>
          </cell>
          <cell r="FJ215">
            <v>-0.09</v>
          </cell>
          <cell r="FK215">
            <v>-9.5000000000000001E-2</v>
          </cell>
          <cell r="FL215">
            <v>-3.5999999999999997E-2</v>
          </cell>
          <cell r="FM215">
            <v>-5.8579119044959507E-3</v>
          </cell>
          <cell r="FN215">
            <v>-5.0987622799162344E-2</v>
          </cell>
          <cell r="FP215">
            <v>5.5E-2</v>
          </cell>
          <cell r="FQ215">
            <v>4.9000000000000002E-2</v>
          </cell>
          <cell r="FR215">
            <v>3.9E-2</v>
          </cell>
          <cell r="FS215">
            <v>4.2999999999999997E-2</v>
          </cell>
          <cell r="FT215">
            <v>4.610434747830261E-2</v>
          </cell>
          <cell r="FV215">
            <v>5.3999999999999999E-2</v>
          </cell>
          <cell r="FW215">
            <v>6.4000000000000001E-2</v>
          </cell>
          <cell r="FX215">
            <v>0.04</v>
          </cell>
          <cell r="FY215">
            <v>5.1999999999999998E-2</v>
          </cell>
          <cell r="FZ215">
            <v>5.2999999999999999E-2</v>
          </cell>
          <cell r="GB215">
            <v>4.3999999999999997E-2</v>
          </cell>
          <cell r="GC215">
            <v>0.03</v>
          </cell>
          <cell r="GD215">
            <v>4.4170626829774157E-2</v>
          </cell>
          <cell r="GE215">
            <v>4.1872044415560798E-2</v>
          </cell>
          <cell r="GF215">
            <v>4.02253638971692E-2</v>
          </cell>
        </row>
        <row r="216">
          <cell r="A216" t="str">
            <v>Operating Income</v>
          </cell>
          <cell r="N216">
            <v>663</v>
          </cell>
          <cell r="O216">
            <v>893</v>
          </cell>
          <cell r="P216">
            <v>1341</v>
          </cell>
          <cell r="Q216">
            <v>1455</v>
          </cell>
          <cell r="R216">
            <v>1693</v>
          </cell>
          <cell r="S216">
            <v>1771</v>
          </cell>
          <cell r="T216">
            <v>1376</v>
          </cell>
          <cell r="U216">
            <v>1411</v>
          </cell>
          <cell r="V216">
            <v>1400</v>
          </cell>
          <cell r="W216">
            <v>1499</v>
          </cell>
          <cell r="X216">
            <v>2138</v>
          </cell>
          <cell r="Y216">
            <v>2273</v>
          </cell>
          <cell r="Z216">
            <v>2033.3823683158116</v>
          </cell>
          <cell r="AA216">
            <v>1425</v>
          </cell>
          <cell r="AB216">
            <v>1454</v>
          </cell>
          <cell r="AC216">
            <v>1919</v>
          </cell>
          <cell r="AD216">
            <v>2386</v>
          </cell>
          <cell r="AE216">
            <v>2671.2966222272662</v>
          </cell>
          <cell r="AF216">
            <v>2777.5915838515448</v>
          </cell>
          <cell r="AG216">
            <v>2903.3832369986631</v>
          </cell>
          <cell r="AH216">
            <v>2933.4651235252149</v>
          </cell>
          <cell r="AI216">
            <v>2933.3028287747547</v>
          </cell>
          <cell r="AJ216">
            <v>2992.4277725080738</v>
          </cell>
          <cell r="AK216">
            <v>3052.4418848331788</v>
          </cell>
          <cell r="AL216">
            <v>3113.357036627538</v>
          </cell>
          <cell r="FV216">
            <v>5.45E-2</v>
          </cell>
          <cell r="FW216">
            <v>5.6500000000000002E-2</v>
          </cell>
          <cell r="FX216">
            <v>3.95E-2</v>
          </cell>
          <cell r="FY216">
            <v>4.7500000000000001E-2</v>
          </cell>
          <cell r="GB216">
            <v>4.9000000000000002E-2</v>
          </cell>
          <cell r="GC216">
            <v>4.7E-2</v>
          </cell>
          <cell r="GD216">
            <v>4.2085313414887082E-2</v>
          </cell>
          <cell r="GE216">
            <v>4.6936022207780398E-2</v>
          </cell>
          <cell r="GF216" t="str">
            <v>2-yr comp</v>
          </cell>
        </row>
        <row r="217">
          <cell r="A217" t="str">
            <v>Operating Margin</v>
          </cell>
          <cell r="N217">
            <v>4.5367455864239771E-2</v>
          </cell>
          <cell r="O217">
            <v>6.0203600080900692E-2</v>
          </cell>
          <cell r="P217">
            <v>8.8107752956636004E-2</v>
          </cell>
          <cell r="Q217">
            <v>9.4695737064757562E-2</v>
          </cell>
          <cell r="R217">
            <v>0.10562106182544138</v>
          </cell>
          <cell r="S217">
            <v>0.10644308210121409</v>
          </cell>
          <cell r="T217">
            <v>8.7171365220145708E-2</v>
          </cell>
          <cell r="U217">
            <v>9.0617172949714206E-2</v>
          </cell>
          <cell r="V217">
            <v>9.0838307812094468E-2</v>
          </cell>
          <cell r="W217">
            <v>9.5017748478701827E-2</v>
          </cell>
          <cell r="X217">
            <v>9.5489057615006701E-2</v>
          </cell>
          <cell r="Y217">
            <v>8.4278828327771602E-2</v>
          </cell>
          <cell r="Z217">
            <v>7.7276721328461653E-2</v>
          </cell>
          <cell r="AA217">
            <v>5.7247308372167766E-2</v>
          </cell>
          <cell r="AB217">
            <v>6.0849550115086838E-2</v>
          </cell>
          <cell r="AC217">
            <v>7.6750789905211378E-2</v>
          </cell>
          <cell r="AD217">
            <v>9.0361673925392919E-2</v>
          </cell>
          <cell r="AE217">
            <v>9.644428925609537E-2</v>
          </cell>
          <cell r="AF217">
            <v>9.7944289256095288E-2</v>
          </cell>
          <cell r="AG217">
            <v>0.10044428925609535</v>
          </cell>
          <cell r="AH217">
            <v>0.10044428925609533</v>
          </cell>
          <cell r="AI217">
            <v>9.9444289256095372E-2</v>
          </cell>
          <cell r="AJ217">
            <v>0.10044428925609539</v>
          </cell>
          <cell r="AK217">
            <v>0.1014442892560953</v>
          </cell>
          <cell r="AL217">
            <v>0.10244428925609532</v>
          </cell>
          <cell r="AN217" t="str">
            <v xml:space="preserve">Consolidated Productivity Factor </v>
          </cell>
          <cell r="EL217" t="str">
            <v xml:space="preserve">Consolidated Productivity Factor </v>
          </cell>
          <cell r="FP217">
            <v>-2.0333333333333332E-2</v>
          </cell>
          <cell r="FQ217">
            <v>-2.2333333333333334E-2</v>
          </cell>
          <cell r="FR217">
            <v>-1.9E-2</v>
          </cell>
          <cell r="FS217">
            <v>-1.0952637301498654E-2</v>
          </cell>
          <cell r="FV217">
            <v>6.333333333333334E-3</v>
          </cell>
          <cell r="FW217">
            <v>6.000000000000001E-3</v>
          </cell>
          <cell r="FX217">
            <v>1.4333333333333335E-2</v>
          </cell>
          <cell r="FY217">
            <v>2.971402936516802E-2</v>
          </cell>
        </row>
        <row r="218">
          <cell r="A218" t="str">
            <v>Y/Y ∆ Operating Margin (bps)</v>
          </cell>
          <cell r="O218">
            <v>148.36144216660921</v>
          </cell>
          <cell r="P218">
            <v>279.04152875735315</v>
          </cell>
          <cell r="Q218">
            <v>65.879841081215588</v>
          </cell>
          <cell r="R218">
            <v>109.25324760683822</v>
          </cell>
          <cell r="S218">
            <v>8.22020275772703</v>
          </cell>
          <cell r="T218">
            <v>-192.7171688106838</v>
          </cell>
          <cell r="U218">
            <v>34.45807729568498</v>
          </cell>
          <cell r="V218">
            <v>2.2113486238026225</v>
          </cell>
          <cell r="W218">
            <v>41.794406666073591</v>
          </cell>
          <cell r="X218">
            <v>4.7130913630487328</v>
          </cell>
          <cell r="Y218">
            <v>-112.10229287235099</v>
          </cell>
          <cell r="Z218">
            <v>-70.021069993099488</v>
          </cell>
          <cell r="AA218">
            <v>-200.29412956293888</v>
          </cell>
          <cell r="AB218">
            <v>36.022417429190725</v>
          </cell>
          <cell r="AC218">
            <v>159.01239790124541</v>
          </cell>
          <cell r="AD218">
            <v>136.10884020181541</v>
          </cell>
          <cell r="AE218">
            <v>60.826153307024512</v>
          </cell>
          <cell r="AF218">
            <v>14.999999999999181</v>
          </cell>
          <cell r="AG218">
            <v>25.000000000000576</v>
          </cell>
          <cell r="AH218">
            <v>-1.3877787807814457E-13</v>
          </cell>
          <cell r="AI218">
            <v>-9.9999999999995932</v>
          </cell>
          <cell r="AJ218">
            <v>10.000000000000147</v>
          </cell>
          <cell r="AK218">
            <v>9.9999999999991758</v>
          </cell>
          <cell r="AL218">
            <v>10.000000000000147</v>
          </cell>
          <cell r="AN218" t="str">
            <v>Month 1</v>
          </cell>
          <cell r="EL218" t="str">
            <v>Month 1</v>
          </cell>
          <cell r="ER218">
            <v>0.85379589916801657</v>
          </cell>
          <cell r="ES218">
            <v>0.82852877251430668</v>
          </cell>
          <cell r="ET218">
            <v>0.83475030563790842</v>
          </cell>
          <cell r="EU218">
            <v>0.91480422703367681</v>
          </cell>
          <cell r="EX218">
            <v>1.0042251017232908</v>
          </cell>
          <cell r="EY218">
            <v>1.0108075527611304</v>
          </cell>
          <cell r="EZ218">
            <v>1.0032705612197608</v>
          </cell>
          <cell r="FA218">
            <v>0.99617129302855612</v>
          </cell>
          <cell r="FD218">
            <v>1.0047260256693704</v>
          </cell>
          <cell r="FE218">
            <v>1.0011731147187122</v>
          </cell>
          <cell r="FF218">
            <v>1.0015681684828099</v>
          </cell>
          <cell r="FG218">
            <v>0.9980273685296247</v>
          </cell>
          <cell r="FJ218">
            <v>1.0146680194879518</v>
          </cell>
          <cell r="FK218">
            <v>1.0229325701507319</v>
          </cell>
          <cell r="FL218">
            <v>1.0237530410429481</v>
          </cell>
          <cell r="FM218">
            <v>1.0168796021749338</v>
          </cell>
          <cell r="FP218">
            <v>1.0016060228776302</v>
          </cell>
          <cell r="FQ218">
            <v>0.98881215735067063</v>
          </cell>
          <cell r="FR218">
            <v>1.0007452413933455</v>
          </cell>
          <cell r="FS218">
            <v>1.0028115913956974</v>
          </cell>
          <cell r="FV218">
            <v>1.0005096291516782</v>
          </cell>
          <cell r="FW218">
            <v>1.0081721608307339</v>
          </cell>
          <cell r="FX218">
            <v>0.99435769750356207</v>
          </cell>
          <cell r="FY218">
            <v>1.0114048185081832</v>
          </cell>
          <cell r="GB218">
            <v>1.0253009585429893</v>
          </cell>
          <cell r="GC218">
            <v>1.0133052611979987</v>
          </cell>
          <cell r="GD218">
            <v>1.018088666893139</v>
          </cell>
          <cell r="GE218">
            <v>1</v>
          </cell>
        </row>
        <row r="219">
          <cell r="AN219" t="str">
            <v>Month 2</v>
          </cell>
          <cell r="EL219" t="str">
            <v>Month 2</v>
          </cell>
          <cell r="ER219">
            <v>0.87143545576033965</v>
          </cell>
          <cell r="ES219">
            <v>0.86259214604526391</v>
          </cell>
          <cell r="ET219">
            <v>0.95476655228407081</v>
          </cell>
          <cell r="EU219">
            <v>0.95390310394604827</v>
          </cell>
          <cell r="EX219">
            <v>0.99756383077735888</v>
          </cell>
          <cell r="EY219">
            <v>1.0076309712339664</v>
          </cell>
          <cell r="EZ219">
            <v>1.0058439901456568</v>
          </cell>
          <cell r="FA219">
            <v>1.0104925603418453</v>
          </cell>
          <cell r="FD219">
            <v>1.0038919718017412</v>
          </cell>
          <cell r="FE219">
            <v>1.0002262623646179</v>
          </cell>
          <cell r="FF219">
            <v>1.0022779610885877</v>
          </cell>
          <cell r="FG219">
            <v>0.98797059201406712</v>
          </cell>
          <cell r="FJ219">
            <v>1.0172356632303496</v>
          </cell>
          <cell r="FK219">
            <v>1.0266388149144143</v>
          </cell>
          <cell r="FL219">
            <v>1.0185440088098592</v>
          </cell>
          <cell r="FM219">
            <v>1.0150644106268683</v>
          </cell>
          <cell r="FP219">
            <v>0.9967530496300272</v>
          </cell>
          <cell r="FQ219">
            <v>0.99989171377441255</v>
          </cell>
          <cell r="FR219">
            <v>1.0028971230689774</v>
          </cell>
          <cell r="FS219">
            <v>0.9946391314592461</v>
          </cell>
          <cell r="FV219">
            <v>1.0074992903911262</v>
          </cell>
          <cell r="FW219">
            <v>1.0057878604073234</v>
          </cell>
          <cell r="FX219">
            <v>1.0057401642886414</v>
          </cell>
          <cell r="FY219">
            <v>1.0118477756232767</v>
          </cell>
          <cell r="GB219">
            <v>1.0102541230632647</v>
          </cell>
          <cell r="GC219">
            <v>1.011143062170935</v>
          </cell>
          <cell r="GD219">
            <v>1</v>
          </cell>
          <cell r="GE219">
            <v>1</v>
          </cell>
          <cell r="GG219" t="str">
            <v>See cells GK224 and GK227 to forecast gross profit for 4Q</v>
          </cell>
          <cell r="GM219" t="str">
            <v>Calculation of Extra Week EPS Benefit</v>
          </cell>
        </row>
        <row r="220">
          <cell r="A220" t="str">
            <v>Bull Case Assumptions</v>
          </cell>
          <cell r="N220">
            <v>1995</v>
          </cell>
          <cell r="O220">
            <v>1996</v>
          </cell>
          <cell r="P220">
            <v>1997</v>
          </cell>
          <cell r="Q220">
            <v>1998</v>
          </cell>
          <cell r="R220">
            <v>1999</v>
          </cell>
          <cell r="S220">
            <v>2000</v>
          </cell>
          <cell r="T220">
            <v>2001</v>
          </cell>
          <cell r="U220">
            <v>2002</v>
          </cell>
          <cell r="V220">
            <v>2003</v>
          </cell>
          <cell r="W220">
            <v>2004</v>
          </cell>
          <cell r="X220">
            <v>2005</v>
          </cell>
          <cell r="Y220">
            <v>2006</v>
          </cell>
          <cell r="Z220">
            <v>2007</v>
          </cell>
          <cell r="AA220">
            <v>2008</v>
          </cell>
          <cell r="AB220">
            <v>2009</v>
          </cell>
          <cell r="AC220">
            <v>2010</v>
          </cell>
          <cell r="AD220">
            <v>2011</v>
          </cell>
          <cell r="AE220" t="str">
            <v>2012E</v>
          </cell>
          <cell r="AF220" t="str">
            <v>2013E</v>
          </cell>
          <cell r="AG220" t="str">
            <v>2014E</v>
          </cell>
          <cell r="AH220" t="str">
            <v>2015E</v>
          </cell>
          <cell r="AI220" t="str">
            <v>2016E</v>
          </cell>
          <cell r="AJ220" t="str">
            <v>2017E</v>
          </cell>
          <cell r="AK220" t="str">
            <v>2018E</v>
          </cell>
          <cell r="AL220" t="str">
            <v>2019E</v>
          </cell>
          <cell r="AN220" t="str">
            <v>Month 3</v>
          </cell>
          <cell r="EL220" t="str">
            <v>Month 3</v>
          </cell>
          <cell r="ER220">
            <v>0.85509041472763314</v>
          </cell>
          <cell r="ES220">
            <v>0.83302342705472399</v>
          </cell>
          <cell r="ET220">
            <v>0.9300581404093593</v>
          </cell>
          <cell r="EU220">
            <v>0.88885616548937241</v>
          </cell>
          <cell r="EX220">
            <v>1.0012993536198342</v>
          </cell>
          <cell r="EY220">
            <v>1.0067406823426219</v>
          </cell>
          <cell r="EZ220">
            <v>1.0010354929971583</v>
          </cell>
          <cell r="FA220">
            <v>0.77697496531497701</v>
          </cell>
          <cell r="FD220">
            <v>0.99998610863561077</v>
          </cell>
          <cell r="FE220">
            <v>1.0000776716315167</v>
          </cell>
          <cell r="FF220">
            <v>1.0026881239876493</v>
          </cell>
          <cell r="FG220">
            <v>1.0034001517037674</v>
          </cell>
          <cell r="FJ220">
            <v>1.017274065207098</v>
          </cell>
          <cell r="FK220">
            <v>1.0307481774152398</v>
          </cell>
          <cell r="FL220">
            <v>1.0154616377110075</v>
          </cell>
          <cell r="FM220">
            <v>1.009307170702717</v>
          </cell>
          <cell r="FP220">
            <v>1.0005893323256754</v>
          </cell>
          <cell r="FQ220">
            <v>1.0111137394005785</v>
          </cell>
          <cell r="FR220">
            <v>1.0254628236300125</v>
          </cell>
          <cell r="FS220">
            <v>1.00775043725629</v>
          </cell>
          <cell r="FV220">
            <v>0.99618702023241001</v>
          </cell>
          <cell r="FW220">
            <v>1.0047825549823146</v>
          </cell>
          <cell r="FX220">
            <v>1.0004489851343907</v>
          </cell>
          <cell r="FY220">
            <v>1.008520012530175</v>
          </cell>
          <cell r="GB220">
            <v>1.0062765433093959</v>
          </cell>
          <cell r="GC220">
            <v>1.0227639737625074</v>
          </cell>
          <cell r="GD220">
            <v>1</v>
          </cell>
          <cell r="GE220">
            <v>1</v>
          </cell>
          <cell r="GG220" t="str">
            <v>See cells GK230 and GK232 to forecast SG&amp;A for 4Q</v>
          </cell>
          <cell r="GM220" t="str">
            <v>Extra week (on = 1, off = 0)</v>
          </cell>
          <cell r="GO220">
            <v>1</v>
          </cell>
        </row>
        <row r="221">
          <cell r="A221" t="str">
            <v>Revenue</v>
          </cell>
          <cell r="N221">
            <v>14614</v>
          </cell>
          <cell r="O221">
            <v>14833</v>
          </cell>
          <cell r="P221">
            <v>15220</v>
          </cell>
          <cell r="Q221">
            <v>15365</v>
          </cell>
          <cell r="R221">
            <v>16029</v>
          </cell>
          <cell r="S221">
            <v>16638</v>
          </cell>
          <cell r="T221">
            <v>15785</v>
          </cell>
          <cell r="U221">
            <v>15571</v>
          </cell>
          <cell r="V221">
            <v>15412</v>
          </cell>
          <cell r="W221">
            <v>15776</v>
          </cell>
          <cell r="X221">
            <v>22390</v>
          </cell>
          <cell r="Y221">
            <v>26970</v>
          </cell>
          <cell r="Z221">
            <v>26313</v>
          </cell>
          <cell r="AA221">
            <v>24892</v>
          </cell>
          <cell r="AB221">
            <v>23904</v>
          </cell>
          <cell r="AC221">
            <v>25003</v>
          </cell>
          <cell r="AD221">
            <v>26405</v>
          </cell>
          <cell r="AE221">
            <v>27959.427458112747</v>
          </cell>
          <cell r="AF221">
            <v>29729.463580880543</v>
          </cell>
          <cell r="AG221">
            <v>30302.392530862733</v>
          </cell>
          <cell r="AH221">
            <v>30616.354918597252</v>
          </cell>
          <cell r="AI221">
            <v>30922.518467783226</v>
          </cell>
          <cell r="AJ221">
            <v>31231.743652461057</v>
          </cell>
          <cell r="AK221">
            <v>31544.061088985669</v>
          </cell>
          <cell r="AL221">
            <v>31859.501699875527</v>
          </cell>
          <cell r="AN221" t="str">
            <v>Total</v>
          </cell>
          <cell r="EL221" t="str">
            <v>Total</v>
          </cell>
          <cell r="EX221">
            <v>0.99364581839822941</v>
          </cell>
          <cell r="EY221">
            <v>1.0053855991928882</v>
          </cell>
          <cell r="EZ221">
            <v>1.0049007333596589</v>
          </cell>
          <cell r="FA221">
            <v>0.96635245216954013</v>
          </cell>
          <cell r="FD221">
            <v>1.0093706103322386</v>
          </cell>
          <cell r="FE221">
            <v>0.99942053289687438</v>
          </cell>
          <cell r="FF221">
            <v>1.0028127761391281</v>
          </cell>
          <cell r="FG221">
            <v>0.99829531956488382</v>
          </cell>
          <cell r="FH221">
            <v>0.99616480017746767</v>
          </cell>
          <cell r="FJ221">
            <v>1.0150952522446879</v>
          </cell>
          <cell r="FK221">
            <v>1.028988144998136</v>
          </cell>
          <cell r="FL221">
            <v>1.0174659464761271</v>
          </cell>
          <cell r="FM221">
            <v>1.004258927748259</v>
          </cell>
          <cell r="FN221">
            <v>1.0094977226152135</v>
          </cell>
          <cell r="FP221">
            <v>1.0000259928958455</v>
          </cell>
          <cell r="FQ221">
            <v>0.99963688802128137</v>
          </cell>
          <cell r="FR221">
            <v>1.0093878458063197</v>
          </cell>
          <cell r="FS221">
            <v>1.0000370362620763</v>
          </cell>
          <cell r="FT221">
            <v>1.0017002547102301</v>
          </cell>
          <cell r="FV221">
            <v>1.0021044058948783</v>
          </cell>
          <cell r="FW221">
            <v>1.0081307827273334</v>
          </cell>
          <cell r="FX221">
            <v>1.0033467891940979</v>
          </cell>
          <cell r="FY221">
            <v>1.0155381429309334</v>
          </cell>
          <cell r="FZ221">
            <v>1.0152922484576603</v>
          </cell>
          <cell r="GB221">
            <v>1.0132824557239268</v>
          </cell>
          <cell r="GC221">
            <v>1.0138954016780533</v>
          </cell>
          <cell r="GD221">
            <v>1.0060645702976547</v>
          </cell>
          <cell r="GE221">
            <v>1.0305274860110949</v>
          </cell>
          <cell r="GF221">
            <v>1.0083583012001358</v>
          </cell>
          <cell r="GG221" t="str">
            <v>53rd Week Adjustments for 4Q12e</v>
          </cell>
          <cell r="GM221" t="str">
            <v>Revenues from extra week</v>
          </cell>
          <cell r="GO221">
            <v>350.71381633376672</v>
          </cell>
        </row>
        <row r="222">
          <cell r="A222" t="str">
            <v xml:space="preserve"> % Same-store</v>
          </cell>
          <cell r="N222">
            <v>2.7E-2</v>
          </cell>
          <cell r="O222">
            <v>3.1E-2</v>
          </cell>
          <cell r="P222">
            <v>2.7E-2</v>
          </cell>
          <cell r="Q222">
            <v>2.1999999999999999E-2</v>
          </cell>
          <cell r="R222">
            <v>4.4999999999999998E-2</v>
          </cell>
          <cell r="S222">
            <v>0.02</v>
          </cell>
          <cell r="T222">
            <v>-5.2999999999999999E-2</v>
          </cell>
          <cell r="U222">
            <v>-0.03</v>
          </cell>
          <cell r="V222">
            <v>-9.0000000000000011E-3</v>
          </cell>
          <cell r="W222">
            <v>2.5999999999999999E-2</v>
          </cell>
          <cell r="X222">
            <v>1.2999999999999999E-2</v>
          </cell>
          <cell r="Y222">
            <v>4.3999999999999997E-2</v>
          </cell>
          <cell r="Z222">
            <v>-1.2799528750047504E-2</v>
          </cell>
          <cell r="AA222">
            <v>-4.4999999999999998E-2</v>
          </cell>
          <cell r="AB222">
            <v>-5.0968425652024113E-2</v>
          </cell>
          <cell r="AC222">
            <v>4.610434747830261E-2</v>
          </cell>
          <cell r="AD222">
            <v>5.2999999999999999E-2</v>
          </cell>
          <cell r="AE222">
            <v>5.0171736300135057E-2</v>
          </cell>
          <cell r="AF222">
            <v>7.5000000000000011E-2</v>
          </cell>
          <cell r="AG222">
            <v>0.02</v>
          </cell>
          <cell r="AH222">
            <v>0.01</v>
          </cell>
          <cell r="AI222">
            <v>0.01</v>
          </cell>
          <cell r="AJ222">
            <v>0.01</v>
          </cell>
          <cell r="AK222">
            <v>0.01</v>
          </cell>
          <cell r="AL222">
            <v>0.01</v>
          </cell>
          <cell r="GJ222" t="str">
            <v>4Q Gross Profit $ (ex 53rd week)</v>
          </cell>
          <cell r="GK222">
            <v>3728.8292256978107</v>
          </cell>
          <cell r="GM222" t="str">
            <v>EBIT from extra week</v>
          </cell>
          <cell r="GO222">
            <v>81.440379311760893</v>
          </cell>
        </row>
        <row r="223">
          <cell r="A223" t="str">
            <v>CGS, OCC, Buying Costs</v>
          </cell>
          <cell r="N223">
            <v>9038</v>
          </cell>
          <cell r="O223">
            <v>9018</v>
          </cell>
          <cell r="P223">
            <v>9200</v>
          </cell>
          <cell r="Q223">
            <v>9218</v>
          </cell>
          <cell r="R223">
            <v>9576</v>
          </cell>
          <cell r="S223">
            <v>9955</v>
          </cell>
          <cell r="T223">
            <v>9603</v>
          </cell>
          <cell r="U223">
            <v>9324</v>
          </cell>
          <cell r="V223">
            <v>9175</v>
          </cell>
          <cell r="W223">
            <v>9346</v>
          </cell>
          <cell r="X223">
            <v>13272</v>
          </cell>
          <cell r="Y223">
            <v>16019</v>
          </cell>
          <cell r="Z223">
            <v>15765.705839502129</v>
          </cell>
          <cell r="AA223">
            <v>15009</v>
          </cell>
          <cell r="AB223">
            <v>14287</v>
          </cell>
          <cell r="AC223">
            <v>14824</v>
          </cell>
          <cell r="AD223">
            <v>15738</v>
          </cell>
          <cell r="AE223">
            <v>16573.058987628334</v>
          </cell>
          <cell r="AF223">
            <v>17384.419050847919</v>
          </cell>
          <cell r="AG223">
            <v>17673.987886043768</v>
          </cell>
          <cell r="AH223">
            <v>17887.724020426696</v>
          </cell>
          <cell r="AI223">
            <v>18128.44629756653</v>
          </cell>
          <cell r="AJ223">
            <v>18309.730760542196</v>
          </cell>
          <cell r="AK223">
            <v>18492.828068147617</v>
          </cell>
          <cell r="AL223">
            <v>18677.756348829098</v>
          </cell>
          <cell r="AN223" t="str">
            <v>Cost of Goods Sold</v>
          </cell>
          <cell r="EL223" t="str">
            <v>Cost of Goods Sold</v>
          </cell>
          <cell r="ER223">
            <v>3627</v>
          </cell>
          <cell r="ES223">
            <v>3470</v>
          </cell>
          <cell r="ET223">
            <v>3513</v>
          </cell>
          <cell r="EU223">
            <v>5409</v>
          </cell>
          <cell r="EV223">
            <v>16019</v>
          </cell>
          <cell r="EX223">
            <v>3564</v>
          </cell>
          <cell r="EY223">
            <v>3507</v>
          </cell>
          <cell r="EZ223">
            <v>3585</v>
          </cell>
          <cell r="FA223">
            <v>5021</v>
          </cell>
          <cell r="FB223">
            <v>15677</v>
          </cell>
          <cell r="FD223">
            <v>3527</v>
          </cell>
          <cell r="FE223">
            <v>3346</v>
          </cell>
          <cell r="FF223">
            <v>3324</v>
          </cell>
          <cell r="FG223">
            <v>4812</v>
          </cell>
          <cell r="FH223">
            <v>15009</v>
          </cell>
          <cell r="FJ223">
            <v>3279</v>
          </cell>
          <cell r="FK223">
            <v>3117</v>
          </cell>
          <cell r="FL223">
            <v>3241</v>
          </cell>
          <cell r="FM223">
            <v>4641</v>
          </cell>
          <cell r="FN223">
            <v>14278</v>
          </cell>
          <cell r="FP223">
            <v>3378</v>
          </cell>
          <cell r="FQ223">
            <v>3214</v>
          </cell>
          <cell r="FR223">
            <v>3377</v>
          </cell>
          <cell r="FS223">
            <v>4855</v>
          </cell>
          <cell r="FT223">
            <v>14824</v>
          </cell>
          <cell r="FV223">
            <v>3586</v>
          </cell>
          <cell r="FW223">
            <v>3457</v>
          </cell>
          <cell r="FX223">
            <v>3544</v>
          </cell>
          <cell r="FY223">
            <v>5151</v>
          </cell>
          <cell r="FZ223">
            <v>15738</v>
          </cell>
          <cell r="GB223">
            <v>3757</v>
          </cell>
          <cell r="GC223">
            <v>3555</v>
          </cell>
          <cell r="GD223">
            <v>3666.0995494313679</v>
          </cell>
          <cell r="GE223">
            <v>5495.0171538201503</v>
          </cell>
          <cell r="GF223">
            <v>16473.116703251519</v>
          </cell>
          <cell r="GJ223" t="str">
            <v>4Q Gross Margin % (ex 53rd week)</v>
          </cell>
          <cell r="GK223">
            <v>0.41355983493810178</v>
          </cell>
          <cell r="GM223" t="str">
            <v>4Q tax rate</v>
          </cell>
          <cell r="GO223">
            <v>0.37</v>
          </cell>
        </row>
        <row r="224">
          <cell r="A224" t="str">
            <v>CGS, OCC, Buying Costs %</v>
          </cell>
          <cell r="N224">
            <v>0.61844806350075265</v>
          </cell>
          <cell r="O224">
            <v>0.60796871839816624</v>
          </cell>
          <cell r="P224">
            <v>0.60446780551905388</v>
          </cell>
          <cell r="Q224">
            <v>0.59993491701919943</v>
          </cell>
          <cell r="R224">
            <v>0.59741718135878719</v>
          </cell>
          <cell r="S224">
            <v>0.5983291260968866</v>
          </cell>
          <cell r="T224">
            <v>0.60836236933797905</v>
          </cell>
          <cell r="U224">
            <v>0.59880547171023057</v>
          </cell>
          <cell r="V224">
            <v>0.59531533869711917</v>
          </cell>
          <cell r="W224">
            <v>0.59241886409736311</v>
          </cell>
          <cell r="X224">
            <v>0.59276462706565436</v>
          </cell>
          <cell r="Y224">
            <v>0.59395624768261035</v>
          </cell>
          <cell r="Z224">
            <v>0.59916033289636794</v>
          </cell>
          <cell r="AA224">
            <v>0.60296480797043228</v>
          </cell>
          <cell r="AB224">
            <v>0.59768239625167341</v>
          </cell>
          <cell r="AC224">
            <v>0.59288885333759944</v>
          </cell>
          <cell r="AD224">
            <v>0.59602348040143915</v>
          </cell>
          <cell r="AE224">
            <v>0.59275387568136595</v>
          </cell>
          <cell r="AF224">
            <v>0.58475387568136594</v>
          </cell>
          <cell r="AG224">
            <v>0.583253875681366</v>
          </cell>
          <cell r="AH224">
            <v>0.584253875681366</v>
          </cell>
          <cell r="AI224">
            <v>0.586253875681366</v>
          </cell>
          <cell r="AJ224">
            <v>0.586253875681366</v>
          </cell>
          <cell r="AK224">
            <v>0.586253875681366</v>
          </cell>
          <cell r="AL224">
            <v>0.58625387568136611</v>
          </cell>
          <cell r="AN224" t="str">
            <v>CGS, OCC, Buying Costs %</v>
          </cell>
          <cell r="EL224" t="str">
            <v>CGS, OCC, Buying Costs %</v>
          </cell>
          <cell r="ER224">
            <v>0.61163575042158513</v>
          </cell>
          <cell r="ES224">
            <v>0.57881567973311088</v>
          </cell>
          <cell r="ET224">
            <v>0.59683995922528033</v>
          </cell>
          <cell r="EU224">
            <v>0.59056665574844414</v>
          </cell>
          <cell r="EV224">
            <v>0.59395624768261035</v>
          </cell>
          <cell r="EX224">
            <v>0.60192535044755957</v>
          </cell>
          <cell r="EY224">
            <v>0.59521384928716903</v>
          </cell>
          <cell r="EZ224">
            <v>0.60700982052150354</v>
          </cell>
          <cell r="FA224">
            <v>0.58424482196881544</v>
          </cell>
          <cell r="FB224">
            <v>0.59578915365028695</v>
          </cell>
          <cell r="FD224">
            <v>0.61371150165303634</v>
          </cell>
          <cell r="FE224">
            <v>0.5851696397341728</v>
          </cell>
          <cell r="FF224">
            <v>0.60513380666302563</v>
          </cell>
          <cell r="FG224">
            <v>0.60650365515502902</v>
          </cell>
          <cell r="FH224">
            <v>0.60296480797043228</v>
          </cell>
          <cell r="FJ224">
            <v>0.62008320726172461</v>
          </cell>
          <cell r="FK224">
            <v>0.58978240302743612</v>
          </cell>
          <cell r="FL224">
            <v>0.6018570102135562</v>
          </cell>
          <cell r="FM224">
            <v>0.58472974675570111</v>
          </cell>
          <cell r="FN224">
            <v>0.59753086419753088</v>
          </cell>
          <cell r="FP224">
            <v>0.60602798708288486</v>
          </cell>
          <cell r="FQ224">
            <v>0.58045873216543253</v>
          </cell>
          <cell r="FR224">
            <v>0.60056909123243818</v>
          </cell>
          <cell r="FS224">
            <v>0.58713266416737209</v>
          </cell>
          <cell r="FT224">
            <v>0.59288885333759944</v>
          </cell>
          <cell r="FV224">
            <v>0.60893190694515198</v>
          </cell>
          <cell r="FW224">
            <v>0.58208452601448057</v>
          </cell>
          <cell r="FX224">
            <v>0.60550145224671104</v>
          </cell>
          <cell r="FY224">
            <v>0.59044016506189823</v>
          </cell>
          <cell r="FZ224">
            <v>0.59602348040143915</v>
          </cell>
          <cell r="GB224">
            <v>0.61159042812957842</v>
          </cell>
          <cell r="GC224">
            <v>0.58107224583197126</v>
          </cell>
          <cell r="GD224">
            <v>0.60400145224671109</v>
          </cell>
          <cell r="GE224">
            <v>0.58662736950345429</v>
          </cell>
          <cell r="GF224">
            <v>0.59474414748937621</v>
          </cell>
          <cell r="GJ224" t="str">
            <v>MS 4Q Core Gross Margin ∆ (ex 53rd week)</v>
          </cell>
          <cell r="GK224">
            <v>40</v>
          </cell>
          <cell r="GM224" t="str">
            <v>Net inc. benefit from extra wk</v>
          </cell>
          <cell r="GO224">
            <v>51.307438966409364</v>
          </cell>
        </row>
        <row r="225">
          <cell r="A225" t="str">
            <v>Y/Y ∆ CGS, OCC, Buying Costs % (bps)</v>
          </cell>
          <cell r="O225">
            <v>-104.79345102586413</v>
          </cell>
          <cell r="P225">
            <v>-35.009128791123615</v>
          </cell>
          <cell r="Q225">
            <v>-45.328884998544481</v>
          </cell>
          <cell r="R225">
            <v>-25.177356604122458</v>
          </cell>
          <cell r="S225">
            <v>9.1194473809941279</v>
          </cell>
          <cell r="T225">
            <v>100.33243241092448</v>
          </cell>
          <cell r="U225">
            <v>-95.568976277484722</v>
          </cell>
          <cell r="V225">
            <v>-34.901330131114072</v>
          </cell>
          <cell r="W225">
            <v>-28.964745997560605</v>
          </cell>
          <cell r="X225">
            <v>3.4576296829125219</v>
          </cell>
          <cell r="Y225">
            <v>11.916206169559906</v>
          </cell>
          <cell r="Z225">
            <v>52.040852137575925</v>
          </cell>
          <cell r="AA225">
            <v>38.044750740643394</v>
          </cell>
          <cell r="AB225">
            <v>-52.824117187588726</v>
          </cell>
          <cell r="AC225">
            <v>-47.935429140739672</v>
          </cell>
          <cell r="AD225">
            <v>31.346270638397122</v>
          </cell>
          <cell r="AE225">
            <v>-32.696047200732046</v>
          </cell>
          <cell r="AF225">
            <v>-80.000000000000071</v>
          </cell>
          <cell r="AG225">
            <v>-14.999999999999458</v>
          </cell>
          <cell r="AH225">
            <v>10.000000000000009</v>
          </cell>
          <cell r="AI225">
            <v>20.000000000000018</v>
          </cell>
          <cell r="AJ225">
            <v>0</v>
          </cell>
          <cell r="AK225">
            <v>0</v>
          </cell>
          <cell r="AL225">
            <v>1.1102230246251565E-12</v>
          </cell>
          <cell r="AN225" t="str">
            <v>BPS Change</v>
          </cell>
          <cell r="EL225" t="str">
            <v>BPS Change</v>
          </cell>
          <cell r="ER225">
            <v>139.97738886292632</v>
          </cell>
          <cell r="ES225">
            <v>-79.90834205613973</v>
          </cell>
          <cell r="ET225">
            <v>6.2033726308408088</v>
          </cell>
          <cell r="EU225">
            <v>-5.9414249625333593</v>
          </cell>
          <cell r="EV225">
            <v>11.916206169559906</v>
          </cell>
          <cell r="EX225">
            <v>-97.103999740255631</v>
          </cell>
          <cell r="EY225">
            <v>163.98169554058151</v>
          </cell>
          <cell r="EZ225">
            <v>101.69861296223215</v>
          </cell>
          <cell r="FA225">
            <v>-63.218337796286939</v>
          </cell>
          <cell r="FB225">
            <v>18.329059676766015</v>
          </cell>
          <cell r="FD225">
            <v>117.86151205476769</v>
          </cell>
          <cell r="FE225">
            <v>-100.4420955299623</v>
          </cell>
          <cell r="FF225">
            <v>-18.760138584779096</v>
          </cell>
          <cell r="FG225">
            <v>222.58833186213579</v>
          </cell>
          <cell r="FH225">
            <v>71.756543201453297</v>
          </cell>
          <cell r="FJ225">
            <v>63.717056086882721</v>
          </cell>
          <cell r="FK225">
            <v>46.127632932633219</v>
          </cell>
          <cell r="FL225">
            <v>-32.767964494694326</v>
          </cell>
          <cell r="FM225">
            <v>-217.73908399327914</v>
          </cell>
          <cell r="FN225">
            <v>-54.339437729014065</v>
          </cell>
          <cell r="FP225">
            <v>-140.55220178839755</v>
          </cell>
          <cell r="FQ225">
            <v>-93.236708620035856</v>
          </cell>
          <cell r="FR225">
            <v>-12.879189811180192</v>
          </cell>
          <cell r="FS225">
            <v>24.029174116709797</v>
          </cell>
          <cell r="FT225">
            <v>-46.420108599314332</v>
          </cell>
          <cell r="FV225">
            <v>29.039198622671236</v>
          </cell>
          <cell r="FW225">
            <v>16.257938490480406</v>
          </cell>
          <cell r="FX225">
            <v>49.323610142728569</v>
          </cell>
          <cell r="FY225">
            <v>33.075008945261388</v>
          </cell>
          <cell r="FZ225">
            <v>31.346270638397122</v>
          </cell>
          <cell r="GB225">
            <v>26.585211844264435</v>
          </cell>
          <cell r="GC225">
            <v>-10.122801825093175</v>
          </cell>
          <cell r="GD225">
            <v>-14.999999999999458</v>
          </cell>
          <cell r="GE225">
            <v>-38.127955584439377</v>
          </cell>
          <cell r="GF225">
            <v>-12.793329120629471</v>
          </cell>
          <cell r="GJ225" t="str">
            <v>Extra Week Gross Profit $ (incremental)</v>
          </cell>
          <cell r="GK225">
            <v>143.28757891183548</v>
          </cell>
          <cell r="GM225" t="str">
            <v>4Q diluted shares</v>
          </cell>
          <cell r="GO225">
            <v>397.54335839599003</v>
          </cell>
        </row>
        <row r="226">
          <cell r="A226" t="str">
            <v>Gross Income</v>
          </cell>
          <cell r="N226">
            <v>5576</v>
          </cell>
          <cell r="O226">
            <v>5815</v>
          </cell>
          <cell r="P226">
            <v>6020</v>
          </cell>
          <cell r="Q226">
            <v>6147</v>
          </cell>
          <cell r="R226">
            <v>6453</v>
          </cell>
          <cell r="S226">
            <v>6683</v>
          </cell>
          <cell r="T226">
            <v>6182</v>
          </cell>
          <cell r="U226">
            <v>6247</v>
          </cell>
          <cell r="V226">
            <v>6237</v>
          </cell>
          <cell r="W226">
            <v>6430</v>
          </cell>
          <cell r="X226">
            <v>9118</v>
          </cell>
          <cell r="Y226">
            <v>10951</v>
          </cell>
          <cell r="Z226">
            <v>10547.294160497871</v>
          </cell>
          <cell r="AA226">
            <v>9883</v>
          </cell>
          <cell r="AB226">
            <v>9617</v>
          </cell>
          <cell r="AC226">
            <v>10179</v>
          </cell>
          <cell r="AD226">
            <v>10667</v>
          </cell>
          <cell r="AE226">
            <v>11386.368470484413</v>
          </cell>
          <cell r="AF226">
            <v>12345.044530032625</v>
          </cell>
          <cell r="AG226">
            <v>12628.404644818967</v>
          </cell>
          <cell r="AH226">
            <v>12728.630898170555</v>
          </cell>
          <cell r="AI226">
            <v>12794.072170216694</v>
          </cell>
          <cell r="AJ226">
            <v>12922.012891918861</v>
          </cell>
          <cell r="AK226">
            <v>13051.23302083805</v>
          </cell>
          <cell r="AL226">
            <v>13181.745351046431</v>
          </cell>
          <cell r="GJ226" t="str">
            <v>Extra Week Gross Margin % (incremental)</v>
          </cell>
          <cell r="GK226">
            <v>0.40855983493810177</v>
          </cell>
          <cell r="GM226" t="str">
            <v>4Q EPS benefit from extra wk</v>
          </cell>
          <cell r="GO226">
            <v>0.12906124044789702</v>
          </cell>
        </row>
        <row r="227">
          <cell r="A227" t="str">
            <v>Gross Margin</v>
          </cell>
          <cell r="N227">
            <v>0.38155193649924729</v>
          </cell>
          <cell r="O227">
            <v>0.39203128160183376</v>
          </cell>
          <cell r="P227">
            <v>0.39553219448094612</v>
          </cell>
          <cell r="Q227">
            <v>0.40006508298080051</v>
          </cell>
          <cell r="R227">
            <v>0.40258281864121281</v>
          </cell>
          <cell r="S227">
            <v>0.40167087390311335</v>
          </cell>
          <cell r="T227">
            <v>0.3916376306620209</v>
          </cell>
          <cell r="U227">
            <v>0.40119452828976943</v>
          </cell>
          <cell r="V227">
            <v>0.40468466130288089</v>
          </cell>
          <cell r="W227">
            <v>0.40758113590263689</v>
          </cell>
          <cell r="X227">
            <v>0.4072353729343457</v>
          </cell>
          <cell r="Y227">
            <v>0.40604375231738971</v>
          </cell>
          <cell r="Z227">
            <v>0.40083966710363211</v>
          </cell>
          <cell r="AA227">
            <v>0.39703519202956772</v>
          </cell>
          <cell r="AB227">
            <v>0.40231760374832665</v>
          </cell>
          <cell r="AC227">
            <v>0.4071111466624005</v>
          </cell>
          <cell r="AD227">
            <v>0.4039765195985609</v>
          </cell>
          <cell r="AE227">
            <v>0.407246124318634</v>
          </cell>
          <cell r="AF227">
            <v>0.415246124318634</v>
          </cell>
          <cell r="AG227">
            <v>0.416746124318634</v>
          </cell>
          <cell r="AH227">
            <v>0.415746124318634</v>
          </cell>
          <cell r="AI227">
            <v>0.413746124318634</v>
          </cell>
          <cell r="AJ227">
            <v>0.413746124318634</v>
          </cell>
          <cell r="AK227">
            <v>0.413746124318634</v>
          </cell>
          <cell r="AL227">
            <v>0.413746124318634</v>
          </cell>
          <cell r="AN227" t="str">
            <v>Gross Income</v>
          </cell>
          <cell r="EL227" t="str">
            <v>Gross Income</v>
          </cell>
          <cell r="ER227">
            <v>2303</v>
          </cell>
          <cell r="ES227">
            <v>2525</v>
          </cell>
          <cell r="ET227">
            <v>2373</v>
          </cell>
          <cell r="EU227">
            <v>3750</v>
          </cell>
          <cell r="EV227">
            <v>10951</v>
          </cell>
          <cell r="EX227">
            <v>2357</v>
          </cell>
          <cell r="EY227">
            <v>2385</v>
          </cell>
          <cell r="EZ227">
            <v>2321</v>
          </cell>
          <cell r="FA227">
            <v>3573</v>
          </cell>
          <cell r="FB227">
            <v>10636</v>
          </cell>
          <cell r="FD227">
            <v>2220</v>
          </cell>
          <cell r="FE227">
            <v>2372</v>
          </cell>
          <cell r="FF227">
            <v>2169</v>
          </cell>
          <cell r="FG227">
            <v>3122</v>
          </cell>
          <cell r="FH227">
            <v>9883</v>
          </cell>
          <cell r="FJ227">
            <v>2009</v>
          </cell>
          <cell r="FK227">
            <v>2168</v>
          </cell>
          <cell r="FL227">
            <v>2144</v>
          </cell>
          <cell r="FM227">
            <v>3296</v>
          </cell>
          <cell r="FN227">
            <v>9617</v>
          </cell>
          <cell r="FP227">
            <v>2196</v>
          </cell>
          <cell r="FQ227">
            <v>2323</v>
          </cell>
          <cell r="FR227">
            <v>2246</v>
          </cell>
          <cell r="FS227">
            <v>3414</v>
          </cell>
          <cell r="FT227">
            <v>10179</v>
          </cell>
          <cell r="FU227" t="str">
            <v>2H</v>
          </cell>
          <cell r="FV227">
            <v>2303</v>
          </cell>
          <cell r="FW227">
            <v>2482</v>
          </cell>
          <cell r="FX227">
            <v>2309</v>
          </cell>
          <cell r="FY227">
            <v>3573</v>
          </cell>
          <cell r="FZ227">
            <v>10667</v>
          </cell>
          <cell r="GB227">
            <v>2386</v>
          </cell>
          <cell r="GC227">
            <v>2563</v>
          </cell>
          <cell r="GD227">
            <v>2403.5870975038929</v>
          </cell>
          <cell r="GE227">
            <v>3872.1168046096464</v>
          </cell>
          <cell r="GF227">
            <v>11224.703902113539</v>
          </cell>
          <cell r="GJ227" t="str">
            <v>Extra Week Gross Margin ∆ bps (incremental vs 4Q)</v>
          </cell>
          <cell r="GK227">
            <v>-50</v>
          </cell>
          <cell r="GM227" t="str">
            <v>FY12 diluted shares</v>
          </cell>
          <cell r="GO227">
            <v>411.14899749373433</v>
          </cell>
        </row>
        <row r="228">
          <cell r="A228" t="str">
            <v>Y/Y ∆ Gross Margin (bps)</v>
          </cell>
          <cell r="O228">
            <v>104.79345102586468</v>
          </cell>
          <cell r="P228">
            <v>35.009128791123615</v>
          </cell>
          <cell r="Q228">
            <v>45.328884998543927</v>
          </cell>
          <cell r="R228">
            <v>25.177356604123013</v>
          </cell>
          <cell r="S228">
            <v>-9.1194473809946821</v>
          </cell>
          <cell r="T228">
            <v>-100.33243241092448</v>
          </cell>
          <cell r="U228">
            <v>95.568976277485291</v>
          </cell>
          <cell r="V228">
            <v>34.901330131114626</v>
          </cell>
          <cell r="W228">
            <v>28.964745997560048</v>
          </cell>
          <cell r="X228">
            <v>-3.4576296829119668</v>
          </cell>
          <cell r="Y228">
            <v>-11.916206169559906</v>
          </cell>
          <cell r="Z228">
            <v>-52.040852137575925</v>
          </cell>
          <cell r="AA228">
            <v>-38.044750740643948</v>
          </cell>
          <cell r="AB228">
            <v>52.82411718758928</v>
          </cell>
          <cell r="AC228">
            <v>47.935429140738563</v>
          </cell>
          <cell r="AD228">
            <v>-31.346270638396014</v>
          </cell>
          <cell r="AE228">
            <v>32.696047200730938</v>
          </cell>
          <cell r="AF228">
            <v>80</v>
          </cell>
          <cell r="AG228">
            <v>15</v>
          </cell>
          <cell r="AH228">
            <v>-10</v>
          </cell>
          <cell r="AI228">
            <v>-20</v>
          </cell>
          <cell r="AJ228">
            <v>0</v>
          </cell>
          <cell r="AK228">
            <v>0</v>
          </cell>
          <cell r="AL228">
            <v>0</v>
          </cell>
          <cell r="AN228" t="str">
            <v>Gross Margin</v>
          </cell>
          <cell r="EL228" t="str">
            <v>Gross Margin</v>
          </cell>
          <cell r="ER228">
            <v>0.38836424957841487</v>
          </cell>
          <cell r="ES228">
            <v>0.42118432026688907</v>
          </cell>
          <cell r="ET228">
            <v>0.40316004077471967</v>
          </cell>
          <cell r="EU228">
            <v>0.40943334425155586</v>
          </cell>
          <cell r="EV228">
            <v>0.40604375231738971</v>
          </cell>
          <cell r="EX228">
            <v>0.39807464955244048</v>
          </cell>
          <cell r="EY228">
            <v>0.40478615071283097</v>
          </cell>
          <cell r="EZ228">
            <v>0.39299017947849646</v>
          </cell>
          <cell r="FA228">
            <v>0.41575517803118456</v>
          </cell>
          <cell r="FB228">
            <v>0.40421084634971305</v>
          </cell>
          <cell r="FD228">
            <v>0.38628849834696366</v>
          </cell>
          <cell r="FE228">
            <v>0.4148303602658272</v>
          </cell>
          <cell r="FF228">
            <v>0.39486619333697431</v>
          </cell>
          <cell r="FG228">
            <v>0.39349634484497104</v>
          </cell>
          <cell r="FH228">
            <v>0.39703519202956772</v>
          </cell>
          <cell r="FJ228">
            <v>0.37991679273827533</v>
          </cell>
          <cell r="FK228">
            <v>0.41021759697256388</v>
          </cell>
          <cell r="FL228">
            <v>0.3981429897864438</v>
          </cell>
          <cell r="FM228">
            <v>0.41527025324429884</v>
          </cell>
          <cell r="FN228">
            <v>0.40246913580246912</v>
          </cell>
          <cell r="FP228">
            <v>0.3939720129171152</v>
          </cell>
          <cell r="FQ228">
            <v>0.41954126783456747</v>
          </cell>
          <cell r="FR228">
            <v>0.39943090876756182</v>
          </cell>
          <cell r="FS228">
            <v>0.41286733583262791</v>
          </cell>
          <cell r="FT228">
            <v>0.4071111466624005</v>
          </cell>
          <cell r="FU228">
            <v>0.40742873596314427</v>
          </cell>
          <cell r="FV228">
            <v>0.39106809305484802</v>
          </cell>
          <cell r="FW228">
            <v>0.41791547398551943</v>
          </cell>
          <cell r="FX228">
            <v>0.39449854775328891</v>
          </cell>
          <cell r="FY228">
            <v>0.40955983493810177</v>
          </cell>
          <cell r="FZ228">
            <v>0.4039765195985609</v>
          </cell>
          <cell r="GB228">
            <v>0.38840957187042163</v>
          </cell>
          <cell r="GC228">
            <v>0.41892775416802874</v>
          </cell>
          <cell r="GD228">
            <v>0.39599854775328891</v>
          </cell>
          <cell r="GE228">
            <v>0.41337263049654577</v>
          </cell>
          <cell r="GF228">
            <v>0.40525585251062379</v>
          </cell>
          <cell r="GM228" t="str">
            <v>FY12 EPS benefit</v>
          </cell>
          <cell r="GO228">
            <v>0.12479037837661579</v>
          </cell>
        </row>
        <row r="229">
          <cell r="A229" t="str">
            <v>SG&amp;A Expenses</v>
          </cell>
          <cell r="N229">
            <v>4913</v>
          </cell>
          <cell r="O229">
            <v>4922</v>
          </cell>
          <cell r="P229">
            <v>4679</v>
          </cell>
          <cell r="Q229">
            <v>4692</v>
          </cell>
          <cell r="R229">
            <v>4760</v>
          </cell>
          <cell r="S229">
            <v>4912</v>
          </cell>
          <cell r="T229">
            <v>4806</v>
          </cell>
          <cell r="U229">
            <v>4836</v>
          </cell>
          <cell r="V229">
            <v>4837</v>
          </cell>
          <cell r="W229">
            <v>4931</v>
          </cell>
          <cell r="X229">
            <v>6980</v>
          </cell>
          <cell r="Y229">
            <v>8678</v>
          </cell>
          <cell r="Z229">
            <v>8486.7237921820597</v>
          </cell>
          <cell r="AA229">
            <v>8458</v>
          </cell>
          <cell r="AB229">
            <v>8163</v>
          </cell>
          <cell r="AC229">
            <v>8260</v>
          </cell>
          <cell r="AD229">
            <v>8281</v>
          </cell>
          <cell r="AE229">
            <v>8590.9232459556424</v>
          </cell>
          <cell r="AF229">
            <v>9075.3325541519971</v>
          </cell>
          <cell r="AG229">
            <v>9219.9246980410044</v>
          </cell>
          <cell r="AH229">
            <v>9284.8357695452942</v>
          </cell>
          <cell r="AI229">
            <v>9346.7616087729639</v>
          </cell>
          <cell r="AJ229">
            <v>9408.997481208231</v>
          </cell>
          <cell r="AK229">
            <v>9471.5433949313283</v>
          </cell>
          <cell r="AL229">
            <v>9534.3993271807667</v>
          </cell>
          <cell r="AN229" t="str">
            <v>BPS Change</v>
          </cell>
          <cell r="EL229" t="str">
            <v>BPS Change</v>
          </cell>
          <cell r="ER229">
            <v>-139.97738886292632</v>
          </cell>
          <cell r="ES229">
            <v>79.908342056138622</v>
          </cell>
          <cell r="ET229">
            <v>-6.2033726308408088</v>
          </cell>
          <cell r="EU229">
            <v>5.9414249625339144</v>
          </cell>
          <cell r="EV229">
            <v>-11.916206169559906</v>
          </cell>
          <cell r="EX229">
            <v>97.103999740256185</v>
          </cell>
          <cell r="EY229">
            <v>-163.98169554058094</v>
          </cell>
          <cell r="EZ229">
            <v>-101.69861296223215</v>
          </cell>
          <cell r="FA229">
            <v>63.218337796286939</v>
          </cell>
          <cell r="FB229">
            <v>-18.329059676766569</v>
          </cell>
          <cell r="FD229">
            <v>-117.86151205476824</v>
          </cell>
          <cell r="FE229">
            <v>100.4420955299623</v>
          </cell>
          <cell r="FF229">
            <v>18.760138584778542</v>
          </cell>
          <cell r="FG229">
            <v>-222.58833186213522</v>
          </cell>
          <cell r="FH229">
            <v>-71.756543201453297</v>
          </cell>
          <cell r="FJ229">
            <v>-63.717056086883275</v>
          </cell>
          <cell r="FK229">
            <v>-46.127632932633219</v>
          </cell>
          <cell r="FL229">
            <v>32.76796449469488</v>
          </cell>
          <cell r="FM229">
            <v>217.73908399327803</v>
          </cell>
          <cell r="FN229">
            <v>54.339437729014065</v>
          </cell>
          <cell r="FP229">
            <v>140.55220178839866</v>
          </cell>
          <cell r="FQ229">
            <v>93.236708620035856</v>
          </cell>
          <cell r="FR229">
            <v>12.879189811180192</v>
          </cell>
          <cell r="FS229">
            <v>-24.029174116709239</v>
          </cell>
          <cell r="FT229">
            <v>46.420108599313778</v>
          </cell>
          <cell r="FU229">
            <v>0.40834709503077615</v>
          </cell>
          <cell r="FV229">
            <v>-29.03919862267179</v>
          </cell>
          <cell r="FW229">
            <v>-16.257938490480406</v>
          </cell>
          <cell r="FX229">
            <v>-49.323610142729123</v>
          </cell>
          <cell r="FY229">
            <v>-33.075008945261388</v>
          </cell>
          <cell r="FZ229">
            <v>-31.346270638396014</v>
          </cell>
          <cell r="GB229">
            <v>-26.585211844263878</v>
          </cell>
          <cell r="GC229">
            <v>10.122801825093175</v>
          </cell>
          <cell r="GD229">
            <v>15</v>
          </cell>
          <cell r="GE229">
            <v>38.127955584439931</v>
          </cell>
          <cell r="GF229">
            <v>12.793329120628915</v>
          </cell>
          <cell r="GG229" t="str">
            <v>SEE CREDIT INCOME TAB FOR SG&amp;A EXPENSE CALCS</v>
          </cell>
        </row>
        <row r="230">
          <cell r="A230" t="str">
            <v>SG&amp;A Ratio</v>
          </cell>
          <cell r="N230">
            <v>0.33618448063500755</v>
          </cell>
          <cell r="O230">
            <v>0.33182768152093306</v>
          </cell>
          <cell r="P230">
            <v>0.30742444152431014</v>
          </cell>
          <cell r="Q230">
            <v>0.30536934591604298</v>
          </cell>
          <cell r="R230">
            <v>0.29696175681577142</v>
          </cell>
          <cell r="S230">
            <v>0.29522779180189929</v>
          </cell>
          <cell r="T230">
            <v>0.30446626544187522</v>
          </cell>
          <cell r="U230">
            <v>0.31057735534005521</v>
          </cell>
          <cell r="V230">
            <v>0.31384635349078638</v>
          </cell>
          <cell r="W230">
            <v>0.31256338742393508</v>
          </cell>
          <cell r="X230">
            <v>0.311746315319339</v>
          </cell>
          <cell r="Y230">
            <v>0.32176492398961809</v>
          </cell>
          <cell r="Z230">
            <v>0.32252969225029682</v>
          </cell>
          <cell r="AA230">
            <v>0.33978788365739998</v>
          </cell>
          <cell r="AB230">
            <v>0.34149096385542171</v>
          </cell>
          <cell r="AC230">
            <v>0.33036035675718911</v>
          </cell>
          <cell r="AD230">
            <v>0.31361484567316794</v>
          </cell>
          <cell r="AE230">
            <v>0.30726391872029868</v>
          </cell>
          <cell r="AF230">
            <v>0.30526391872029868</v>
          </cell>
          <cell r="AG230">
            <v>0.30426391872029868</v>
          </cell>
          <cell r="AH230">
            <v>0.30326391872029868</v>
          </cell>
          <cell r="AI230">
            <v>0.30226391872029867</v>
          </cell>
          <cell r="AJ230">
            <v>0.30126391872029867</v>
          </cell>
          <cell r="AK230">
            <v>0.30026391872029867</v>
          </cell>
          <cell r="AL230">
            <v>0.29926391872029867</v>
          </cell>
          <cell r="GB230" t="str">
            <v>SEE CREDIT INCOME TAB FOR SG&amp;A FORECASTS</v>
          </cell>
          <cell r="GJ230" t="str">
            <v>Extra Week SG&amp;A $ (incremental)</v>
          </cell>
          <cell r="GK230">
            <v>61.847199600074589</v>
          </cell>
        </row>
        <row r="231">
          <cell r="A231" t="str">
            <v>Y/Y ∆ SG&amp;A Ratio (bps)</v>
          </cell>
          <cell r="O231">
            <v>-43.567991140744944</v>
          </cell>
          <cell r="P231">
            <v>-244.03239996622915</v>
          </cell>
          <cell r="Q231">
            <v>-20.550956082671657</v>
          </cell>
          <cell r="R231">
            <v>-84.075891002715622</v>
          </cell>
          <cell r="S231">
            <v>-17.339650138721296</v>
          </cell>
          <cell r="T231">
            <v>92.384736399759305</v>
          </cell>
          <cell r="U231">
            <v>61.110898981799892</v>
          </cell>
          <cell r="V231">
            <v>32.689981507311728</v>
          </cell>
          <cell r="W231">
            <v>-12.829660668512988</v>
          </cell>
          <cell r="X231">
            <v>-8.170721045960839</v>
          </cell>
          <cell r="Y231">
            <v>100.18608670279094</v>
          </cell>
          <cell r="Z231">
            <v>7.6476826067872761</v>
          </cell>
          <cell r="AA231">
            <v>172.58191407103163</v>
          </cell>
          <cell r="AB231">
            <v>17.030801980217337</v>
          </cell>
          <cell r="AC231">
            <v>-111.30607098232603</v>
          </cell>
          <cell r="AD231">
            <v>-167.45511084021169</v>
          </cell>
          <cell r="AE231">
            <v>-63.509269528692627</v>
          </cell>
          <cell r="AF231">
            <v>-20</v>
          </cell>
          <cell r="AG231">
            <v>-10</v>
          </cell>
          <cell r="AH231">
            <v>-10</v>
          </cell>
          <cell r="AI231">
            <v>-10</v>
          </cell>
          <cell r="AJ231">
            <v>-10</v>
          </cell>
          <cell r="AK231">
            <v>-10</v>
          </cell>
          <cell r="AL231">
            <v>-10</v>
          </cell>
          <cell r="AN231" t="str">
            <v>SG&amp;A Expenses (Total)</v>
          </cell>
          <cell r="EL231" t="str">
            <v>SG&amp;A Expenses (Total)</v>
          </cell>
          <cell r="ER231">
            <v>2154</v>
          </cell>
          <cell r="ES231">
            <v>2117</v>
          </cell>
          <cell r="ET231">
            <v>2094</v>
          </cell>
          <cell r="EU231">
            <v>2313</v>
          </cell>
          <cell r="EV231">
            <v>8678</v>
          </cell>
          <cell r="EX231">
            <v>2113</v>
          </cell>
          <cell r="EY231">
            <v>2038</v>
          </cell>
          <cell r="EZ231">
            <v>2121</v>
          </cell>
          <cell r="FA231">
            <v>2282</v>
          </cell>
          <cell r="FB231">
            <v>8554</v>
          </cell>
          <cell r="FD231">
            <v>2080</v>
          </cell>
          <cell r="FE231">
            <v>2037</v>
          </cell>
          <cell r="FF231">
            <v>2085</v>
          </cell>
          <cell r="FG231">
            <v>2256</v>
          </cell>
          <cell r="FH231">
            <v>8458</v>
          </cell>
          <cell r="FJ231">
            <v>1985</v>
          </cell>
          <cell r="FK231">
            <v>1886</v>
          </cell>
          <cell r="FL231">
            <v>2056</v>
          </cell>
          <cell r="FM231">
            <v>2236</v>
          </cell>
          <cell r="FN231">
            <v>8163</v>
          </cell>
          <cell r="FP231">
            <v>1993</v>
          </cell>
          <cell r="FQ231">
            <v>1953</v>
          </cell>
          <cell r="FR231">
            <v>2069</v>
          </cell>
          <cell r="FS231">
            <v>2245</v>
          </cell>
          <cell r="FT231">
            <v>8260</v>
          </cell>
          <cell r="FU231">
            <v>4314</v>
          </cell>
          <cell r="FV231">
            <v>1973</v>
          </cell>
          <cell r="FW231">
            <v>1976</v>
          </cell>
          <cell r="FX231">
            <v>2018</v>
          </cell>
          <cell r="FY231">
            <v>2314</v>
          </cell>
          <cell r="FZ231">
            <v>8281</v>
          </cell>
          <cell r="GB231">
            <v>1995</v>
          </cell>
          <cell r="GC231">
            <v>2009</v>
          </cell>
          <cell r="GD231">
            <v>2122.0121029772449</v>
          </cell>
          <cell r="GE231">
            <v>2427.3951769090281</v>
          </cell>
          <cell r="GF231">
            <v>8553.4072798862726</v>
          </cell>
          <cell r="GM231" t="str">
            <v>Bull Retail Revenues from extra week</v>
          </cell>
          <cell r="GO231">
            <v>357.39407950202894</v>
          </cell>
        </row>
        <row r="232">
          <cell r="A232" t="str">
            <v>Operating Income</v>
          </cell>
          <cell r="N232">
            <v>663</v>
          </cell>
          <cell r="O232">
            <v>893</v>
          </cell>
          <cell r="P232">
            <v>1341</v>
          </cell>
          <cell r="Q232">
            <v>1455</v>
          </cell>
          <cell r="R232">
            <v>1693</v>
          </cell>
          <cell r="S232">
            <v>1771</v>
          </cell>
          <cell r="T232">
            <v>1376</v>
          </cell>
          <cell r="U232">
            <v>1411</v>
          </cell>
          <cell r="V232">
            <v>1400</v>
          </cell>
          <cell r="W232">
            <v>1499</v>
          </cell>
          <cell r="X232">
            <v>2138</v>
          </cell>
          <cell r="Y232">
            <v>2273</v>
          </cell>
          <cell r="Z232">
            <v>2060.5703683158117</v>
          </cell>
          <cell r="AA232">
            <v>1425</v>
          </cell>
          <cell r="AB232">
            <v>1454</v>
          </cell>
          <cell r="AC232">
            <v>1919</v>
          </cell>
          <cell r="AD232">
            <v>2386</v>
          </cell>
          <cell r="AE232">
            <v>2795.4452245287703</v>
          </cell>
          <cell r="AF232">
            <v>3269.7119758806275</v>
          </cell>
          <cell r="AG232">
            <v>3408.4799467779631</v>
          </cell>
          <cell r="AH232">
            <v>3443.795128625261</v>
          </cell>
          <cell r="AI232">
            <v>3447.31056144373</v>
          </cell>
          <cell r="AJ232">
            <v>3513.01541071063</v>
          </cell>
          <cell r="AK232">
            <v>3579.6896259067216</v>
          </cell>
          <cell r="AL232">
            <v>3647.3460238656644</v>
          </cell>
          <cell r="AN232" t="str">
            <v>SG&amp;A Expense (Ex Pension, Incl. Credit)</v>
          </cell>
          <cell r="EL232" t="str">
            <v>SG&amp;A Expense (Core Operations)</v>
          </cell>
          <cell r="ER232">
            <v>0.36323777403035412</v>
          </cell>
          <cell r="ES232">
            <v>0.35312760633861551</v>
          </cell>
          <cell r="ET232">
            <v>0.35575942915392456</v>
          </cell>
          <cell r="EU232">
            <v>0.25253848673435964</v>
          </cell>
          <cell r="EV232">
            <v>0.32176492398961809</v>
          </cell>
          <cell r="EX232">
            <v>2078</v>
          </cell>
          <cell r="EY232">
            <v>1998</v>
          </cell>
          <cell r="EZ232">
            <v>2082</v>
          </cell>
          <cell r="FA232">
            <v>2243</v>
          </cell>
          <cell r="FB232">
            <v>8401</v>
          </cell>
          <cell r="FD232">
            <v>2033</v>
          </cell>
          <cell r="FE232">
            <v>1976</v>
          </cell>
          <cell r="FF232">
            <v>2023</v>
          </cell>
          <cell r="FG232">
            <v>2215</v>
          </cell>
          <cell r="FH232">
            <v>11928</v>
          </cell>
          <cell r="FJ232">
            <v>1876</v>
          </cell>
          <cell r="FK232">
            <v>1731</v>
          </cell>
          <cell r="FL232">
            <v>1946</v>
          </cell>
          <cell r="FM232">
            <v>2171</v>
          </cell>
          <cell r="FN232">
            <v>7724</v>
          </cell>
          <cell r="FP232">
            <v>1838.25</v>
          </cell>
          <cell r="FQ232">
            <v>1828.25</v>
          </cell>
          <cell r="FR232">
            <v>1944.25</v>
          </cell>
          <cell r="FS232">
            <v>2210.25</v>
          </cell>
          <cell r="FT232">
            <v>7821</v>
          </cell>
          <cell r="FU232">
            <v>1.6254416961130724E-2</v>
          </cell>
          <cell r="FV232">
            <v>1938.25</v>
          </cell>
          <cell r="FW232">
            <v>1938</v>
          </cell>
          <cell r="FX232">
            <v>1980</v>
          </cell>
          <cell r="FY232">
            <v>2275</v>
          </cell>
          <cell r="FZ232">
            <v>8131.25</v>
          </cell>
          <cell r="GB232">
            <v>1944.25</v>
          </cell>
          <cell r="GC232">
            <v>1952</v>
          </cell>
          <cell r="GD232">
            <v>2066.0121029772449</v>
          </cell>
          <cell r="GE232">
            <v>2370.3951769090281</v>
          </cell>
          <cell r="GF232">
            <v>8332.6572798862726</v>
          </cell>
          <cell r="GM232" t="str">
            <v>Bear Retail Revenues from extra week</v>
          </cell>
          <cell r="GO232">
            <v>344.03355316550449</v>
          </cell>
        </row>
        <row r="233">
          <cell r="A233" t="str">
            <v>Operating Margin</v>
          </cell>
          <cell r="N233">
            <v>4.5367455864239771E-2</v>
          </cell>
          <cell r="O233">
            <v>6.0203600080900692E-2</v>
          </cell>
          <cell r="P233">
            <v>8.8107752956636004E-2</v>
          </cell>
          <cell r="Q233">
            <v>9.4695737064757562E-2</v>
          </cell>
          <cell r="R233">
            <v>0.10562106182544138</v>
          </cell>
          <cell r="S233">
            <v>0.10644308210121409</v>
          </cell>
          <cell r="T233">
            <v>8.7171365220145708E-2</v>
          </cell>
          <cell r="U233">
            <v>9.0617172949714206E-2</v>
          </cell>
          <cell r="V233">
            <v>9.0838307812094468E-2</v>
          </cell>
          <cell r="W233">
            <v>9.5017748478701827E-2</v>
          </cell>
          <cell r="X233">
            <v>9.5489057615006701E-2</v>
          </cell>
          <cell r="Y233">
            <v>8.4278828327771602E-2</v>
          </cell>
          <cell r="Z233">
            <v>7.8309974853335296E-2</v>
          </cell>
          <cell r="AA233">
            <v>5.7247308372167766E-2</v>
          </cell>
          <cell r="AB233">
            <v>6.0826639892904953E-2</v>
          </cell>
          <cell r="AC233">
            <v>7.6750789905211378E-2</v>
          </cell>
          <cell r="AD233">
            <v>9.0361673925392919E-2</v>
          </cell>
          <cell r="AE233">
            <v>9.9982205598335316E-2</v>
          </cell>
          <cell r="AF233">
            <v>0.10998220559833537</v>
          </cell>
          <cell r="AG233">
            <v>0.11248220559833534</v>
          </cell>
          <cell r="AH233">
            <v>0.11248220559833533</v>
          </cell>
          <cell r="AI233">
            <v>0.1114822055983353</v>
          </cell>
          <cell r="AJ233">
            <v>0.11248220559833537</v>
          </cell>
          <cell r="AK233">
            <v>0.11348220559833534</v>
          </cell>
          <cell r="AL233">
            <v>0.11448220559833534</v>
          </cell>
          <cell r="AN233" t="str">
            <v>Pension Expense (Benefit)</v>
          </cell>
          <cell r="EL233" t="str">
            <v>Pension Expense (Benefit)</v>
          </cell>
          <cell r="ER233">
            <v>300.87540578005888</v>
          </cell>
          <cell r="ES233">
            <v>202.54296926526084</v>
          </cell>
          <cell r="ET233">
            <v>5.8391160216936244</v>
          </cell>
          <cell r="EU233">
            <v>-178.61680437304796</v>
          </cell>
          <cell r="EV233">
            <v>100.18608670279094</v>
          </cell>
          <cell r="EX233">
            <v>35</v>
          </cell>
          <cell r="EY233">
            <v>40</v>
          </cell>
          <cell r="EZ233">
            <v>39</v>
          </cell>
          <cell r="FA233">
            <v>39</v>
          </cell>
          <cell r="FB233">
            <v>153</v>
          </cell>
          <cell r="FD233">
            <v>38</v>
          </cell>
          <cell r="FE233">
            <v>37</v>
          </cell>
          <cell r="FF233">
            <v>38</v>
          </cell>
          <cell r="FG233">
            <v>17</v>
          </cell>
          <cell r="FH233">
            <v>130</v>
          </cell>
          <cell r="FJ233">
            <v>34</v>
          </cell>
          <cell r="FK233">
            <v>35</v>
          </cell>
          <cell r="FL233">
            <v>35</v>
          </cell>
          <cell r="FM233">
            <v>35</v>
          </cell>
          <cell r="FN233">
            <v>139</v>
          </cell>
          <cell r="FP233">
            <v>34.75</v>
          </cell>
          <cell r="FQ233">
            <v>34.75</v>
          </cell>
          <cell r="FR233">
            <v>34.75</v>
          </cell>
          <cell r="FS233">
            <v>34.75</v>
          </cell>
          <cell r="FT233">
            <v>139</v>
          </cell>
          <cell r="FV233">
            <v>34.75</v>
          </cell>
          <cell r="FW233">
            <v>38</v>
          </cell>
          <cell r="FX233">
            <v>38</v>
          </cell>
          <cell r="FY233">
            <v>39</v>
          </cell>
          <cell r="FZ233">
            <v>149.75</v>
          </cell>
          <cell r="GB233">
            <v>50.75</v>
          </cell>
          <cell r="GC233">
            <v>57</v>
          </cell>
          <cell r="GD233">
            <v>56</v>
          </cell>
          <cell r="GE233">
            <v>57</v>
          </cell>
          <cell r="GF233">
            <v>220.75</v>
          </cell>
        </row>
        <row r="234">
          <cell r="A234" t="str">
            <v>Y/Y ∆ Operating Margin (bps)</v>
          </cell>
          <cell r="O234">
            <v>148.36144216660921</v>
          </cell>
          <cell r="P234">
            <v>279.04152875735315</v>
          </cell>
          <cell r="Q234">
            <v>65.879841081215588</v>
          </cell>
          <cell r="R234">
            <v>109.25324760683822</v>
          </cell>
          <cell r="S234">
            <v>8.22020275772703</v>
          </cell>
          <cell r="T234">
            <v>-192.7171688106838</v>
          </cell>
          <cell r="U234">
            <v>34.45807729568498</v>
          </cell>
          <cell r="V234">
            <v>2.2113486238026225</v>
          </cell>
          <cell r="W234">
            <v>41.794406666073591</v>
          </cell>
          <cell r="X234">
            <v>4.7130913630487328</v>
          </cell>
          <cell r="Y234">
            <v>-112.10229287235099</v>
          </cell>
          <cell r="Z234">
            <v>-59.688534744363061</v>
          </cell>
          <cell r="AA234">
            <v>-210.62666481167531</v>
          </cell>
          <cell r="AB234">
            <v>35.793315207371876</v>
          </cell>
          <cell r="AC234">
            <v>159.24150012306424</v>
          </cell>
          <cell r="AD234">
            <v>136.10884020181541</v>
          </cell>
          <cell r="AE234">
            <v>96.205316729423984</v>
          </cell>
          <cell r="AF234">
            <v>100.00000000000051</v>
          </cell>
          <cell r="AG234">
            <v>24.999999999999744</v>
          </cell>
          <cell r="AH234">
            <v>-1.3877787807814457E-13</v>
          </cell>
          <cell r="AI234">
            <v>-10.000000000000286</v>
          </cell>
          <cell r="AJ234">
            <v>10.000000000000703</v>
          </cell>
          <cell r="AK234">
            <v>9.9999999999997318</v>
          </cell>
          <cell r="AL234">
            <v>10.000000000000009</v>
          </cell>
          <cell r="AN234" t="str">
            <v>SG&amp;A Ratio (Ex Pension, Incl. Credit)</v>
          </cell>
          <cell r="EL234" t="str">
            <v>SG&amp;A Ratio (Core Operations)</v>
          </cell>
          <cell r="EX234">
            <v>0.35095423070427295</v>
          </cell>
          <cell r="EY234">
            <v>0.33910386965376782</v>
          </cell>
          <cell r="EZ234">
            <v>0.35252285811039619</v>
          </cell>
          <cell r="FA234">
            <v>0.26099604375145452</v>
          </cell>
          <cell r="FB234">
            <v>0.31927184281533844</v>
          </cell>
          <cell r="FD234">
            <v>0.35374978249521488</v>
          </cell>
          <cell r="FE234">
            <v>0.34557537600559635</v>
          </cell>
          <cell r="FF234">
            <v>0.3682869106135081</v>
          </cell>
          <cell r="FG234">
            <v>0.27917822031762035</v>
          </cell>
          <cell r="FH234">
            <v>0.47919010123734535</v>
          </cell>
          <cell r="FJ234">
            <v>0.35476550680786689</v>
          </cell>
          <cell r="FK234">
            <v>0.32753074739829707</v>
          </cell>
          <cell r="FL234">
            <v>0.36137418755803158</v>
          </cell>
          <cell r="FM234">
            <v>0.27352904119944565</v>
          </cell>
          <cell r="FN234">
            <v>0.32324754132663736</v>
          </cell>
          <cell r="FP234">
            <v>0.32979009687836386</v>
          </cell>
          <cell r="FQ234">
            <v>0.33018782734332669</v>
          </cell>
          <cell r="FR234">
            <v>0.3457673839587409</v>
          </cell>
          <cell r="FS234">
            <v>0.26729350586527995</v>
          </cell>
          <cell r="FT234">
            <v>0.31280246370435549</v>
          </cell>
          <cell r="FV234">
            <v>0.32913058244184074</v>
          </cell>
          <cell r="FW234">
            <v>0.32631756187910421</v>
          </cell>
          <cell r="FX234">
            <v>0.33828805740645823</v>
          </cell>
          <cell r="FY234">
            <v>0.26077487391104998</v>
          </cell>
          <cell r="FZ234">
            <v>0.30794357129331568</v>
          </cell>
          <cell r="GB234">
            <v>0.31649845352433664</v>
          </cell>
          <cell r="GC234">
            <v>0.31905851585485451</v>
          </cell>
          <cell r="GD234">
            <v>0.34038200374321254</v>
          </cell>
          <cell r="GE234">
            <v>0.25305447615338417</v>
          </cell>
          <cell r="GF234">
            <v>0.30084162211203869</v>
          </cell>
        </row>
        <row r="235">
          <cell r="AN235" t="str">
            <v>Y/Y ∆ SG&amp;A Ratio (bps)</v>
          </cell>
          <cell r="EL235" t="str">
            <v>Y/Y ∆ SG&amp;A Ratio (bps)</v>
          </cell>
          <cell r="FD235">
            <v>27.955517909419303</v>
          </cell>
          <cell r="FE235">
            <v>64.715063518285262</v>
          </cell>
          <cell r="FF235">
            <v>157.64052503111913</v>
          </cell>
          <cell r="FG235">
            <v>181.8217656616583</v>
          </cell>
          <cell r="FH235">
            <v>1599.1825842200692</v>
          </cell>
          <cell r="FJ235">
            <v>10.157243126520111</v>
          </cell>
          <cell r="FK235">
            <v>-180.44628607299273</v>
          </cell>
          <cell r="FL235">
            <v>-69.127230554765219</v>
          </cell>
          <cell r="FM235">
            <v>-56.491791181746962</v>
          </cell>
          <cell r="FN235">
            <v>-1559.42559910708</v>
          </cell>
          <cell r="FP235">
            <v>-249.75409929503033</v>
          </cell>
          <cell r="FQ235">
            <v>26.570799450296168</v>
          </cell>
          <cell r="FR235">
            <v>-156.06803599290674</v>
          </cell>
          <cell r="FS235">
            <v>-62.355353341657093</v>
          </cell>
          <cell r="FT235">
            <v>-104.45077622281862</v>
          </cell>
          <cell r="FV235">
            <v>-6.5951443652312314</v>
          </cell>
          <cell r="FW235">
            <v>-38.702654642224779</v>
          </cell>
          <cell r="FX235">
            <v>-74.793265522826729</v>
          </cell>
          <cell r="FY235">
            <v>-65.186319542299699</v>
          </cell>
          <cell r="FZ235">
            <v>-48.588924110398167</v>
          </cell>
          <cell r="GB235">
            <v>-126.32128917504093</v>
          </cell>
          <cell r="GC235">
            <v>-72.590460242497045</v>
          </cell>
          <cell r="GD235">
            <v>20.939463367543041</v>
          </cell>
          <cell r="GE235">
            <v>-77.20397757665809</v>
          </cell>
          <cell r="GF235">
            <v>-71.0194918127699</v>
          </cell>
        </row>
        <row r="236">
          <cell r="AN236" t="str">
            <v>SG&amp;A Ratio (Including Pension Impact)</v>
          </cell>
          <cell r="EL236" t="str">
            <v>SG&amp;A Ratio (Including Pension Impact)</v>
          </cell>
          <cell r="EX236">
            <v>0.35686539435906095</v>
          </cell>
          <cell r="EY236">
            <v>0.34589273591310249</v>
          </cell>
          <cell r="EZ236">
            <v>0.35912631222485608</v>
          </cell>
          <cell r="FA236">
            <v>0.2655340935536421</v>
          </cell>
          <cell r="FB236">
            <v>0.32508645916467144</v>
          </cell>
          <cell r="FD236">
            <v>0.36192796241517311</v>
          </cell>
          <cell r="FE236">
            <v>0.35624344176285416</v>
          </cell>
          <cell r="FF236">
            <v>0.37957400327689789</v>
          </cell>
          <cell r="FG236">
            <v>0.28434585328963952</v>
          </cell>
          <cell r="FH236">
            <v>0.33978788365739998</v>
          </cell>
          <cell r="FJ236">
            <v>0.37537821482602118</v>
          </cell>
          <cell r="FK236">
            <v>0.35685903500473037</v>
          </cell>
          <cell r="FL236">
            <v>0.38180129990714951</v>
          </cell>
          <cell r="FM236">
            <v>0.28171853345092607</v>
          </cell>
          <cell r="FN236">
            <v>0.34161958568738232</v>
          </cell>
          <cell r="FP236">
            <v>0.35755292429135271</v>
          </cell>
          <cell r="FQ236">
            <v>0.3527180783817952</v>
          </cell>
          <cell r="FR236">
            <v>0.36795304997332384</v>
          </cell>
          <cell r="FS236">
            <v>0.27149594872415045</v>
          </cell>
          <cell r="FT236">
            <v>0.33036035675718911</v>
          </cell>
          <cell r="FU236">
            <v>0.31053843938957676</v>
          </cell>
          <cell r="FV236">
            <v>0.33503141450161317</v>
          </cell>
          <cell r="FW236">
            <v>0.33271594544536115</v>
          </cell>
          <cell r="FX236">
            <v>0.34478045446779432</v>
          </cell>
          <cell r="FY236">
            <v>0.26524530032095367</v>
          </cell>
          <cell r="FZ236">
            <v>0.31361484567316794</v>
          </cell>
          <cell r="GB236">
            <v>0.32475988930489991</v>
          </cell>
          <cell r="GC236">
            <v>0.32837528604118993</v>
          </cell>
          <cell r="GD236">
            <v>0.34960818019307516</v>
          </cell>
          <cell r="GE236">
            <v>0.25913958182743124</v>
          </cell>
          <cell r="GF236">
            <v>0.30881156325452847</v>
          </cell>
          <cell r="GG236" t="str">
            <v>Implied 2012e Margins (ex Extra Week)</v>
          </cell>
          <cell r="GM236" t="str">
            <v>'12 Spring SG&amp;A</v>
          </cell>
          <cell r="GN236">
            <v>4004</v>
          </cell>
        </row>
        <row r="237">
          <cell r="AN237" t="str">
            <v>Y/Y ∆ SG&amp;A Ratio (bps)</v>
          </cell>
          <cell r="EL237" t="str">
            <v>Y/Y ∆ SG&amp;A Ratio (bps)</v>
          </cell>
          <cell r="EX237">
            <v>-63.723796712931716</v>
          </cell>
          <cell r="EY237">
            <v>-72.348704255130187</v>
          </cell>
          <cell r="EZ237">
            <v>33.668830709315259</v>
          </cell>
          <cell r="FA237">
            <v>129.95606819282469</v>
          </cell>
          <cell r="FB237">
            <v>33.215351750533472</v>
          </cell>
          <cell r="FD237">
            <v>50.625680561121598</v>
          </cell>
          <cell r="FE237">
            <v>103.50705849751674</v>
          </cell>
          <cell r="FF237">
            <v>204.47691052041804</v>
          </cell>
          <cell r="FG237">
            <v>188.11759735997413</v>
          </cell>
          <cell r="FH237">
            <v>147.01424492728543</v>
          </cell>
          <cell r="FJ237">
            <v>134.50252410848074</v>
          </cell>
          <cell r="FK237">
            <v>6.1559324187621112</v>
          </cell>
          <cell r="FL237">
            <v>22.272966302516185</v>
          </cell>
          <cell r="FM237">
            <v>-26.273198387134489</v>
          </cell>
          <cell r="FN237">
            <v>18.317020299823405</v>
          </cell>
          <cell r="FP237">
            <v>-178.25290534668468</v>
          </cell>
          <cell r="FQ237">
            <v>-41.409566229351768</v>
          </cell>
          <cell r="FR237">
            <v>-138.48249933825662</v>
          </cell>
          <cell r="FS237">
            <v>-102.22584726775619</v>
          </cell>
          <cell r="FT237">
            <v>-112.5922893019321</v>
          </cell>
          <cell r="FU237">
            <v>0.32217384777060504</v>
          </cell>
          <cell r="FV237">
            <v>-225.21509789739548</v>
          </cell>
          <cell r="FW237">
            <v>-200.02132936434046</v>
          </cell>
          <cell r="FX237">
            <v>-231.72595505529526</v>
          </cell>
          <cell r="FY237">
            <v>-62.506484031967787</v>
          </cell>
          <cell r="FZ237">
            <v>-167.45511084021169</v>
          </cell>
          <cell r="GB237">
            <v>-102.7152519671326</v>
          </cell>
          <cell r="GC237">
            <v>-43.406594041712211</v>
          </cell>
          <cell r="GD237">
            <v>48.277257252808404</v>
          </cell>
          <cell r="GE237">
            <v>-61.057184935224271</v>
          </cell>
          <cell r="GF237">
            <v>-48.032824186394762</v>
          </cell>
          <cell r="GJ237" t="str">
            <v>FY12e Gross Margin (%) (ex extra week)</v>
          </cell>
          <cell r="GK237">
            <v>0.40521348048585426</v>
          </cell>
          <cell r="GM237" t="str">
            <v>'12 Fall SG&amp;A</v>
          </cell>
          <cell r="GN237">
            <v>4549.4072798862726</v>
          </cell>
        </row>
        <row r="238">
          <cell r="FP238">
            <v>-120</v>
          </cell>
          <cell r="FQ238">
            <v>-90</v>
          </cell>
          <cell r="FR238">
            <v>-90</v>
          </cell>
          <cell r="FS238">
            <v>0</v>
          </cell>
          <cell r="GJ238" t="str">
            <v>FY12e Gross Margin ∆ (bps) (ex extra week)</v>
          </cell>
          <cell r="GK238">
            <v>12.36960887293359</v>
          </cell>
          <cell r="GM238" t="str">
            <v>% Change 2H vs. 1H</v>
          </cell>
          <cell r="GN238">
            <v>0.13621560436720093</v>
          </cell>
        </row>
        <row r="239">
          <cell r="AN239" t="str">
            <v>% Breakout of credit deterioration</v>
          </cell>
          <cell r="FD239">
            <v>0.15</v>
          </cell>
          <cell r="FE239">
            <v>0.2</v>
          </cell>
          <cell r="FF239">
            <v>0.3</v>
          </cell>
          <cell r="FG239">
            <v>0.35000000000000009</v>
          </cell>
          <cell r="FH239">
            <v>50</v>
          </cell>
          <cell r="FK239">
            <v>-120</v>
          </cell>
          <cell r="GJ239" t="str">
            <v>Impact from Extra Wk on FY12e Gross Mgn ∆ (bps)</v>
          </cell>
          <cell r="GK239">
            <v>-0.42372024769532501</v>
          </cell>
          <cell r="GM239" t="str">
            <v>'11 Spring SG&amp;A</v>
          </cell>
          <cell r="GN239">
            <v>3949</v>
          </cell>
        </row>
        <row r="240">
          <cell r="A240" t="str">
            <v>Bear Case Assumptions</v>
          </cell>
          <cell r="N240">
            <v>1995</v>
          </cell>
          <cell r="O240">
            <v>1996</v>
          </cell>
          <cell r="P240">
            <v>1997</v>
          </cell>
          <cell r="Q240">
            <v>1998</v>
          </cell>
          <cell r="R240">
            <v>1999</v>
          </cell>
          <cell r="S240">
            <v>2000</v>
          </cell>
          <cell r="T240">
            <v>2001</v>
          </cell>
          <cell r="U240">
            <v>2002</v>
          </cell>
          <cell r="V240">
            <v>2003</v>
          </cell>
          <cell r="W240">
            <v>2004</v>
          </cell>
          <cell r="X240">
            <v>2005</v>
          </cell>
          <cell r="Y240">
            <v>2006</v>
          </cell>
          <cell r="Z240">
            <v>2007</v>
          </cell>
          <cell r="AA240">
            <v>2008</v>
          </cell>
          <cell r="AB240">
            <v>2009</v>
          </cell>
          <cell r="AC240">
            <v>2010</v>
          </cell>
          <cell r="AD240">
            <v>2011</v>
          </cell>
          <cell r="AE240" t="str">
            <v>2012E</v>
          </cell>
          <cell r="AF240" t="str">
            <v>2013E</v>
          </cell>
          <cell r="AG240" t="str">
            <v>2014E</v>
          </cell>
          <cell r="AH240" t="str">
            <v>2015E</v>
          </cell>
          <cell r="AI240" t="str">
            <v>2016E</v>
          </cell>
          <cell r="AJ240" t="str">
            <v>2017E</v>
          </cell>
          <cell r="AK240" t="str">
            <v>2018E</v>
          </cell>
          <cell r="AL240" t="str">
            <v>2019E</v>
          </cell>
          <cell r="AN240" t="str">
            <v>% Breakout of consolidation SG&amp;A saves</v>
          </cell>
          <cell r="FD240">
            <v>0.05</v>
          </cell>
          <cell r="FE240">
            <v>0.15</v>
          </cell>
          <cell r="FF240">
            <v>0.4</v>
          </cell>
          <cell r="FG240">
            <v>0.39999999999999991</v>
          </cell>
          <cell r="FH240">
            <v>-60</v>
          </cell>
          <cell r="FJ240">
            <v>0.25</v>
          </cell>
          <cell r="FK240">
            <v>0.4</v>
          </cell>
          <cell r="FL240">
            <v>0.25</v>
          </cell>
          <cell r="FM240">
            <v>9.9999999999999978E-2</v>
          </cell>
          <cell r="FN240">
            <v>-300</v>
          </cell>
          <cell r="FP240">
            <v>0.4</v>
          </cell>
          <cell r="FQ240">
            <v>0.3</v>
          </cell>
          <cell r="FR240">
            <v>0.3</v>
          </cell>
          <cell r="FS240">
            <v>0</v>
          </cell>
          <cell r="FT240">
            <v>-140</v>
          </cell>
          <cell r="GJ240" t="str">
            <v>FY12e SG&amp;A Ratio Incl. Pension (%) (ex extra week)</v>
          </cell>
          <cell r="GK240">
            <v>0.31051036388580949</v>
          </cell>
          <cell r="GM240" t="str">
            <v>'11 Fall SG&amp;A</v>
          </cell>
          <cell r="GN240">
            <v>4332</v>
          </cell>
        </row>
        <row r="241">
          <cell r="A241" t="str">
            <v>Revenue</v>
          </cell>
          <cell r="N241">
            <v>14614</v>
          </cell>
          <cell r="O241">
            <v>14833</v>
          </cell>
          <cell r="P241">
            <v>15220</v>
          </cell>
          <cell r="Q241">
            <v>15365</v>
          </cell>
          <cell r="R241">
            <v>16029</v>
          </cell>
          <cell r="S241">
            <v>16638</v>
          </cell>
          <cell r="T241">
            <v>15785</v>
          </cell>
          <cell r="U241">
            <v>15571</v>
          </cell>
          <cell r="V241">
            <v>15412</v>
          </cell>
          <cell r="W241">
            <v>15776</v>
          </cell>
          <cell r="X241">
            <v>22390</v>
          </cell>
          <cell r="Y241">
            <v>26970</v>
          </cell>
          <cell r="Z241">
            <v>26313</v>
          </cell>
          <cell r="AA241">
            <v>24892</v>
          </cell>
          <cell r="AB241">
            <v>23904</v>
          </cell>
          <cell r="AC241">
            <v>25003</v>
          </cell>
          <cell r="AD241">
            <v>26405</v>
          </cell>
          <cell r="AE241">
            <v>27436.213752617372</v>
          </cell>
          <cell r="AF241">
            <v>27415.922360651821</v>
          </cell>
          <cell r="AG241">
            <v>27944.266088353088</v>
          </cell>
          <cell r="AH241">
            <v>28233.795982590062</v>
          </cell>
          <cell r="AI241">
            <v>28516.133942415963</v>
          </cell>
          <cell r="AJ241">
            <v>28801.295281840125</v>
          </cell>
          <cell r="AK241">
            <v>29089.308234658525</v>
          </cell>
          <cell r="AL241">
            <v>29380.20131700511</v>
          </cell>
          <cell r="AN241" t="str">
            <v>% Breakout of pre-tax charges assoc. with consolidation</v>
          </cell>
          <cell r="FD241">
            <v>0.57999999999999996</v>
          </cell>
          <cell r="FE241">
            <v>0.17333333333333334</v>
          </cell>
          <cell r="FF241">
            <v>0.10666666666666667</v>
          </cell>
          <cell r="FG241">
            <v>0.14000000000000001</v>
          </cell>
          <cell r="FH241">
            <v>150</v>
          </cell>
          <cell r="FJ241">
            <v>0.34499999999999997</v>
          </cell>
          <cell r="FK241">
            <v>8.5000000000000006E-2</v>
          </cell>
          <cell r="FL241">
            <v>8.2500000000000004E-2</v>
          </cell>
          <cell r="FM241">
            <v>0.48750000000000004</v>
          </cell>
          <cell r="FN241">
            <v>400</v>
          </cell>
          <cell r="FP241">
            <v>0</v>
          </cell>
          <cell r="FQ241">
            <v>0</v>
          </cell>
          <cell r="FR241">
            <v>0</v>
          </cell>
          <cell r="FS241">
            <v>1</v>
          </cell>
          <cell r="FT241">
            <v>0</v>
          </cell>
          <cell r="GF241" t="str">
            <v xml:space="preserve"> </v>
          </cell>
          <cell r="GJ241" t="str">
            <v>FY12e SG&amp;A Ratio Incl. Pension ∆ (bps) (ex extra wk)</v>
          </cell>
          <cell r="GK241">
            <v>-31.044817873584485</v>
          </cell>
          <cell r="GM241" t="str">
            <v>Y/Y $ Change</v>
          </cell>
          <cell r="GN241">
            <v>159</v>
          </cell>
        </row>
        <row r="242">
          <cell r="A242" t="str">
            <v xml:space="preserve"> % Same-store</v>
          </cell>
          <cell r="N242">
            <v>2.7E-2</v>
          </cell>
          <cell r="O242">
            <v>3.1E-2</v>
          </cell>
          <cell r="P242">
            <v>2.7E-2</v>
          </cell>
          <cell r="Q242">
            <v>2.1999999999999999E-2</v>
          </cell>
          <cell r="R242">
            <v>4.4999999999999998E-2</v>
          </cell>
          <cell r="S242">
            <v>0.02</v>
          </cell>
          <cell r="T242">
            <v>-5.2999999999999999E-2</v>
          </cell>
          <cell r="U242">
            <v>-0.03</v>
          </cell>
          <cell r="V242">
            <v>-9.0000000000000011E-3</v>
          </cell>
          <cell r="W242">
            <v>2.5999999999999999E-2</v>
          </cell>
          <cell r="X242">
            <v>1.2999999999999999E-2</v>
          </cell>
          <cell r="Y242">
            <v>4.3999999999999997E-2</v>
          </cell>
          <cell r="Z242">
            <v>-1.2799528750047504E-2</v>
          </cell>
          <cell r="AA242">
            <v>-4.4999999999999998E-2</v>
          </cell>
          <cell r="AB242">
            <v>-5.0968425652024113E-2</v>
          </cell>
          <cell r="AC242">
            <v>4.610434747830261E-2</v>
          </cell>
          <cell r="AD242">
            <v>5.2999999999999999E-2</v>
          </cell>
          <cell r="AE242">
            <v>3.0470716044687752E-2</v>
          </cell>
          <cell r="AF242">
            <v>1.0000000000000002E-2</v>
          </cell>
          <cell r="AG242">
            <v>0.02</v>
          </cell>
          <cell r="AH242">
            <v>0.01</v>
          </cell>
          <cell r="AI242">
            <v>0.01</v>
          </cell>
          <cell r="AJ242">
            <v>0.01</v>
          </cell>
          <cell r="AK242">
            <v>0.01</v>
          </cell>
          <cell r="AL242">
            <v>0.01</v>
          </cell>
          <cell r="GJ242" t="str">
            <v>Impact from Extra Wk on FY12e SG&amp;A Ratio ∆ (bps)</v>
          </cell>
          <cell r="GK242">
            <v>-16.988006312810278</v>
          </cell>
          <cell r="GN242">
            <v>217.40727988627259</v>
          </cell>
        </row>
        <row r="243">
          <cell r="A243" t="str">
            <v>CGS, OCC, Buying Costs</v>
          </cell>
          <cell r="N243">
            <v>9038</v>
          </cell>
          <cell r="O243">
            <v>9018</v>
          </cell>
          <cell r="P243">
            <v>9200</v>
          </cell>
          <cell r="Q243">
            <v>9218</v>
          </cell>
          <cell r="R243">
            <v>9576</v>
          </cell>
          <cell r="S243">
            <v>9955</v>
          </cell>
          <cell r="T243">
            <v>9603</v>
          </cell>
          <cell r="U243">
            <v>9324</v>
          </cell>
          <cell r="V243">
            <v>9175</v>
          </cell>
          <cell r="W243">
            <v>9346</v>
          </cell>
          <cell r="X243">
            <v>13272</v>
          </cell>
          <cell r="Y243">
            <v>16019</v>
          </cell>
          <cell r="Z243">
            <v>15782.893839502129</v>
          </cell>
          <cell r="AA243">
            <v>15009</v>
          </cell>
          <cell r="AB243">
            <v>14278</v>
          </cell>
          <cell r="AC243">
            <v>14824</v>
          </cell>
          <cell r="AD243">
            <v>15738</v>
          </cell>
          <cell r="AE243">
            <v>16371.343170905468</v>
          </cell>
          <cell r="AF243">
            <v>16386.651105470184</v>
          </cell>
          <cell r="AG243">
            <v>16660.528726167173</v>
          </cell>
          <cell r="AH243">
            <v>16861.381874712744</v>
          </cell>
          <cell r="AI243">
            <v>17087.027961344706</v>
          </cell>
          <cell r="AJ243">
            <v>17257.898240958151</v>
          </cell>
          <cell r="AK243">
            <v>17430.477223367736</v>
          </cell>
          <cell r="AL243">
            <v>17604.781995601414</v>
          </cell>
        </row>
        <row r="244">
          <cell r="A244" t="str">
            <v>CGS, OCC, Buying Costs %</v>
          </cell>
          <cell r="N244">
            <v>0.61844806350075265</v>
          </cell>
          <cell r="O244">
            <v>0.60796871839816624</v>
          </cell>
          <cell r="P244">
            <v>0.60446780551905388</v>
          </cell>
          <cell r="Q244">
            <v>0.59993491701919943</v>
          </cell>
          <cell r="R244">
            <v>0.59741718135878719</v>
          </cell>
          <cell r="S244">
            <v>0.5983291260968866</v>
          </cell>
          <cell r="T244">
            <v>0.60836236933797905</v>
          </cell>
          <cell r="U244">
            <v>0.59880547171023057</v>
          </cell>
          <cell r="V244">
            <v>0.59531533869711917</v>
          </cell>
          <cell r="W244">
            <v>0.59241886409736311</v>
          </cell>
          <cell r="X244">
            <v>0.59276462706565436</v>
          </cell>
          <cell r="Y244">
            <v>0.59395624768261035</v>
          </cell>
          <cell r="Z244">
            <v>0.59981354613697135</v>
          </cell>
          <cell r="AA244">
            <v>0.60296480797043228</v>
          </cell>
          <cell r="AB244">
            <v>0.59730589022757696</v>
          </cell>
          <cell r="AC244">
            <v>0.59288885333759944</v>
          </cell>
          <cell r="AD244">
            <v>0.59602348040143915</v>
          </cell>
          <cell r="AE244">
            <v>0.59670562849962006</v>
          </cell>
          <cell r="AF244">
            <v>0.59770562849962006</v>
          </cell>
          <cell r="AG244">
            <v>0.59620562849962011</v>
          </cell>
          <cell r="AH244">
            <v>0.59720562849962</v>
          </cell>
          <cell r="AI244">
            <v>0.59920562849962</v>
          </cell>
          <cell r="AJ244">
            <v>0.59920562849962</v>
          </cell>
          <cell r="AK244">
            <v>0.59920562849962011</v>
          </cell>
          <cell r="AL244">
            <v>0.59920562849962011</v>
          </cell>
          <cell r="AN244" t="str">
            <v>Operating Margin</v>
          </cell>
          <cell r="EL244" t="str">
            <v>Operating Margin</v>
          </cell>
          <cell r="ER244">
            <v>149</v>
          </cell>
          <cell r="ES244">
            <v>408</v>
          </cell>
          <cell r="ET244">
            <v>279</v>
          </cell>
          <cell r="EU244">
            <v>1437</v>
          </cell>
          <cell r="EV244">
            <v>2273</v>
          </cell>
          <cell r="EX244">
            <v>244</v>
          </cell>
          <cell r="EY244">
            <v>347</v>
          </cell>
          <cell r="EZ244">
            <v>200</v>
          </cell>
          <cell r="FA244">
            <v>1291</v>
          </cell>
          <cell r="FB244">
            <v>2082</v>
          </cell>
          <cell r="FD244">
            <v>140</v>
          </cell>
          <cell r="FE244">
            <v>335</v>
          </cell>
          <cell r="FF244">
            <v>84</v>
          </cell>
          <cell r="FG244">
            <v>866</v>
          </cell>
          <cell r="FH244">
            <v>1425</v>
          </cell>
          <cell r="FJ244">
            <v>24</v>
          </cell>
          <cell r="FK244">
            <v>282</v>
          </cell>
          <cell r="FL244">
            <v>88</v>
          </cell>
          <cell r="FM244">
            <v>1060</v>
          </cell>
          <cell r="FN244">
            <v>1454</v>
          </cell>
          <cell r="FP244">
            <v>203</v>
          </cell>
          <cell r="FQ244">
            <v>370</v>
          </cell>
          <cell r="FR244">
            <v>177</v>
          </cell>
          <cell r="FS244">
            <v>1169</v>
          </cell>
          <cell r="FT244">
            <v>1919</v>
          </cell>
          <cell r="FV244">
            <v>330</v>
          </cell>
          <cell r="FW244">
            <v>506</v>
          </cell>
          <cell r="FX244">
            <v>291</v>
          </cell>
          <cell r="FY244">
            <v>1259</v>
          </cell>
          <cell r="FZ244">
            <v>2386</v>
          </cell>
          <cell r="GB244">
            <v>391</v>
          </cell>
          <cell r="GC244">
            <v>554</v>
          </cell>
          <cell r="GD244">
            <v>281.57499452664797</v>
          </cell>
          <cell r="GE244">
            <v>1444.7216277006182</v>
          </cell>
          <cell r="GF244">
            <v>2671.2966222272662</v>
          </cell>
        </row>
        <row r="245">
          <cell r="A245" t="str">
            <v>Y/Y ∆ CGS, OCC, Buying Costs % (bps)</v>
          </cell>
          <cell r="O245">
            <v>-104.79345102586413</v>
          </cell>
          <cell r="P245">
            <v>-35.009128791123615</v>
          </cell>
          <cell r="Q245">
            <v>-45.328884998544481</v>
          </cell>
          <cell r="R245">
            <v>-25.177356604122458</v>
          </cell>
          <cell r="S245">
            <v>9.1194473809941279</v>
          </cell>
          <cell r="T245">
            <v>100.33243241092448</v>
          </cell>
          <cell r="U245">
            <v>-95.568976277484722</v>
          </cell>
          <cell r="V245">
            <v>-34.901330131114072</v>
          </cell>
          <cell r="W245">
            <v>-28.964745997560605</v>
          </cell>
          <cell r="X245">
            <v>3.4576296829125219</v>
          </cell>
          <cell r="Y245">
            <v>11.916206169559906</v>
          </cell>
          <cell r="Z245">
            <v>58.57298454361004</v>
          </cell>
          <cell r="AA245">
            <v>31.512618334609279</v>
          </cell>
          <cell r="AB245">
            <v>-56.589177428553185</v>
          </cell>
          <cell r="AC245">
            <v>-44.170368899775212</v>
          </cell>
          <cell r="AD245">
            <v>31.346270638397122</v>
          </cell>
          <cell r="AE245">
            <v>6.8214809818090139</v>
          </cell>
          <cell r="AF245">
            <v>10.000000000000009</v>
          </cell>
          <cell r="AG245">
            <v>-14.999999999999458</v>
          </cell>
          <cell r="AH245">
            <v>9.9999999999988987</v>
          </cell>
          <cell r="AI245">
            <v>20.000000000000018</v>
          </cell>
          <cell r="AJ245">
            <v>0</v>
          </cell>
          <cell r="AK245">
            <v>1.1102230246251565E-12</v>
          </cell>
          <cell r="AL245">
            <v>0</v>
          </cell>
          <cell r="AN245" t="str">
            <v>BPS Change</v>
          </cell>
          <cell r="EL245" t="str">
            <v>BPS Change</v>
          </cell>
          <cell r="ER245">
            <v>2.5126475548060707E-2</v>
          </cell>
          <cell r="ES245">
            <v>6.805671392827356E-2</v>
          </cell>
          <cell r="ET245">
            <v>4.7400611620795105E-2</v>
          </cell>
          <cell r="EU245">
            <v>0.1568948575171962</v>
          </cell>
          <cell r="EV245">
            <v>8.4278828327771602E-2</v>
          </cell>
          <cell r="EX245">
            <v>4.12092551933795E-2</v>
          </cell>
          <cell r="EY245">
            <v>5.8893414799728448E-2</v>
          </cell>
          <cell r="EZ245">
            <v>3.3863867253640365E-2</v>
          </cell>
          <cell r="FA245">
            <v>0.15022108447754248</v>
          </cell>
          <cell r="FB245">
            <v>7.9124387185041611E-2</v>
          </cell>
          <cell r="FD245">
            <v>2.4360535931790498E-2</v>
          </cell>
          <cell r="FE245">
            <v>5.8586918502973068E-2</v>
          </cell>
          <cell r="FF245">
            <v>1.5292190060076462E-2</v>
          </cell>
          <cell r="FG245">
            <v>0.10915049155533149</v>
          </cell>
          <cell r="FH245">
            <v>5.7247308372167766E-2</v>
          </cell>
          <cell r="FJ245">
            <v>4.5385779122541605E-3</v>
          </cell>
          <cell r="FK245">
            <v>5.3358561967833493E-2</v>
          </cell>
          <cell r="FL245">
            <v>1.6341689879294335E-2</v>
          </cell>
          <cell r="FM245">
            <v>0.1335517197933728</v>
          </cell>
          <cell r="FN245">
            <v>6.0849550115086838E-2</v>
          </cell>
          <cell r="FP245">
            <v>3.6419088625762472E-2</v>
          </cell>
          <cell r="FQ245">
            <v>6.6823189452772255E-2</v>
          </cell>
          <cell r="FR245">
            <v>3.1477858794237951E-2</v>
          </cell>
          <cell r="FS245">
            <v>0.14137138710847744</v>
          </cell>
          <cell r="FT245">
            <v>7.6750789905211378E-2</v>
          </cell>
          <cell r="FV245">
            <v>5.6036678553234846E-2</v>
          </cell>
          <cell r="FW245">
            <v>8.5199528540158276E-2</v>
          </cell>
          <cell r="FX245">
            <v>4.9718093285494619E-2</v>
          </cell>
          <cell r="FY245">
            <v>0.1443145346171481</v>
          </cell>
          <cell r="FZ245">
            <v>9.0361673925392919E-2</v>
          </cell>
          <cell r="GB245">
            <v>6.3649682565521726E-2</v>
          </cell>
          <cell r="GC245">
            <v>9.0552468126838842E-2</v>
          </cell>
          <cell r="GD245">
            <v>4.6390367560213731E-2</v>
          </cell>
          <cell r="GE245">
            <v>0.15423304866911453</v>
          </cell>
          <cell r="GF245">
            <v>9.644428925609537E-2</v>
          </cell>
        </row>
        <row r="246">
          <cell r="A246" t="str">
            <v>Gross Income</v>
          </cell>
          <cell r="N246">
            <v>5576</v>
          </cell>
          <cell r="O246">
            <v>5815</v>
          </cell>
          <cell r="P246">
            <v>6020</v>
          </cell>
          <cell r="Q246">
            <v>6147</v>
          </cell>
          <cell r="R246">
            <v>6453</v>
          </cell>
          <cell r="S246">
            <v>6683</v>
          </cell>
          <cell r="T246">
            <v>6182</v>
          </cell>
          <cell r="U246">
            <v>6247</v>
          </cell>
          <cell r="V246">
            <v>6237</v>
          </cell>
          <cell r="W246">
            <v>6430</v>
          </cell>
          <cell r="X246">
            <v>9118</v>
          </cell>
          <cell r="Y246">
            <v>10951</v>
          </cell>
          <cell r="Z246">
            <v>10530.106160497871</v>
          </cell>
          <cell r="AA246">
            <v>9883</v>
          </cell>
          <cell r="AB246">
            <v>9626</v>
          </cell>
          <cell r="AC246">
            <v>10179</v>
          </cell>
          <cell r="AD246">
            <v>10667</v>
          </cell>
          <cell r="AE246">
            <v>11064.870581711904</v>
          </cell>
          <cell r="AF246">
            <v>11029.271255181637</v>
          </cell>
          <cell r="AG246">
            <v>11283.737362185915</v>
          </cell>
          <cell r="AH246">
            <v>11372.414107877315</v>
          </cell>
          <cell r="AI246">
            <v>11429.105981071258</v>
          </cell>
          <cell r="AJ246">
            <v>11543.397040881971</v>
          </cell>
          <cell r="AK246">
            <v>11658.831011290791</v>
          </cell>
          <cell r="AL246">
            <v>11775.419321403699</v>
          </cell>
        </row>
        <row r="247">
          <cell r="A247" t="str">
            <v>Gross Margin</v>
          </cell>
          <cell r="N247">
            <v>0.38155193649924729</v>
          </cell>
          <cell r="O247">
            <v>0.39203128160183376</v>
          </cell>
          <cell r="P247">
            <v>0.39553219448094612</v>
          </cell>
          <cell r="Q247">
            <v>0.40006508298080051</v>
          </cell>
          <cell r="R247">
            <v>0.40258281864121281</v>
          </cell>
          <cell r="S247">
            <v>0.40167087390311335</v>
          </cell>
          <cell r="T247">
            <v>0.3916376306620209</v>
          </cell>
          <cell r="U247">
            <v>0.40119452828976943</v>
          </cell>
          <cell r="V247">
            <v>0.40468466130288089</v>
          </cell>
          <cell r="W247">
            <v>0.40758113590263689</v>
          </cell>
          <cell r="X247">
            <v>0.4072353729343457</v>
          </cell>
          <cell r="Y247">
            <v>0.40604375231738971</v>
          </cell>
          <cell r="Z247">
            <v>0.40018645386302859</v>
          </cell>
          <cell r="AA247">
            <v>0.39703519202956772</v>
          </cell>
          <cell r="AB247">
            <v>0.40269410977242304</v>
          </cell>
          <cell r="AC247">
            <v>0.4071111466624005</v>
          </cell>
          <cell r="AD247">
            <v>0.4039765195985609</v>
          </cell>
          <cell r="AE247">
            <v>0.40329437150037994</v>
          </cell>
          <cell r="AF247">
            <v>0.40229437150037994</v>
          </cell>
          <cell r="AG247">
            <v>0.40379437150037994</v>
          </cell>
          <cell r="AH247">
            <v>0.40279437150037994</v>
          </cell>
          <cell r="AI247">
            <v>0.40079437150037994</v>
          </cell>
          <cell r="AJ247">
            <v>0.40079437150037994</v>
          </cell>
          <cell r="AK247">
            <v>0.40079437150037994</v>
          </cell>
          <cell r="AL247">
            <v>0.40079437150037994</v>
          </cell>
        </row>
        <row r="248">
          <cell r="A248" t="str">
            <v>Y/Y ∆ Gross Margin (bps)</v>
          </cell>
          <cell r="O248">
            <v>104.79345102586468</v>
          </cell>
          <cell r="P248">
            <v>35.009128791123615</v>
          </cell>
          <cell r="Q248">
            <v>45.328884998543927</v>
          </cell>
          <cell r="R248">
            <v>25.177356604123013</v>
          </cell>
          <cell r="S248">
            <v>-9.1194473809946821</v>
          </cell>
          <cell r="T248">
            <v>-100.33243241092448</v>
          </cell>
          <cell r="U248">
            <v>95.568976277485291</v>
          </cell>
          <cell r="V248">
            <v>34.901330131114626</v>
          </cell>
          <cell r="W248">
            <v>28.964745997560048</v>
          </cell>
          <cell r="X248">
            <v>-3.4576296829119668</v>
          </cell>
          <cell r="Y248">
            <v>-11.916206169559906</v>
          </cell>
          <cell r="Z248">
            <v>-58.572984543611149</v>
          </cell>
          <cell r="AA248">
            <v>-31.512618334608721</v>
          </cell>
          <cell r="AB248">
            <v>56.589177428553185</v>
          </cell>
          <cell r="AC248">
            <v>44.170368899774658</v>
          </cell>
          <cell r="AD248">
            <v>-31.346270638396014</v>
          </cell>
          <cell r="AE248">
            <v>-6.821480981809569</v>
          </cell>
          <cell r="AF248">
            <v>-10</v>
          </cell>
          <cell r="AG248">
            <v>15</v>
          </cell>
          <cell r="AH248">
            <v>-10</v>
          </cell>
          <cell r="AI248">
            <v>-20</v>
          </cell>
          <cell r="AJ248">
            <v>0</v>
          </cell>
          <cell r="AK248">
            <v>0</v>
          </cell>
          <cell r="AL248">
            <v>0</v>
          </cell>
          <cell r="AN248" t="str">
            <v>Bull Case Assumptions</v>
          </cell>
          <cell r="EL248" t="str">
            <v>Bull Case Assumptions</v>
          </cell>
        </row>
        <row r="249">
          <cell r="A249" t="str">
            <v>SG&amp;A Expenses</v>
          </cell>
          <cell r="N249">
            <v>4913</v>
          </cell>
          <cell r="O249">
            <v>4922</v>
          </cell>
          <cell r="P249">
            <v>4679</v>
          </cell>
          <cell r="Q249">
            <v>4692</v>
          </cell>
          <cell r="R249">
            <v>4760</v>
          </cell>
          <cell r="S249">
            <v>4912</v>
          </cell>
          <cell r="T249">
            <v>4806</v>
          </cell>
          <cell r="U249">
            <v>4836</v>
          </cell>
          <cell r="V249">
            <v>4837</v>
          </cell>
          <cell r="W249">
            <v>4931</v>
          </cell>
          <cell r="X249">
            <v>6980</v>
          </cell>
          <cell r="Y249">
            <v>8678</v>
          </cell>
          <cell r="Z249">
            <v>8523.9117921820616</v>
          </cell>
          <cell r="AA249">
            <v>8458</v>
          </cell>
          <cell r="AB249">
            <v>8163</v>
          </cell>
          <cell r="AC249">
            <v>8260</v>
          </cell>
          <cell r="AD249">
            <v>8281</v>
          </cell>
          <cell r="AE249">
            <v>8516.1531222989761</v>
          </cell>
          <cell r="AF249">
            <v>8646.9343212599488</v>
          </cell>
          <cell r="AG249">
            <v>8785.6287497368903</v>
          </cell>
          <cell r="AH249">
            <v>8848.4226499075667</v>
          </cell>
          <cell r="AI249">
            <v>8908.3907424642257</v>
          </cell>
          <cell r="AJ249">
            <v>8968.67335460703</v>
          </cell>
          <cell r="AK249">
            <v>9029.2707799184409</v>
          </cell>
          <cell r="AL249">
            <v>9090.1832864006192</v>
          </cell>
          <cell r="AN249" t="str">
            <v>Consolidated Stores Monthly Sales ($)</v>
          </cell>
          <cell r="EL249" t="str">
            <v>Consolidated Stores Monthly Sales ($)</v>
          </cell>
          <cell r="EU249">
            <v>356</v>
          </cell>
        </row>
        <row r="250">
          <cell r="A250" t="str">
            <v>SG&amp;A Ratio</v>
          </cell>
          <cell r="N250">
            <v>0.33618448063500755</v>
          </cell>
          <cell r="O250">
            <v>0.33182768152093306</v>
          </cell>
          <cell r="P250">
            <v>0.30742444152431014</v>
          </cell>
          <cell r="Q250">
            <v>0.30536934591604298</v>
          </cell>
          <cell r="R250">
            <v>0.29696175681577142</v>
          </cell>
          <cell r="S250">
            <v>0.29522779180189929</v>
          </cell>
          <cell r="T250">
            <v>0.30446626544187522</v>
          </cell>
          <cell r="U250">
            <v>0.31057735534005521</v>
          </cell>
          <cell r="V250">
            <v>0.31384635349078638</v>
          </cell>
          <cell r="W250">
            <v>0.31256338742393508</v>
          </cell>
          <cell r="X250">
            <v>0.311746315319339</v>
          </cell>
          <cell r="Y250">
            <v>0.32176492398961809</v>
          </cell>
          <cell r="Z250">
            <v>0.32394298605944066</v>
          </cell>
          <cell r="AA250">
            <v>0.33978788365739998</v>
          </cell>
          <cell r="AB250">
            <v>0.34149096385542171</v>
          </cell>
          <cell r="AC250">
            <v>0.33036035675718911</v>
          </cell>
          <cell r="AD250">
            <v>0.31361484567316794</v>
          </cell>
          <cell r="AE250">
            <v>0.31039826410036436</v>
          </cell>
          <cell r="AF250">
            <v>0.31539826410036437</v>
          </cell>
          <cell r="AG250">
            <v>0.31439826410036437</v>
          </cell>
          <cell r="AH250">
            <v>0.31339826410036437</v>
          </cell>
          <cell r="AI250">
            <v>0.31239826410036436</v>
          </cell>
          <cell r="AJ250">
            <v>0.31139826410036436</v>
          </cell>
          <cell r="AK250">
            <v>0.31039826410036436</v>
          </cell>
          <cell r="AL250">
            <v>0.30939826410036436</v>
          </cell>
          <cell r="AN250" t="str">
            <v>Month 1</v>
          </cell>
          <cell r="EL250" t="str">
            <v>Month 1</v>
          </cell>
          <cell r="ER250">
            <v>1800</v>
          </cell>
          <cell r="ES250">
            <v>2026</v>
          </cell>
          <cell r="ET250">
            <v>1727</v>
          </cell>
          <cell r="EU250">
            <v>2385</v>
          </cell>
          <cell r="EX250">
            <v>1802</v>
          </cell>
          <cell r="EY250">
            <v>1976</v>
          </cell>
          <cell r="EZ250">
            <v>1788</v>
          </cell>
          <cell r="FA250">
            <v>2707</v>
          </cell>
          <cell r="FD250">
            <v>1737</v>
          </cell>
          <cell r="FE250">
            <v>1926</v>
          </cell>
          <cell r="FF250">
            <v>1686</v>
          </cell>
          <cell r="FG250">
            <v>2324</v>
          </cell>
          <cell r="FJ250">
            <v>1602.5975291456411</v>
          </cell>
          <cell r="FK250">
            <v>1783.7565582371458</v>
          </cell>
          <cell r="FL250">
            <v>1576.1490988530857</v>
          </cell>
          <cell r="FM250">
            <v>2202.7766574237457</v>
          </cell>
          <cell r="FP250">
            <v>1667</v>
          </cell>
          <cell r="FQ250">
            <v>1789</v>
          </cell>
          <cell r="FR250">
            <v>1638</v>
          </cell>
          <cell r="FS250">
            <v>2341</v>
          </cell>
          <cell r="FV250">
            <v>1763</v>
          </cell>
          <cell r="FW250">
            <v>1937</v>
          </cell>
          <cell r="FX250">
            <v>1714</v>
          </cell>
          <cell r="FY250">
            <v>2465</v>
          </cell>
          <cell r="GB250">
            <v>1860</v>
          </cell>
          <cell r="GC250">
            <v>2015</v>
          </cell>
          <cell r="GD250">
            <v>1812</v>
          </cell>
          <cell r="GE250">
            <v>2588.4099701374939</v>
          </cell>
        </row>
        <row r="251">
          <cell r="A251" t="str">
            <v>Y/Y ∆ SG&amp;A Ratio (bps)</v>
          </cell>
          <cell r="O251">
            <v>-43.567991140744944</v>
          </cell>
          <cell r="P251">
            <v>-244.03239996622915</v>
          </cell>
          <cell r="Q251">
            <v>-20.550956082671657</v>
          </cell>
          <cell r="R251">
            <v>-84.075891002715622</v>
          </cell>
          <cell r="S251">
            <v>-17.339650138721296</v>
          </cell>
          <cell r="T251">
            <v>92.384736399759305</v>
          </cell>
          <cell r="U251">
            <v>61.110898981799892</v>
          </cell>
          <cell r="V251">
            <v>32.689981507311728</v>
          </cell>
          <cell r="W251">
            <v>-12.829660668512988</v>
          </cell>
          <cell r="X251">
            <v>-8.170721045960839</v>
          </cell>
          <cell r="Y251">
            <v>100.18608670279094</v>
          </cell>
          <cell r="Z251">
            <v>21.780620698225729</v>
          </cell>
          <cell r="AA251">
            <v>158.44897597959317</v>
          </cell>
          <cell r="AB251">
            <v>17.030801980217337</v>
          </cell>
          <cell r="AC251">
            <v>-111.30607098232603</v>
          </cell>
          <cell r="AD251">
            <v>-167.45511084021169</v>
          </cell>
          <cell r="AE251">
            <v>-32.165815728035781</v>
          </cell>
          <cell r="AF251">
            <v>50</v>
          </cell>
          <cell r="AG251">
            <v>-10</v>
          </cell>
          <cell r="AH251">
            <v>-10</v>
          </cell>
          <cell r="AI251">
            <v>-10</v>
          </cell>
          <cell r="AJ251">
            <v>-10</v>
          </cell>
          <cell r="AK251">
            <v>-10</v>
          </cell>
          <cell r="AL251">
            <v>-10</v>
          </cell>
          <cell r="AN251" t="str">
            <v>Month 2</v>
          </cell>
          <cell r="EL251" t="str">
            <v>Month 2</v>
          </cell>
          <cell r="ER251">
            <v>2255</v>
          </cell>
          <cell r="ES251">
            <v>2367</v>
          </cell>
          <cell r="ET251">
            <v>2303</v>
          </cell>
          <cell r="EU251">
            <v>4997</v>
          </cell>
          <cell r="EX251">
            <v>2288</v>
          </cell>
          <cell r="EY251">
            <v>2321</v>
          </cell>
          <cell r="EZ251">
            <v>2274</v>
          </cell>
          <cell r="FA251">
            <v>4624</v>
          </cell>
          <cell r="FD251">
            <v>2142</v>
          </cell>
          <cell r="FE251">
            <v>2249</v>
          </cell>
          <cell r="FF251">
            <v>2093</v>
          </cell>
          <cell r="FG251">
            <v>4397</v>
          </cell>
          <cell r="FJ251">
            <v>1963.7990255785628</v>
          </cell>
          <cell r="FK251">
            <v>2092.5916404337181</v>
          </cell>
          <cell r="FL251">
            <v>2084.1512834516657</v>
          </cell>
          <cell r="FM251">
            <v>4474.7693471136881</v>
          </cell>
          <cell r="FP251">
            <v>2172</v>
          </cell>
          <cell r="FQ251">
            <v>2229</v>
          </cell>
          <cell r="FR251">
            <v>2181</v>
          </cell>
          <cell r="FS251">
            <v>4619</v>
          </cell>
          <cell r="FV251">
            <v>2206</v>
          </cell>
          <cell r="FW251">
            <v>2392</v>
          </cell>
          <cell r="FX251">
            <v>2298</v>
          </cell>
          <cell r="FY251">
            <v>4925</v>
          </cell>
          <cell r="GB251">
            <v>2358</v>
          </cell>
          <cell r="GC251">
            <v>2412</v>
          </cell>
          <cell r="GD251">
            <v>2384.7396820310178</v>
          </cell>
          <cell r="GE251">
            <v>5171.5696157919501</v>
          </cell>
        </row>
        <row r="252">
          <cell r="A252" t="str">
            <v>Operating Income</v>
          </cell>
          <cell r="N252">
            <v>663</v>
          </cell>
          <cell r="O252">
            <v>893</v>
          </cell>
          <cell r="P252">
            <v>1341</v>
          </cell>
          <cell r="Q252">
            <v>1455</v>
          </cell>
          <cell r="R252">
            <v>1693</v>
          </cell>
          <cell r="S252">
            <v>1771</v>
          </cell>
          <cell r="T252">
            <v>1376</v>
          </cell>
          <cell r="U252">
            <v>1411</v>
          </cell>
          <cell r="V252">
            <v>1400</v>
          </cell>
          <cell r="W252">
            <v>1499</v>
          </cell>
          <cell r="X252">
            <v>2138</v>
          </cell>
          <cell r="Y252">
            <v>2273</v>
          </cell>
          <cell r="Z252">
            <v>2006.1943683158097</v>
          </cell>
          <cell r="AA252">
            <v>1425</v>
          </cell>
          <cell r="AB252">
            <v>1463</v>
          </cell>
          <cell r="AC252">
            <v>1919</v>
          </cell>
          <cell r="AD252">
            <v>2386</v>
          </cell>
          <cell r="AE252">
            <v>2548.7174594129283</v>
          </cell>
          <cell r="AF252">
            <v>2382.3369339216879</v>
          </cell>
          <cell r="AG252">
            <v>2498.1086124490248</v>
          </cell>
          <cell r="AH252">
            <v>2523.9914579697488</v>
          </cell>
          <cell r="AI252">
            <v>2520.715238607032</v>
          </cell>
          <cell r="AJ252">
            <v>2574.7236862749414</v>
          </cell>
          <cell r="AK252">
            <v>2629.5602313723502</v>
          </cell>
          <cell r="AL252">
            <v>2685.2360350030795</v>
          </cell>
          <cell r="AN252" t="str">
            <v>Month 3</v>
          </cell>
          <cell r="EL252" t="str">
            <v>Month 3</v>
          </cell>
          <cell r="ER252">
            <v>1878</v>
          </cell>
          <cell r="ES252">
            <v>1608</v>
          </cell>
          <cell r="ET252">
            <v>1863</v>
          </cell>
          <cell r="EU252">
            <v>1780</v>
          </cell>
          <cell r="EX252">
            <v>1837</v>
          </cell>
          <cell r="EY252">
            <v>1602</v>
          </cell>
          <cell r="EZ252">
            <v>1849</v>
          </cell>
          <cell r="FA252">
            <v>1273</v>
          </cell>
          <cell r="FD252">
            <v>1868</v>
          </cell>
          <cell r="FE252">
            <v>1543</v>
          </cell>
          <cell r="FF252">
            <v>1714</v>
          </cell>
          <cell r="FG252">
            <v>1213</v>
          </cell>
          <cell r="FJ252">
            <v>1720.603445275796</v>
          </cell>
          <cell r="FK252">
            <v>1409.6518013291361</v>
          </cell>
          <cell r="FL252">
            <v>1725.6996176952484</v>
          </cell>
          <cell r="FM252">
            <v>1268.4539954625661</v>
          </cell>
          <cell r="FP252">
            <v>1739</v>
          </cell>
          <cell r="FQ252">
            <v>1528</v>
          </cell>
          <cell r="FR252">
            <v>1806</v>
          </cell>
          <cell r="FS252">
            <v>1310</v>
          </cell>
          <cell r="FV252">
            <v>1920</v>
          </cell>
          <cell r="FW252">
            <v>1612</v>
          </cell>
          <cell r="FX252">
            <v>1842</v>
          </cell>
          <cell r="FY252">
            <v>1336</v>
          </cell>
          <cell r="GB252">
            <v>1928</v>
          </cell>
          <cell r="GC252">
            <v>1693</v>
          </cell>
          <cell r="GD252">
            <v>1954.7377926421409</v>
          </cell>
          <cell r="GE252">
            <v>1786.9703975101447</v>
          </cell>
        </row>
        <row r="253">
          <cell r="A253" t="str">
            <v>Operating Margin</v>
          </cell>
          <cell r="N253">
            <v>4.5367455864239771E-2</v>
          </cell>
          <cell r="O253">
            <v>6.0203600080900692E-2</v>
          </cell>
          <cell r="P253">
            <v>8.8107752956636004E-2</v>
          </cell>
          <cell r="Q253">
            <v>9.4695737064757562E-2</v>
          </cell>
          <cell r="R253">
            <v>0.10562106182544138</v>
          </cell>
          <cell r="S253">
            <v>0.10644308210121409</v>
          </cell>
          <cell r="T253">
            <v>8.7171365220145708E-2</v>
          </cell>
          <cell r="U253">
            <v>9.0617172949714206E-2</v>
          </cell>
          <cell r="V253">
            <v>9.0838307812094468E-2</v>
          </cell>
          <cell r="W253">
            <v>9.5017748478701827E-2</v>
          </cell>
          <cell r="X253">
            <v>9.5489057615006701E-2</v>
          </cell>
          <cell r="Y253">
            <v>8.4278828327771602E-2</v>
          </cell>
          <cell r="Z253">
            <v>7.6243467803587955E-2</v>
          </cell>
          <cell r="AA253">
            <v>5.7247308372167766E-2</v>
          </cell>
          <cell r="AB253">
            <v>6.1203145917001336E-2</v>
          </cell>
          <cell r="AC253">
            <v>7.6750789905211378E-2</v>
          </cell>
          <cell r="AD253">
            <v>9.0361673925392919E-2</v>
          </cell>
          <cell r="AE253">
            <v>9.2896107400015596E-2</v>
          </cell>
          <cell r="AF253">
            <v>8.6896107400015535E-2</v>
          </cell>
          <cell r="AG253">
            <v>8.9396107400015537E-2</v>
          </cell>
          <cell r="AH253">
            <v>8.9396107400015551E-2</v>
          </cell>
          <cell r="AI253">
            <v>8.8396107400015606E-2</v>
          </cell>
          <cell r="AJ253">
            <v>8.9396107400015565E-2</v>
          </cell>
          <cell r="AK253">
            <v>9.0396107400015593E-2</v>
          </cell>
          <cell r="AL253">
            <v>9.1396107400015622E-2</v>
          </cell>
          <cell r="AN253" t="str">
            <v>Total</v>
          </cell>
          <cell r="EL253" t="str">
            <v>Total</v>
          </cell>
          <cell r="ER253">
            <v>5930</v>
          </cell>
          <cell r="ES253">
            <v>5995</v>
          </cell>
          <cell r="ET253">
            <v>5886</v>
          </cell>
          <cell r="EU253">
            <v>9159</v>
          </cell>
          <cell r="EV253">
            <v>26970</v>
          </cell>
          <cell r="EX253">
            <v>5921</v>
          </cell>
          <cell r="EY253">
            <v>5892</v>
          </cell>
          <cell r="EZ253">
            <v>5906</v>
          </cell>
          <cell r="FA253">
            <v>8594</v>
          </cell>
          <cell r="FB253">
            <v>26313</v>
          </cell>
          <cell r="FD253">
            <v>5747</v>
          </cell>
          <cell r="FE253">
            <v>5718</v>
          </cell>
          <cell r="FF253">
            <v>5493</v>
          </cell>
          <cell r="FG253">
            <v>7934</v>
          </cell>
          <cell r="FH253">
            <v>24892</v>
          </cell>
          <cell r="FJ253">
            <v>5288</v>
          </cell>
          <cell r="FK253">
            <v>5285</v>
          </cell>
          <cell r="FL253">
            <v>5385</v>
          </cell>
          <cell r="FM253">
            <v>7946</v>
          </cell>
          <cell r="FN253">
            <v>23904</v>
          </cell>
          <cell r="FP253">
            <v>5574</v>
          </cell>
          <cell r="FQ253">
            <v>5537</v>
          </cell>
          <cell r="FR253">
            <v>5623</v>
          </cell>
          <cell r="FS253">
            <v>8269</v>
          </cell>
          <cell r="FT253">
            <v>25003</v>
          </cell>
          <cell r="FV253">
            <v>5889</v>
          </cell>
          <cell r="FW253">
            <v>5939</v>
          </cell>
          <cell r="FX253">
            <v>5853</v>
          </cell>
          <cell r="FY253">
            <v>8724</v>
          </cell>
          <cell r="FZ253">
            <v>26405</v>
          </cell>
          <cell r="GB253">
            <v>6143</v>
          </cell>
          <cell r="GC253">
            <v>6118</v>
          </cell>
          <cell r="GD253">
            <v>6151.4774746731582</v>
          </cell>
          <cell r="GE253">
            <v>9546.9499834395901</v>
          </cell>
          <cell r="GF253">
            <v>27959.427458112747</v>
          </cell>
        </row>
        <row r="254">
          <cell r="A254" t="str">
            <v>Y/Y ∆ Operating Margin (bps)</v>
          </cell>
          <cell r="O254">
            <v>148.36144216660921</v>
          </cell>
          <cell r="P254">
            <v>279.04152875735315</v>
          </cell>
          <cell r="Q254">
            <v>65.879841081215588</v>
          </cell>
          <cell r="R254">
            <v>109.25324760683822</v>
          </cell>
          <cell r="S254">
            <v>8.22020275772703</v>
          </cell>
          <cell r="T254">
            <v>-192.7171688106838</v>
          </cell>
          <cell r="U254">
            <v>34.45807729568498</v>
          </cell>
          <cell r="V254">
            <v>2.2113486238026225</v>
          </cell>
          <cell r="W254">
            <v>41.794406666073591</v>
          </cell>
          <cell r="X254">
            <v>4.7130913630487328</v>
          </cell>
          <cell r="Y254">
            <v>-112.10229287235099</v>
          </cell>
          <cell r="Z254">
            <v>-80.353605241836462</v>
          </cell>
          <cell r="AA254">
            <v>-189.9615943142019</v>
          </cell>
          <cell r="AB254">
            <v>39.55837544833571</v>
          </cell>
          <cell r="AC254">
            <v>155.47643988210041</v>
          </cell>
          <cell r="AD254">
            <v>136.10884020181541</v>
          </cell>
          <cell r="AE254">
            <v>25.344334746226771</v>
          </cell>
          <cell r="AF254">
            <v>-60.000000000000611</v>
          </cell>
          <cell r="AG254">
            <v>25.000000000000021</v>
          </cell>
          <cell r="AH254">
            <v>1.3877787807814457E-13</v>
          </cell>
          <cell r="AI254">
            <v>-9.9999999999994529</v>
          </cell>
          <cell r="AJ254">
            <v>9.9999999999995932</v>
          </cell>
          <cell r="AK254">
            <v>10.000000000000286</v>
          </cell>
          <cell r="AL254">
            <v>10.000000000000286</v>
          </cell>
        </row>
        <row r="255">
          <cell r="AN255" t="str">
            <v xml:space="preserve">Consolidated Monthly Comps </v>
          </cell>
          <cell r="EL255" t="str">
            <v xml:space="preserve">Consolidated Monthly Comps </v>
          </cell>
        </row>
        <row r="256">
          <cell r="A256" t="str">
            <v>Assumptions Spreads</v>
          </cell>
          <cell r="N256">
            <v>1995</v>
          </cell>
          <cell r="O256">
            <v>1996</v>
          </cell>
          <cell r="P256">
            <v>1997</v>
          </cell>
          <cell r="Q256">
            <v>1998</v>
          </cell>
          <cell r="R256">
            <v>1999</v>
          </cell>
          <cell r="S256">
            <v>2000</v>
          </cell>
          <cell r="T256">
            <v>2001</v>
          </cell>
          <cell r="U256">
            <v>2002</v>
          </cell>
          <cell r="V256">
            <v>2003</v>
          </cell>
          <cell r="W256">
            <v>2004</v>
          </cell>
          <cell r="X256">
            <v>2005</v>
          </cell>
          <cell r="Y256">
            <v>2006</v>
          </cell>
          <cell r="Z256">
            <v>2007</v>
          </cell>
          <cell r="AA256">
            <v>2008</v>
          </cell>
          <cell r="AB256">
            <v>2009</v>
          </cell>
          <cell r="AC256">
            <v>2010</v>
          </cell>
          <cell r="AD256">
            <v>2011</v>
          </cell>
          <cell r="AE256" t="str">
            <v>2012E</v>
          </cell>
          <cell r="AF256" t="str">
            <v>2013E</v>
          </cell>
          <cell r="AG256" t="str">
            <v>2014E</v>
          </cell>
          <cell r="AH256" t="str">
            <v>2015E</v>
          </cell>
          <cell r="AI256" t="str">
            <v>2016E</v>
          </cell>
          <cell r="AJ256" t="str">
            <v>2017E</v>
          </cell>
          <cell r="AK256" t="str">
            <v>2018E</v>
          </cell>
          <cell r="AL256" t="str">
            <v>2019E</v>
          </cell>
          <cell r="AN256" t="str">
            <v>Month 1</v>
          </cell>
          <cell r="EL256" t="str">
            <v>Month 1</v>
          </cell>
          <cell r="ER256">
            <v>0.01</v>
          </cell>
          <cell r="ES256">
            <v>9.1999999999999998E-2</v>
          </cell>
          <cell r="ET256">
            <v>3.7999999999999999E-2</v>
          </cell>
          <cell r="EU256">
            <v>8.5000000000000006E-2</v>
          </cell>
          <cell r="EX256">
            <v>1.2E-2</v>
          </cell>
          <cell r="EY256">
            <v>-3.3000000000000002E-2</v>
          </cell>
          <cell r="EZ256">
            <v>2.4E-2</v>
          </cell>
          <cell r="FA256">
            <v>0.13400000000000001</v>
          </cell>
          <cell r="FD256">
            <v>-3.5000000000000003E-2</v>
          </cell>
          <cell r="FE256">
            <v>-1.4999999999999999E-2</v>
          </cell>
          <cell r="FF256">
            <v>-4.8000000000000001E-2</v>
          </cell>
          <cell r="FG256">
            <v>-0.13300000000000001</v>
          </cell>
          <cell r="FJ256">
            <v>-8.5000000000000006E-2</v>
          </cell>
          <cell r="FK256">
            <v>-9.0999999999999998E-2</v>
          </cell>
          <cell r="FL256">
            <v>-8.1000000000000003E-2</v>
          </cell>
          <cell r="FM256">
            <v>-6.0999999999999999E-2</v>
          </cell>
          <cell r="FP256">
            <v>3.6999999999999998E-2</v>
          </cell>
          <cell r="FQ256">
            <v>1.4E-2</v>
          </cell>
          <cell r="FR256">
            <v>4.2999999999999997E-2</v>
          </cell>
          <cell r="FS256">
            <v>6.0999999999999999E-2</v>
          </cell>
          <cell r="FV256">
            <v>5.8000000000000003E-2</v>
          </cell>
          <cell r="FW256">
            <v>7.3999999999999996E-2</v>
          </cell>
          <cell r="FX256">
            <v>0.05</v>
          </cell>
          <cell r="FY256">
            <v>4.8000000000000001E-2</v>
          </cell>
          <cell r="GB256">
            <v>4.5999999999999999E-2</v>
          </cell>
          <cell r="GC256">
            <v>4.2000000000000003E-2</v>
          </cell>
          <cell r="GD256">
            <v>5.0999999999999997E-2</v>
          </cell>
          <cell r="GE256">
            <v>0.06</v>
          </cell>
        </row>
        <row r="257">
          <cell r="A257" t="str">
            <v>Bull Case Assumptions</v>
          </cell>
          <cell r="AN257" t="str">
            <v>Month 2</v>
          </cell>
          <cell r="EL257" t="str">
            <v>Month 2</v>
          </cell>
          <cell r="ER257">
            <v>0</v>
          </cell>
          <cell r="ES257">
            <v>1.7000000000000001E-2</v>
          </cell>
          <cell r="ET257">
            <v>6.5000000000000002E-2</v>
          </cell>
          <cell r="EU257">
            <v>4.3999999999999997E-2</v>
          </cell>
          <cell r="EX257">
            <v>2.3E-2</v>
          </cell>
          <cell r="EY257">
            <v>-2.7E-2</v>
          </cell>
          <cell r="EZ257">
            <v>-2.7E-2</v>
          </cell>
          <cell r="FA257">
            <v>-7.9000000000000001E-2</v>
          </cell>
          <cell r="FD257">
            <v>-6.2E-2</v>
          </cell>
          <cell r="FE257">
            <v>-2.1000000000000001E-2</v>
          </cell>
          <cell r="FF257">
            <v>-6.6000000000000003E-2</v>
          </cell>
          <cell r="FG257">
            <v>-0.04</v>
          </cell>
          <cell r="FJ257">
            <v>-9.1999999999999998E-2</v>
          </cell>
          <cell r="FK257">
            <v>-8.8999999999999996E-2</v>
          </cell>
          <cell r="FL257">
            <v>-2.3E-2</v>
          </cell>
          <cell r="FM257">
            <v>0.01</v>
          </cell>
          <cell r="FP257">
            <v>0.10800000000000001</v>
          </cell>
          <cell r="FQ257">
            <v>6.5000000000000002E-2</v>
          </cell>
          <cell r="FR257">
            <v>4.8000000000000001E-2</v>
          </cell>
          <cell r="FS257">
            <v>3.9E-2</v>
          </cell>
          <cell r="FV257">
            <v>8.9999999999999993E-3</v>
          </cell>
          <cell r="FW257">
            <v>6.7000000000000004E-2</v>
          </cell>
          <cell r="FX257">
            <v>4.9000000000000002E-2</v>
          </cell>
          <cell r="FY257">
            <v>6.2E-2</v>
          </cell>
          <cell r="GB257">
            <v>7.2999999999999995E-2</v>
          </cell>
          <cell r="GC257">
            <v>1.2E-2</v>
          </cell>
          <cell r="GD257">
            <v>0.05</v>
          </cell>
          <cell r="GE257">
            <v>0.06</v>
          </cell>
        </row>
        <row r="258">
          <cell r="A258" t="str">
            <v>Same Store</v>
          </cell>
          <cell r="AF258">
            <v>0.04</v>
          </cell>
          <cell r="AN258" t="str">
            <v>Month 3</v>
          </cell>
          <cell r="EL258" t="str">
            <v>Month 3</v>
          </cell>
          <cell r="ER258">
            <v>-8.0000000000000002E-3</v>
          </cell>
          <cell r="ES258">
            <v>3.3000000000000002E-2</v>
          </cell>
          <cell r="ET258">
            <v>7.6999999999999999E-2</v>
          </cell>
          <cell r="EU258">
            <v>8.5999999999999993E-2</v>
          </cell>
          <cell r="EX258">
            <v>-2.1999999999999999E-2</v>
          </cell>
          <cell r="EY258">
            <v>-1.4E-2</v>
          </cell>
          <cell r="EZ258">
            <v>-1.4999999999999999E-2</v>
          </cell>
          <cell r="FA258">
            <v>-7.0999999999999994E-2</v>
          </cell>
          <cell r="FD258">
            <v>0.03</v>
          </cell>
          <cell r="FE258">
            <v>-2.9000000000000001E-2</v>
          </cell>
          <cell r="FF258">
            <v>-6.3E-2</v>
          </cell>
          <cell r="FG258">
            <v>-4.4999999999999998E-2</v>
          </cell>
          <cell r="FJ258">
            <v>-9.0999999999999998E-2</v>
          </cell>
          <cell r="FK258">
            <v>-0.107</v>
          </cell>
          <cell r="FL258">
            <v>-8.0000000000000002E-3</v>
          </cell>
          <cell r="FM258">
            <v>3.4000000000000002E-2</v>
          </cell>
          <cell r="FP258">
            <v>1.0999999999999999E-2</v>
          </cell>
          <cell r="FQ258">
            <v>7.2999999999999995E-2</v>
          </cell>
          <cell r="FR258">
            <v>2.5000000000000001E-2</v>
          </cell>
          <cell r="FS258">
            <v>2.5999999999999999E-2</v>
          </cell>
          <cell r="FV258">
            <v>0.108</v>
          </cell>
          <cell r="FW258">
            <v>0.05</v>
          </cell>
          <cell r="FX258">
            <v>2.1999999999999999E-2</v>
          </cell>
          <cell r="FY258">
            <v>2.4E-2</v>
          </cell>
          <cell r="GB258">
            <v>1.2E-2</v>
          </cell>
          <cell r="GC258">
            <v>4.1000000000000002E-2</v>
          </cell>
          <cell r="GD258">
            <v>7.4999999999999997E-2</v>
          </cell>
          <cell r="GE258">
            <v>7.0000000000000007E-2</v>
          </cell>
        </row>
        <row r="259">
          <cell r="A259" t="str">
            <v>Y/Y ∆ Gross Margin (bps)</v>
          </cell>
          <cell r="AF259">
            <v>50</v>
          </cell>
          <cell r="AN259" t="str">
            <v>Total</v>
          </cell>
          <cell r="EL259" t="str">
            <v>Total</v>
          </cell>
          <cell r="ER259">
            <v>0</v>
          </cell>
          <cell r="ES259">
            <v>4.5999999999999999E-2</v>
          </cell>
          <cell r="ET259">
            <v>5.8999999999999997E-2</v>
          </cell>
          <cell r="EU259">
            <v>6.0999999999999999E-2</v>
          </cell>
          <cell r="EV259">
            <v>4.3999999999999997E-2</v>
          </cell>
          <cell r="EX259">
            <v>6.0000000000000001E-3</v>
          </cell>
          <cell r="EY259">
            <v>-2.5999999999999999E-2</v>
          </cell>
          <cell r="EZ259">
            <v>-8.0000000000000002E-3</v>
          </cell>
          <cell r="FA259">
            <v>-0.02</v>
          </cell>
          <cell r="FB259">
            <v>-1.2999999999999999E-2</v>
          </cell>
          <cell r="FD259">
            <v>-2.5999999999999999E-2</v>
          </cell>
          <cell r="FE259">
            <v>-2.1000000000000001E-2</v>
          </cell>
          <cell r="FF259">
            <v>-0.06</v>
          </cell>
          <cell r="FG259">
            <v>-7.0000000000000007E-2</v>
          </cell>
          <cell r="FH259">
            <v>-4.4999999999999998E-2</v>
          </cell>
          <cell r="FJ259">
            <v>-0.09</v>
          </cell>
          <cell r="FK259">
            <v>-9.5000000000000001E-2</v>
          </cell>
          <cell r="FL259">
            <v>-3.5999999999999997E-2</v>
          </cell>
          <cell r="FM259">
            <v>-5.8512769677805648E-3</v>
          </cell>
          <cell r="FN259">
            <v>-5.0968425652024113E-2</v>
          </cell>
          <cell r="FP259">
            <v>5.5E-2</v>
          </cell>
          <cell r="FQ259">
            <v>4.9000000000000002E-2</v>
          </cell>
          <cell r="FR259">
            <v>3.9E-2</v>
          </cell>
          <cell r="FS259">
            <v>4.2999999999999997E-2</v>
          </cell>
          <cell r="FT259">
            <v>4.610434747830261E-2</v>
          </cell>
          <cell r="FV259">
            <v>5.3999999999999999E-2</v>
          </cell>
          <cell r="FW259">
            <v>6.4000000000000001E-2</v>
          </cell>
          <cell r="FX259">
            <v>0.04</v>
          </cell>
          <cell r="FY259">
            <v>5.1999999999999998E-2</v>
          </cell>
          <cell r="FZ259">
            <v>5.2999999999999999E-2</v>
          </cell>
          <cell r="GB259">
            <v>4.3999999999999997E-2</v>
          </cell>
          <cell r="GC259">
            <v>0.03</v>
          </cell>
          <cell r="GD259">
            <v>5.8238743460366213E-2</v>
          </cell>
          <cell r="GE259">
            <v>6.1871770985089329E-2</v>
          </cell>
          <cell r="GF259">
            <v>5.0171736300135057E-2</v>
          </cell>
        </row>
        <row r="260">
          <cell r="A260" t="str">
            <v>Y/Y ∆ SG&amp;A Ratio (bps)</v>
          </cell>
          <cell r="AF260">
            <v>-35</v>
          </cell>
        </row>
        <row r="261">
          <cell r="A261" t="str">
            <v>Bear Case Assumptions</v>
          </cell>
          <cell r="AN261" t="str">
            <v xml:space="preserve">Consolidated Productivity Factor </v>
          </cell>
          <cell r="EL261" t="str">
            <v xml:space="preserve">Consolidated Productivity Factor </v>
          </cell>
        </row>
        <row r="262">
          <cell r="A262" t="str">
            <v>Same Store</v>
          </cell>
          <cell r="AF262">
            <v>-2.5000000000000001E-2</v>
          </cell>
          <cell r="AN262" t="str">
            <v>Month 1</v>
          </cell>
          <cell r="EL262" t="str">
            <v>Month 1</v>
          </cell>
          <cell r="ER262">
            <v>0.85379589916801657</v>
          </cell>
          <cell r="ES262">
            <v>0.82852877251430668</v>
          </cell>
          <cell r="ET262">
            <v>0.83475030563790842</v>
          </cell>
          <cell r="EU262">
            <v>0.91480422703367681</v>
          </cell>
          <cell r="EX262">
            <v>1.0042251017232908</v>
          </cell>
          <cell r="EY262">
            <v>1.0108075527611304</v>
          </cell>
          <cell r="EZ262">
            <v>1.0032705612197608</v>
          </cell>
          <cell r="FA262">
            <v>0.99617129302855612</v>
          </cell>
          <cell r="FD262">
            <v>1.0047260256693704</v>
          </cell>
          <cell r="FE262">
            <v>1.0011731147187122</v>
          </cell>
          <cell r="FF262">
            <v>1.0015681684828099</v>
          </cell>
          <cell r="FG262">
            <v>0.9980273685296247</v>
          </cell>
          <cell r="FJ262">
            <v>1.0146680194879518</v>
          </cell>
          <cell r="FK262">
            <v>1.0229325701507319</v>
          </cell>
          <cell r="FL262">
            <v>1.0237530410429481</v>
          </cell>
          <cell r="FM262">
            <v>1.0168796021749338</v>
          </cell>
          <cell r="FP262">
            <v>1.0016060228776302</v>
          </cell>
          <cell r="FQ262">
            <v>0.98881215735067063</v>
          </cell>
          <cell r="FR262">
            <v>1.0007452413933455</v>
          </cell>
          <cell r="FS262">
            <v>1.0028115913956974</v>
          </cell>
          <cell r="FV262">
            <v>1.0005096291516782</v>
          </cell>
          <cell r="FW262">
            <v>1.0081721608307339</v>
          </cell>
          <cell r="FX262">
            <v>0.99435769750356207</v>
          </cell>
          <cell r="FY262">
            <v>1.0114048185081832</v>
          </cell>
          <cell r="GB262">
            <v>1.0253009585429893</v>
          </cell>
          <cell r="GC262">
            <v>1.0133052611979987</v>
          </cell>
          <cell r="GD262">
            <v>1.018088666893139</v>
          </cell>
          <cell r="GE262">
            <v>1</v>
          </cell>
        </row>
        <row r="263">
          <cell r="A263" t="str">
            <v>Y/Y ∆ Gross Margin (bps)</v>
          </cell>
          <cell r="AF263">
            <v>-40</v>
          </cell>
          <cell r="AN263" t="str">
            <v>Month 2</v>
          </cell>
          <cell r="EL263" t="str">
            <v>Month 2</v>
          </cell>
          <cell r="ER263">
            <v>0.87143545576033965</v>
          </cell>
          <cell r="ES263">
            <v>0.86259214604526391</v>
          </cell>
          <cell r="ET263">
            <v>0.95476655228407081</v>
          </cell>
          <cell r="EU263">
            <v>0.95390310394604827</v>
          </cell>
          <cell r="EX263">
            <v>0.99756383077735888</v>
          </cell>
          <cell r="EY263">
            <v>1.0076309712339664</v>
          </cell>
          <cell r="EZ263">
            <v>1.0058439901456568</v>
          </cell>
          <cell r="FA263">
            <v>1.0104925603418453</v>
          </cell>
          <cell r="FD263">
            <v>1.0038919718017412</v>
          </cell>
          <cell r="FE263">
            <v>1.0002262623646179</v>
          </cell>
          <cell r="FF263">
            <v>1.0022779610885877</v>
          </cell>
          <cell r="FG263">
            <v>0.98797059201406712</v>
          </cell>
          <cell r="FJ263">
            <v>1.0172356632303496</v>
          </cell>
          <cell r="FK263">
            <v>1.0266388149144143</v>
          </cell>
          <cell r="FL263">
            <v>1.0185440088098592</v>
          </cell>
          <cell r="FM263">
            <v>1.0150644106268683</v>
          </cell>
          <cell r="FP263">
            <v>0.9967530496300272</v>
          </cell>
          <cell r="FQ263">
            <v>0.99989171377441255</v>
          </cell>
          <cell r="FR263">
            <v>1.0028971230689774</v>
          </cell>
          <cell r="FS263">
            <v>0.9946391314592461</v>
          </cell>
          <cell r="FV263">
            <v>1.0074992903911262</v>
          </cell>
          <cell r="FW263">
            <v>1.0057878604073234</v>
          </cell>
          <cell r="FX263">
            <v>1.0057401642886414</v>
          </cell>
          <cell r="FY263">
            <v>1.0118477756232767</v>
          </cell>
          <cell r="GB263">
            <v>1.0102541230632647</v>
          </cell>
          <cell r="GC263">
            <v>1.011143062170935</v>
          </cell>
          <cell r="GD263">
            <v>1</v>
          </cell>
          <cell r="GE263">
            <v>1</v>
          </cell>
        </row>
        <row r="264">
          <cell r="A264" t="str">
            <v>Y/Y ∆ SG&amp;A Ratio (bps)</v>
          </cell>
          <cell r="AF264">
            <v>35</v>
          </cell>
          <cell r="AN264" t="str">
            <v>Month 3</v>
          </cell>
          <cell r="EL264" t="str">
            <v>Month 3</v>
          </cell>
          <cell r="ER264">
            <v>0.85509041472763314</v>
          </cell>
          <cell r="ES264">
            <v>0.83302342705472399</v>
          </cell>
          <cell r="ET264">
            <v>0.9300581404093593</v>
          </cell>
          <cell r="EU264">
            <v>0.88885616548937241</v>
          </cell>
          <cell r="EX264">
            <v>1.0012993536198342</v>
          </cell>
          <cell r="EY264">
            <v>1.0067406823426219</v>
          </cell>
          <cell r="EZ264">
            <v>1.0010354929971583</v>
          </cell>
          <cell r="FA264">
            <v>0.77697496531497701</v>
          </cell>
          <cell r="FD264">
            <v>0.99998610863561077</v>
          </cell>
          <cell r="FE264">
            <v>1.0000776716315167</v>
          </cell>
          <cell r="FF264">
            <v>1.0026881239876493</v>
          </cell>
          <cell r="FG264">
            <v>1.0034001517037674</v>
          </cell>
          <cell r="FJ264">
            <v>1.017274065207098</v>
          </cell>
          <cell r="FK264">
            <v>1.0307481774152398</v>
          </cell>
          <cell r="FL264">
            <v>1.0154616377110075</v>
          </cell>
          <cell r="FM264">
            <v>1.009307170702717</v>
          </cell>
          <cell r="FP264">
            <v>1.0005893323256754</v>
          </cell>
          <cell r="FQ264">
            <v>1.0111137394005785</v>
          </cell>
          <cell r="FR264">
            <v>1.0254628236300125</v>
          </cell>
          <cell r="FS264">
            <v>1.00775043725629</v>
          </cell>
          <cell r="FV264">
            <v>0.99618702023241001</v>
          </cell>
          <cell r="FW264">
            <v>1.0047825549823146</v>
          </cell>
          <cell r="FX264">
            <v>1.0004489851343907</v>
          </cell>
          <cell r="FY264">
            <v>1.008520012530175</v>
          </cell>
          <cell r="GB264">
            <v>1.0062765433093959</v>
          </cell>
          <cell r="GC264">
            <v>1.0227639737625074</v>
          </cell>
          <cell r="GD264">
            <v>1</v>
          </cell>
          <cell r="GE264">
            <v>1</v>
          </cell>
        </row>
        <row r="265">
          <cell r="AN265" t="str">
            <v>Total</v>
          </cell>
          <cell r="EL265" t="str">
            <v>Total</v>
          </cell>
        </row>
        <row r="267">
          <cell r="AN267" t="str">
            <v>Cost of Goods Sold</v>
          </cell>
          <cell r="EL267" t="str">
            <v>Cost of Goods Sold</v>
          </cell>
          <cell r="ER267">
            <v>3627</v>
          </cell>
          <cell r="ES267">
            <v>3470</v>
          </cell>
          <cell r="ET267">
            <v>3513</v>
          </cell>
          <cell r="EU267">
            <v>5409</v>
          </cell>
          <cell r="EV267">
            <v>16019</v>
          </cell>
          <cell r="EX267">
            <v>3564</v>
          </cell>
          <cell r="EY267">
            <v>3507</v>
          </cell>
          <cell r="EZ267">
            <v>3585</v>
          </cell>
          <cell r="FA267">
            <v>5021</v>
          </cell>
          <cell r="FB267">
            <v>15677</v>
          </cell>
          <cell r="FD267">
            <v>3527</v>
          </cell>
          <cell r="FE267">
            <v>3346</v>
          </cell>
          <cell r="FF267">
            <v>3324</v>
          </cell>
          <cell r="FG267">
            <v>4812</v>
          </cell>
          <cell r="FH267">
            <v>15009</v>
          </cell>
          <cell r="FJ267">
            <v>3279</v>
          </cell>
          <cell r="FK267">
            <v>3117</v>
          </cell>
          <cell r="FL267">
            <v>3241</v>
          </cell>
          <cell r="FM267">
            <v>4650</v>
          </cell>
          <cell r="FN267">
            <v>14287</v>
          </cell>
          <cell r="FP267">
            <v>3378</v>
          </cell>
          <cell r="FQ267">
            <v>3214</v>
          </cell>
          <cell r="FR267">
            <v>3377</v>
          </cell>
          <cell r="FS267">
            <v>4855</v>
          </cell>
          <cell r="FT267">
            <v>14824</v>
          </cell>
          <cell r="FV267">
            <v>3586</v>
          </cell>
          <cell r="FW267">
            <v>3457</v>
          </cell>
          <cell r="FX267">
            <v>3544</v>
          </cell>
          <cell r="FY267">
            <v>5151</v>
          </cell>
          <cell r="FZ267">
            <v>15738</v>
          </cell>
          <cell r="GB267">
            <v>3757</v>
          </cell>
          <cell r="GC267">
            <v>3555</v>
          </cell>
          <cell r="GD267">
            <v>3693.9711570041623</v>
          </cell>
          <cell r="GE267">
            <v>5567.0878306241739</v>
          </cell>
          <cell r="GF267">
            <v>16573.058987628334</v>
          </cell>
        </row>
        <row r="268">
          <cell r="AN268" t="str">
            <v>CGS, OCC, Buying Costs %</v>
          </cell>
          <cell r="EL268" t="str">
            <v>CGS, OCC, Buying Costs %</v>
          </cell>
          <cell r="ER268">
            <v>0.61163575042158513</v>
          </cell>
          <cell r="ES268">
            <v>0.57881567973311088</v>
          </cell>
          <cell r="ET268">
            <v>0.59683995922528033</v>
          </cell>
          <cell r="EU268">
            <v>0.59056665574844414</v>
          </cell>
          <cell r="EV268">
            <v>0.59395624768261035</v>
          </cell>
          <cell r="EX268">
            <v>0.60192535044755957</v>
          </cell>
          <cell r="EY268">
            <v>0.59521384928716903</v>
          </cell>
          <cell r="EZ268">
            <v>0.60700982052150354</v>
          </cell>
          <cell r="FA268">
            <v>0.58424482196881544</v>
          </cell>
          <cell r="FB268">
            <v>0.59578915365028695</v>
          </cell>
          <cell r="FD268">
            <v>0.61371150165303634</v>
          </cell>
          <cell r="FE268">
            <v>0.5851696397341728</v>
          </cell>
          <cell r="FF268">
            <v>0.60513380666302563</v>
          </cell>
          <cell r="FG268">
            <v>0.60650365515502902</v>
          </cell>
          <cell r="FH268">
            <v>0.60296480797043228</v>
          </cell>
          <cell r="FJ268">
            <v>0.62008320726172461</v>
          </cell>
          <cell r="FK268">
            <v>0.58978240302743612</v>
          </cell>
          <cell r="FL268">
            <v>0.6018570102135562</v>
          </cell>
          <cell r="FM268">
            <v>0.58520010067958717</v>
          </cell>
          <cell r="FN268">
            <v>0.59768239625167341</v>
          </cell>
          <cell r="FP268">
            <v>0.60602798708288486</v>
          </cell>
          <cell r="FQ268">
            <v>0.58045873216543253</v>
          </cell>
          <cell r="FR268">
            <v>0.60056909123243818</v>
          </cell>
          <cell r="FS268">
            <v>0.58713266416737209</v>
          </cell>
          <cell r="FT268">
            <v>0.59288885333759944</v>
          </cell>
          <cell r="FV268">
            <v>0.60893190694515198</v>
          </cell>
          <cell r="FW268">
            <v>0.58208452601448057</v>
          </cell>
          <cell r="FX268">
            <v>0.60550145224671104</v>
          </cell>
          <cell r="FY268">
            <v>0.59044016506189823</v>
          </cell>
          <cell r="FZ268">
            <v>0.59602348040143915</v>
          </cell>
          <cell r="GB268">
            <v>0.61159042812957842</v>
          </cell>
          <cell r="GC268">
            <v>0.58107224583197126</v>
          </cell>
          <cell r="GD268">
            <v>0.60050145224671103</v>
          </cell>
          <cell r="GE268">
            <v>0.58312736950345423</v>
          </cell>
          <cell r="GF268">
            <v>0.59275387568136595</v>
          </cell>
        </row>
        <row r="269">
          <cell r="AN269" t="str">
            <v>BPS Change</v>
          </cell>
          <cell r="EL269" t="str">
            <v>BPS Change</v>
          </cell>
          <cell r="ER269">
            <v>139.97738886292632</v>
          </cell>
          <cell r="ES269">
            <v>-79.90834205613973</v>
          </cell>
          <cell r="ET269">
            <v>6.2033726308408088</v>
          </cell>
          <cell r="EU269">
            <v>-5.9414249625333593</v>
          </cell>
          <cell r="EV269">
            <v>11.916206169559906</v>
          </cell>
          <cell r="EX269">
            <v>-97.103999740255631</v>
          </cell>
          <cell r="EY269">
            <v>163.98169554058151</v>
          </cell>
          <cell r="EZ269">
            <v>101.69861296223215</v>
          </cell>
          <cell r="FA269">
            <v>-63.218337796286939</v>
          </cell>
          <cell r="FB269">
            <v>18.329059676766015</v>
          </cell>
          <cell r="FD269">
            <v>117.86151205476769</v>
          </cell>
          <cell r="FE269">
            <v>-100.4420955299623</v>
          </cell>
          <cell r="FF269">
            <v>-18.760138584779096</v>
          </cell>
          <cell r="FG269">
            <v>222.58833186213579</v>
          </cell>
          <cell r="FH269">
            <v>71.756543201453297</v>
          </cell>
          <cell r="FJ269">
            <v>63.717056086882721</v>
          </cell>
          <cell r="FK269">
            <v>46.127632932633219</v>
          </cell>
          <cell r="FL269">
            <v>-32.767964494694326</v>
          </cell>
          <cell r="FM269">
            <v>-213.03554475441854</v>
          </cell>
          <cell r="FN269">
            <v>-52.824117187588726</v>
          </cell>
          <cell r="FP269">
            <v>-140.55220178839755</v>
          </cell>
          <cell r="FQ269">
            <v>-93.236708620035856</v>
          </cell>
          <cell r="FR269">
            <v>-12.879189811180192</v>
          </cell>
          <cell r="FS269">
            <v>19.325634877849218</v>
          </cell>
          <cell r="FT269">
            <v>-47.935429140739672</v>
          </cell>
          <cell r="FV269">
            <v>29.039198622671236</v>
          </cell>
          <cell r="FW269">
            <v>16.257938490480406</v>
          </cell>
          <cell r="FX269">
            <v>49.323610142728569</v>
          </cell>
          <cell r="FY269">
            <v>33.075008945261388</v>
          </cell>
          <cell r="FZ269">
            <v>31.346270638397122</v>
          </cell>
          <cell r="GB269">
            <v>26.585211844264435</v>
          </cell>
          <cell r="GC269">
            <v>-10.122801825093175</v>
          </cell>
          <cell r="GD269">
            <v>-50.000000000000043</v>
          </cell>
          <cell r="GE269">
            <v>-73.12795558443996</v>
          </cell>
          <cell r="GF269">
            <v>-32.696047200732046</v>
          </cell>
        </row>
        <row r="271">
          <cell r="AN271" t="str">
            <v>Gross Income</v>
          </cell>
          <cell r="EL271" t="str">
            <v>Gross Income</v>
          </cell>
          <cell r="ER271">
            <v>2303</v>
          </cell>
          <cell r="ES271">
            <v>2525</v>
          </cell>
          <cell r="ET271">
            <v>2373</v>
          </cell>
          <cell r="EU271">
            <v>3750</v>
          </cell>
          <cell r="EV271">
            <v>10951</v>
          </cell>
          <cell r="EX271">
            <v>2357</v>
          </cell>
          <cell r="EY271">
            <v>2385</v>
          </cell>
          <cell r="EZ271">
            <v>2321</v>
          </cell>
          <cell r="FA271">
            <v>3573</v>
          </cell>
          <cell r="FB271">
            <v>10636</v>
          </cell>
          <cell r="FD271">
            <v>2220</v>
          </cell>
          <cell r="FE271">
            <v>2372</v>
          </cell>
          <cell r="FF271">
            <v>2169</v>
          </cell>
          <cell r="FG271">
            <v>3122</v>
          </cell>
          <cell r="FH271">
            <v>9883</v>
          </cell>
          <cell r="FJ271">
            <v>2009</v>
          </cell>
          <cell r="FK271">
            <v>2168</v>
          </cell>
          <cell r="FL271">
            <v>2144</v>
          </cell>
          <cell r="FM271">
            <v>3296</v>
          </cell>
          <cell r="FN271">
            <v>9617</v>
          </cell>
          <cell r="FP271">
            <v>2196</v>
          </cell>
          <cell r="FQ271">
            <v>2323</v>
          </cell>
          <cell r="FR271">
            <v>2246</v>
          </cell>
          <cell r="FS271">
            <v>3414</v>
          </cell>
          <cell r="FT271">
            <v>10179</v>
          </cell>
          <cell r="FV271">
            <v>2303</v>
          </cell>
          <cell r="FW271">
            <v>2482</v>
          </cell>
          <cell r="FX271">
            <v>2309</v>
          </cell>
          <cell r="FY271">
            <v>3573</v>
          </cell>
          <cell r="FZ271">
            <v>10667</v>
          </cell>
          <cell r="GB271">
            <v>2386</v>
          </cell>
          <cell r="GC271">
            <v>2563</v>
          </cell>
          <cell r="GD271">
            <v>2457.506317668996</v>
          </cell>
          <cell r="GE271">
            <v>3979.8621528154158</v>
          </cell>
          <cell r="GF271">
            <v>11386.368470484413</v>
          </cell>
        </row>
        <row r="272">
          <cell r="AN272" t="str">
            <v>Gross Margin</v>
          </cell>
          <cell r="EL272" t="str">
            <v>Gross Margin</v>
          </cell>
          <cell r="ER272">
            <v>0.38836424957841487</v>
          </cell>
          <cell r="ES272">
            <v>0.42118432026688907</v>
          </cell>
          <cell r="ET272">
            <v>0.40316004077471967</v>
          </cell>
          <cell r="EU272">
            <v>0.40943334425155586</v>
          </cell>
          <cell r="EV272">
            <v>0.40604375231738971</v>
          </cell>
          <cell r="EX272">
            <v>0.39807464955244048</v>
          </cell>
          <cell r="EY272">
            <v>0.40478615071283097</v>
          </cell>
          <cell r="EZ272">
            <v>0.39299017947849646</v>
          </cell>
          <cell r="FA272">
            <v>0.41575517803118456</v>
          </cell>
          <cell r="FB272">
            <v>0.40421084634971305</v>
          </cell>
          <cell r="FD272">
            <v>0.38628849834696366</v>
          </cell>
          <cell r="FE272">
            <v>0.4148303602658272</v>
          </cell>
          <cell r="FF272">
            <v>0.39486619333697431</v>
          </cell>
          <cell r="FG272">
            <v>0.39349634484497104</v>
          </cell>
          <cell r="FH272">
            <v>0.39703519202956772</v>
          </cell>
          <cell r="FJ272">
            <v>0.37991679273827533</v>
          </cell>
          <cell r="FK272">
            <v>0.41021759697256388</v>
          </cell>
          <cell r="FL272">
            <v>0.3981429897864438</v>
          </cell>
          <cell r="FM272">
            <v>0.41479989932041278</v>
          </cell>
          <cell r="FN272">
            <v>0.40231760374832665</v>
          </cell>
          <cell r="FP272">
            <v>0.3939720129171152</v>
          </cell>
          <cell r="FQ272">
            <v>0.41954126783456747</v>
          </cell>
          <cell r="FR272">
            <v>0.39943090876756182</v>
          </cell>
          <cell r="FS272">
            <v>0.41286733583262791</v>
          </cell>
          <cell r="FT272">
            <v>0.4071111466624005</v>
          </cell>
          <cell r="FV272">
            <v>0.39106809305484802</v>
          </cell>
          <cell r="FW272">
            <v>0.41791547398551943</v>
          </cell>
          <cell r="FX272">
            <v>0.39449854775328891</v>
          </cell>
          <cell r="FY272">
            <v>0.40955983493810177</v>
          </cell>
          <cell r="FZ272">
            <v>0.4039765195985609</v>
          </cell>
          <cell r="GB272">
            <v>0.38840957187042163</v>
          </cell>
          <cell r="GC272">
            <v>0.41892775416802874</v>
          </cell>
          <cell r="GD272">
            <v>0.39949854775328891</v>
          </cell>
          <cell r="GE272">
            <v>0.41687263049654577</v>
          </cell>
          <cell r="GF272">
            <v>0.407246124318634</v>
          </cell>
        </row>
        <row r="273">
          <cell r="AN273" t="str">
            <v>BPS Change</v>
          </cell>
          <cell r="EL273" t="str">
            <v>BPS Change</v>
          </cell>
          <cell r="ER273">
            <v>-139.97738886292632</v>
          </cell>
          <cell r="ES273">
            <v>79.908342056138622</v>
          </cell>
          <cell r="ET273">
            <v>-6.2033726308408088</v>
          </cell>
          <cell r="EU273">
            <v>5.9414249625339144</v>
          </cell>
          <cell r="EV273">
            <v>-11.916206169559906</v>
          </cell>
          <cell r="EX273">
            <v>97.103999740256185</v>
          </cell>
          <cell r="EY273">
            <v>-163.98169554058094</v>
          </cell>
          <cell r="EZ273">
            <v>-101.69861296223215</v>
          </cell>
          <cell r="FA273">
            <v>63.218337796286939</v>
          </cell>
          <cell r="FB273">
            <v>-18.329059676766569</v>
          </cell>
          <cell r="FD273">
            <v>-117.86151205476824</v>
          </cell>
          <cell r="FE273">
            <v>100.4420955299623</v>
          </cell>
          <cell r="FF273">
            <v>18.760138584778542</v>
          </cell>
          <cell r="FG273">
            <v>-222.58833186213522</v>
          </cell>
          <cell r="FH273">
            <v>-71.756543201453297</v>
          </cell>
          <cell r="FJ273">
            <v>-63.717056086883275</v>
          </cell>
          <cell r="FK273">
            <v>-46.127632932633219</v>
          </cell>
          <cell r="FL273">
            <v>32.76796449469488</v>
          </cell>
          <cell r="FM273">
            <v>213.03554475441743</v>
          </cell>
          <cell r="FN273">
            <v>52.82411718758928</v>
          </cell>
          <cell r="FP273">
            <v>140.55220178839866</v>
          </cell>
          <cell r="FQ273">
            <v>93.236708620035856</v>
          </cell>
          <cell r="FR273">
            <v>12.879189811180192</v>
          </cell>
          <cell r="FS273">
            <v>-19.325634877848664</v>
          </cell>
          <cell r="FT273">
            <v>47.935429140738563</v>
          </cell>
          <cell r="FV273">
            <v>-29.03919862267179</v>
          </cell>
          <cell r="FW273">
            <v>-16.257938490480406</v>
          </cell>
          <cell r="FX273">
            <v>-49.323610142729123</v>
          </cell>
          <cell r="FY273">
            <v>-33.075008945261388</v>
          </cell>
          <cell r="FZ273">
            <v>-31.346270638396014</v>
          </cell>
          <cell r="GB273">
            <v>-26.585211844263878</v>
          </cell>
          <cell r="GC273">
            <v>10.122801825093175</v>
          </cell>
          <cell r="GD273">
            <v>50</v>
          </cell>
          <cell r="GE273">
            <v>73.127955584439931</v>
          </cell>
          <cell r="GF273">
            <v>32.696047200730938</v>
          </cell>
        </row>
        <row r="275">
          <cell r="AN275" t="str">
            <v>SG&amp;A</v>
          </cell>
          <cell r="EL275" t="str">
            <v>SG&amp;A</v>
          </cell>
          <cell r="ER275">
            <v>2154</v>
          </cell>
          <cell r="ES275">
            <v>2117</v>
          </cell>
          <cell r="ET275">
            <v>2094</v>
          </cell>
          <cell r="EU275">
            <v>2313</v>
          </cell>
          <cell r="EV275">
            <v>8678</v>
          </cell>
          <cell r="EX275">
            <v>2113</v>
          </cell>
          <cell r="EY275">
            <v>2038</v>
          </cell>
          <cell r="EZ275">
            <v>2121</v>
          </cell>
          <cell r="FA275">
            <v>2282</v>
          </cell>
          <cell r="FB275">
            <v>8554</v>
          </cell>
          <cell r="FD275">
            <v>2080</v>
          </cell>
          <cell r="FE275">
            <v>2037</v>
          </cell>
          <cell r="FF275">
            <v>2085</v>
          </cell>
          <cell r="FG275">
            <v>2256</v>
          </cell>
          <cell r="FH275">
            <v>8458</v>
          </cell>
          <cell r="FJ275">
            <v>1985</v>
          </cell>
          <cell r="FK275">
            <v>1886</v>
          </cell>
          <cell r="FL275">
            <v>2056</v>
          </cell>
          <cell r="FM275">
            <v>2236</v>
          </cell>
          <cell r="FN275">
            <v>8163</v>
          </cell>
          <cell r="FP275">
            <v>1993</v>
          </cell>
          <cell r="FQ275">
            <v>1953</v>
          </cell>
          <cell r="FR275">
            <v>2069</v>
          </cell>
          <cell r="FS275">
            <v>2245</v>
          </cell>
          <cell r="FT275">
            <v>8260</v>
          </cell>
          <cell r="FV275">
            <v>1973</v>
          </cell>
          <cell r="FW275">
            <v>1976</v>
          </cell>
          <cell r="FX275">
            <v>2018</v>
          </cell>
          <cell r="FY275">
            <v>2314</v>
          </cell>
          <cell r="FZ275">
            <v>8281</v>
          </cell>
          <cell r="GB275">
            <v>1995</v>
          </cell>
          <cell r="GC275">
            <v>2009</v>
          </cell>
          <cell r="GD275">
            <v>2135.8432994799609</v>
          </cell>
          <cell r="GE275">
            <v>2451.0799464756819</v>
          </cell>
          <cell r="GF275">
            <v>8590.9232459556424</v>
          </cell>
        </row>
        <row r="276">
          <cell r="AN276" t="str">
            <v>SG&amp;A Ratio</v>
          </cell>
          <cell r="EL276" t="str">
            <v>SG&amp;A Ratio</v>
          </cell>
          <cell r="ER276">
            <v>0.36323777403035412</v>
          </cell>
          <cell r="ES276">
            <v>0.35312760633861551</v>
          </cell>
          <cell r="ET276">
            <v>0.35575942915392456</v>
          </cell>
          <cell r="EU276">
            <v>0.25253848673435964</v>
          </cell>
          <cell r="EV276">
            <v>0.32176492398961809</v>
          </cell>
          <cell r="EX276">
            <v>0.35686539435906095</v>
          </cell>
          <cell r="EY276">
            <v>0.34589273591310249</v>
          </cell>
          <cell r="EZ276">
            <v>0.35912631222485608</v>
          </cell>
          <cell r="FA276">
            <v>0.2655340935536421</v>
          </cell>
          <cell r="FB276">
            <v>0.32508645916467144</v>
          </cell>
          <cell r="FD276">
            <v>0.36192796241517311</v>
          </cell>
          <cell r="FE276">
            <v>0.35624344176285416</v>
          </cell>
          <cell r="FF276">
            <v>0.37957400327689789</v>
          </cell>
          <cell r="FG276">
            <v>0.28434585328963952</v>
          </cell>
          <cell r="FH276">
            <v>0.33978788365739998</v>
          </cell>
          <cell r="FJ276">
            <v>0.37537821482602118</v>
          </cell>
          <cell r="FK276">
            <v>0.35685903500473037</v>
          </cell>
          <cell r="FL276">
            <v>0.38180129990714951</v>
          </cell>
          <cell r="FM276">
            <v>0.28139944626227031</v>
          </cell>
          <cell r="FN276">
            <v>0.34149096385542171</v>
          </cell>
          <cell r="FP276">
            <v>0.35755292429135271</v>
          </cell>
          <cell r="FQ276">
            <v>0.3527180783817952</v>
          </cell>
          <cell r="FR276">
            <v>0.36795304997332384</v>
          </cell>
          <cell r="FS276">
            <v>0.27149594872415045</v>
          </cell>
          <cell r="FT276">
            <v>0.33036035675718911</v>
          </cell>
          <cell r="FV276">
            <v>0.33503141450161317</v>
          </cell>
          <cell r="FW276">
            <v>0.33271594544536115</v>
          </cell>
          <cell r="FX276">
            <v>0.34478045446779432</v>
          </cell>
          <cell r="FY276">
            <v>0.26524530032095367</v>
          </cell>
          <cell r="FZ276">
            <v>0.31361484567316794</v>
          </cell>
          <cell r="GB276">
            <v>0.32475988930489991</v>
          </cell>
          <cell r="GC276">
            <v>0.32837528604118993</v>
          </cell>
          <cell r="GD276">
            <v>0.34720818019307514</v>
          </cell>
          <cell r="GE276">
            <v>0.25673958182743123</v>
          </cell>
          <cell r="GF276">
            <v>0.30726391872029868</v>
          </cell>
        </row>
        <row r="277">
          <cell r="AN277" t="str">
            <v>BPS Change</v>
          </cell>
          <cell r="EL277" t="str">
            <v>BPS Change</v>
          </cell>
          <cell r="ER277">
            <v>300.87540578005888</v>
          </cell>
          <cell r="ES277">
            <v>202.54296926526084</v>
          </cell>
          <cell r="ET277">
            <v>5.8391160216936244</v>
          </cell>
          <cell r="EU277">
            <v>-178.61680437304796</v>
          </cell>
          <cell r="EV277">
            <v>100.18608670279094</v>
          </cell>
          <cell r="EX277">
            <v>-63.723796712931716</v>
          </cell>
          <cell r="EY277">
            <v>-72.348704255130187</v>
          </cell>
          <cell r="EZ277">
            <v>33.668830709315259</v>
          </cell>
          <cell r="FA277">
            <v>129.95606819282469</v>
          </cell>
          <cell r="FB277">
            <v>33.215351750533472</v>
          </cell>
          <cell r="FD277">
            <v>50.625680561121598</v>
          </cell>
          <cell r="FE277">
            <v>103.50705849751674</v>
          </cell>
          <cell r="FF277">
            <v>204.47691052041804</v>
          </cell>
          <cell r="FG277">
            <v>188.11759735997413</v>
          </cell>
          <cell r="FH277">
            <v>147.01424492728543</v>
          </cell>
          <cell r="FJ277">
            <v>134.50252410848074</v>
          </cell>
          <cell r="FK277">
            <v>6.1559324187621112</v>
          </cell>
          <cell r="FL277">
            <v>22.272966302516185</v>
          </cell>
          <cell r="FM277">
            <v>-29.464070273692023</v>
          </cell>
          <cell r="FN277">
            <v>17.030801980217337</v>
          </cell>
          <cell r="FP277">
            <v>-178.25290534668468</v>
          </cell>
          <cell r="FQ277">
            <v>-41.409566229351768</v>
          </cell>
          <cell r="FR277">
            <v>-138.48249933825662</v>
          </cell>
          <cell r="FS277">
            <v>-99.034975381198649</v>
          </cell>
          <cell r="FT277">
            <v>-111.30607098232603</v>
          </cell>
          <cell r="FV277">
            <v>-225.21509789739548</v>
          </cell>
          <cell r="FW277">
            <v>-200.02132936434046</v>
          </cell>
          <cell r="FX277">
            <v>-231.72595505529526</v>
          </cell>
          <cell r="FY277">
            <v>-62.506484031967787</v>
          </cell>
          <cell r="FZ277">
            <v>-167.45511084021169</v>
          </cell>
          <cell r="GB277">
            <v>-102.7152519671326</v>
          </cell>
          <cell r="GC277">
            <v>-43.406594041712211</v>
          </cell>
          <cell r="GD277">
            <v>24.277257252808404</v>
          </cell>
          <cell r="GE277">
            <v>-85.057184935224271</v>
          </cell>
          <cell r="GF277">
            <v>-63.509269528692627</v>
          </cell>
        </row>
        <row r="279">
          <cell r="AN279" t="str">
            <v>Operating Income</v>
          </cell>
          <cell r="EL279" t="str">
            <v>Operating Income</v>
          </cell>
          <cell r="ER279">
            <v>149</v>
          </cell>
          <cell r="ES279">
            <v>408</v>
          </cell>
          <cell r="ET279">
            <v>279</v>
          </cell>
          <cell r="EU279">
            <v>1437</v>
          </cell>
          <cell r="EV279">
            <v>2273</v>
          </cell>
          <cell r="EX279">
            <v>244</v>
          </cell>
          <cell r="EY279">
            <v>347</v>
          </cell>
          <cell r="EZ279">
            <v>200</v>
          </cell>
          <cell r="FA279">
            <v>1291</v>
          </cell>
          <cell r="FB279">
            <v>2082</v>
          </cell>
          <cell r="FD279">
            <v>140</v>
          </cell>
          <cell r="FE279">
            <v>335</v>
          </cell>
          <cell r="FF279">
            <v>84</v>
          </cell>
          <cell r="FG279">
            <v>866</v>
          </cell>
          <cell r="FH279">
            <v>1425</v>
          </cell>
          <cell r="FJ279">
            <v>24</v>
          </cell>
          <cell r="FK279">
            <v>282</v>
          </cell>
          <cell r="FL279">
            <v>88</v>
          </cell>
          <cell r="FM279">
            <v>1060</v>
          </cell>
          <cell r="FN279">
            <v>1454</v>
          </cell>
          <cell r="FP279">
            <v>203</v>
          </cell>
          <cell r="FQ279">
            <v>370</v>
          </cell>
          <cell r="FR279">
            <v>177</v>
          </cell>
          <cell r="FS279">
            <v>1169</v>
          </cell>
          <cell r="FT279">
            <v>1919</v>
          </cell>
          <cell r="FV279">
            <v>330</v>
          </cell>
          <cell r="FW279">
            <v>506</v>
          </cell>
          <cell r="FX279">
            <v>291</v>
          </cell>
          <cell r="FY279">
            <v>1259</v>
          </cell>
          <cell r="FZ279">
            <v>2386</v>
          </cell>
          <cell r="GB279">
            <v>391</v>
          </cell>
          <cell r="GC279">
            <v>554</v>
          </cell>
          <cell r="GD279">
            <v>321.66301818903503</v>
          </cell>
          <cell r="GE279">
            <v>1528.7822063397339</v>
          </cell>
          <cell r="GF279">
            <v>2795.4452245287689</v>
          </cell>
        </row>
        <row r="280">
          <cell r="AN280" t="str">
            <v>Operating Margin</v>
          </cell>
          <cell r="EL280" t="str">
            <v>Operating Margin</v>
          </cell>
          <cell r="ER280">
            <v>2.5126475548060707E-2</v>
          </cell>
          <cell r="ES280">
            <v>6.805671392827356E-2</v>
          </cell>
          <cell r="ET280">
            <v>4.7400611620795105E-2</v>
          </cell>
          <cell r="EU280">
            <v>0.1568948575171962</v>
          </cell>
          <cell r="EV280">
            <v>8.4278828327771602E-2</v>
          </cell>
          <cell r="EX280">
            <v>4.12092551933795E-2</v>
          </cell>
          <cell r="EY280">
            <v>5.8893414799728448E-2</v>
          </cell>
          <cell r="EZ280">
            <v>3.3863867253640365E-2</v>
          </cell>
          <cell r="FA280">
            <v>0.15022108447754248</v>
          </cell>
          <cell r="FB280">
            <v>7.9124387185041611E-2</v>
          </cell>
          <cell r="FD280">
            <v>2.4360535931790498E-2</v>
          </cell>
          <cell r="FE280">
            <v>5.8586918502973068E-2</v>
          </cell>
          <cell r="FF280">
            <v>1.5292190060076462E-2</v>
          </cell>
          <cell r="FG280">
            <v>0.10915049155533149</v>
          </cell>
          <cell r="FH280">
            <v>5.7247308372167766E-2</v>
          </cell>
          <cell r="FJ280">
            <v>4.5385779122541605E-3</v>
          </cell>
          <cell r="FK280">
            <v>5.3358561967833493E-2</v>
          </cell>
          <cell r="FL280">
            <v>1.6341689879294335E-2</v>
          </cell>
          <cell r="FM280">
            <v>0.13340045305814247</v>
          </cell>
          <cell r="FN280">
            <v>6.0826639892904953E-2</v>
          </cell>
          <cell r="FP280">
            <v>3.6419088625762472E-2</v>
          </cell>
          <cell r="FQ280">
            <v>6.6823189452772255E-2</v>
          </cell>
          <cell r="FR280">
            <v>3.1477858794237951E-2</v>
          </cell>
          <cell r="FS280">
            <v>0.14137138710847744</v>
          </cell>
          <cell r="FT280">
            <v>7.6750789905211378E-2</v>
          </cell>
          <cell r="FV280">
            <v>5.6036678553234846E-2</v>
          </cell>
          <cell r="FW280">
            <v>8.5199528540158276E-2</v>
          </cell>
          <cell r="FX280">
            <v>4.9718093285494619E-2</v>
          </cell>
          <cell r="FY280">
            <v>0.1443145346171481</v>
          </cell>
          <cell r="FZ280">
            <v>9.0361673925392919E-2</v>
          </cell>
          <cell r="GB280">
            <v>6.3649682565521726E-2</v>
          </cell>
          <cell r="GC280">
            <v>9.0552468126838842E-2</v>
          </cell>
          <cell r="GD280">
            <v>5.2290367560213769E-2</v>
          </cell>
          <cell r="GE280">
            <v>0.16013304866911451</v>
          </cell>
          <cell r="GF280">
            <v>9.9982205598335261E-2</v>
          </cell>
        </row>
        <row r="281">
          <cell r="AN281" t="str">
            <v>BPS Change</v>
          </cell>
          <cell r="EL281" t="str">
            <v>BPS Change</v>
          </cell>
        </row>
        <row r="283">
          <cell r="AN283" t="str">
            <v>Bear Case Assumptions</v>
          </cell>
          <cell r="EL283" t="str">
            <v>Bear Case Assumptions</v>
          </cell>
        </row>
        <row r="284">
          <cell r="AN284" t="str">
            <v>Consolidated Stores Monthly Sales ($)</v>
          </cell>
          <cell r="EL284" t="str">
            <v>Consolidated Stores Monthly Sales ($)</v>
          </cell>
          <cell r="EU284">
            <v>356</v>
          </cell>
        </row>
        <row r="285">
          <cell r="AN285" t="str">
            <v>Month 1</v>
          </cell>
          <cell r="EL285" t="str">
            <v>Month 1</v>
          </cell>
          <cell r="ER285">
            <v>1800</v>
          </cell>
          <cell r="ES285">
            <v>2026</v>
          </cell>
          <cell r="ET285">
            <v>1727</v>
          </cell>
          <cell r="EU285">
            <v>2385</v>
          </cell>
          <cell r="EX285">
            <v>1802</v>
          </cell>
          <cell r="EY285">
            <v>1976</v>
          </cell>
          <cell r="EZ285">
            <v>1788</v>
          </cell>
          <cell r="FA285">
            <v>2707</v>
          </cell>
          <cell r="FD285">
            <v>1737</v>
          </cell>
          <cell r="FE285">
            <v>1926</v>
          </cell>
          <cell r="FF285">
            <v>1686</v>
          </cell>
          <cell r="FG285">
            <v>2324</v>
          </cell>
          <cell r="FJ285">
            <v>1602.5975291456411</v>
          </cell>
          <cell r="FK285">
            <v>1783.7565582371458</v>
          </cell>
          <cell r="FL285">
            <v>1576.1490988530857</v>
          </cell>
          <cell r="FM285">
            <v>2202.7766574237457</v>
          </cell>
          <cell r="FP285">
            <v>1667</v>
          </cell>
          <cell r="FQ285">
            <v>1789</v>
          </cell>
          <cell r="FR285">
            <v>1638</v>
          </cell>
          <cell r="FS285">
            <v>2341</v>
          </cell>
          <cell r="FV285">
            <v>1763</v>
          </cell>
          <cell r="FW285">
            <v>1937</v>
          </cell>
          <cell r="FX285">
            <v>1714</v>
          </cell>
          <cell r="FY285">
            <v>2465</v>
          </cell>
          <cell r="GB285">
            <v>1860</v>
          </cell>
          <cell r="GC285">
            <v>2015</v>
          </cell>
          <cell r="GD285">
            <v>1812</v>
          </cell>
          <cell r="GE285">
            <v>2490.7341222077775</v>
          </cell>
        </row>
        <row r="286">
          <cell r="AN286" t="str">
            <v>Month 2</v>
          </cell>
          <cell r="EL286" t="str">
            <v>Month 2</v>
          </cell>
          <cell r="ER286">
            <v>2255</v>
          </cell>
          <cell r="ES286">
            <v>2367</v>
          </cell>
          <cell r="ET286">
            <v>2303</v>
          </cell>
          <cell r="EU286">
            <v>4997</v>
          </cell>
          <cell r="EX286">
            <v>2288</v>
          </cell>
          <cell r="EY286">
            <v>2321</v>
          </cell>
          <cell r="EZ286">
            <v>2274</v>
          </cell>
          <cell r="FA286">
            <v>4624</v>
          </cell>
          <cell r="FD286">
            <v>2142</v>
          </cell>
          <cell r="FE286">
            <v>2249</v>
          </cell>
          <cell r="FF286">
            <v>2093</v>
          </cell>
          <cell r="FG286">
            <v>4397</v>
          </cell>
          <cell r="FJ286">
            <v>1963.7990255785628</v>
          </cell>
          <cell r="FK286">
            <v>2092.5916404337181</v>
          </cell>
          <cell r="FL286">
            <v>2084.1512834516657</v>
          </cell>
          <cell r="FM286">
            <v>4474.7693471136881</v>
          </cell>
          <cell r="FP286">
            <v>2172</v>
          </cell>
          <cell r="FQ286">
            <v>2229</v>
          </cell>
          <cell r="FR286">
            <v>2181</v>
          </cell>
          <cell r="FS286">
            <v>4619</v>
          </cell>
          <cell r="FV286">
            <v>2206</v>
          </cell>
          <cell r="FW286">
            <v>2392</v>
          </cell>
          <cell r="FX286">
            <v>2298</v>
          </cell>
          <cell r="FY286">
            <v>4925</v>
          </cell>
          <cell r="GB286">
            <v>2358</v>
          </cell>
          <cell r="GC286">
            <v>2412</v>
          </cell>
          <cell r="GD286">
            <v>2293.892456048884</v>
          </cell>
          <cell r="GE286">
            <v>4976.4160453847071</v>
          </cell>
        </row>
        <row r="287">
          <cell r="AN287" t="str">
            <v>Month 3</v>
          </cell>
          <cell r="EL287" t="str">
            <v>Month 3</v>
          </cell>
          <cell r="ER287">
            <v>1878</v>
          </cell>
          <cell r="ES287">
            <v>1608</v>
          </cell>
          <cell r="ET287">
            <v>1863</v>
          </cell>
          <cell r="EU287">
            <v>1780</v>
          </cell>
          <cell r="EX287">
            <v>1837</v>
          </cell>
          <cell r="EY287">
            <v>1602</v>
          </cell>
          <cell r="EZ287">
            <v>1849</v>
          </cell>
          <cell r="FA287">
            <v>1273</v>
          </cell>
          <cell r="FD287">
            <v>1868</v>
          </cell>
          <cell r="FE287">
            <v>1543</v>
          </cell>
          <cell r="FF287">
            <v>1714</v>
          </cell>
          <cell r="FG287">
            <v>1213</v>
          </cell>
          <cell r="FJ287">
            <v>1720.603445275796</v>
          </cell>
          <cell r="FK287">
            <v>1409.6518013291361</v>
          </cell>
          <cell r="FL287">
            <v>1725.6996176952484</v>
          </cell>
          <cell r="FM287">
            <v>1268.4539954625661</v>
          </cell>
          <cell r="FP287">
            <v>1739</v>
          </cell>
          <cell r="FQ287">
            <v>1528</v>
          </cell>
          <cell r="FR287">
            <v>1806</v>
          </cell>
          <cell r="FS287">
            <v>1310</v>
          </cell>
          <cell r="FV287">
            <v>1920</v>
          </cell>
          <cell r="FW287">
            <v>1612</v>
          </cell>
          <cell r="FX287">
            <v>1842</v>
          </cell>
          <cell r="FY287">
            <v>1336</v>
          </cell>
          <cell r="GB287">
            <v>1928</v>
          </cell>
          <cell r="GC287">
            <v>1693</v>
          </cell>
          <cell r="GD287">
            <v>1882.0033631484798</v>
          </cell>
          <cell r="GE287">
            <v>1720.1677658275225</v>
          </cell>
        </row>
        <row r="288">
          <cell r="AN288" t="str">
            <v>Total</v>
          </cell>
          <cell r="EL288" t="str">
            <v>Total</v>
          </cell>
          <cell r="ER288">
            <v>5930</v>
          </cell>
          <cell r="ES288">
            <v>5995</v>
          </cell>
          <cell r="ET288">
            <v>5886</v>
          </cell>
          <cell r="EU288">
            <v>9159</v>
          </cell>
          <cell r="EV288">
            <v>26970</v>
          </cell>
          <cell r="EX288">
            <v>5921</v>
          </cell>
          <cell r="EY288">
            <v>5892</v>
          </cell>
          <cell r="EZ288">
            <v>5906</v>
          </cell>
          <cell r="FA288">
            <v>8594</v>
          </cell>
          <cell r="FB288">
            <v>26313</v>
          </cell>
          <cell r="FD288">
            <v>5747</v>
          </cell>
          <cell r="FE288">
            <v>5718</v>
          </cell>
          <cell r="FF288">
            <v>5493</v>
          </cell>
          <cell r="FG288">
            <v>7934</v>
          </cell>
          <cell r="FH288">
            <v>24892</v>
          </cell>
          <cell r="FJ288">
            <v>5288</v>
          </cell>
          <cell r="FK288">
            <v>5285</v>
          </cell>
          <cell r="FL288">
            <v>5385</v>
          </cell>
          <cell r="FM288">
            <v>7946</v>
          </cell>
          <cell r="FN288">
            <v>23904</v>
          </cell>
          <cell r="FP288">
            <v>5574</v>
          </cell>
          <cell r="FQ288">
            <v>5537</v>
          </cell>
          <cell r="FR288">
            <v>5623</v>
          </cell>
          <cell r="FS288">
            <v>8269</v>
          </cell>
          <cell r="FT288">
            <v>25003</v>
          </cell>
          <cell r="FV288">
            <v>5889</v>
          </cell>
          <cell r="FW288">
            <v>5939</v>
          </cell>
          <cell r="FX288">
            <v>5853</v>
          </cell>
          <cell r="FY288">
            <v>8724</v>
          </cell>
          <cell r="FZ288">
            <v>26405</v>
          </cell>
          <cell r="GB288">
            <v>6143</v>
          </cell>
          <cell r="GC288">
            <v>6118</v>
          </cell>
          <cell r="GD288">
            <v>5987.8958191973634</v>
          </cell>
          <cell r="GE288">
            <v>9187.3179334200067</v>
          </cell>
          <cell r="GF288">
            <v>27436.213752617372</v>
          </cell>
        </row>
        <row r="290">
          <cell r="AN290" t="str">
            <v xml:space="preserve">Consolidated Monthly Comps </v>
          </cell>
          <cell r="EL290" t="str">
            <v xml:space="preserve">Consolidated Monthly Comps </v>
          </cell>
        </row>
        <row r="291">
          <cell r="AN291" t="str">
            <v>Month 1</v>
          </cell>
          <cell r="EL291" t="str">
            <v>Month 1</v>
          </cell>
          <cell r="ER291">
            <v>0.01</v>
          </cell>
          <cell r="ES291">
            <v>9.1999999999999998E-2</v>
          </cell>
          <cell r="ET291">
            <v>3.7999999999999999E-2</v>
          </cell>
          <cell r="EU291">
            <v>8.5000000000000006E-2</v>
          </cell>
          <cell r="EX291">
            <v>1.2E-2</v>
          </cell>
          <cell r="EY291">
            <v>-3.3000000000000002E-2</v>
          </cell>
          <cell r="EZ291">
            <v>2.4E-2</v>
          </cell>
          <cell r="FA291">
            <v>0.13400000000000001</v>
          </cell>
          <cell r="FD291">
            <v>-3.5000000000000003E-2</v>
          </cell>
          <cell r="FE291">
            <v>-1.4999999999999999E-2</v>
          </cell>
          <cell r="FF291">
            <v>-4.8000000000000001E-2</v>
          </cell>
          <cell r="FG291">
            <v>-0.13300000000000001</v>
          </cell>
          <cell r="FJ291">
            <v>-8.5000000000000006E-2</v>
          </cell>
          <cell r="FK291">
            <v>-9.0999999999999998E-2</v>
          </cell>
          <cell r="FL291">
            <v>-8.1000000000000003E-2</v>
          </cell>
          <cell r="FM291">
            <v>-6.0999999999999999E-2</v>
          </cell>
          <cell r="FP291">
            <v>3.6999999999999998E-2</v>
          </cell>
          <cell r="FQ291">
            <v>1.4E-2</v>
          </cell>
          <cell r="FR291">
            <v>4.2999999999999997E-2</v>
          </cell>
          <cell r="FS291">
            <v>6.0999999999999999E-2</v>
          </cell>
          <cell r="FV291">
            <v>5.8000000000000003E-2</v>
          </cell>
          <cell r="FW291">
            <v>7.3999999999999996E-2</v>
          </cell>
          <cell r="FX291">
            <v>0.05</v>
          </cell>
          <cell r="FY291">
            <v>4.8000000000000001E-2</v>
          </cell>
          <cell r="GB291">
            <v>4.5999999999999999E-2</v>
          </cell>
          <cell r="GC291">
            <v>4.2000000000000003E-2</v>
          </cell>
          <cell r="GD291">
            <v>5.0999999999999997E-2</v>
          </cell>
          <cell r="GE291">
            <v>0.02</v>
          </cell>
        </row>
        <row r="292">
          <cell r="AN292" t="str">
            <v>Month 2</v>
          </cell>
          <cell r="EL292" t="str">
            <v>Month 2</v>
          </cell>
          <cell r="ER292">
            <v>0</v>
          </cell>
          <cell r="ES292">
            <v>1.7000000000000001E-2</v>
          </cell>
          <cell r="ET292">
            <v>6.5000000000000002E-2</v>
          </cell>
          <cell r="EU292">
            <v>4.3999999999999997E-2</v>
          </cell>
          <cell r="EX292">
            <v>2.3E-2</v>
          </cell>
          <cell r="EY292">
            <v>-2.7E-2</v>
          </cell>
          <cell r="EZ292">
            <v>-2.7E-2</v>
          </cell>
          <cell r="FA292">
            <v>-7.9000000000000001E-2</v>
          </cell>
          <cell r="FD292">
            <v>-6.2E-2</v>
          </cell>
          <cell r="FE292">
            <v>-2.1000000000000001E-2</v>
          </cell>
          <cell r="FF292">
            <v>-6.6000000000000003E-2</v>
          </cell>
          <cell r="FG292">
            <v>-0.04</v>
          </cell>
          <cell r="FJ292">
            <v>-9.1999999999999998E-2</v>
          </cell>
          <cell r="FK292">
            <v>-8.8999999999999996E-2</v>
          </cell>
          <cell r="FL292">
            <v>-2.3E-2</v>
          </cell>
          <cell r="FM292">
            <v>0.01</v>
          </cell>
          <cell r="FP292">
            <v>0.10800000000000001</v>
          </cell>
          <cell r="FQ292">
            <v>6.5000000000000002E-2</v>
          </cell>
          <cell r="FR292">
            <v>4.8000000000000001E-2</v>
          </cell>
          <cell r="FS292">
            <v>3.9E-2</v>
          </cell>
          <cell r="FV292">
            <v>8.9999999999999993E-3</v>
          </cell>
          <cell r="FW292">
            <v>6.7000000000000004E-2</v>
          </cell>
          <cell r="FX292">
            <v>4.9000000000000002E-2</v>
          </cell>
          <cell r="FY292">
            <v>6.2E-2</v>
          </cell>
          <cell r="GB292">
            <v>7.2999999999999995E-2</v>
          </cell>
          <cell r="GC292">
            <v>1.2E-2</v>
          </cell>
          <cell r="GD292">
            <v>9.9999999999999985E-3</v>
          </cell>
          <cell r="GE292">
            <v>0.02</v>
          </cell>
        </row>
        <row r="293">
          <cell r="AN293" t="str">
            <v>Month 3</v>
          </cell>
          <cell r="EL293" t="str">
            <v>Month 3</v>
          </cell>
          <cell r="ER293">
            <v>-8.0000000000000002E-3</v>
          </cell>
          <cell r="ES293">
            <v>3.3000000000000002E-2</v>
          </cell>
          <cell r="ET293">
            <v>7.6999999999999999E-2</v>
          </cell>
          <cell r="EU293">
            <v>8.5999999999999993E-2</v>
          </cell>
          <cell r="EX293">
            <v>-2.1999999999999999E-2</v>
          </cell>
          <cell r="EY293">
            <v>-1.4E-2</v>
          </cell>
          <cell r="EZ293">
            <v>-1.4999999999999999E-2</v>
          </cell>
          <cell r="FA293">
            <v>-7.0999999999999994E-2</v>
          </cell>
          <cell r="FD293">
            <v>0.03</v>
          </cell>
          <cell r="FE293">
            <v>-2.9000000000000001E-2</v>
          </cell>
          <cell r="FF293">
            <v>-6.3E-2</v>
          </cell>
          <cell r="FG293">
            <v>-4.4999999999999998E-2</v>
          </cell>
          <cell r="FJ293">
            <v>-9.0999999999999998E-2</v>
          </cell>
          <cell r="FK293">
            <v>-0.107</v>
          </cell>
          <cell r="FL293">
            <v>-8.0000000000000002E-3</v>
          </cell>
          <cell r="FM293">
            <v>3.4000000000000002E-2</v>
          </cell>
          <cell r="FP293">
            <v>1.0999999999999999E-2</v>
          </cell>
          <cell r="FQ293">
            <v>7.2999999999999995E-2</v>
          </cell>
          <cell r="FR293">
            <v>2.5000000000000001E-2</v>
          </cell>
          <cell r="FS293">
            <v>2.5999999999999999E-2</v>
          </cell>
          <cell r="FV293">
            <v>0.108</v>
          </cell>
          <cell r="FW293">
            <v>0.05</v>
          </cell>
          <cell r="FX293">
            <v>2.1999999999999999E-2</v>
          </cell>
          <cell r="FY293">
            <v>2.4E-2</v>
          </cell>
          <cell r="GB293">
            <v>1.2E-2</v>
          </cell>
          <cell r="GC293">
            <v>4.1000000000000002E-2</v>
          </cell>
          <cell r="GD293">
            <v>3.5000000000000003E-2</v>
          </cell>
          <cell r="GE293">
            <v>3.0000000000000002E-2</v>
          </cell>
        </row>
        <row r="294">
          <cell r="AN294" t="str">
            <v>Total</v>
          </cell>
          <cell r="EL294" t="str">
            <v>Total</v>
          </cell>
          <cell r="ER294">
            <v>0</v>
          </cell>
          <cell r="ES294">
            <v>4.5999999999999999E-2</v>
          </cell>
          <cell r="ET294">
            <v>5.8999999999999997E-2</v>
          </cell>
          <cell r="EU294">
            <v>6.0999999999999999E-2</v>
          </cell>
          <cell r="EV294">
            <v>4.3999999999999997E-2</v>
          </cell>
          <cell r="EX294">
            <v>6.0000000000000001E-3</v>
          </cell>
          <cell r="EY294">
            <v>-2.5999999999999999E-2</v>
          </cell>
          <cell r="EZ294">
            <v>-8.0000000000000002E-3</v>
          </cell>
          <cell r="FA294">
            <v>-0.02</v>
          </cell>
          <cell r="FB294">
            <v>-1.2999999999999999E-2</v>
          </cell>
          <cell r="FD294">
            <v>-2.5999999999999999E-2</v>
          </cell>
          <cell r="FE294">
            <v>-2.1000000000000001E-2</v>
          </cell>
          <cell r="FF294">
            <v>-0.06</v>
          </cell>
          <cell r="FG294">
            <v>-7.0000000000000007E-2</v>
          </cell>
          <cell r="FH294">
            <v>-4.4999999999999998E-2</v>
          </cell>
          <cell r="FJ294">
            <v>-0.09</v>
          </cell>
          <cell r="FK294">
            <v>-9.5000000000000001E-2</v>
          </cell>
          <cell r="FL294">
            <v>-3.5999999999999997E-2</v>
          </cell>
          <cell r="FM294">
            <v>-5.8512769677805648E-3</v>
          </cell>
          <cell r="FN294">
            <v>-5.0968425652024113E-2</v>
          </cell>
          <cell r="FP294">
            <v>5.5E-2</v>
          </cell>
          <cell r="FQ294">
            <v>4.9000000000000002E-2</v>
          </cell>
          <cell r="FR294">
            <v>3.9E-2</v>
          </cell>
          <cell r="FS294">
            <v>4.2999999999999997E-2</v>
          </cell>
          <cell r="FT294">
            <v>4.610434747830261E-2</v>
          </cell>
          <cell r="FV294">
            <v>5.3999999999999999E-2</v>
          </cell>
          <cell r="FW294">
            <v>6.4000000000000001E-2</v>
          </cell>
          <cell r="FX294">
            <v>0.04</v>
          </cell>
          <cell r="FY294">
            <v>5.1999999999999998E-2</v>
          </cell>
          <cell r="FZ294">
            <v>5.2999999999999999E-2</v>
          </cell>
          <cell r="GB294">
            <v>4.3999999999999997E-2</v>
          </cell>
          <cell r="GC294">
            <v>0.03</v>
          </cell>
          <cell r="GD294">
            <v>3.0264561666167575E-2</v>
          </cell>
          <cell r="GE294">
            <v>2.1872328549304036E-2</v>
          </cell>
          <cell r="GF294">
            <v>3.0470716044687752E-2</v>
          </cell>
        </row>
        <row r="296">
          <cell r="AN296" t="str">
            <v xml:space="preserve">Consolidated Productivity Factor </v>
          </cell>
          <cell r="EL296" t="str">
            <v xml:space="preserve">Consolidated Productivity Factor </v>
          </cell>
        </row>
        <row r="297">
          <cell r="AN297" t="str">
            <v>Month 1</v>
          </cell>
          <cell r="EL297" t="str">
            <v>Month 1</v>
          </cell>
          <cell r="ER297">
            <v>0.85379589916801657</v>
          </cell>
          <cell r="ES297">
            <v>0.82852877251430668</v>
          </cell>
          <cell r="ET297">
            <v>0.83475030563790842</v>
          </cell>
          <cell r="EU297">
            <v>0.91480422703367681</v>
          </cell>
          <cell r="EX297">
            <v>1.0042251017232908</v>
          </cell>
          <cell r="EY297">
            <v>1.0108075527611304</v>
          </cell>
          <cell r="EZ297">
            <v>1.0032705612197608</v>
          </cell>
          <cell r="FA297">
            <v>0.99617129302855612</v>
          </cell>
          <cell r="FD297">
            <v>1.0047260256693704</v>
          </cell>
          <cell r="FE297">
            <v>1.0011731147187122</v>
          </cell>
          <cell r="FF297">
            <v>1.0015681684828099</v>
          </cell>
          <cell r="FG297">
            <v>0.9980273685296247</v>
          </cell>
          <cell r="FJ297">
            <v>1.0146680194879518</v>
          </cell>
          <cell r="FK297">
            <v>1.0229325701507319</v>
          </cell>
          <cell r="FL297">
            <v>1.0237530410429481</v>
          </cell>
          <cell r="FM297">
            <v>1.0168796021749338</v>
          </cell>
          <cell r="FP297">
            <v>1.0016060228776302</v>
          </cell>
          <cell r="FQ297">
            <v>0.98881215735067063</v>
          </cell>
          <cell r="FR297">
            <v>1.0007452413933455</v>
          </cell>
          <cell r="FS297">
            <v>1.0028115913956974</v>
          </cell>
          <cell r="FV297">
            <v>1.0005096291516782</v>
          </cell>
          <cell r="FW297">
            <v>1.0081721608307339</v>
          </cell>
          <cell r="FX297">
            <v>0.99435769750356207</v>
          </cell>
          <cell r="FY297">
            <v>1.0114048185081832</v>
          </cell>
          <cell r="GB297">
            <v>1.0253009585429893</v>
          </cell>
          <cell r="GC297">
            <v>1.0133052611979987</v>
          </cell>
          <cell r="GD297">
            <v>1.018088666893139</v>
          </cell>
          <cell r="GE297">
            <v>1</v>
          </cell>
        </row>
        <row r="298">
          <cell r="AN298" t="str">
            <v>Month 2</v>
          </cell>
          <cell r="EL298" t="str">
            <v>Month 2</v>
          </cell>
          <cell r="ER298">
            <v>0.87143545576033965</v>
          </cell>
          <cell r="ES298">
            <v>0.86259214604526391</v>
          </cell>
          <cell r="ET298">
            <v>0.95476655228407081</v>
          </cell>
          <cell r="EU298">
            <v>0.95390310394604827</v>
          </cell>
          <cell r="EX298">
            <v>0.99756383077735888</v>
          </cell>
          <cell r="EY298">
            <v>1.0076309712339664</v>
          </cell>
          <cell r="EZ298">
            <v>1.0058439901456568</v>
          </cell>
          <cell r="FA298">
            <v>1.0104925603418453</v>
          </cell>
          <cell r="FD298">
            <v>1.0038919718017412</v>
          </cell>
          <cell r="FE298">
            <v>1.0002262623646179</v>
          </cell>
          <cell r="FF298">
            <v>1.0022779610885877</v>
          </cell>
          <cell r="FG298">
            <v>0.98797059201406712</v>
          </cell>
          <cell r="FJ298">
            <v>1.0172356632303496</v>
          </cell>
          <cell r="FK298">
            <v>1.0266388149144143</v>
          </cell>
          <cell r="FL298">
            <v>1.0185440088098592</v>
          </cell>
          <cell r="FM298">
            <v>1.0150644106268683</v>
          </cell>
          <cell r="FP298">
            <v>0.9967530496300272</v>
          </cell>
          <cell r="FQ298">
            <v>0.99989171377441255</v>
          </cell>
          <cell r="FR298">
            <v>1.0028971230689774</v>
          </cell>
          <cell r="FS298">
            <v>0.9946391314592461</v>
          </cell>
          <cell r="FV298">
            <v>1.0074992903911262</v>
          </cell>
          <cell r="FW298">
            <v>1.0057878604073234</v>
          </cell>
          <cell r="FX298">
            <v>1.0057401642886414</v>
          </cell>
          <cell r="FY298">
            <v>1.0118477756232767</v>
          </cell>
          <cell r="GB298">
            <v>1.0102541230632647</v>
          </cell>
          <cell r="GC298">
            <v>1.011143062170935</v>
          </cell>
          <cell r="GD298">
            <v>1</v>
          </cell>
          <cell r="GE298">
            <v>1</v>
          </cell>
        </row>
        <row r="299">
          <cell r="AN299" t="str">
            <v>Month 3</v>
          </cell>
          <cell r="EL299" t="str">
            <v>Month 3</v>
          </cell>
          <cell r="ER299">
            <v>0.85509041472763314</v>
          </cell>
          <cell r="ES299">
            <v>0.83302342705472399</v>
          </cell>
          <cell r="ET299">
            <v>0.9300581404093593</v>
          </cell>
          <cell r="EU299">
            <v>0.88885616548937241</v>
          </cell>
          <cell r="EX299">
            <v>1.0012993536198342</v>
          </cell>
          <cell r="EY299">
            <v>1.0067406823426219</v>
          </cell>
          <cell r="EZ299">
            <v>1.0010354929971583</v>
          </cell>
          <cell r="FA299">
            <v>0.77697496531497701</v>
          </cell>
          <cell r="FD299">
            <v>0.99998610863561077</v>
          </cell>
          <cell r="FE299">
            <v>1.0000776716315167</v>
          </cell>
          <cell r="FF299">
            <v>1.0026881239876493</v>
          </cell>
          <cell r="FG299">
            <v>1.0034001517037674</v>
          </cell>
          <cell r="FJ299">
            <v>1.017274065207098</v>
          </cell>
          <cell r="FK299">
            <v>1.0307481774152398</v>
          </cell>
          <cell r="FL299">
            <v>1.0154616377110075</v>
          </cell>
          <cell r="FM299">
            <v>1.009307170702717</v>
          </cell>
          <cell r="FP299">
            <v>1.0005893323256754</v>
          </cell>
          <cell r="FQ299">
            <v>1.0111137394005785</v>
          </cell>
          <cell r="FR299">
            <v>1.0254628236300125</v>
          </cell>
          <cell r="FS299">
            <v>1.00775043725629</v>
          </cell>
          <cell r="FV299">
            <v>0.99618702023241001</v>
          </cell>
          <cell r="FW299">
            <v>1.0047825549823146</v>
          </cell>
          <cell r="FX299">
            <v>1.0004489851343907</v>
          </cell>
          <cell r="FY299">
            <v>1.008520012530175</v>
          </cell>
          <cell r="GB299">
            <v>1.0062765433093959</v>
          </cell>
          <cell r="GC299">
            <v>1.0227639737625074</v>
          </cell>
          <cell r="GD299">
            <v>1</v>
          </cell>
          <cell r="GE299">
            <v>1</v>
          </cell>
        </row>
        <row r="300">
          <cell r="AN300" t="str">
            <v>Total</v>
          </cell>
          <cell r="EL300" t="str">
            <v>Total</v>
          </cell>
        </row>
        <row r="302">
          <cell r="AN302" t="str">
            <v>Cost of Goods Sold</v>
          </cell>
          <cell r="EL302" t="str">
            <v>Cost of Goods Sold</v>
          </cell>
          <cell r="ER302">
            <v>3627</v>
          </cell>
          <cell r="ES302">
            <v>3470</v>
          </cell>
          <cell r="ET302">
            <v>3513</v>
          </cell>
          <cell r="EU302">
            <v>5409</v>
          </cell>
          <cell r="EV302">
            <v>16019</v>
          </cell>
          <cell r="EX302">
            <v>3564</v>
          </cell>
          <cell r="EY302">
            <v>3507</v>
          </cell>
          <cell r="EZ302">
            <v>3585</v>
          </cell>
          <cell r="FA302">
            <v>5021</v>
          </cell>
          <cell r="FB302">
            <v>15677</v>
          </cell>
          <cell r="FD302">
            <v>3527</v>
          </cell>
          <cell r="FE302">
            <v>3346</v>
          </cell>
          <cell r="FF302">
            <v>3324</v>
          </cell>
          <cell r="FG302">
            <v>4812</v>
          </cell>
          <cell r="FH302">
            <v>15009</v>
          </cell>
          <cell r="FJ302">
            <v>3279</v>
          </cell>
          <cell r="FK302">
            <v>3117</v>
          </cell>
          <cell r="FL302">
            <v>3241</v>
          </cell>
          <cell r="FM302">
            <v>4641</v>
          </cell>
          <cell r="FN302">
            <v>14278</v>
          </cell>
          <cell r="FP302">
            <v>3378</v>
          </cell>
          <cell r="FQ302">
            <v>3214</v>
          </cell>
          <cell r="FR302">
            <v>3377</v>
          </cell>
          <cell r="FS302">
            <v>4855</v>
          </cell>
          <cell r="FT302">
            <v>14824</v>
          </cell>
          <cell r="FV302">
            <v>3586</v>
          </cell>
          <cell r="FW302">
            <v>3457</v>
          </cell>
          <cell r="FX302">
            <v>3544</v>
          </cell>
          <cell r="FY302">
            <v>5151</v>
          </cell>
          <cell r="FZ302">
            <v>15738</v>
          </cell>
          <cell r="GB302">
            <v>3757</v>
          </cell>
          <cell r="GC302">
            <v>3555</v>
          </cell>
          <cell r="GD302">
            <v>3637.655406064408</v>
          </cell>
          <cell r="GE302">
            <v>5421.68776484106</v>
          </cell>
          <cell r="GF302">
            <v>16371.343170905468</v>
          </cell>
        </row>
        <row r="303">
          <cell r="AN303" t="str">
            <v>% of Sales</v>
          </cell>
          <cell r="EL303" t="str">
            <v>% of Sales</v>
          </cell>
          <cell r="ER303">
            <v>0.61163575042158513</v>
          </cell>
          <cell r="ES303">
            <v>0.57881567973311088</v>
          </cell>
          <cell r="ET303">
            <v>0.59683995922528033</v>
          </cell>
          <cell r="EU303">
            <v>0.59056665574844414</v>
          </cell>
          <cell r="EV303">
            <v>0.59395624768261035</v>
          </cell>
          <cell r="EX303">
            <v>0.60192535044755957</v>
          </cell>
          <cell r="EY303">
            <v>0.59521384928716903</v>
          </cell>
          <cell r="EZ303">
            <v>0.60700982052150354</v>
          </cell>
          <cell r="FA303">
            <v>0.58424482196881544</v>
          </cell>
          <cell r="FB303">
            <v>0.59578915365028695</v>
          </cell>
          <cell r="FD303">
            <v>0.61371150165303634</v>
          </cell>
          <cell r="FE303">
            <v>0.5851696397341728</v>
          </cell>
          <cell r="FF303">
            <v>0.60513380666302563</v>
          </cell>
          <cell r="FG303">
            <v>0.60650365515502902</v>
          </cell>
          <cell r="FH303">
            <v>0.60296480797043228</v>
          </cell>
          <cell r="FJ303">
            <v>0.62008320726172461</v>
          </cell>
          <cell r="FK303">
            <v>0.58978240302743612</v>
          </cell>
          <cell r="FL303">
            <v>0.6018570102135562</v>
          </cell>
          <cell r="FM303">
            <v>0.58406745532343318</v>
          </cell>
          <cell r="FN303">
            <v>0.59730589022757696</v>
          </cell>
          <cell r="FP303">
            <v>0.60602798708288486</v>
          </cell>
          <cell r="FQ303">
            <v>0.58045873216543253</v>
          </cell>
          <cell r="FR303">
            <v>0.60056909123243818</v>
          </cell>
          <cell r="FS303">
            <v>0.58713266416737209</v>
          </cell>
          <cell r="FT303">
            <v>0.59288885333759944</v>
          </cell>
          <cell r="FV303">
            <v>0.60893190694515198</v>
          </cell>
          <cell r="FW303">
            <v>0.58208452601448057</v>
          </cell>
          <cell r="FX303">
            <v>0.60550145224671104</v>
          </cell>
          <cell r="FY303">
            <v>0.59044016506189823</v>
          </cell>
          <cell r="FZ303">
            <v>0.59602348040143915</v>
          </cell>
          <cell r="GB303">
            <v>0.61159042812957842</v>
          </cell>
          <cell r="GC303">
            <v>0.58107224583197126</v>
          </cell>
          <cell r="GD303">
            <v>0.60750145224671104</v>
          </cell>
          <cell r="GE303">
            <v>0.59012736950345424</v>
          </cell>
          <cell r="GF303">
            <v>0.59670562849962006</v>
          </cell>
        </row>
        <row r="304">
          <cell r="AN304" t="str">
            <v>BPS Change</v>
          </cell>
          <cell r="EL304" t="str">
            <v>BPS Change</v>
          </cell>
          <cell r="ER304">
            <v>139.97738886292632</v>
          </cell>
          <cell r="ES304">
            <v>-79.90834205613973</v>
          </cell>
          <cell r="ET304">
            <v>6.2033726308408088</v>
          </cell>
          <cell r="EU304">
            <v>-5.9414249625333593</v>
          </cell>
          <cell r="EV304">
            <v>11.916206169559906</v>
          </cell>
          <cell r="EX304">
            <v>-97.103999740255631</v>
          </cell>
          <cell r="EY304">
            <v>163.98169554058151</v>
          </cell>
          <cell r="EZ304">
            <v>101.69861296223215</v>
          </cell>
          <cell r="FA304">
            <v>-63.218337796286939</v>
          </cell>
          <cell r="FB304">
            <v>18.329059676766015</v>
          </cell>
          <cell r="FD304">
            <v>117.86151205476769</v>
          </cell>
          <cell r="FE304">
            <v>-100.4420955299623</v>
          </cell>
          <cell r="FF304">
            <v>-18.760138584779096</v>
          </cell>
          <cell r="FG304">
            <v>222.58833186213579</v>
          </cell>
          <cell r="FH304">
            <v>71.756543201453297</v>
          </cell>
          <cell r="FJ304">
            <v>63.717056086882721</v>
          </cell>
          <cell r="FK304">
            <v>46.127632932633219</v>
          </cell>
          <cell r="FL304">
            <v>-32.767964494694326</v>
          </cell>
          <cell r="FM304">
            <v>-224.36199831595837</v>
          </cell>
          <cell r="FN304">
            <v>-56.589177428553185</v>
          </cell>
          <cell r="FP304">
            <v>-140.55220178839755</v>
          </cell>
          <cell r="FQ304">
            <v>-93.236708620035856</v>
          </cell>
          <cell r="FR304">
            <v>-12.879189811180192</v>
          </cell>
          <cell r="FS304">
            <v>30.652088439389047</v>
          </cell>
          <cell r="FT304">
            <v>-44.170368899775212</v>
          </cell>
          <cell r="FV304">
            <v>29.039198622671236</v>
          </cell>
          <cell r="FW304">
            <v>16.257938490480406</v>
          </cell>
          <cell r="FX304">
            <v>49.323610142728569</v>
          </cell>
          <cell r="FY304">
            <v>33.075008945261388</v>
          </cell>
          <cell r="FZ304">
            <v>31.346270638397122</v>
          </cell>
          <cell r="GB304">
            <v>26.585211844264435</v>
          </cell>
          <cell r="GC304">
            <v>-10.122801825093175</v>
          </cell>
          <cell r="GD304">
            <v>20.000000000000018</v>
          </cell>
          <cell r="GE304">
            <v>-3.127955584439901</v>
          </cell>
          <cell r="GF304">
            <v>6.8214809818090139</v>
          </cell>
        </row>
        <row r="306">
          <cell r="AN306" t="str">
            <v>Gross Income</v>
          </cell>
          <cell r="EL306" t="str">
            <v>Gross Income</v>
          </cell>
          <cell r="ER306">
            <v>2303</v>
          </cell>
          <cell r="ES306">
            <v>2525</v>
          </cell>
          <cell r="ET306">
            <v>2373</v>
          </cell>
          <cell r="EU306">
            <v>3750</v>
          </cell>
          <cell r="EV306">
            <v>10951</v>
          </cell>
          <cell r="EX306">
            <v>2357</v>
          </cell>
          <cell r="EY306">
            <v>2385</v>
          </cell>
          <cell r="EZ306">
            <v>2321</v>
          </cell>
          <cell r="FA306">
            <v>3573</v>
          </cell>
          <cell r="FB306">
            <v>10636</v>
          </cell>
          <cell r="FD306">
            <v>2220</v>
          </cell>
          <cell r="FE306">
            <v>2372</v>
          </cell>
          <cell r="FF306">
            <v>2169</v>
          </cell>
          <cell r="FG306">
            <v>3122</v>
          </cell>
          <cell r="FH306">
            <v>9883</v>
          </cell>
          <cell r="FJ306">
            <v>2009</v>
          </cell>
          <cell r="FK306">
            <v>2168</v>
          </cell>
          <cell r="FL306">
            <v>2144</v>
          </cell>
          <cell r="FM306">
            <v>3296</v>
          </cell>
          <cell r="FN306">
            <v>9617</v>
          </cell>
          <cell r="FP306">
            <v>2196</v>
          </cell>
          <cell r="FQ306">
            <v>2323</v>
          </cell>
          <cell r="FR306">
            <v>2246</v>
          </cell>
          <cell r="FS306">
            <v>3414</v>
          </cell>
          <cell r="FT306">
            <v>10179</v>
          </cell>
          <cell r="FV306">
            <v>2303</v>
          </cell>
          <cell r="FW306">
            <v>2482</v>
          </cell>
          <cell r="FX306">
            <v>2309</v>
          </cell>
          <cell r="FY306">
            <v>3573</v>
          </cell>
          <cell r="FZ306">
            <v>10667</v>
          </cell>
          <cell r="GB306">
            <v>2386</v>
          </cell>
          <cell r="GC306">
            <v>2563</v>
          </cell>
          <cell r="GD306">
            <v>2350.2404131329554</v>
          </cell>
          <cell r="GE306">
            <v>3765.6301685789467</v>
          </cell>
          <cell r="GF306">
            <v>11064.870581711901</v>
          </cell>
        </row>
        <row r="307">
          <cell r="AN307" t="str">
            <v>Gross Margin</v>
          </cell>
          <cell r="EL307" t="str">
            <v>Gross Margin</v>
          </cell>
          <cell r="ER307">
            <v>0.38836424957841487</v>
          </cell>
          <cell r="ES307">
            <v>0.42118432026688907</v>
          </cell>
          <cell r="ET307">
            <v>0.40316004077471967</v>
          </cell>
          <cell r="EU307">
            <v>0.40943334425155586</v>
          </cell>
          <cell r="EV307">
            <v>0.40604375231738971</v>
          </cell>
          <cell r="EX307">
            <v>0.39807464955244048</v>
          </cell>
          <cell r="EY307">
            <v>0.40478615071283097</v>
          </cell>
          <cell r="EZ307">
            <v>0.39299017947849646</v>
          </cell>
          <cell r="FA307">
            <v>0.41575517803118456</v>
          </cell>
          <cell r="FB307">
            <v>0.40421084634971305</v>
          </cell>
          <cell r="FD307">
            <v>0.38628849834696366</v>
          </cell>
          <cell r="FE307">
            <v>0.4148303602658272</v>
          </cell>
          <cell r="FF307">
            <v>0.39486619333697431</v>
          </cell>
          <cell r="FG307">
            <v>0.39349634484497104</v>
          </cell>
          <cell r="FH307">
            <v>0.39703519202956772</v>
          </cell>
          <cell r="FJ307">
            <v>0.37991679273827533</v>
          </cell>
          <cell r="FK307">
            <v>0.41021759697256388</v>
          </cell>
          <cell r="FL307">
            <v>0.3981429897864438</v>
          </cell>
          <cell r="FM307">
            <v>0.41479989932041278</v>
          </cell>
          <cell r="FN307">
            <v>0.40231760374832665</v>
          </cell>
          <cell r="FP307">
            <v>0.3939720129171152</v>
          </cell>
          <cell r="FQ307">
            <v>0.41954126783456747</v>
          </cell>
          <cell r="FR307">
            <v>0.39943090876756182</v>
          </cell>
          <cell r="FS307">
            <v>0.41286733583262791</v>
          </cell>
          <cell r="FT307">
            <v>0.4071111466624005</v>
          </cell>
          <cell r="FV307">
            <v>0.39106809305484802</v>
          </cell>
          <cell r="FW307">
            <v>0.41791547398551943</v>
          </cell>
          <cell r="FX307">
            <v>0.39449854775328891</v>
          </cell>
          <cell r="FY307">
            <v>0.40955983493810177</v>
          </cell>
          <cell r="FZ307">
            <v>0.4039765195985609</v>
          </cell>
          <cell r="GB307">
            <v>0.38840957187042163</v>
          </cell>
          <cell r="GC307">
            <v>0.41892775416802874</v>
          </cell>
          <cell r="GD307">
            <v>0.39249854775328891</v>
          </cell>
          <cell r="GE307">
            <v>0.40987263049654576</v>
          </cell>
          <cell r="GF307">
            <v>0.40329437150037983</v>
          </cell>
        </row>
        <row r="308">
          <cell r="AN308" t="str">
            <v>BPS Change</v>
          </cell>
          <cell r="EL308" t="str">
            <v>BPS Change</v>
          </cell>
          <cell r="ER308">
            <v>-139.97738886292632</v>
          </cell>
          <cell r="ES308">
            <v>79.908342056138622</v>
          </cell>
          <cell r="ET308">
            <v>-6.2033726308408088</v>
          </cell>
          <cell r="EU308">
            <v>5.9414249625339144</v>
          </cell>
          <cell r="EV308">
            <v>-11.916206169559906</v>
          </cell>
          <cell r="EX308">
            <v>97.103999740256185</v>
          </cell>
          <cell r="EY308">
            <v>-163.98169554058094</v>
          </cell>
          <cell r="EZ308">
            <v>-101.69861296223215</v>
          </cell>
          <cell r="FA308">
            <v>63.218337796286939</v>
          </cell>
          <cell r="FB308">
            <v>-18.329059676766569</v>
          </cell>
          <cell r="FD308">
            <v>-117.86151205476824</v>
          </cell>
          <cell r="FE308">
            <v>100.4420955299623</v>
          </cell>
          <cell r="FF308">
            <v>18.760138584778542</v>
          </cell>
          <cell r="FG308">
            <v>-222.58833186213522</v>
          </cell>
          <cell r="FH308">
            <v>-71.756543201453297</v>
          </cell>
          <cell r="FJ308">
            <v>-63.717056086883275</v>
          </cell>
          <cell r="FK308">
            <v>-46.127632932633219</v>
          </cell>
          <cell r="FL308">
            <v>32.76796449469488</v>
          </cell>
          <cell r="FM308">
            <v>213.03554475441743</v>
          </cell>
          <cell r="FN308">
            <v>52.82411718758928</v>
          </cell>
          <cell r="FP308">
            <v>140.55220178839866</v>
          </cell>
          <cell r="FQ308">
            <v>93.236708620035856</v>
          </cell>
          <cell r="FR308">
            <v>12.879189811180192</v>
          </cell>
          <cell r="FS308">
            <v>-19.325634877848664</v>
          </cell>
          <cell r="FT308">
            <v>47.935429140738563</v>
          </cell>
          <cell r="FV308">
            <v>-29.03919862267179</v>
          </cell>
          <cell r="FW308">
            <v>-16.257938490480406</v>
          </cell>
          <cell r="FX308">
            <v>-49.323610142729123</v>
          </cell>
          <cell r="FY308">
            <v>-33.075008945261388</v>
          </cell>
          <cell r="FZ308">
            <v>-31.346270638396014</v>
          </cell>
          <cell r="GB308">
            <v>-26.585211844263878</v>
          </cell>
          <cell r="GC308">
            <v>10.122801825093175</v>
          </cell>
          <cell r="GD308">
            <v>-20</v>
          </cell>
          <cell r="GE308">
            <v>3.1279555844399312</v>
          </cell>
          <cell r="GF308">
            <v>-6.8214809818106792</v>
          </cell>
        </row>
        <row r="310">
          <cell r="AN310" t="str">
            <v>Total SG&amp;A</v>
          </cell>
          <cell r="EL310" t="str">
            <v>Total SG&amp;A</v>
          </cell>
          <cell r="ER310">
            <v>2154</v>
          </cell>
          <cell r="ES310">
            <v>2117</v>
          </cell>
          <cell r="ET310">
            <v>2094</v>
          </cell>
          <cell r="EU310">
            <v>2313</v>
          </cell>
          <cell r="EV310">
            <v>8678</v>
          </cell>
          <cell r="EX310">
            <v>2113</v>
          </cell>
          <cell r="EY310">
            <v>2038</v>
          </cell>
          <cell r="EZ310">
            <v>2121</v>
          </cell>
          <cell r="FA310">
            <v>2282</v>
          </cell>
          <cell r="FB310">
            <v>8554</v>
          </cell>
          <cell r="FD310">
            <v>2080</v>
          </cell>
          <cell r="FE310">
            <v>2037</v>
          </cell>
          <cell r="FF310">
            <v>2085</v>
          </cell>
          <cell r="FG310">
            <v>2256</v>
          </cell>
          <cell r="FH310">
            <v>8458</v>
          </cell>
          <cell r="FJ310">
            <v>1985</v>
          </cell>
          <cell r="FK310">
            <v>1886</v>
          </cell>
          <cell r="FL310">
            <v>2056</v>
          </cell>
          <cell r="FM310">
            <v>2236</v>
          </cell>
          <cell r="FN310">
            <v>8163</v>
          </cell>
          <cell r="FP310">
            <v>1993</v>
          </cell>
          <cell r="FQ310">
            <v>1953</v>
          </cell>
          <cell r="FR310">
            <v>2069</v>
          </cell>
          <cell r="FS310">
            <v>2245</v>
          </cell>
          <cell r="FT310">
            <v>8260</v>
          </cell>
          <cell r="FV310">
            <v>1973</v>
          </cell>
          <cell r="FW310">
            <v>1976</v>
          </cell>
          <cell r="FX310">
            <v>2018</v>
          </cell>
          <cell r="FY310">
            <v>2314</v>
          </cell>
          <cell r="FZ310">
            <v>8281</v>
          </cell>
          <cell r="GB310">
            <v>1995</v>
          </cell>
          <cell r="GC310">
            <v>2009</v>
          </cell>
          <cell r="GD310">
            <v>2108.3871000833064</v>
          </cell>
          <cell r="GE310">
            <v>2403.7660222156705</v>
          </cell>
          <cell r="GF310">
            <v>8516.1531222989761</v>
          </cell>
        </row>
        <row r="311">
          <cell r="AN311" t="str">
            <v>SG&amp;A Ratio</v>
          </cell>
          <cell r="EL311" t="str">
            <v>SG&amp;A Ratio</v>
          </cell>
          <cell r="ER311">
            <v>0.36323777403035412</v>
          </cell>
          <cell r="ES311">
            <v>0.35312760633861551</v>
          </cell>
          <cell r="ET311">
            <v>0.35575942915392456</v>
          </cell>
          <cell r="EU311">
            <v>0.25253848673435964</v>
          </cell>
          <cell r="EV311">
            <v>0.32176492398961809</v>
          </cell>
          <cell r="EX311">
            <v>0.35686539435906095</v>
          </cell>
          <cell r="EY311">
            <v>0.34589273591310249</v>
          </cell>
          <cell r="EZ311">
            <v>0.35912631222485608</v>
          </cell>
          <cell r="FA311">
            <v>0.2655340935536421</v>
          </cell>
          <cell r="FB311">
            <v>0.32508645916467144</v>
          </cell>
          <cell r="FD311">
            <v>0.36192796241517311</v>
          </cell>
          <cell r="FE311">
            <v>0.35624344176285416</v>
          </cell>
          <cell r="FF311">
            <v>0.37957400327689789</v>
          </cell>
          <cell r="FG311">
            <v>0.28434585328963952</v>
          </cell>
          <cell r="FH311">
            <v>0.33978788365739998</v>
          </cell>
          <cell r="FJ311">
            <v>0.37537821482602118</v>
          </cell>
          <cell r="FK311">
            <v>0.35685903500473037</v>
          </cell>
          <cell r="FL311">
            <v>0.38180129990714951</v>
          </cell>
          <cell r="FM311">
            <v>0.28139944626227031</v>
          </cell>
          <cell r="FN311">
            <v>0.34149096385542171</v>
          </cell>
          <cell r="FP311">
            <v>0.35755292429135271</v>
          </cell>
          <cell r="FQ311">
            <v>0.3527180783817952</v>
          </cell>
          <cell r="FR311">
            <v>0.36795304997332384</v>
          </cell>
          <cell r="FS311">
            <v>0.27149594872415045</v>
          </cell>
          <cell r="FT311">
            <v>0.33036035675718911</v>
          </cell>
          <cell r="FV311">
            <v>0.33503141450161317</v>
          </cell>
          <cell r="FW311">
            <v>0.33271594544536115</v>
          </cell>
          <cell r="FX311">
            <v>0.34478045446779432</v>
          </cell>
          <cell r="FY311">
            <v>0.26524530032095367</v>
          </cell>
          <cell r="FZ311">
            <v>0.31361484567316794</v>
          </cell>
          <cell r="GB311">
            <v>0.32475988930489991</v>
          </cell>
          <cell r="GC311">
            <v>0.32837528604118993</v>
          </cell>
          <cell r="GD311">
            <v>0.35210818019307516</v>
          </cell>
          <cell r="GE311">
            <v>0.26163958182743124</v>
          </cell>
          <cell r="GF311">
            <v>0.31039826410036436</v>
          </cell>
        </row>
        <row r="312">
          <cell r="AN312" t="str">
            <v>BPS Change</v>
          </cell>
          <cell r="EL312" t="str">
            <v>BPS Change</v>
          </cell>
          <cell r="ER312">
            <v>300.87540578005888</v>
          </cell>
          <cell r="ES312">
            <v>202.54296926526084</v>
          </cell>
          <cell r="ET312">
            <v>5.8391160216936244</v>
          </cell>
          <cell r="EU312">
            <v>-178.61680437304796</v>
          </cell>
          <cell r="EV312">
            <v>100.18608670279094</v>
          </cell>
          <cell r="EX312">
            <v>-63.723796712931716</v>
          </cell>
          <cell r="EY312">
            <v>-72.348704255130187</v>
          </cell>
          <cell r="EZ312">
            <v>33.668830709315259</v>
          </cell>
          <cell r="FA312">
            <v>129.95606819282469</v>
          </cell>
          <cell r="FB312">
            <v>33.215351750533472</v>
          </cell>
          <cell r="FD312">
            <v>50.625680561121598</v>
          </cell>
          <cell r="FE312">
            <v>103.50705849751674</v>
          </cell>
          <cell r="FF312">
            <v>204.47691052041804</v>
          </cell>
          <cell r="FG312">
            <v>188.11759735997413</v>
          </cell>
          <cell r="FH312">
            <v>147.01424492728543</v>
          </cell>
          <cell r="FJ312">
            <v>134.50252410848074</v>
          </cell>
          <cell r="FK312">
            <v>6.1559324187621112</v>
          </cell>
          <cell r="FL312">
            <v>22.272966302516185</v>
          </cell>
          <cell r="FM312">
            <v>-29.464070273692023</v>
          </cell>
          <cell r="FN312">
            <v>17.030801980217337</v>
          </cell>
          <cell r="FP312">
            <v>-178.25290534668468</v>
          </cell>
          <cell r="FQ312">
            <v>-41.409566229351768</v>
          </cell>
          <cell r="FR312">
            <v>-138.48249933825662</v>
          </cell>
          <cell r="FS312">
            <v>-99.034975381198649</v>
          </cell>
          <cell r="FT312">
            <v>-111.30607098232603</v>
          </cell>
          <cell r="FV312">
            <v>-225.21509789739548</v>
          </cell>
          <cell r="FW312">
            <v>-200.02132936434046</v>
          </cell>
          <cell r="FX312">
            <v>-231.72595505529526</v>
          </cell>
          <cell r="FY312">
            <v>-62.506484031967787</v>
          </cell>
          <cell r="FZ312">
            <v>-167.45511084021169</v>
          </cell>
          <cell r="GB312">
            <v>-102.7152519671326</v>
          </cell>
          <cell r="GC312">
            <v>-43.406594041712211</v>
          </cell>
          <cell r="GD312">
            <v>73.277257252808397</v>
          </cell>
          <cell r="GE312">
            <v>-36.057184935224271</v>
          </cell>
          <cell r="GF312">
            <v>-32.165815728035781</v>
          </cell>
        </row>
        <row r="314">
          <cell r="AN314" t="str">
            <v>Operating Income</v>
          </cell>
          <cell r="EL314" t="str">
            <v>Operating Income</v>
          </cell>
          <cell r="ER314">
            <v>149</v>
          </cell>
          <cell r="ES314">
            <v>408</v>
          </cell>
          <cell r="ET314">
            <v>279</v>
          </cell>
          <cell r="EU314">
            <v>1437</v>
          </cell>
          <cell r="EV314">
            <v>2273</v>
          </cell>
          <cell r="EX314">
            <v>244</v>
          </cell>
          <cell r="EY314">
            <v>347</v>
          </cell>
          <cell r="EZ314">
            <v>200</v>
          </cell>
          <cell r="FA314">
            <v>1291</v>
          </cell>
          <cell r="FB314">
            <v>2082</v>
          </cell>
          <cell r="FD314">
            <v>140</v>
          </cell>
          <cell r="FE314">
            <v>335</v>
          </cell>
          <cell r="FF314">
            <v>84</v>
          </cell>
          <cell r="FG314">
            <v>866</v>
          </cell>
          <cell r="FH314">
            <v>1425</v>
          </cell>
          <cell r="FJ314">
            <v>24</v>
          </cell>
          <cell r="FK314">
            <v>282</v>
          </cell>
          <cell r="FL314">
            <v>88</v>
          </cell>
          <cell r="FM314">
            <v>1060</v>
          </cell>
          <cell r="FN314">
            <v>1454</v>
          </cell>
          <cell r="FP314">
            <v>203</v>
          </cell>
          <cell r="FQ314">
            <v>370</v>
          </cell>
          <cell r="FR314">
            <v>177</v>
          </cell>
          <cell r="FS314">
            <v>1169</v>
          </cell>
          <cell r="FT314">
            <v>1919</v>
          </cell>
          <cell r="FV314">
            <v>330</v>
          </cell>
          <cell r="FW314">
            <v>506</v>
          </cell>
          <cell r="FX314">
            <v>291</v>
          </cell>
          <cell r="FY314">
            <v>1259</v>
          </cell>
          <cell r="FZ314">
            <v>2386</v>
          </cell>
          <cell r="GB314">
            <v>391</v>
          </cell>
          <cell r="GC314">
            <v>554</v>
          </cell>
          <cell r="GD314">
            <v>241.85331304964893</v>
          </cell>
          <cell r="GE314">
            <v>1361.8641463632762</v>
          </cell>
          <cell r="GF314">
            <v>2548.7174594129251</v>
          </cell>
        </row>
        <row r="315">
          <cell r="AN315" t="str">
            <v>Operating Margin</v>
          </cell>
          <cell r="EL315" t="str">
            <v>Operating Margin</v>
          </cell>
          <cell r="ER315">
            <v>2.5126475548060707E-2</v>
          </cell>
          <cell r="ES315">
            <v>6.805671392827356E-2</v>
          </cell>
          <cell r="ET315">
            <v>4.7400611620795105E-2</v>
          </cell>
          <cell r="EU315">
            <v>0.1568948575171962</v>
          </cell>
          <cell r="EV315">
            <v>8.4278828327771602E-2</v>
          </cell>
          <cell r="EX315">
            <v>4.12092551933795E-2</v>
          </cell>
          <cell r="EY315">
            <v>5.8893414799728448E-2</v>
          </cell>
          <cell r="EZ315">
            <v>3.3863867253640365E-2</v>
          </cell>
          <cell r="FA315">
            <v>0.15022108447754248</v>
          </cell>
          <cell r="FB315">
            <v>7.9124387185041611E-2</v>
          </cell>
          <cell r="FD315">
            <v>2.4360535931790498E-2</v>
          </cell>
          <cell r="FE315">
            <v>5.8586918502973068E-2</v>
          </cell>
          <cell r="FF315">
            <v>1.5292190060076462E-2</v>
          </cell>
          <cell r="FG315">
            <v>0.10915049155533149</v>
          </cell>
          <cell r="FH315">
            <v>5.7247308372167766E-2</v>
          </cell>
          <cell r="FJ315">
            <v>4.5385779122541605E-3</v>
          </cell>
          <cell r="FK315">
            <v>5.3358561967833493E-2</v>
          </cell>
          <cell r="FL315">
            <v>1.6341689879294335E-2</v>
          </cell>
          <cell r="FM315">
            <v>0.13340045305814247</v>
          </cell>
          <cell r="FN315">
            <v>6.0826639892904953E-2</v>
          </cell>
          <cell r="FP315">
            <v>3.6419088625762472E-2</v>
          </cell>
          <cell r="FQ315">
            <v>6.6823189452772255E-2</v>
          </cell>
          <cell r="FR315">
            <v>3.1477858794237951E-2</v>
          </cell>
          <cell r="FS315">
            <v>0.14137138710847744</v>
          </cell>
          <cell r="FT315">
            <v>7.6750789905211378E-2</v>
          </cell>
          <cell r="FV315">
            <v>5.6036678553234846E-2</v>
          </cell>
          <cell r="FW315">
            <v>8.5199528540158276E-2</v>
          </cell>
          <cell r="FX315">
            <v>4.9718093285494619E-2</v>
          </cell>
          <cell r="FY315">
            <v>0.1443145346171481</v>
          </cell>
          <cell r="FZ315">
            <v>9.0361673925392919E-2</v>
          </cell>
          <cell r="GB315">
            <v>6.3649682565521726E-2</v>
          </cell>
          <cell r="GC315">
            <v>9.0552468126838842E-2</v>
          </cell>
          <cell r="GD315">
            <v>4.0390367560213782E-2</v>
          </cell>
          <cell r="GE315">
            <v>0.14823304866911449</v>
          </cell>
          <cell r="GF315">
            <v>9.2896107400015485E-2</v>
          </cell>
        </row>
        <row r="316">
          <cell r="AN316" t="str">
            <v>BPS Change</v>
          </cell>
          <cell r="EL316" t="str">
            <v>BPS Change</v>
          </cell>
          <cell r="ER316">
            <v>-440.85279464298537</v>
          </cell>
          <cell r="ES316">
            <v>-122.63462720912194</v>
          </cell>
          <cell r="ET316">
            <v>-12.042488652534988</v>
          </cell>
          <cell r="EU316">
            <v>184.5582293355813</v>
          </cell>
          <cell r="EV316">
            <v>-112.10229287235099</v>
          </cell>
          <cell r="EX316">
            <v>160.82779645318794</v>
          </cell>
          <cell r="EY316">
            <v>-91.632991285451112</v>
          </cell>
          <cell r="EZ316">
            <v>-135.36744367154739</v>
          </cell>
          <cell r="FA316">
            <v>-66.737730396537188</v>
          </cell>
          <cell r="FB316">
            <v>-51.544411427299899</v>
          </cell>
          <cell r="FD316">
            <v>-168.48719261589002</v>
          </cell>
          <cell r="FE316">
            <v>-3.0649629675538055</v>
          </cell>
          <cell r="FF316">
            <v>-185.71677193563903</v>
          </cell>
          <cell r="FG316">
            <v>-410.70592922210989</v>
          </cell>
          <cell r="FJ316">
            <v>-198.21958019536339</v>
          </cell>
          <cell r="FK316">
            <v>-52.283565351395751</v>
          </cell>
          <cell r="FL316">
            <v>10.494998192178731</v>
          </cell>
          <cell r="FM316">
            <v>242.49961502810973</v>
          </cell>
          <cell r="FP316">
            <v>318.80510713508306</v>
          </cell>
          <cell r="FQ316">
            <v>134.64627484938762</v>
          </cell>
          <cell r="FR316">
            <v>151.36168914943616</v>
          </cell>
          <cell r="FS316">
            <v>78.196673151046397</v>
          </cell>
          <cell r="FV316">
            <v>196.17589927472375</v>
          </cell>
          <cell r="FW316">
            <v>183.7633908738602</v>
          </cell>
          <cell r="FX316">
            <v>182.40234491256669</v>
          </cell>
          <cell r="FY316">
            <v>29.431475086706683</v>
          </cell>
          <cell r="GB316">
            <v>76.130040122868792</v>
          </cell>
          <cell r="GC316">
            <v>53.529395866805665</v>
          </cell>
          <cell r="GD316">
            <v>-93.277257252808369</v>
          </cell>
          <cell r="GE316">
            <v>39.185140519663875</v>
          </cell>
        </row>
        <row r="318">
          <cell r="AN318" t="str">
            <v>Assumptions Spreads</v>
          </cell>
        </row>
        <row r="319">
          <cell r="AN319" t="str">
            <v>Bull Case Assumptions</v>
          </cell>
        </row>
        <row r="320">
          <cell r="AN320" t="str">
            <v>Monthly Comps</v>
          </cell>
        </row>
        <row r="321">
          <cell r="AN321" t="str">
            <v>Month 1</v>
          </cell>
          <cell r="GE321">
            <v>0.02</v>
          </cell>
        </row>
        <row r="322">
          <cell r="AN322" t="str">
            <v>Month 2</v>
          </cell>
          <cell r="GD322">
            <v>0.02</v>
          </cell>
          <cell r="GE322">
            <v>0.02</v>
          </cell>
        </row>
        <row r="323">
          <cell r="AN323" t="str">
            <v>Month 3</v>
          </cell>
          <cell r="GD323">
            <v>0.02</v>
          </cell>
          <cell r="GE323">
            <v>0.02</v>
          </cell>
        </row>
        <row r="324">
          <cell r="AN324" t="str">
            <v xml:space="preserve">  Total</v>
          </cell>
        </row>
        <row r="325">
          <cell r="AN325" t="str">
            <v>Y/Y ∆ Gross Margin (bps)</v>
          </cell>
          <cell r="GD325">
            <v>35</v>
          </cell>
          <cell r="GE325">
            <v>35</v>
          </cell>
        </row>
        <row r="326">
          <cell r="AN326" t="str">
            <v>Y/Y ∆ SG&amp;A Ratio (bps)</v>
          </cell>
          <cell r="GD326">
            <v>-24</v>
          </cell>
          <cell r="GE326">
            <v>-24</v>
          </cell>
        </row>
        <row r="328">
          <cell r="AN328" t="str">
            <v>Bear Case Assumptions</v>
          </cell>
        </row>
        <row r="329">
          <cell r="AN329" t="str">
            <v>Monthly Comps</v>
          </cell>
        </row>
        <row r="330">
          <cell r="AN330" t="str">
            <v>Month 1</v>
          </cell>
          <cell r="GE330">
            <v>-0.02</v>
          </cell>
        </row>
        <row r="331">
          <cell r="AN331" t="str">
            <v>Month 2</v>
          </cell>
          <cell r="GD331">
            <v>-0.02</v>
          </cell>
          <cell r="GE331">
            <v>-0.02</v>
          </cell>
        </row>
        <row r="332">
          <cell r="AN332" t="str">
            <v>Month 3</v>
          </cell>
          <cell r="GD332">
            <v>-0.02</v>
          </cell>
          <cell r="GE332">
            <v>-0.02</v>
          </cell>
        </row>
        <row r="333">
          <cell r="AN333" t="str">
            <v xml:space="preserve">  Total</v>
          </cell>
        </row>
        <row r="334">
          <cell r="AN334" t="str">
            <v>Y/Y ∆ Gross Margin (bps)</v>
          </cell>
          <cell r="GD334">
            <v>-35</v>
          </cell>
          <cell r="GE334">
            <v>-35</v>
          </cell>
        </row>
        <row r="335">
          <cell r="AN335" t="str">
            <v>Y/Y ∆ SG&amp;A Ratio (bps)</v>
          </cell>
          <cell r="GD335">
            <v>25</v>
          </cell>
          <cell r="GE335">
            <v>25</v>
          </cell>
        </row>
        <row r="338">
          <cell r="AN338" t="str">
            <v>Pension Expense (Benefit)</v>
          </cell>
          <cell r="EX338">
            <v>35</v>
          </cell>
          <cell r="EY338">
            <v>40</v>
          </cell>
          <cell r="EZ338">
            <v>39</v>
          </cell>
          <cell r="FA338">
            <v>39</v>
          </cell>
          <cell r="FB338">
            <v>153</v>
          </cell>
          <cell r="FD338">
            <v>38</v>
          </cell>
          <cell r="FE338">
            <v>37</v>
          </cell>
          <cell r="FF338">
            <v>38</v>
          </cell>
          <cell r="FG338">
            <v>17</v>
          </cell>
          <cell r="FH338">
            <v>130</v>
          </cell>
          <cell r="FJ338">
            <v>34</v>
          </cell>
          <cell r="FK338">
            <v>35</v>
          </cell>
          <cell r="FL338">
            <v>35</v>
          </cell>
          <cell r="FM338">
            <v>35</v>
          </cell>
          <cell r="FN338">
            <v>139</v>
          </cell>
          <cell r="FP338">
            <v>34.75</v>
          </cell>
          <cell r="FQ338">
            <v>34.75</v>
          </cell>
          <cell r="FR338">
            <v>34.75</v>
          </cell>
          <cell r="FS338">
            <v>34.75</v>
          </cell>
          <cell r="FT338">
            <v>139</v>
          </cell>
          <cell r="FV338">
            <v>34.75</v>
          </cell>
          <cell r="FW338">
            <v>38</v>
          </cell>
          <cell r="FX338">
            <v>38</v>
          </cell>
          <cell r="FY338">
            <v>39</v>
          </cell>
          <cell r="FZ338">
            <v>149.75</v>
          </cell>
          <cell r="GB338">
            <v>50.75</v>
          </cell>
          <cell r="GC338">
            <v>57</v>
          </cell>
          <cell r="GD338">
            <v>56</v>
          </cell>
          <cell r="GE338">
            <v>57</v>
          </cell>
          <cell r="GF338">
            <v>220.75</v>
          </cell>
        </row>
        <row r="339">
          <cell r="GB339">
            <v>16</v>
          </cell>
          <cell r="GC339">
            <v>19</v>
          </cell>
          <cell r="GD339">
            <v>18</v>
          </cell>
          <cell r="GE339">
            <v>18</v>
          </cell>
          <cell r="GF339">
            <v>71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4Q12A"/>
      <sheetName val="bal"/>
      <sheetName val="flow"/>
      <sheetName val="qtrP&amp;L"/>
      <sheetName val="Flow-through"/>
      <sheetName val="mthSales-Total"/>
      <sheetName val="sumry"/>
      <sheetName val="FY13 Guidance"/>
      <sheetName val="BBB"/>
      <sheetName val="yrP&amp;L"/>
      <sheetName val="qtrSales"/>
      <sheetName val="qtrSales-seg"/>
      <sheetName val="stores"/>
      <sheetName val="qtlycomp"/>
      <sheetName val="yrSales"/>
      <sheetName val="qtrP&amp;L-seg"/>
      <sheetName val="JWN ROIC"/>
      <sheetName val="turn"/>
      <sheetName val="wc"/>
      <sheetName val="Debt"/>
      <sheetName val="Earnings"/>
      <sheetName val="E-comm chart"/>
      <sheetName val="MWA RR"/>
      <sheetName val="dtc"/>
      <sheetName val="LEASES NEW"/>
      <sheetName val="mwareDates"/>
      <sheetName val="mwareSettings"/>
      <sheetName val="MW-Cach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B2" t="str">
            <v>2001-Q1</v>
          </cell>
          <cell r="C2">
            <v>36557</v>
          </cell>
          <cell r="D2">
            <v>36646</v>
          </cell>
          <cell r="E2" t="str">
            <v>A</v>
          </cell>
        </row>
        <row r="3">
          <cell r="B3" t="str">
            <v>2001-Q2</v>
          </cell>
          <cell r="C3">
            <v>36647</v>
          </cell>
          <cell r="D3">
            <v>36738</v>
          </cell>
          <cell r="E3" t="str">
            <v>A</v>
          </cell>
        </row>
        <row r="4">
          <cell r="B4" t="str">
            <v>2001-Q3</v>
          </cell>
          <cell r="C4">
            <v>36739</v>
          </cell>
          <cell r="D4">
            <v>36830</v>
          </cell>
          <cell r="E4" t="str">
            <v>A</v>
          </cell>
        </row>
        <row r="5">
          <cell r="B5" t="str">
            <v>2001-Q4</v>
          </cell>
          <cell r="C5">
            <v>36831</v>
          </cell>
          <cell r="D5">
            <v>36922</v>
          </cell>
          <cell r="E5" t="str">
            <v>A</v>
          </cell>
        </row>
        <row r="6">
          <cell r="B6" t="str">
            <v>2001-FY</v>
          </cell>
          <cell r="C6">
            <v>36557</v>
          </cell>
          <cell r="D6">
            <v>36922</v>
          </cell>
          <cell r="E6" t="str">
            <v>A</v>
          </cell>
        </row>
        <row r="7">
          <cell r="B7" t="str">
            <v>2002-Q1</v>
          </cell>
          <cell r="C7">
            <v>36923</v>
          </cell>
          <cell r="D7">
            <v>37011</v>
          </cell>
          <cell r="E7" t="str">
            <v>A</v>
          </cell>
        </row>
        <row r="8">
          <cell r="B8" t="str">
            <v>2002-Q2</v>
          </cell>
          <cell r="C8">
            <v>37012</v>
          </cell>
          <cell r="D8">
            <v>37103</v>
          </cell>
          <cell r="E8" t="str">
            <v>A</v>
          </cell>
        </row>
        <row r="9">
          <cell r="B9" t="str">
            <v>2002-Q3</v>
          </cell>
          <cell r="C9">
            <v>37104</v>
          </cell>
          <cell r="D9">
            <v>37195</v>
          </cell>
          <cell r="E9" t="str">
            <v>A</v>
          </cell>
        </row>
        <row r="10">
          <cell r="B10" t="str">
            <v>2002-Q4</v>
          </cell>
          <cell r="C10">
            <v>37196</v>
          </cell>
          <cell r="D10">
            <v>37287</v>
          </cell>
          <cell r="E10" t="str">
            <v>A</v>
          </cell>
        </row>
        <row r="11">
          <cell r="B11" t="str">
            <v>2002-FY</v>
          </cell>
          <cell r="C11">
            <v>36923</v>
          </cell>
          <cell r="D11">
            <v>37287</v>
          </cell>
          <cell r="E11" t="str">
            <v>A</v>
          </cell>
        </row>
        <row r="12">
          <cell r="B12" t="str">
            <v>2003-Q1</v>
          </cell>
          <cell r="C12">
            <v>37288</v>
          </cell>
          <cell r="D12">
            <v>37376</v>
          </cell>
          <cell r="E12" t="str">
            <v>A</v>
          </cell>
        </row>
        <row r="13">
          <cell r="B13" t="str">
            <v>2003-Q2</v>
          </cell>
          <cell r="C13">
            <v>37377</v>
          </cell>
          <cell r="D13">
            <v>37468</v>
          </cell>
          <cell r="E13" t="str">
            <v>A</v>
          </cell>
        </row>
        <row r="14">
          <cell r="B14" t="str">
            <v>2003-Q3</v>
          </cell>
          <cell r="C14">
            <v>37469</v>
          </cell>
          <cell r="D14">
            <v>37560</v>
          </cell>
          <cell r="E14" t="str">
            <v>A</v>
          </cell>
        </row>
        <row r="15">
          <cell r="B15" t="str">
            <v>2003-Q4</v>
          </cell>
          <cell r="C15">
            <v>37561</v>
          </cell>
          <cell r="D15">
            <v>37652</v>
          </cell>
          <cell r="E15" t="str">
            <v>A</v>
          </cell>
        </row>
        <row r="16">
          <cell r="B16" t="str">
            <v>2003-FY</v>
          </cell>
          <cell r="C16">
            <v>37288</v>
          </cell>
          <cell r="D16">
            <v>37652</v>
          </cell>
          <cell r="E16" t="str">
            <v>A</v>
          </cell>
        </row>
        <row r="17">
          <cell r="B17" t="str">
            <v>2004-Q1</v>
          </cell>
          <cell r="C17">
            <v>37653</v>
          </cell>
          <cell r="D17">
            <v>37741</v>
          </cell>
          <cell r="E17" t="str">
            <v>A</v>
          </cell>
        </row>
        <row r="18">
          <cell r="B18" t="str">
            <v>2004-Q2</v>
          </cell>
          <cell r="C18">
            <v>37742</v>
          </cell>
          <cell r="D18">
            <v>37833</v>
          </cell>
          <cell r="E18" t="str">
            <v>A</v>
          </cell>
        </row>
        <row r="19">
          <cell r="B19" t="str">
            <v>2004-Q3</v>
          </cell>
          <cell r="C19">
            <v>37834</v>
          </cell>
          <cell r="D19">
            <v>37925</v>
          </cell>
          <cell r="E19" t="str">
            <v>A</v>
          </cell>
        </row>
        <row r="20">
          <cell r="B20" t="str">
            <v>2004-Q4</v>
          </cell>
          <cell r="C20">
            <v>37926</v>
          </cell>
          <cell r="D20">
            <v>38017</v>
          </cell>
          <cell r="E20" t="str">
            <v>A</v>
          </cell>
        </row>
        <row r="21">
          <cell r="B21" t="str">
            <v>2004-FY</v>
          </cell>
          <cell r="C21">
            <v>37653</v>
          </cell>
          <cell r="D21">
            <v>38017</v>
          </cell>
          <cell r="E21" t="str">
            <v>A</v>
          </cell>
        </row>
        <row r="22">
          <cell r="B22" t="str">
            <v>2005-Q1</v>
          </cell>
          <cell r="C22">
            <v>38018</v>
          </cell>
          <cell r="D22">
            <v>38107</v>
          </cell>
          <cell r="E22" t="str">
            <v>A</v>
          </cell>
        </row>
        <row r="23">
          <cell r="B23" t="str">
            <v>2005-Q2</v>
          </cell>
          <cell r="C23">
            <v>38108</v>
          </cell>
          <cell r="D23">
            <v>38199</v>
          </cell>
          <cell r="E23" t="str">
            <v>A</v>
          </cell>
        </row>
        <row r="24">
          <cell r="B24" t="str">
            <v>2005-Q3</v>
          </cell>
          <cell r="C24">
            <v>38200</v>
          </cell>
          <cell r="D24">
            <v>38291</v>
          </cell>
          <cell r="E24" t="str">
            <v>A</v>
          </cell>
        </row>
        <row r="25">
          <cell r="B25" t="str">
            <v>2005-Q4</v>
          </cell>
          <cell r="C25">
            <v>38292</v>
          </cell>
          <cell r="D25">
            <v>38383</v>
          </cell>
          <cell r="E25" t="str">
            <v>A</v>
          </cell>
        </row>
        <row r="26">
          <cell r="B26" t="str">
            <v>2005-FY</v>
          </cell>
          <cell r="C26">
            <v>38018</v>
          </cell>
          <cell r="D26">
            <v>38383</v>
          </cell>
          <cell r="E26" t="str">
            <v>A</v>
          </cell>
        </row>
        <row r="27">
          <cell r="B27" t="str">
            <v>2006-Q1</v>
          </cell>
          <cell r="C27">
            <v>38384</v>
          </cell>
          <cell r="D27">
            <v>38472</v>
          </cell>
          <cell r="E27" t="str">
            <v>A</v>
          </cell>
        </row>
        <row r="28">
          <cell r="B28" t="str">
            <v>2006-Q2</v>
          </cell>
          <cell r="C28">
            <v>38473</v>
          </cell>
          <cell r="D28">
            <v>38564</v>
          </cell>
          <cell r="E28" t="str">
            <v>A</v>
          </cell>
        </row>
        <row r="29">
          <cell r="B29" t="str">
            <v>2006-Q3</v>
          </cell>
          <cell r="C29">
            <v>38565</v>
          </cell>
          <cell r="D29">
            <v>38656</v>
          </cell>
          <cell r="E29" t="str">
            <v>A</v>
          </cell>
        </row>
        <row r="30">
          <cell r="B30" t="str">
            <v>2006-Q4</v>
          </cell>
          <cell r="C30">
            <v>38657</v>
          </cell>
          <cell r="D30">
            <v>38748</v>
          </cell>
          <cell r="E30" t="str">
            <v>A</v>
          </cell>
        </row>
        <row r="31">
          <cell r="B31" t="str">
            <v>2006-FY</v>
          </cell>
          <cell r="C31">
            <v>38384</v>
          </cell>
          <cell r="D31">
            <v>38748</v>
          </cell>
          <cell r="E31" t="str">
            <v>A</v>
          </cell>
        </row>
        <row r="32">
          <cell r="B32" t="str">
            <v>2007-Q1</v>
          </cell>
          <cell r="C32">
            <v>38749</v>
          </cell>
          <cell r="D32">
            <v>38837</v>
          </cell>
          <cell r="E32" t="str">
            <v>A</v>
          </cell>
        </row>
        <row r="33">
          <cell r="B33" t="str">
            <v>2007-Q2</v>
          </cell>
          <cell r="C33">
            <v>38838</v>
          </cell>
          <cell r="D33">
            <v>38929</v>
          </cell>
          <cell r="E33" t="str">
            <v>A</v>
          </cell>
        </row>
        <row r="34">
          <cell r="B34" t="str">
            <v>2007-Q3</v>
          </cell>
          <cell r="C34">
            <v>38930</v>
          </cell>
          <cell r="D34">
            <v>39021</v>
          </cell>
          <cell r="E34" t="str">
            <v>A</v>
          </cell>
        </row>
        <row r="35">
          <cell r="B35" t="str">
            <v>2007-Q4</v>
          </cell>
          <cell r="C35">
            <v>39022</v>
          </cell>
          <cell r="D35">
            <v>39113</v>
          </cell>
          <cell r="E35" t="str">
            <v>A</v>
          </cell>
        </row>
        <row r="36">
          <cell r="B36" t="str">
            <v>2007-FY</v>
          </cell>
          <cell r="C36">
            <v>38749</v>
          </cell>
          <cell r="D36">
            <v>39113</v>
          </cell>
          <cell r="E36" t="str">
            <v>A</v>
          </cell>
        </row>
        <row r="37">
          <cell r="B37" t="str">
            <v>2008-Q1</v>
          </cell>
          <cell r="C37">
            <v>39114</v>
          </cell>
          <cell r="D37">
            <v>39202</v>
          </cell>
          <cell r="E37" t="str">
            <v>A</v>
          </cell>
        </row>
        <row r="38">
          <cell r="B38" t="str">
            <v>2008-Q2</v>
          </cell>
          <cell r="C38">
            <v>39203</v>
          </cell>
          <cell r="D38">
            <v>39294</v>
          </cell>
          <cell r="E38" t="str">
            <v>A</v>
          </cell>
        </row>
        <row r="39">
          <cell r="B39" t="str">
            <v>2008-Q3</v>
          </cell>
          <cell r="C39">
            <v>39295</v>
          </cell>
          <cell r="D39">
            <v>39386</v>
          </cell>
          <cell r="E39" t="str">
            <v>A</v>
          </cell>
        </row>
        <row r="40">
          <cell r="B40" t="str">
            <v>2008-Q4</v>
          </cell>
          <cell r="C40">
            <v>39387</v>
          </cell>
          <cell r="D40">
            <v>39478</v>
          </cell>
          <cell r="E40" t="str">
            <v>A</v>
          </cell>
        </row>
        <row r="41">
          <cell r="B41" t="str">
            <v>2008-FY</v>
          </cell>
          <cell r="C41">
            <v>39114</v>
          </cell>
          <cell r="D41">
            <v>39478</v>
          </cell>
          <cell r="E41" t="str">
            <v>A</v>
          </cell>
        </row>
        <row r="42">
          <cell r="B42" t="str">
            <v>2009-Q1</v>
          </cell>
          <cell r="C42">
            <v>39479</v>
          </cell>
          <cell r="D42">
            <v>39568</v>
          </cell>
          <cell r="E42" t="str">
            <v>A</v>
          </cell>
        </row>
        <row r="43">
          <cell r="B43" t="str">
            <v>2009-Q2</v>
          </cell>
          <cell r="C43">
            <v>39569</v>
          </cell>
          <cell r="D43">
            <v>39660</v>
          </cell>
          <cell r="E43" t="str">
            <v>A</v>
          </cell>
        </row>
        <row r="44">
          <cell r="B44" t="str">
            <v>2009-Q3</v>
          </cell>
          <cell r="C44">
            <v>39661</v>
          </cell>
          <cell r="D44">
            <v>39752</v>
          </cell>
          <cell r="E44" t="str">
            <v>A</v>
          </cell>
        </row>
        <row r="45">
          <cell r="B45" t="str">
            <v>2009-Q4</v>
          </cell>
          <cell r="C45">
            <v>39753</v>
          </cell>
          <cell r="D45">
            <v>39844</v>
          </cell>
          <cell r="E45" t="str">
            <v>A</v>
          </cell>
        </row>
        <row r="46">
          <cell r="B46" t="str">
            <v>2009-FY</v>
          </cell>
          <cell r="C46">
            <v>39479</v>
          </cell>
          <cell r="D46">
            <v>39844</v>
          </cell>
          <cell r="E46" t="str">
            <v>A</v>
          </cell>
        </row>
        <row r="47">
          <cell r="B47" t="str">
            <v>2010-Q1</v>
          </cell>
          <cell r="C47">
            <v>39845</v>
          </cell>
          <cell r="D47">
            <v>39933</v>
          </cell>
          <cell r="E47" t="str">
            <v>A</v>
          </cell>
        </row>
        <row r="48">
          <cell r="B48" t="str">
            <v>2010-Q2</v>
          </cell>
          <cell r="C48">
            <v>39934</v>
          </cell>
          <cell r="D48">
            <v>40025</v>
          </cell>
          <cell r="E48" t="str">
            <v>A</v>
          </cell>
        </row>
        <row r="49">
          <cell r="B49" t="str">
            <v>2010-Q3</v>
          </cell>
          <cell r="C49">
            <v>40026</v>
          </cell>
          <cell r="D49">
            <v>40117</v>
          </cell>
          <cell r="E49" t="str">
            <v>A</v>
          </cell>
        </row>
        <row r="50">
          <cell r="B50" t="str">
            <v>2010-Q4</v>
          </cell>
          <cell r="C50">
            <v>40118</v>
          </cell>
          <cell r="D50">
            <v>40209</v>
          </cell>
          <cell r="E50" t="str">
            <v>A</v>
          </cell>
        </row>
        <row r="51">
          <cell r="B51" t="str">
            <v>2010-FY</v>
          </cell>
          <cell r="C51">
            <v>39845</v>
          </cell>
          <cell r="D51">
            <v>40209</v>
          </cell>
          <cell r="E51" t="str">
            <v>A</v>
          </cell>
        </row>
        <row r="52">
          <cell r="B52" t="str">
            <v>2011-Q1</v>
          </cell>
          <cell r="C52">
            <v>40210</v>
          </cell>
          <cell r="D52">
            <v>40298</v>
          </cell>
          <cell r="E52" t="str">
            <v>A</v>
          </cell>
        </row>
        <row r="53">
          <cell r="B53" t="str">
            <v>2011-Q2</v>
          </cell>
          <cell r="C53">
            <v>40299</v>
          </cell>
          <cell r="D53">
            <v>40390</v>
          </cell>
          <cell r="E53" t="str">
            <v>A</v>
          </cell>
        </row>
        <row r="54">
          <cell r="B54" t="str">
            <v>2011-Q3</v>
          </cell>
          <cell r="C54">
            <v>40391</v>
          </cell>
          <cell r="D54">
            <v>40482</v>
          </cell>
          <cell r="E54" t="str">
            <v>A</v>
          </cell>
        </row>
        <row r="55">
          <cell r="B55" t="str">
            <v>2011-Q4</v>
          </cell>
          <cell r="C55">
            <v>40483</v>
          </cell>
          <cell r="D55">
            <v>40574</v>
          </cell>
          <cell r="E55" t="str">
            <v>A</v>
          </cell>
        </row>
        <row r="56">
          <cell r="B56" t="str">
            <v>2011-FY</v>
          </cell>
          <cell r="C56">
            <v>40210</v>
          </cell>
          <cell r="D56">
            <v>40574</v>
          </cell>
          <cell r="E56" t="str">
            <v>A</v>
          </cell>
        </row>
        <row r="57">
          <cell r="B57" t="str">
            <v>2012-Q1</v>
          </cell>
          <cell r="C57">
            <v>40575</v>
          </cell>
          <cell r="D57">
            <v>40663</v>
          </cell>
          <cell r="E57" t="str">
            <v>A</v>
          </cell>
        </row>
        <row r="58">
          <cell r="B58" t="str">
            <v>2012-Q2</v>
          </cell>
          <cell r="C58">
            <v>40664</v>
          </cell>
          <cell r="D58">
            <v>40755</v>
          </cell>
          <cell r="E58" t="str">
            <v>A</v>
          </cell>
        </row>
        <row r="59">
          <cell r="B59" t="str">
            <v>2012-Q3</v>
          </cell>
          <cell r="C59">
            <v>40756</v>
          </cell>
          <cell r="D59">
            <v>40847</v>
          </cell>
          <cell r="E59" t="str">
            <v>A</v>
          </cell>
        </row>
        <row r="60">
          <cell r="B60" t="str">
            <v>2012-Q4</v>
          </cell>
          <cell r="C60">
            <v>40848</v>
          </cell>
          <cell r="D60">
            <v>40939</v>
          </cell>
          <cell r="E60" t="str">
            <v>A</v>
          </cell>
        </row>
        <row r="61">
          <cell r="B61" t="str">
            <v>2012-FY</v>
          </cell>
          <cell r="C61">
            <v>40575</v>
          </cell>
          <cell r="D61">
            <v>40939</v>
          </cell>
          <cell r="E61" t="str">
            <v>A</v>
          </cell>
        </row>
        <row r="62">
          <cell r="B62" t="str">
            <v>2013-Q1</v>
          </cell>
          <cell r="C62">
            <v>40940</v>
          </cell>
          <cell r="D62">
            <v>41029</v>
          </cell>
          <cell r="E62" t="str">
            <v>A</v>
          </cell>
        </row>
        <row r="63">
          <cell r="B63" t="str">
            <v>2013-Q2</v>
          </cell>
          <cell r="C63">
            <v>41030</v>
          </cell>
          <cell r="D63">
            <v>41121</v>
          </cell>
          <cell r="E63" t="str">
            <v>A</v>
          </cell>
        </row>
        <row r="64">
          <cell r="B64" t="str">
            <v>2013-Q3</v>
          </cell>
          <cell r="C64">
            <v>41122</v>
          </cell>
          <cell r="D64">
            <v>41213</v>
          </cell>
          <cell r="E64" t="str">
            <v>E</v>
          </cell>
        </row>
        <row r="65">
          <cell r="B65" t="str">
            <v>2013-Q4</v>
          </cell>
          <cell r="C65">
            <v>41214</v>
          </cell>
          <cell r="D65">
            <v>41305</v>
          </cell>
          <cell r="E65" t="str">
            <v>E</v>
          </cell>
        </row>
        <row r="66">
          <cell r="B66" t="str">
            <v>2013-FY</v>
          </cell>
          <cell r="C66">
            <v>40940</v>
          </cell>
          <cell r="D66">
            <v>41305</v>
          </cell>
          <cell r="E66" t="str">
            <v>E</v>
          </cell>
        </row>
        <row r="67">
          <cell r="B67" t="str">
            <v>2014-Q1</v>
          </cell>
          <cell r="C67">
            <v>41306</v>
          </cell>
          <cell r="D67">
            <v>41394</v>
          </cell>
          <cell r="E67" t="str">
            <v>E</v>
          </cell>
        </row>
        <row r="68">
          <cell r="B68" t="str">
            <v>2014-Q2</v>
          </cell>
          <cell r="C68">
            <v>41395</v>
          </cell>
          <cell r="D68">
            <v>41486</v>
          </cell>
          <cell r="E68" t="str">
            <v>E</v>
          </cell>
        </row>
        <row r="69">
          <cell r="B69" t="str">
            <v>2014-Q3</v>
          </cell>
          <cell r="C69">
            <v>41487</v>
          </cell>
          <cell r="D69">
            <v>41578</v>
          </cell>
          <cell r="E69" t="str">
            <v>E</v>
          </cell>
        </row>
        <row r="70">
          <cell r="B70" t="str">
            <v>2014-Q4</v>
          </cell>
          <cell r="C70">
            <v>41579</v>
          </cell>
          <cell r="D70">
            <v>41670</v>
          </cell>
          <cell r="E70" t="str">
            <v>E</v>
          </cell>
        </row>
        <row r="71">
          <cell r="B71" t="str">
            <v>2014-FY</v>
          </cell>
          <cell r="C71">
            <v>41306</v>
          </cell>
          <cell r="D71">
            <v>41670</v>
          </cell>
          <cell r="E71" t="str">
            <v>E</v>
          </cell>
        </row>
        <row r="72">
          <cell r="B72" t="str">
            <v>2015-Q1</v>
          </cell>
          <cell r="C72">
            <v>41671</v>
          </cell>
          <cell r="D72">
            <v>41759</v>
          </cell>
          <cell r="E72" t="str">
            <v>E</v>
          </cell>
        </row>
        <row r="73">
          <cell r="B73" t="str">
            <v>2015-Q2</v>
          </cell>
          <cell r="C73">
            <v>41760</v>
          </cell>
          <cell r="D73">
            <v>41851</v>
          </cell>
          <cell r="E73" t="str">
            <v>E</v>
          </cell>
        </row>
        <row r="74">
          <cell r="B74" t="str">
            <v>2015-Q3</v>
          </cell>
          <cell r="C74">
            <v>41852</v>
          </cell>
          <cell r="D74">
            <v>41943</v>
          </cell>
          <cell r="E74" t="str">
            <v>E</v>
          </cell>
        </row>
        <row r="75">
          <cell r="B75" t="str">
            <v>2015-Q4</v>
          </cell>
          <cell r="C75">
            <v>41944</v>
          </cell>
          <cell r="D75">
            <v>42035</v>
          </cell>
          <cell r="E75" t="str">
            <v>E</v>
          </cell>
        </row>
        <row r="76">
          <cell r="B76" t="str">
            <v>2015-FY</v>
          </cell>
          <cell r="C76">
            <v>41671</v>
          </cell>
          <cell r="D76">
            <v>42035</v>
          </cell>
          <cell r="E76" t="str">
            <v>E</v>
          </cell>
        </row>
      </sheetData>
      <sheetData sheetId="26"/>
      <sheetData sheetId="27"/>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heetName val="Earnings"/>
      <sheetName val="BullBaseBear"/>
      <sheetName val="sumry"/>
      <sheetName val="qtrSales"/>
      <sheetName val="__FDSCACHE__"/>
      <sheetName val="BBB"/>
      <sheetName val="qtrP&amp;L"/>
      <sheetName val="yrSales"/>
      <sheetName val="yrP&amp;L"/>
      <sheetName val="bal"/>
      <sheetName val="flow"/>
      <sheetName val="dtc"/>
      <sheetName val="work"/>
      <sheetName val="turn"/>
      <sheetName val="RNOA - ROE"/>
      <sheetName val="MW-Cache"/>
      <sheetName val="GManalysis"/>
      <sheetName val="MWA Lease"/>
      <sheetName val="MWA RR"/>
      <sheetName val="MW Valuation"/>
      <sheetName val="mwareDates"/>
      <sheetName val="mwareSettings"/>
      <sheetName val="Newstores"/>
      <sheetName val="LBO model"/>
      <sheetName val="M's vs. W's"/>
      <sheetName val="mthSales"/>
      <sheetName val="SalesMetrics"/>
      <sheetName val="MWA Lease NEW"/>
      <sheetName val="Repurchases"/>
      <sheetName val="EPS Sensitivity"/>
      <sheetName val="Mgmt"/>
      <sheetName val="SG&amp;A"/>
      <sheetName val="Insider"/>
      <sheetName val="BN"/>
      <sheetName val="05 EPS"/>
      <sheetName val="a vs e"/>
      <sheetName val="GM and OM%"/>
      <sheetName val="contrib"/>
      <sheetName val="apparel"/>
      <sheetName val="geo"/>
      <sheetName val="ROIIC"/>
      <sheetName val="VDF"/>
      <sheetName val="mwareDates_40476_4180779"/>
      <sheetName val="DCF"/>
    </sheetNames>
    <sheetDataSet>
      <sheetData sheetId="0" refreshError="1"/>
      <sheetData sheetId="1" refreshError="1"/>
      <sheetData sheetId="2" refreshError="1"/>
      <sheetData sheetId="3">
        <row r="8">
          <cell r="BO8">
            <v>1028.442</v>
          </cell>
        </row>
      </sheetData>
      <sheetData sheetId="4" refreshError="1"/>
      <sheetData sheetId="5" refreshError="1"/>
      <sheetData sheetId="6" refreshError="1"/>
      <sheetData sheetId="7">
        <row r="10">
          <cell r="CB10">
            <v>646.12900000000002</v>
          </cell>
        </row>
      </sheetData>
      <sheetData sheetId="8" refreshError="1"/>
      <sheetData sheetId="9" refreshError="1"/>
      <sheetData sheetId="10" refreshError="1"/>
      <sheetData sheetId="11" refreshError="1"/>
      <sheetData sheetId="12" refreshError="1"/>
      <sheetData sheetId="13" refreshError="1"/>
      <sheetData sheetId="14">
        <row r="154">
          <cell r="F154">
            <v>305.178</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4">
          <cell r="F4" t="str">
            <v>2048592</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2.xml" Type="http://schemas.openxmlformats.org/officeDocument/2006/relationships/drawing"/>
<Relationship Id="rId3" Target="../drawings/vmlDrawing8.vml" Type="http://schemas.openxmlformats.org/officeDocument/2006/relationships/vmlDrawing"/>
<Relationship Id="rId4" Target="../comments8.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5.vml" Type="http://schemas.openxmlformats.org/officeDocument/2006/relationships/vmlDrawing"/>
<Relationship Id="rId3" Target="../comments15.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vmlDrawing16.vml" Type="http://schemas.openxmlformats.org/officeDocument/2006/relationships/vmlDrawing"/>
<Relationship Id="rId3" Target="../comments16.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394"/>
  <sheetViews>
    <sheetView showGridLines="0" tabSelected="1" workbookViewId="0">
      <selection activeCell="Z1" sqref="Z1"/>
    </sheetView>
  </sheetViews>
  <sheetFormatPr defaultRowHeight="12.75"/>
  <cols>
    <col min="1" max="1" width="25.7109375" style="1595" customWidth="1"/>
    <col min="2" max="5" width="9.140625" style="1595"/>
    <col min="6" max="6" width="18.7109375" style="1595" customWidth="1"/>
    <col min="7" max="256" width="9.140625" style="1595"/>
    <col min="257" max="257" width="100.7109375" style="1595" customWidth="1"/>
    <col min="258" max="512" width="9.140625" style="1595"/>
    <col min="513" max="513" width="100.7109375" style="1595" customWidth="1"/>
    <col min="514" max="768" width="9.140625" style="1595"/>
    <col min="769" max="769" width="100.7109375" style="1595" customWidth="1"/>
    <col min="770" max="1024" width="9.140625" style="1595"/>
    <col min="1025" max="1025" width="100.7109375" style="1595" customWidth="1"/>
    <col min="1026" max="1280" width="9.140625" style="1595"/>
    <col min="1281" max="1281" width="100.7109375" style="1595" customWidth="1"/>
    <col min="1282" max="1536" width="9.140625" style="1595"/>
    <col min="1537" max="1537" width="100.7109375" style="1595" customWidth="1"/>
    <col min="1538" max="1792" width="9.140625" style="1595"/>
    <col min="1793" max="1793" width="100.7109375" style="1595" customWidth="1"/>
    <col min="1794" max="2048" width="9.140625" style="1595"/>
    <col min="2049" max="2049" width="100.7109375" style="1595" customWidth="1"/>
    <col min="2050" max="2304" width="9.140625" style="1595"/>
    <col min="2305" max="2305" width="100.7109375" style="1595" customWidth="1"/>
    <col min="2306" max="2560" width="9.140625" style="1595"/>
    <col min="2561" max="2561" width="100.7109375" style="1595" customWidth="1"/>
    <col min="2562" max="2816" width="9.140625" style="1595"/>
    <col min="2817" max="2817" width="100.7109375" style="1595" customWidth="1"/>
    <col min="2818" max="3072" width="9.140625" style="1595"/>
    <col min="3073" max="3073" width="100.7109375" style="1595" customWidth="1"/>
    <col min="3074" max="3328" width="9.140625" style="1595"/>
    <col min="3329" max="3329" width="100.7109375" style="1595" customWidth="1"/>
    <col min="3330" max="3584" width="9.140625" style="1595"/>
    <col min="3585" max="3585" width="100.7109375" style="1595" customWidth="1"/>
    <col min="3586" max="3840" width="9.140625" style="1595"/>
    <col min="3841" max="3841" width="100.7109375" style="1595" customWidth="1"/>
    <col min="3842" max="4096" width="9.140625" style="1595"/>
    <col min="4097" max="4097" width="100.7109375" style="1595" customWidth="1"/>
    <col min="4098" max="4352" width="9.140625" style="1595"/>
    <col min="4353" max="4353" width="100.7109375" style="1595" customWidth="1"/>
    <col min="4354" max="4608" width="9.140625" style="1595"/>
    <col min="4609" max="4609" width="100.7109375" style="1595" customWidth="1"/>
    <col min="4610" max="4864" width="9.140625" style="1595"/>
    <col min="4865" max="4865" width="100.7109375" style="1595" customWidth="1"/>
    <col min="4866" max="5120" width="9.140625" style="1595"/>
    <col min="5121" max="5121" width="100.7109375" style="1595" customWidth="1"/>
    <col min="5122" max="5376" width="9.140625" style="1595"/>
    <col min="5377" max="5377" width="100.7109375" style="1595" customWidth="1"/>
    <col min="5378" max="5632" width="9.140625" style="1595"/>
    <col min="5633" max="5633" width="100.7109375" style="1595" customWidth="1"/>
    <col min="5634" max="5888" width="9.140625" style="1595"/>
    <col min="5889" max="5889" width="100.7109375" style="1595" customWidth="1"/>
    <col min="5890" max="6144" width="9.140625" style="1595"/>
    <col min="6145" max="6145" width="100.7109375" style="1595" customWidth="1"/>
    <col min="6146" max="6400" width="9.140625" style="1595"/>
    <col min="6401" max="6401" width="100.7109375" style="1595" customWidth="1"/>
    <col min="6402" max="6656" width="9.140625" style="1595"/>
    <col min="6657" max="6657" width="100.7109375" style="1595" customWidth="1"/>
    <col min="6658" max="6912" width="9.140625" style="1595"/>
    <col min="6913" max="6913" width="100.7109375" style="1595" customWidth="1"/>
    <col min="6914" max="7168" width="9.140625" style="1595"/>
    <col min="7169" max="7169" width="100.7109375" style="1595" customWidth="1"/>
    <col min="7170" max="7424" width="9.140625" style="1595"/>
    <col min="7425" max="7425" width="100.7109375" style="1595" customWidth="1"/>
    <col min="7426" max="7680" width="9.140625" style="1595"/>
    <col min="7681" max="7681" width="100.7109375" style="1595" customWidth="1"/>
    <col min="7682" max="7936" width="9.140625" style="1595"/>
    <col min="7937" max="7937" width="100.7109375" style="1595" customWidth="1"/>
    <col min="7938" max="8192" width="9.140625" style="1595"/>
    <col min="8193" max="8193" width="100.7109375" style="1595" customWidth="1"/>
    <col min="8194" max="8448" width="9.140625" style="1595"/>
    <col min="8449" max="8449" width="100.7109375" style="1595" customWidth="1"/>
    <col min="8450" max="8704" width="9.140625" style="1595"/>
    <col min="8705" max="8705" width="100.7109375" style="1595" customWidth="1"/>
    <col min="8706" max="8960" width="9.140625" style="1595"/>
    <col min="8961" max="8961" width="100.7109375" style="1595" customWidth="1"/>
    <col min="8962" max="9216" width="9.140625" style="1595"/>
    <col min="9217" max="9217" width="100.7109375" style="1595" customWidth="1"/>
    <col min="9218" max="9472" width="9.140625" style="1595"/>
    <col min="9473" max="9473" width="100.7109375" style="1595" customWidth="1"/>
    <col min="9474" max="9728" width="9.140625" style="1595"/>
    <col min="9729" max="9729" width="100.7109375" style="1595" customWidth="1"/>
    <col min="9730" max="9984" width="9.140625" style="1595"/>
    <col min="9985" max="9985" width="100.7109375" style="1595" customWidth="1"/>
    <col min="9986" max="10240" width="9.140625" style="1595"/>
    <col min="10241" max="10241" width="100.7109375" style="1595" customWidth="1"/>
    <col min="10242" max="10496" width="9.140625" style="1595"/>
    <col min="10497" max="10497" width="100.7109375" style="1595" customWidth="1"/>
    <col min="10498" max="10752" width="9.140625" style="1595"/>
    <col min="10753" max="10753" width="100.7109375" style="1595" customWidth="1"/>
    <col min="10754" max="11008" width="9.140625" style="1595"/>
    <col min="11009" max="11009" width="100.7109375" style="1595" customWidth="1"/>
    <col min="11010" max="11264" width="9.140625" style="1595"/>
    <col min="11265" max="11265" width="100.7109375" style="1595" customWidth="1"/>
    <col min="11266" max="11520" width="9.140625" style="1595"/>
    <col min="11521" max="11521" width="100.7109375" style="1595" customWidth="1"/>
    <col min="11522" max="11776" width="9.140625" style="1595"/>
    <col min="11777" max="11777" width="100.7109375" style="1595" customWidth="1"/>
    <col min="11778" max="12032" width="9.140625" style="1595"/>
    <col min="12033" max="12033" width="100.7109375" style="1595" customWidth="1"/>
    <col min="12034" max="12288" width="9.140625" style="1595"/>
    <col min="12289" max="12289" width="100.7109375" style="1595" customWidth="1"/>
    <col min="12290" max="12544" width="9.140625" style="1595"/>
    <col min="12545" max="12545" width="100.7109375" style="1595" customWidth="1"/>
    <col min="12546" max="12800" width="9.140625" style="1595"/>
    <col min="12801" max="12801" width="100.7109375" style="1595" customWidth="1"/>
    <col min="12802" max="13056" width="9.140625" style="1595"/>
    <col min="13057" max="13057" width="100.7109375" style="1595" customWidth="1"/>
    <col min="13058" max="13312" width="9.140625" style="1595"/>
    <col min="13313" max="13313" width="100.7109375" style="1595" customWidth="1"/>
    <col min="13314" max="13568" width="9.140625" style="1595"/>
    <col min="13569" max="13569" width="100.7109375" style="1595" customWidth="1"/>
    <col min="13570" max="13824" width="9.140625" style="1595"/>
    <col min="13825" max="13825" width="100.7109375" style="1595" customWidth="1"/>
    <col min="13826" max="14080" width="9.140625" style="1595"/>
    <col min="14081" max="14081" width="100.7109375" style="1595" customWidth="1"/>
    <col min="14082" max="14336" width="9.140625" style="1595"/>
    <col min="14337" max="14337" width="100.7109375" style="1595" customWidth="1"/>
    <col min="14338" max="14592" width="9.140625" style="1595"/>
    <col min="14593" max="14593" width="100.7109375" style="1595" customWidth="1"/>
    <col min="14594" max="14848" width="9.140625" style="1595"/>
    <col min="14849" max="14849" width="100.7109375" style="1595" customWidth="1"/>
    <col min="14850" max="15104" width="9.140625" style="1595"/>
    <col min="15105" max="15105" width="100.7109375" style="1595" customWidth="1"/>
    <col min="15106" max="15360" width="9.140625" style="1595"/>
    <col min="15361" max="15361" width="100.7109375" style="1595" customWidth="1"/>
    <col min="15362" max="15616" width="9.140625" style="1595"/>
    <col min="15617" max="15617" width="100.7109375" style="1595" customWidth="1"/>
    <col min="15618" max="15872" width="9.140625" style="1595"/>
    <col min="15873" max="15873" width="100.7109375" style="1595" customWidth="1"/>
    <col min="15874" max="16128" width="9.140625" style="1595"/>
    <col min="16129" max="16129" width="100.7109375" style="1595" customWidth="1"/>
    <col min="16130" max="16384" width="9.140625" style="1595"/>
  </cols>
  <sheetData>
    <row r="1" spans="1:8" ht="30" customHeight="1">
      <c r="A1" s="1593"/>
      <c r="B1" s="1594"/>
      <c r="C1" s="1594"/>
      <c r="D1" s="1594"/>
      <c r="E1" s="1594"/>
      <c r="F1" s="1594"/>
      <c r="G1" s="1594"/>
      <c r="H1" s="1594"/>
    </row>
    <row r="2" spans="1:8" ht="14.25">
      <c r="A2" s="1596" t="s">
        <v>733</v>
      </c>
      <c r="B2" s="1594"/>
      <c r="C2" s="1594"/>
      <c r="D2" s="1594"/>
      <c r="E2" s="1594"/>
      <c r="F2" s="1594"/>
      <c r="G2" s="1594"/>
      <c r="H2" s="1594"/>
    </row>
    <row r="3" spans="1:8" ht="14.25">
      <c r="A3" s="1596" t="s">
        <v>734</v>
      </c>
      <c r="B3" s="1594"/>
      <c r="C3" s="1594"/>
      <c r="D3" s="1594"/>
      <c r="E3" s="1594"/>
      <c r="F3" s="1594"/>
      <c r="G3" s="1594"/>
      <c r="H3" s="1594"/>
    </row>
    <row r="4" spans="1:8" ht="14.25">
      <c r="A4" s="1596" t="s">
        <v>735</v>
      </c>
      <c r="B4" s="1594"/>
      <c r="C4" s="1594"/>
      <c r="D4" s="1594"/>
      <c r="E4" s="1594"/>
      <c r="F4" s="1594"/>
      <c r="G4" s="1594"/>
      <c r="H4" s="1594"/>
    </row>
    <row r="5" spans="1:8" ht="14.25">
      <c r="A5" s="1596" t="s">
        <v>736</v>
      </c>
      <c r="B5" s="1594"/>
      <c r="C5" s="1594"/>
      <c r="D5" s="1594"/>
      <c r="E5" s="1594"/>
      <c r="F5" s="1594"/>
      <c r="G5" s="1594"/>
      <c r="H5" s="1594"/>
    </row>
    <row r="6" spans="1:8" ht="14.25">
      <c r="A6" s="1596"/>
      <c r="B6" s="1594"/>
      <c r="C6" s="1594"/>
      <c r="D6" s="1594"/>
      <c r="E6" s="1594"/>
      <c r="F6" s="1594"/>
      <c r="G6" s="1594"/>
      <c r="H6" s="1594"/>
    </row>
    <row r="7" spans="1:8">
      <c r="A7" s="1593" t="s">
        <v>737</v>
      </c>
      <c r="B7" s="1594"/>
      <c r="C7" s="1594"/>
      <c r="D7" s="1594"/>
      <c r="E7" s="1594"/>
      <c r="F7" s="1594"/>
      <c r="G7" s="1594"/>
      <c r="H7" s="1594"/>
    </row>
    <row r="8" spans="1:8">
      <c r="A8" s="1593" t="s">
        <v>738</v>
      </c>
      <c r="B8" s="1594"/>
      <c r="C8" s="1594"/>
      <c r="D8" s="1594"/>
      <c r="E8" s="1594"/>
      <c r="F8" s="1594"/>
      <c r="G8" s="1594"/>
      <c r="H8" s="1594"/>
    </row>
    <row r="9" spans="1:8">
      <c r="A9" s="1593"/>
      <c r="B9" s="1594"/>
      <c r="C9" s="1594"/>
      <c r="D9" s="1594"/>
      <c r="E9" s="1594"/>
      <c r="F9" s="1594"/>
      <c r="G9" s="1594"/>
      <c r="H9" s="1594"/>
    </row>
    <row r="10" spans="1:8">
      <c r="A10" s="1597" t="s">
        <v>739</v>
      </c>
      <c r="B10" s="1594"/>
      <c r="C10" s="1594"/>
      <c r="D10" s="1594"/>
      <c r="E10" s="1594"/>
      <c r="F10" s="1594"/>
      <c r="G10" s="1594"/>
      <c r="H10" s="1594"/>
    </row>
    <row r="11" spans="1:8">
      <c r="A11" s="1597" t="s">
        <v>740</v>
      </c>
      <c r="B11" s="1594"/>
      <c r="C11" s="1594"/>
      <c r="D11" s="1594"/>
      <c r="E11" s="1594"/>
      <c r="F11" s="1594"/>
      <c r="G11" s="1594"/>
      <c r="H11" s="1594"/>
    </row>
    <row r="12" spans="1:8">
      <c r="A12" s="1597" t="s">
        <v>741</v>
      </c>
      <c r="B12" s="1594"/>
      <c r="C12" s="1594"/>
      <c r="D12" s="1594"/>
      <c r="E12" s="1594"/>
      <c r="F12" s="1594"/>
      <c r="G12" s="1594"/>
      <c r="H12" s="1594"/>
    </row>
    <row r="13" spans="1:8">
      <c r="A13" s="1597" t="s">
        <v>742</v>
      </c>
      <c r="B13" s="1594"/>
      <c r="C13" s="1594"/>
      <c r="D13" s="1594"/>
      <c r="E13" s="1594"/>
      <c r="F13" s="1594"/>
      <c r="G13" s="1594"/>
      <c r="H13" s="1594"/>
    </row>
    <row r="14" spans="1:8">
      <c r="A14" s="1597" t="s">
        <v>743</v>
      </c>
      <c r="B14" s="1594"/>
      <c r="C14" s="1594"/>
      <c r="D14" s="1594"/>
      <c r="E14" s="1594"/>
      <c r="F14" s="1594"/>
      <c r="G14" s="1594"/>
      <c r="H14" s="1594"/>
    </row>
    <row r="15" spans="1:8">
      <c r="A15" s="1597" t="s">
        <v>744</v>
      </c>
      <c r="B15" s="1594"/>
      <c r="C15" s="1594"/>
      <c r="D15" s="1594"/>
      <c r="E15" s="1594"/>
      <c r="F15" s="1594"/>
      <c r="G15" s="1594"/>
      <c r="H15" s="1594"/>
    </row>
    <row r="16" spans="1:8">
      <c r="A16" s="1597"/>
      <c r="B16" s="1594"/>
      <c r="C16" s="1594"/>
      <c r="D16" s="1594"/>
      <c r="E16" s="1594"/>
      <c r="F16" s="1594"/>
      <c r="G16" s="1594"/>
      <c r="H16" s="1594"/>
    </row>
    <row r="17" spans="1:8">
      <c r="A17" s="1597" t="s">
        <v>730</v>
      </c>
      <c r="B17" s="1594"/>
      <c r="C17" s="1594"/>
      <c r="D17" s="1594"/>
      <c r="E17" s="1594"/>
      <c r="F17" s="1594"/>
      <c r="G17" s="1594"/>
      <c r="H17" s="1594"/>
    </row>
    <row r="18" spans="1:8">
      <c r="A18" s="1597"/>
      <c r="B18" s="1594"/>
      <c r="C18" s="1594"/>
      <c r="D18" s="1594"/>
      <c r="E18" s="1594"/>
      <c r="F18" s="1594"/>
      <c r="G18" s="1594"/>
      <c r="H18" s="1594"/>
    </row>
    <row r="19" spans="1:8">
      <c r="A19" s="1597" t="s">
        <v>731</v>
      </c>
      <c r="B19" s="1594"/>
      <c r="C19" s="1594"/>
      <c r="D19" s="1594"/>
      <c r="E19" s="1594"/>
      <c r="F19" s="1594"/>
      <c r="G19" s="1594"/>
      <c r="H19" s="1594"/>
    </row>
    <row r="20" spans="1:8">
      <c r="A20" s="1593"/>
      <c r="B20" s="1594"/>
      <c r="C20" s="1594"/>
      <c r="D20" s="1594"/>
      <c r="E20" s="1594"/>
      <c r="F20" s="1594"/>
      <c r="G20" s="1594"/>
      <c r="H20" s="1594"/>
    </row>
    <row r="21" spans="1:8">
      <c r="A21" s="1598" t="s">
        <v>732</v>
      </c>
      <c r="B21" s="1594"/>
      <c r="C21" s="1594"/>
      <c r="D21" s="1594"/>
      <c r="E21" s="1594"/>
      <c r="F21" s="1594"/>
      <c r="G21" s="1594"/>
      <c r="H21" s="1594"/>
    </row>
    <row r="22" spans="1:8">
      <c r="A22" s="1599"/>
      <c r="B22" s="1599"/>
      <c r="C22" s="1599"/>
      <c r="D22" s="1599"/>
      <c r="E22" s="1599"/>
      <c r="F22" s="1599"/>
      <c r="G22" s="1599"/>
      <c r="H22" s="1599"/>
    </row>
    <row r="23" spans="1:8">
      <c r="A23" s="1600" t="s">
        <v>1024</v>
      </c>
      <c r="B23" s="1599"/>
      <c r="C23" s="1599"/>
      <c r="D23" s="1599"/>
      <c r="E23" s="1599"/>
      <c r="F23" s="1599"/>
      <c r="G23" s="1599"/>
      <c r="H23" s="1599"/>
    </row>
    <row r="24" spans="1:8">
      <c r="A24" s="1600" t="s">
        <v>1025</v>
      </c>
      <c r="B24" s="1599"/>
      <c r="C24" s="1599"/>
      <c r="D24" s="1599"/>
      <c r="E24" s="1599"/>
      <c r="F24" s="1599"/>
      <c r="G24" s="1599"/>
      <c r="H24" s="1599"/>
    </row>
    <row r="25" spans="1:8">
      <c r="A25" s="1600" t="s">
        <v>1026</v>
      </c>
      <c r="B25" s="1599"/>
      <c r="C25" s="1599"/>
      <c r="D25" s="1599"/>
      <c r="E25" s="1599"/>
      <c r="F25" s="1599"/>
      <c r="G25" s="1599"/>
      <c r="H25" s="1599"/>
    </row>
    <row r="26" spans="1:8">
      <c r="A26" s="1600" t="s">
        <v>1027</v>
      </c>
      <c r="B26" s="1599"/>
      <c r="C26" s="1599"/>
      <c r="D26" s="1599"/>
      <c r="E26" s="1599"/>
      <c r="F26" s="1599"/>
      <c r="G26" s="1599"/>
      <c r="H26" s="1599"/>
    </row>
    <row r="27" spans="1:8">
      <c r="A27" s="1599"/>
      <c r="B27" s="1599"/>
      <c r="C27" s="1599"/>
      <c r="D27" s="1599"/>
      <c r="E27" s="1599"/>
      <c r="F27" s="1599"/>
      <c r="G27" s="1599"/>
      <c r="H27" s="1599"/>
    </row>
    <row r="28" spans="1:8">
      <c r="A28" s="1599"/>
      <c r="B28" s="1599"/>
      <c r="C28" s="1599"/>
      <c r="D28" s="1599"/>
      <c r="E28" s="1599"/>
      <c r="F28" s="1599"/>
      <c r="G28" s="1599"/>
      <c r="H28" s="1599"/>
    </row>
    <row r="29" spans="1:8">
      <c r="A29" s="1600" t="s">
        <v>1019</v>
      </c>
      <c r="B29" s="1599"/>
      <c r="C29" s="1599"/>
      <c r="D29" s="1599"/>
      <c r="E29" s="1599"/>
      <c r="F29" s="1599"/>
      <c r="G29" s="1599"/>
      <c r="H29" s="1599"/>
    </row>
    <row r="30" spans="1:8">
      <c r="A30" s="1600" t="s">
        <v>1020</v>
      </c>
      <c r="B30" s="1599"/>
      <c r="C30" s="1599"/>
      <c r="D30" s="1599"/>
      <c r="E30" s="1599"/>
      <c r="F30" s="1599"/>
      <c r="G30" s="1599"/>
      <c r="H30" s="1599"/>
    </row>
    <row r="31" spans="1:8">
      <c r="A31" s="1600" t="s">
        <v>1021</v>
      </c>
      <c r="B31" s="1599"/>
      <c r="C31" s="1599"/>
      <c r="D31" s="1599"/>
      <c r="E31" s="1599"/>
      <c r="F31" s="1599"/>
      <c r="G31" s="1599"/>
      <c r="H31" s="1599"/>
    </row>
    <row r="32" spans="1:8">
      <c r="A32" s="1600" t="s">
        <v>1022</v>
      </c>
      <c r="B32" s="1599"/>
      <c r="C32" s="1599"/>
      <c r="D32" s="1599"/>
      <c r="E32" s="1599"/>
      <c r="F32" s="1599"/>
      <c r="G32" s="1599"/>
      <c r="H32" s="1599"/>
    </row>
    <row r="33" spans="1:8">
      <c r="A33" s="1600" t="s">
        <v>1023</v>
      </c>
      <c r="B33" s="1599"/>
      <c r="C33" s="1599"/>
      <c r="D33" s="1599"/>
      <c r="E33" s="1599"/>
      <c r="F33" s="1599"/>
      <c r="G33" s="1599"/>
      <c r="H33" s="1599"/>
    </row>
    <row r="34" spans="1:8">
      <c r="A34" s="1599"/>
      <c r="B34" s="1599"/>
      <c r="C34" s="1599"/>
      <c r="D34" s="1599"/>
      <c r="E34" s="1599"/>
      <c r="F34" s="1599"/>
      <c r="G34" s="1599"/>
      <c r="H34" s="1599"/>
    </row>
    <row r="35" spans="1:8">
      <c r="A35" s="1600" t="s">
        <v>1015</v>
      </c>
      <c r="B35" s="1599"/>
      <c r="C35" s="1599"/>
      <c r="D35" s="1599"/>
      <c r="E35" s="1599"/>
      <c r="F35" s="1599"/>
      <c r="G35" s="1599"/>
      <c r="H35" s="1599"/>
    </row>
    <row r="36" spans="1:8">
      <c r="A36" s="1600" t="s">
        <v>1016</v>
      </c>
      <c r="B36" s="1599"/>
      <c r="C36" s="1599"/>
      <c r="D36" s="1599"/>
      <c r="E36" s="1599"/>
      <c r="F36" s="1599"/>
      <c r="G36" s="1599"/>
      <c r="H36" s="1599"/>
    </row>
    <row r="37" spans="1:8">
      <c r="A37" s="1600" t="s">
        <v>1017</v>
      </c>
      <c r="B37" s="1599"/>
      <c r="C37" s="1599"/>
      <c r="D37" s="1599"/>
      <c r="E37" s="1599"/>
      <c r="F37" s="1599"/>
      <c r="G37" s="1599"/>
      <c r="H37" s="1599"/>
    </row>
    <row r="38" spans="1:8">
      <c r="A38" s="1600" t="s">
        <v>1018</v>
      </c>
      <c r="B38" s="1599"/>
      <c r="C38" s="1599"/>
      <c r="D38" s="1599"/>
      <c r="E38" s="1599"/>
      <c r="F38" s="1599"/>
      <c r="G38" s="1599"/>
      <c r="H38" s="1599"/>
    </row>
    <row r="39" spans="1:8">
      <c r="A39" s="1599"/>
      <c r="B39" s="1599"/>
      <c r="C39" s="1599"/>
      <c r="D39" s="1599"/>
      <c r="E39" s="1599"/>
      <c r="F39" s="1599"/>
      <c r="G39" s="1599"/>
      <c r="H39" s="1599"/>
    </row>
    <row r="40" spans="1:8">
      <c r="A40" s="1600" t="s">
        <v>1009</v>
      </c>
      <c r="B40" s="1599"/>
      <c r="C40" s="1599"/>
      <c r="D40" s="1599"/>
      <c r="E40" s="1599"/>
      <c r="F40" s="1599"/>
      <c r="G40" s="1599"/>
      <c r="H40" s="1599"/>
    </row>
    <row r="41" spans="1:8">
      <c r="A41" s="1600" t="s">
        <v>1010</v>
      </c>
      <c r="B41" s="1599"/>
      <c r="C41" s="1599"/>
      <c r="D41" s="1599"/>
      <c r="E41" s="1599"/>
      <c r="F41" s="1599"/>
      <c r="G41" s="1599"/>
      <c r="H41" s="1599"/>
    </row>
    <row r="42" spans="1:8">
      <c r="A42" s="1600" t="s">
        <v>1011</v>
      </c>
      <c r="B42" s="1599"/>
      <c r="C42" s="1599"/>
      <c r="D42" s="1599"/>
      <c r="E42" s="1599"/>
      <c r="F42" s="1599"/>
      <c r="G42" s="1599"/>
      <c r="H42" s="1599"/>
    </row>
    <row r="43" spans="1:8">
      <c r="A43" s="1600" t="s">
        <v>1012</v>
      </c>
      <c r="B43" s="1599"/>
      <c r="C43" s="1599"/>
      <c r="D43" s="1599"/>
      <c r="E43" s="1599"/>
      <c r="F43" s="1599"/>
      <c r="G43" s="1599"/>
      <c r="H43" s="1599"/>
    </row>
    <row r="44" spans="1:8">
      <c r="A44" s="1600" t="s">
        <v>1013</v>
      </c>
      <c r="B44" s="1599"/>
      <c r="C44" s="1599"/>
      <c r="D44" s="1599"/>
      <c r="E44" s="1599"/>
      <c r="F44" s="1599"/>
      <c r="G44" s="1599"/>
      <c r="H44" s="1599"/>
    </row>
    <row r="45" spans="1:8">
      <c r="A45" s="1600" t="s">
        <v>1014</v>
      </c>
      <c r="B45" s="1599"/>
      <c r="C45" s="1599"/>
      <c r="D45" s="1599"/>
      <c r="E45" s="1599"/>
      <c r="F45" s="1599"/>
      <c r="G45" s="1599"/>
      <c r="H45" s="1599"/>
    </row>
    <row r="46" spans="1:8">
      <c r="A46" s="1599"/>
      <c r="B46" s="1599"/>
      <c r="C46" s="1599"/>
      <c r="D46" s="1599"/>
      <c r="E46" s="1599"/>
      <c r="F46" s="1599"/>
      <c r="G46" s="1599"/>
      <c r="H46" s="1599"/>
    </row>
    <row r="47" spans="1:8" ht="15.75">
      <c r="A47" s="1601" t="s">
        <v>745</v>
      </c>
      <c r="B47" s="1599"/>
      <c r="C47" s="1599"/>
      <c r="D47" s="1599"/>
      <c r="E47" s="1599"/>
      <c r="F47" s="1599"/>
      <c r="G47" s="1599"/>
      <c r="H47" s="1599"/>
    </row>
    <row r="48" spans="1:8">
      <c r="A48" s="1599"/>
      <c r="B48" s="1599"/>
      <c r="C48" s="1599"/>
      <c r="D48" s="1599"/>
      <c r="E48" s="1599"/>
      <c r="F48" s="1599"/>
      <c r="G48" s="1599"/>
      <c r="H48" s="1599"/>
    </row>
    <row r="49" spans="1:8">
      <c r="A49" s="1600" t="s">
        <v>1005</v>
      </c>
      <c r="B49" s="1599"/>
      <c r="C49" s="1599"/>
      <c r="D49" s="1599"/>
      <c r="E49" s="1599"/>
      <c r="F49" s="1599"/>
      <c r="G49" s="1599"/>
      <c r="H49" s="1599"/>
    </row>
    <row r="50" spans="1:8">
      <c r="A50" s="1600" t="s">
        <v>1006</v>
      </c>
      <c r="B50" s="1599"/>
      <c r="C50" s="1599"/>
      <c r="D50" s="1599"/>
      <c r="E50" s="1599"/>
      <c r="F50" s="1599"/>
      <c r="G50" s="1599"/>
      <c r="H50" s="1599"/>
    </row>
    <row r="51" spans="1:8">
      <c r="A51" s="1600" t="s">
        <v>1007</v>
      </c>
      <c r="B51" s="1599"/>
      <c r="C51" s="1599"/>
      <c r="D51" s="1599"/>
      <c r="E51" s="1599"/>
      <c r="F51" s="1599"/>
      <c r="G51" s="1599"/>
      <c r="H51" s="1599"/>
    </row>
    <row r="52" spans="1:8">
      <c r="A52" s="1600" t="s">
        <v>1008</v>
      </c>
      <c r="B52" s="1599"/>
      <c r="C52" s="1599"/>
      <c r="D52" s="1599"/>
      <c r="E52" s="1599"/>
      <c r="F52" s="1599"/>
      <c r="G52" s="1599"/>
      <c r="H52" s="1599"/>
    </row>
    <row r="53" spans="1:8">
      <c r="A53" s="1599"/>
      <c r="B53" s="1599"/>
      <c r="C53" s="1599"/>
      <c r="D53" s="1599"/>
      <c r="E53" s="1599"/>
      <c r="F53" s="1599"/>
      <c r="G53" s="1599"/>
      <c r="H53" s="1599"/>
    </row>
    <row r="54" spans="1:8">
      <c r="A54" s="1600" t="s">
        <v>746</v>
      </c>
      <c r="B54" s="1599"/>
      <c r="C54" s="1599"/>
      <c r="D54" s="1599"/>
      <c r="E54" s="1599"/>
      <c r="F54" s="1599"/>
      <c r="G54" s="1599"/>
      <c r="H54" s="1599"/>
    </row>
    <row r="55" spans="1:8">
      <c r="A55" s="1599"/>
      <c r="B55" s="1599"/>
      <c r="C55" s="1599"/>
      <c r="D55" s="1599"/>
      <c r="E55" s="1599"/>
      <c r="F55" s="1599"/>
      <c r="G55" s="1599"/>
      <c r="H55" s="1599"/>
    </row>
    <row r="56" spans="1:8" ht="15.75">
      <c r="A56" s="1601" t="s">
        <v>747</v>
      </c>
      <c r="B56" s="1599"/>
      <c r="C56" s="1599"/>
      <c r="D56" s="1599"/>
      <c r="E56" s="1599"/>
      <c r="F56" s="1599"/>
      <c r="G56" s="1599"/>
      <c r="H56" s="1599"/>
    </row>
    <row r="57" spans="1:8">
      <c r="A57" s="1599"/>
      <c r="B57" s="1599"/>
      <c r="C57" s="1599"/>
      <c r="D57" s="1599"/>
      <c r="E57" s="1599"/>
      <c r="F57" s="1599"/>
      <c r="G57" s="1599"/>
      <c r="H57" s="1599"/>
    </row>
    <row r="58" spans="1:8">
      <c r="A58" s="1600" t="s">
        <v>1003</v>
      </c>
      <c r="B58" s="1599"/>
      <c r="C58" s="1599"/>
      <c r="D58" s="1599"/>
      <c r="E58" s="1599"/>
      <c r="F58" s="1599"/>
      <c r="G58" s="1599"/>
      <c r="H58" s="1599"/>
    </row>
    <row r="59" spans="1:8">
      <c r="A59" s="1600" t="s">
        <v>1004</v>
      </c>
      <c r="B59" s="1599"/>
      <c r="C59" s="1599"/>
      <c r="D59" s="1599"/>
      <c r="E59" s="1599"/>
      <c r="F59" s="1599"/>
      <c r="G59" s="1599"/>
      <c r="H59" s="1599"/>
    </row>
    <row r="60" spans="1:8">
      <c r="A60" s="1599"/>
      <c r="B60" s="1599"/>
      <c r="C60" s="1599"/>
      <c r="D60" s="1599"/>
      <c r="E60" s="1599"/>
      <c r="F60" s="1599"/>
      <c r="G60" s="1599"/>
      <c r="H60" s="1599"/>
    </row>
    <row r="61" spans="1:8" ht="15.75">
      <c r="A61" s="1601" t="s">
        <v>748</v>
      </c>
      <c r="B61" s="1599"/>
      <c r="C61" s="1599"/>
      <c r="D61" s="1599"/>
      <c r="E61" s="1599"/>
      <c r="F61" s="1599"/>
      <c r="G61" s="1599"/>
      <c r="H61" s="1599"/>
    </row>
    <row r="62" spans="1:8">
      <c r="A62" s="1599"/>
      <c r="B62" s="1599"/>
      <c r="C62" s="1599"/>
      <c r="D62" s="1599"/>
      <c r="E62" s="1599"/>
      <c r="F62" s="1599"/>
      <c r="G62" s="1599"/>
      <c r="H62" s="1599"/>
    </row>
    <row r="63" spans="1:8">
      <c r="A63" s="1600" t="s">
        <v>1001</v>
      </c>
      <c r="B63" s="1599"/>
      <c r="C63" s="1599"/>
      <c r="D63" s="1599"/>
      <c r="E63" s="1599"/>
      <c r="F63" s="1599"/>
      <c r="G63" s="1599"/>
      <c r="H63" s="1599"/>
    </row>
    <row r="64" spans="1:8">
      <c r="A64" s="1600" t="s">
        <v>1002</v>
      </c>
      <c r="B64" s="1599"/>
      <c r="C64" s="1599"/>
      <c r="D64" s="1599"/>
      <c r="E64" s="1599"/>
      <c r="F64" s="1599"/>
      <c r="G64" s="1599"/>
      <c r="H64" s="1599"/>
    </row>
    <row r="65" spans="1:8">
      <c r="A65" s="1599"/>
      <c r="B65" s="1599"/>
      <c r="C65" s="1599"/>
      <c r="D65" s="1599"/>
      <c r="E65" s="1599"/>
      <c r="F65" s="1599"/>
      <c r="G65" s="1599"/>
      <c r="H65" s="1599"/>
    </row>
    <row r="66" spans="1:8">
      <c r="A66" s="1600" t="s">
        <v>999</v>
      </c>
      <c r="B66" s="1599"/>
      <c r="C66" s="1599"/>
      <c r="D66" s="1599"/>
      <c r="E66" s="1599"/>
      <c r="F66" s="1599"/>
      <c r="G66" s="1599"/>
      <c r="H66" s="1599"/>
    </row>
    <row r="67" spans="1:8">
      <c r="A67" s="1600" t="s">
        <v>1000</v>
      </c>
      <c r="B67" s="1599"/>
      <c r="C67" s="1599"/>
      <c r="D67" s="1599"/>
      <c r="E67" s="1599"/>
      <c r="F67" s="1599"/>
      <c r="G67" s="1599"/>
      <c r="H67" s="1599"/>
    </row>
    <row r="68" spans="1:8">
      <c r="A68" s="1599"/>
      <c r="B68" s="1599"/>
      <c r="C68" s="1599"/>
      <c r="D68" s="1599"/>
      <c r="E68" s="1599"/>
      <c r="F68" s="1599"/>
      <c r="G68" s="1599"/>
      <c r="H68" s="1599"/>
    </row>
    <row r="69" spans="1:8">
      <c r="A69" s="1600" t="s">
        <v>997</v>
      </c>
      <c r="B69" s="1599"/>
      <c r="C69" s="1599"/>
      <c r="D69" s="1599"/>
      <c r="E69" s="1599"/>
      <c r="F69" s="1599"/>
      <c r="G69" s="1599"/>
      <c r="H69" s="1599"/>
    </row>
    <row r="70" spans="1:8">
      <c r="A70" s="1600" t="s">
        <v>998</v>
      </c>
      <c r="B70" s="1599"/>
      <c r="C70" s="1599"/>
      <c r="D70" s="1599"/>
      <c r="E70" s="1599"/>
      <c r="F70" s="1599"/>
      <c r="G70" s="1599"/>
      <c r="H70" s="1599"/>
    </row>
    <row r="71" spans="1:8">
      <c r="A71" s="1599"/>
      <c r="B71" s="1599"/>
      <c r="C71" s="1599"/>
      <c r="D71" s="1599"/>
      <c r="E71" s="1599"/>
      <c r="F71" s="1599"/>
      <c r="G71" s="1599"/>
      <c r="H71" s="1599"/>
    </row>
    <row r="72" spans="1:8">
      <c r="A72" s="1600" t="s">
        <v>995</v>
      </c>
      <c r="B72" s="1599"/>
      <c r="C72" s="1599"/>
      <c r="D72" s="1599"/>
      <c r="E72" s="1599"/>
      <c r="F72" s="1599"/>
      <c r="G72" s="1599"/>
      <c r="H72" s="1599"/>
    </row>
    <row r="73" spans="1:8">
      <c r="A73" s="1600" t="s">
        <v>996</v>
      </c>
      <c r="B73" s="1599"/>
      <c r="C73" s="1599"/>
      <c r="D73" s="1599"/>
      <c r="E73" s="1599"/>
      <c r="F73" s="1599"/>
      <c r="G73" s="1599"/>
      <c r="H73" s="1599"/>
    </row>
    <row r="74" spans="1:8">
      <c r="A74" s="1599"/>
      <c r="B74" s="1599"/>
      <c r="C74" s="1599"/>
      <c r="D74" s="1599"/>
      <c r="E74" s="1599"/>
      <c r="F74" s="1599"/>
      <c r="G74" s="1599"/>
      <c r="H74" s="1599"/>
    </row>
    <row r="75" spans="1:8">
      <c r="A75" s="1600" t="s">
        <v>992</v>
      </c>
      <c r="B75" s="1599"/>
      <c r="C75" s="1599"/>
      <c r="D75" s="1599"/>
      <c r="E75" s="1599"/>
      <c r="F75" s="1599"/>
      <c r="G75" s="1599"/>
      <c r="H75" s="1599"/>
    </row>
    <row r="76" spans="1:8">
      <c r="A76" s="1600" t="s">
        <v>993</v>
      </c>
      <c r="B76" s="1599"/>
      <c r="C76" s="1599"/>
      <c r="D76" s="1599"/>
      <c r="E76" s="1599"/>
      <c r="F76" s="1599"/>
      <c r="G76" s="1599"/>
      <c r="H76" s="1599"/>
    </row>
    <row r="77" spans="1:8">
      <c r="A77" s="1600" t="s">
        <v>994</v>
      </c>
      <c r="B77" s="1599"/>
      <c r="C77" s="1599"/>
      <c r="D77" s="1599"/>
      <c r="E77" s="1599"/>
      <c r="F77" s="1599"/>
      <c r="G77" s="1599"/>
      <c r="H77" s="1599"/>
    </row>
    <row r="78" spans="1:8">
      <c r="A78" s="1599"/>
      <c r="B78" s="1599"/>
      <c r="C78" s="1599"/>
      <c r="D78" s="1599"/>
      <c r="E78" s="1599"/>
      <c r="F78" s="1599"/>
      <c r="G78" s="1599"/>
      <c r="H78" s="1599"/>
    </row>
    <row r="79" spans="1:8">
      <c r="A79" s="1600" t="s">
        <v>749</v>
      </c>
      <c r="B79" s="1599"/>
      <c r="C79" s="1599"/>
      <c r="D79" s="1599"/>
      <c r="E79" s="1599"/>
      <c r="F79" s="1599"/>
      <c r="G79" s="1599"/>
      <c r="H79" s="1599"/>
    </row>
    <row r="80" spans="1:8">
      <c r="A80" s="1599"/>
      <c r="B80" s="1599"/>
      <c r="C80" s="1599"/>
      <c r="D80" s="1599"/>
      <c r="E80" s="1599"/>
      <c r="F80" s="1599"/>
      <c r="G80" s="1599"/>
      <c r="H80" s="1599"/>
    </row>
    <row r="81" spans="1:8">
      <c r="A81" s="1600" t="s">
        <v>987</v>
      </c>
      <c r="B81" s="1599"/>
      <c r="C81" s="1599"/>
      <c r="D81" s="1599"/>
      <c r="E81" s="1599"/>
      <c r="F81" s="1599"/>
      <c r="G81" s="1599"/>
      <c r="H81" s="1599"/>
    </row>
    <row r="82" spans="1:8">
      <c r="A82" s="1600" t="s">
        <v>988</v>
      </c>
      <c r="B82" s="1599"/>
      <c r="C82" s="1599"/>
      <c r="D82" s="1599"/>
      <c r="E82" s="1599"/>
      <c r="F82" s="1599"/>
      <c r="G82" s="1599"/>
      <c r="H82" s="1599"/>
    </row>
    <row r="83" spans="1:8">
      <c r="A83" s="1600" t="s">
        <v>989</v>
      </c>
      <c r="B83" s="1599"/>
      <c r="C83" s="1599"/>
      <c r="D83" s="1599"/>
      <c r="E83" s="1599"/>
      <c r="F83" s="1599"/>
      <c r="G83" s="1599"/>
      <c r="H83" s="1599"/>
    </row>
    <row r="84" spans="1:8">
      <c r="A84" s="1600" t="s">
        <v>990</v>
      </c>
      <c r="B84" s="1599"/>
      <c r="C84" s="1599"/>
      <c r="D84" s="1599"/>
      <c r="E84" s="1599"/>
      <c r="F84" s="1599"/>
      <c r="G84" s="1599"/>
      <c r="H84" s="1599"/>
    </row>
    <row r="85" spans="1:8">
      <c r="A85" s="1600" t="s">
        <v>991</v>
      </c>
      <c r="B85" s="1599"/>
      <c r="C85" s="1599"/>
      <c r="D85" s="1599"/>
      <c r="E85" s="1599"/>
      <c r="F85" s="1599"/>
      <c r="G85" s="1599"/>
      <c r="H85" s="1599"/>
    </row>
    <row r="86" spans="1:8">
      <c r="A86" s="1600" t="s">
        <v>874</v>
      </c>
      <c r="B86" s="1599"/>
      <c r="C86" s="1599"/>
      <c r="D86" s="1599"/>
      <c r="E86" s="1599"/>
      <c r="F86" s="1599"/>
      <c r="G86" s="1599"/>
      <c r="H86" s="1599"/>
    </row>
    <row r="87" spans="1:8">
      <c r="A87" s="1599"/>
      <c r="B87" s="1599"/>
      <c r="C87" s="1599"/>
      <c r="D87" s="1599"/>
      <c r="E87" s="1599"/>
      <c r="F87" s="1599"/>
      <c r="G87" s="1599"/>
      <c r="H87" s="1599"/>
    </row>
    <row r="88" spans="1:8">
      <c r="A88" s="1600" t="s">
        <v>980</v>
      </c>
      <c r="B88" s="1599"/>
      <c r="C88" s="1599"/>
      <c r="D88" s="1599"/>
      <c r="E88" s="1599"/>
      <c r="F88" s="1599"/>
      <c r="G88" s="1599"/>
      <c r="H88" s="1599"/>
    </row>
    <row r="89" spans="1:8">
      <c r="A89" s="1600" t="s">
        <v>981</v>
      </c>
      <c r="B89" s="1599"/>
      <c r="C89" s="1599"/>
      <c r="D89" s="1599"/>
      <c r="E89" s="1599"/>
      <c r="F89" s="1599"/>
      <c r="G89" s="1599"/>
      <c r="H89" s="1599"/>
    </row>
    <row r="90" spans="1:8">
      <c r="A90" s="1600" t="s">
        <v>982</v>
      </c>
      <c r="B90" s="1599"/>
      <c r="C90" s="1599"/>
      <c r="D90" s="1599"/>
      <c r="E90" s="1599"/>
      <c r="F90" s="1599"/>
      <c r="G90" s="1599"/>
      <c r="H90" s="1599"/>
    </row>
    <row r="91" spans="1:8">
      <c r="A91" s="1600" t="s">
        <v>983</v>
      </c>
      <c r="B91" s="1599"/>
      <c r="C91" s="1599"/>
      <c r="D91" s="1599"/>
      <c r="E91" s="1599"/>
      <c r="F91" s="1599"/>
      <c r="G91" s="1599"/>
      <c r="H91" s="1599"/>
    </row>
    <row r="92" spans="1:8">
      <c r="A92" s="1600" t="s">
        <v>984</v>
      </c>
      <c r="B92" s="1599"/>
      <c r="C92" s="1599"/>
      <c r="D92" s="1599"/>
      <c r="E92" s="1599"/>
      <c r="F92" s="1599"/>
      <c r="G92" s="1599"/>
      <c r="H92" s="1599"/>
    </row>
    <row r="93" spans="1:8">
      <c r="A93" s="1600" t="s">
        <v>985</v>
      </c>
      <c r="B93" s="1599"/>
      <c r="C93" s="1599"/>
      <c r="D93" s="1599"/>
      <c r="E93" s="1599"/>
      <c r="F93" s="1599"/>
      <c r="G93" s="1599"/>
      <c r="H93" s="1599"/>
    </row>
    <row r="94" spans="1:8">
      <c r="A94" s="1600" t="s">
        <v>986</v>
      </c>
      <c r="B94" s="1599"/>
      <c r="C94" s="1599"/>
      <c r="D94" s="1599"/>
      <c r="E94" s="1599"/>
      <c r="F94" s="1599"/>
      <c r="G94" s="1599"/>
      <c r="H94" s="1599"/>
    </row>
    <row r="95" spans="1:8">
      <c r="A95" s="1599"/>
      <c r="B95" s="1599"/>
      <c r="C95" s="1599"/>
      <c r="D95" s="1599"/>
      <c r="E95" s="1599"/>
      <c r="F95" s="1599"/>
      <c r="G95" s="1599"/>
      <c r="H95" s="1599"/>
    </row>
    <row r="96" spans="1:8">
      <c r="A96" s="1600" t="s">
        <v>978</v>
      </c>
      <c r="B96" s="1599"/>
      <c r="C96" s="1599"/>
      <c r="D96" s="1599"/>
      <c r="E96" s="1599"/>
      <c r="F96" s="1599"/>
      <c r="G96" s="1599"/>
      <c r="H96" s="1599"/>
    </row>
    <row r="97" spans="1:8">
      <c r="A97" s="1600" t="s">
        <v>979</v>
      </c>
      <c r="B97" s="1599"/>
      <c r="C97" s="1599"/>
      <c r="D97" s="1599"/>
      <c r="E97" s="1599"/>
      <c r="F97" s="1599"/>
      <c r="G97" s="1599"/>
      <c r="H97" s="1599"/>
    </row>
    <row r="98" spans="1:8">
      <c r="A98" s="1599"/>
      <c r="B98" s="1599"/>
      <c r="C98" s="1599"/>
      <c r="D98" s="1599"/>
      <c r="E98" s="1599"/>
      <c r="F98" s="1599"/>
      <c r="G98" s="1599"/>
      <c r="H98" s="1599"/>
    </row>
    <row r="99" spans="1:8" ht="15.75">
      <c r="A99" s="1601" t="s">
        <v>750</v>
      </c>
      <c r="B99" s="1599"/>
      <c r="C99" s="1599"/>
      <c r="D99" s="1599"/>
      <c r="E99" s="1599"/>
      <c r="F99" s="1599"/>
      <c r="G99" s="1599"/>
      <c r="H99" s="1599"/>
    </row>
    <row r="100" spans="1:8">
      <c r="A100" s="1599"/>
      <c r="B100" s="1599"/>
      <c r="C100" s="1599"/>
      <c r="D100" s="1599"/>
      <c r="E100" s="1599"/>
      <c r="F100" s="1599"/>
      <c r="G100" s="1599"/>
      <c r="H100" s="1599"/>
    </row>
    <row r="101" spans="1:8">
      <c r="A101" s="1600" t="s">
        <v>969</v>
      </c>
      <c r="B101" s="1599"/>
      <c r="C101" s="1599"/>
      <c r="D101" s="1599"/>
      <c r="E101" s="1599"/>
      <c r="F101" s="1599"/>
      <c r="G101" s="1599"/>
      <c r="H101" s="1599"/>
    </row>
    <row r="102" spans="1:8">
      <c r="A102" s="1600" t="s">
        <v>970</v>
      </c>
      <c r="B102" s="1599"/>
      <c r="C102" s="1599"/>
      <c r="D102" s="1599"/>
      <c r="E102" s="1599"/>
      <c r="F102" s="1599"/>
      <c r="G102" s="1599"/>
      <c r="H102" s="1599"/>
    </row>
    <row r="103" spans="1:8">
      <c r="A103" s="1600" t="s">
        <v>971</v>
      </c>
      <c r="B103" s="1599"/>
      <c r="C103" s="1599"/>
      <c r="D103" s="1599"/>
      <c r="E103" s="1599"/>
      <c r="F103" s="1599"/>
      <c r="G103" s="1599"/>
      <c r="H103" s="1599"/>
    </row>
    <row r="104" spans="1:8">
      <c r="A104" s="1600" t="s">
        <v>972</v>
      </c>
      <c r="B104" s="1599"/>
      <c r="C104" s="1599"/>
      <c r="D104" s="1599"/>
      <c r="E104" s="1599"/>
      <c r="F104" s="1599"/>
      <c r="G104" s="1599"/>
      <c r="H104" s="1599"/>
    </row>
    <row r="105" spans="1:8">
      <c r="A105" s="1600" t="s">
        <v>973</v>
      </c>
      <c r="B105" s="1599"/>
      <c r="C105" s="1599"/>
      <c r="D105" s="1599"/>
      <c r="E105" s="1599"/>
      <c r="F105" s="1599"/>
      <c r="G105" s="1599"/>
      <c r="H105" s="1599"/>
    </row>
    <row r="106" spans="1:8">
      <c r="A106" s="1600" t="s">
        <v>974</v>
      </c>
      <c r="B106" s="1599"/>
      <c r="C106" s="1599"/>
      <c r="D106" s="1599"/>
      <c r="E106" s="1599"/>
      <c r="F106" s="1599"/>
      <c r="G106" s="1599"/>
      <c r="H106" s="1599"/>
    </row>
    <row r="107" spans="1:8">
      <c r="A107" s="1600" t="s">
        <v>975</v>
      </c>
      <c r="B107" s="1599"/>
      <c r="C107" s="1599"/>
      <c r="D107" s="1599"/>
      <c r="E107" s="1599"/>
      <c r="F107" s="1599"/>
      <c r="G107" s="1599"/>
      <c r="H107" s="1599"/>
    </row>
    <row r="108" spans="1:8">
      <c r="A108" s="1600" t="s">
        <v>976</v>
      </c>
      <c r="B108" s="1599"/>
      <c r="C108" s="1599"/>
      <c r="D108" s="1599"/>
      <c r="E108" s="1599"/>
      <c r="F108" s="1599"/>
      <c r="G108" s="1599"/>
      <c r="H108" s="1599"/>
    </row>
    <row r="109" spans="1:8">
      <c r="A109" s="1600" t="s">
        <v>977</v>
      </c>
      <c r="B109" s="1599"/>
      <c r="C109" s="1599"/>
      <c r="D109" s="1599"/>
      <c r="E109" s="1599"/>
      <c r="F109" s="1599"/>
      <c r="G109" s="1599"/>
      <c r="H109" s="1599"/>
    </row>
    <row r="110" spans="1:8">
      <c r="A110" s="1599"/>
      <c r="B110" s="1599"/>
      <c r="C110" s="1599"/>
      <c r="D110" s="1599"/>
      <c r="E110" s="1599"/>
      <c r="F110" s="1599"/>
      <c r="G110" s="1599"/>
      <c r="H110" s="1599"/>
    </row>
    <row r="111" spans="1:8" ht="15.75">
      <c r="A111" s="1602" t="s">
        <v>751</v>
      </c>
      <c r="B111" s="1602"/>
      <c r="C111" s="1602"/>
      <c r="D111" s="1602"/>
      <c r="E111" s="1602"/>
      <c r="F111" s="1602"/>
      <c r="G111" s="1602"/>
      <c r="H111" s="1602"/>
    </row>
    <row r="112" spans="1:8">
      <c r="A112" s="1603" t="s">
        <v>752</v>
      </c>
      <c r="B112" s="1603"/>
      <c r="C112" s="1603"/>
      <c r="D112" s="1603"/>
      <c r="E112" s="1603"/>
      <c r="F112" s="1603"/>
      <c r="G112" s="1603"/>
      <c r="H112" s="1603"/>
    </row>
    <row r="113" spans="1:8">
      <c r="A113" s="1604"/>
      <c r="B113" s="1604"/>
      <c r="C113" s="1604"/>
      <c r="D113" s="1604"/>
      <c r="E113" s="1604"/>
      <c r="F113" s="1604"/>
      <c r="G113" s="1604"/>
      <c r="H113" s="1604"/>
    </row>
    <row r="114" spans="1:8">
      <c r="A114" s="1603" t="s">
        <v>967</v>
      </c>
      <c r="B114" s="1603"/>
      <c r="C114" s="1603"/>
      <c r="D114" s="1603"/>
      <c r="E114" s="1603"/>
      <c r="F114" s="1603"/>
      <c r="G114" s="1603"/>
      <c r="H114" s="1603"/>
    </row>
    <row r="115" spans="1:8">
      <c r="A115" s="1600" t="s">
        <v>968</v>
      </c>
      <c r="B115" s="1600"/>
      <c r="C115" s="1600"/>
      <c r="D115" s="1600"/>
      <c r="E115" s="1600"/>
      <c r="F115" s="1600"/>
      <c r="G115" s="1600"/>
      <c r="H115" s="1600"/>
    </row>
    <row r="116" spans="1:8">
      <c r="A116" s="1604"/>
      <c r="B116" s="1604"/>
      <c r="C116" s="1604"/>
      <c r="D116" s="1604"/>
      <c r="E116" s="1604"/>
      <c r="F116" s="1604"/>
      <c r="G116" s="1604"/>
      <c r="H116" s="1604"/>
    </row>
    <row r="117" spans="1:8">
      <c r="A117" s="1603" t="s">
        <v>960</v>
      </c>
      <c r="B117" s="1603"/>
      <c r="C117" s="1603"/>
      <c r="D117" s="1603"/>
      <c r="E117" s="1603"/>
      <c r="F117" s="1603"/>
      <c r="G117" s="1603"/>
      <c r="H117" s="1603"/>
    </row>
    <row r="118" spans="1:8">
      <c r="A118" s="1600" t="s">
        <v>961</v>
      </c>
      <c r="B118" s="1600"/>
      <c r="C118" s="1600"/>
      <c r="D118" s="1600"/>
      <c r="E118" s="1600"/>
      <c r="F118" s="1600"/>
      <c r="G118" s="1600"/>
      <c r="H118" s="1600"/>
    </row>
    <row r="119" spans="1:8">
      <c r="A119" s="1600" t="s">
        <v>962</v>
      </c>
      <c r="B119" s="1600"/>
      <c r="C119" s="1600"/>
      <c r="D119" s="1600"/>
      <c r="E119" s="1600"/>
      <c r="F119" s="1600"/>
      <c r="G119" s="1600"/>
      <c r="H119" s="1600"/>
    </row>
    <row r="120" spans="1:8">
      <c r="A120" s="1600" t="s">
        <v>963</v>
      </c>
      <c r="B120" s="1600"/>
      <c r="C120" s="1600"/>
      <c r="D120" s="1600"/>
      <c r="E120" s="1600"/>
      <c r="F120" s="1600"/>
      <c r="G120" s="1600"/>
      <c r="H120" s="1600"/>
    </row>
    <row r="121" spans="1:8">
      <c r="A121" s="1600" t="s">
        <v>964</v>
      </c>
      <c r="B121" s="1600"/>
      <c r="C121" s="1600"/>
      <c r="D121" s="1600"/>
      <c r="E121" s="1600"/>
      <c r="F121" s="1600"/>
      <c r="G121" s="1600"/>
      <c r="H121" s="1600"/>
    </row>
    <row r="122" spans="1:8">
      <c r="A122" s="1600" t="s">
        <v>965</v>
      </c>
      <c r="B122" s="1600"/>
      <c r="C122" s="1600"/>
      <c r="D122" s="1600"/>
      <c r="E122" s="1600"/>
      <c r="F122" s="1600"/>
      <c r="G122" s="1600"/>
      <c r="H122" s="1600"/>
    </row>
    <row r="123" spans="1:8">
      <c r="A123" s="1600" t="s">
        <v>966</v>
      </c>
      <c r="B123" s="1600"/>
      <c r="C123" s="1600"/>
      <c r="D123" s="1600"/>
      <c r="E123" s="1600"/>
      <c r="F123" s="1600"/>
      <c r="G123" s="1600"/>
      <c r="H123" s="1600"/>
    </row>
    <row r="124" spans="1:8">
      <c r="A124" s="1605"/>
      <c r="B124" s="1605"/>
      <c r="C124" s="1605"/>
      <c r="D124" s="1605"/>
      <c r="E124" s="1605"/>
      <c r="F124" s="1605"/>
      <c r="G124" s="1605"/>
      <c r="H124" s="1605"/>
    </row>
    <row r="125" spans="1:8">
      <c r="A125" s="1606"/>
      <c r="B125" s="1607" t="s">
        <v>753</v>
      </c>
      <c r="C125" s="1608"/>
      <c r="D125" s="1607" t="s">
        <v>754</v>
      </c>
      <c r="E125" s="1609"/>
      <c r="F125" s="1608"/>
      <c r="G125" s="1607" t="s">
        <v>755</v>
      </c>
      <c r="H125" s="1608"/>
    </row>
    <row r="126" spans="1:8">
      <c r="A126" s="1606" t="s">
        <v>756</v>
      </c>
      <c r="B126" s="1606" t="s">
        <v>598</v>
      </c>
      <c r="C126" s="1606" t="s">
        <v>757</v>
      </c>
      <c r="D126" s="1606" t="s">
        <v>598</v>
      </c>
      <c r="E126" s="1606" t="s">
        <v>758</v>
      </c>
      <c r="F126" s="1606" t="s">
        <v>759</v>
      </c>
      <c r="G126" s="1606" t="s">
        <v>598</v>
      </c>
      <c r="H126" s="1606" t="s">
        <v>760</v>
      </c>
    </row>
    <row r="127" spans="1:8">
      <c r="A127" s="1606" t="s">
        <v>761</v>
      </c>
      <c r="B127" s="1606">
        <v>1189</v>
      </c>
      <c r="C127" s="1610">
        <v>0.38</v>
      </c>
      <c r="D127" s="1606">
        <v>315</v>
      </c>
      <c r="E127" s="1610">
        <v>0.41</v>
      </c>
      <c r="F127" s="1610">
        <v>0.26</v>
      </c>
      <c r="G127" s="1606">
        <v>555</v>
      </c>
      <c r="H127" s="1610">
        <v>0.39</v>
      </c>
    </row>
    <row r="128" spans="1:8">
      <c r="A128" s="1606" t="s">
        <v>762</v>
      </c>
      <c r="B128" s="1606">
        <v>1355</v>
      </c>
      <c r="C128" s="1610">
        <v>0.43</v>
      </c>
      <c r="D128" s="1606">
        <v>364</v>
      </c>
      <c r="E128" s="1610">
        <v>0.47</v>
      </c>
      <c r="F128" s="1610">
        <v>0.27</v>
      </c>
      <c r="G128" s="1606">
        <v>644</v>
      </c>
      <c r="H128" s="1610">
        <v>0.45</v>
      </c>
    </row>
    <row r="129" spans="1:8">
      <c r="A129" s="1606" t="s">
        <v>763</v>
      </c>
      <c r="B129" s="1606">
        <v>53</v>
      </c>
      <c r="C129" s="1610">
        <v>0.02</v>
      </c>
      <c r="D129" s="1606">
        <v>4</v>
      </c>
      <c r="E129" s="1610">
        <v>0.01</v>
      </c>
      <c r="F129" s="1610">
        <v>0.08</v>
      </c>
      <c r="G129" s="1606">
        <v>7</v>
      </c>
      <c r="H129" s="1610">
        <v>0</v>
      </c>
    </row>
    <row r="130" spans="1:8">
      <c r="A130" s="1606" t="s">
        <v>764</v>
      </c>
      <c r="B130" s="1606">
        <v>545</v>
      </c>
      <c r="C130" s="1610">
        <v>0.17</v>
      </c>
      <c r="D130" s="1606">
        <v>84</v>
      </c>
      <c r="E130" s="1610">
        <v>0.11</v>
      </c>
      <c r="F130" s="1610">
        <v>0.15</v>
      </c>
      <c r="G130" s="1606">
        <v>214</v>
      </c>
      <c r="H130" s="1610">
        <v>0.15</v>
      </c>
    </row>
    <row r="131" spans="1:8">
      <c r="A131" s="1606" t="s">
        <v>153</v>
      </c>
      <c r="B131" s="1611">
        <v>3142</v>
      </c>
      <c r="C131" s="1606"/>
      <c r="D131" s="1606">
        <v>767</v>
      </c>
      <c r="E131" s="1606"/>
      <c r="F131" s="1606"/>
      <c r="G131" s="1606">
        <v>1420</v>
      </c>
      <c r="H131" s="1606"/>
    </row>
    <row r="132" spans="1:8">
      <c r="A132" s="1612"/>
      <c r="B132" s="1612"/>
      <c r="C132" s="1612"/>
      <c r="D132" s="1612"/>
      <c r="E132" s="1612"/>
      <c r="F132" s="1612"/>
      <c r="G132" s="1612"/>
      <c r="H132" s="1612"/>
    </row>
    <row r="133" spans="1:8">
      <c r="A133" s="1603" t="s">
        <v>956</v>
      </c>
      <c r="B133" s="1603"/>
      <c r="C133" s="1603"/>
      <c r="D133" s="1603"/>
      <c r="E133" s="1603"/>
      <c r="F133" s="1603"/>
      <c r="G133" s="1603"/>
      <c r="H133" s="1603"/>
    </row>
    <row r="134" spans="1:8">
      <c r="A134" s="1600" t="s">
        <v>957</v>
      </c>
      <c r="B134" s="1600"/>
      <c r="C134" s="1600"/>
      <c r="D134" s="1600"/>
      <c r="E134" s="1600"/>
      <c r="F134" s="1600"/>
      <c r="G134" s="1600"/>
      <c r="H134" s="1600"/>
    </row>
    <row r="135" spans="1:8">
      <c r="A135" s="1600" t="s">
        <v>958</v>
      </c>
      <c r="B135" s="1600"/>
      <c r="C135" s="1600"/>
      <c r="D135" s="1600"/>
      <c r="E135" s="1600"/>
      <c r="F135" s="1600"/>
      <c r="G135" s="1600"/>
      <c r="H135" s="1600"/>
    </row>
    <row r="136" spans="1:8">
      <c r="A136" s="1600" t="s">
        <v>959</v>
      </c>
      <c r="B136" s="1600"/>
      <c r="C136" s="1600"/>
      <c r="D136" s="1600"/>
      <c r="E136" s="1600"/>
      <c r="F136" s="1600"/>
      <c r="G136" s="1600"/>
      <c r="H136" s="1600"/>
    </row>
    <row r="137" spans="1:8">
      <c r="A137" s="1599"/>
      <c r="B137" s="1599"/>
      <c r="C137" s="1599"/>
      <c r="D137" s="1599"/>
      <c r="E137" s="1599"/>
      <c r="F137" s="1599"/>
      <c r="G137" s="1599"/>
      <c r="H137" s="1599"/>
    </row>
    <row r="138" spans="1:8" ht="15.75">
      <c r="A138" s="1601" t="s">
        <v>765</v>
      </c>
      <c r="B138" s="1599"/>
      <c r="C138" s="1599"/>
      <c r="D138" s="1599"/>
      <c r="E138" s="1599"/>
      <c r="F138" s="1599"/>
      <c r="G138" s="1599"/>
      <c r="H138" s="1599"/>
    </row>
    <row r="139" spans="1:8">
      <c r="A139" s="1599"/>
      <c r="B139" s="1599"/>
      <c r="C139" s="1599"/>
      <c r="D139" s="1599"/>
      <c r="E139" s="1599"/>
      <c r="F139" s="1599"/>
      <c r="G139" s="1599"/>
      <c r="H139" s="1599"/>
    </row>
    <row r="140" spans="1:8">
      <c r="A140" s="1600" t="s">
        <v>954</v>
      </c>
      <c r="B140" s="1599"/>
      <c r="C140" s="1599"/>
      <c r="D140" s="1599"/>
      <c r="E140" s="1599"/>
      <c r="F140" s="1599"/>
      <c r="G140" s="1599"/>
      <c r="H140" s="1599"/>
    </row>
    <row r="141" spans="1:8">
      <c r="A141" s="1600" t="s">
        <v>955</v>
      </c>
      <c r="B141" s="1599"/>
      <c r="C141" s="1599"/>
      <c r="D141" s="1599"/>
      <c r="E141" s="1599"/>
      <c r="F141" s="1599"/>
      <c r="G141" s="1599"/>
      <c r="H141" s="1599"/>
    </row>
    <row r="142" spans="1:8">
      <c r="A142" s="1599"/>
      <c r="B142" s="1599"/>
      <c r="C142" s="1599"/>
      <c r="D142" s="1599"/>
      <c r="E142" s="1599"/>
      <c r="F142" s="1599"/>
      <c r="G142" s="1599"/>
      <c r="H142" s="1599"/>
    </row>
    <row r="143" spans="1:8">
      <c r="A143" s="1600" t="s">
        <v>951</v>
      </c>
      <c r="B143" s="1599"/>
      <c r="C143" s="1599"/>
      <c r="D143" s="1599"/>
      <c r="E143" s="1599"/>
      <c r="F143" s="1599"/>
      <c r="G143" s="1599"/>
      <c r="H143" s="1599"/>
    </row>
    <row r="144" spans="1:8">
      <c r="A144" s="1600" t="s">
        <v>952</v>
      </c>
      <c r="B144" s="1599"/>
      <c r="C144" s="1599"/>
      <c r="D144" s="1599"/>
      <c r="E144" s="1599"/>
      <c r="F144" s="1599"/>
      <c r="G144" s="1599"/>
      <c r="H144" s="1599"/>
    </row>
    <row r="145" spans="1:8">
      <c r="A145" s="1600" t="s">
        <v>953</v>
      </c>
      <c r="B145" s="1599"/>
      <c r="C145" s="1599"/>
      <c r="D145" s="1599"/>
      <c r="E145" s="1599"/>
      <c r="F145" s="1599"/>
      <c r="G145" s="1599"/>
      <c r="H145" s="1599"/>
    </row>
    <row r="146" spans="1:8">
      <c r="A146" s="1599"/>
      <c r="B146" s="1599"/>
      <c r="C146" s="1599"/>
      <c r="D146" s="1599"/>
      <c r="E146" s="1599"/>
      <c r="F146" s="1599"/>
      <c r="G146" s="1599"/>
      <c r="H146" s="1599"/>
    </row>
    <row r="147" spans="1:8">
      <c r="A147" s="1600" t="s">
        <v>948</v>
      </c>
      <c r="B147" s="1599"/>
      <c r="C147" s="1599"/>
      <c r="D147" s="1599"/>
      <c r="E147" s="1599"/>
      <c r="F147" s="1599"/>
      <c r="G147" s="1599"/>
      <c r="H147" s="1599"/>
    </row>
    <row r="148" spans="1:8">
      <c r="A148" s="1600" t="s">
        <v>949</v>
      </c>
      <c r="B148" s="1599"/>
      <c r="C148" s="1599"/>
      <c r="D148" s="1599"/>
      <c r="E148" s="1599"/>
      <c r="F148" s="1599"/>
      <c r="G148" s="1599"/>
      <c r="H148" s="1599"/>
    </row>
    <row r="149" spans="1:8">
      <c r="A149" s="1600" t="s">
        <v>950</v>
      </c>
      <c r="B149" s="1599"/>
      <c r="C149" s="1599"/>
      <c r="D149" s="1599"/>
      <c r="E149" s="1599"/>
      <c r="F149" s="1599"/>
      <c r="G149" s="1599"/>
      <c r="H149" s="1599"/>
    </row>
    <row r="150" spans="1:8">
      <c r="A150" s="1599"/>
      <c r="B150" s="1599"/>
      <c r="C150" s="1599"/>
      <c r="D150" s="1599"/>
      <c r="E150" s="1599"/>
      <c r="F150" s="1599"/>
      <c r="G150" s="1599"/>
      <c r="H150" s="1599"/>
    </row>
    <row r="151" spans="1:8">
      <c r="A151" s="1600" t="s">
        <v>945</v>
      </c>
      <c r="B151" s="1599"/>
      <c r="C151" s="1599"/>
      <c r="D151" s="1599"/>
      <c r="E151" s="1599"/>
      <c r="F151" s="1599"/>
      <c r="G151" s="1599"/>
      <c r="H151" s="1599"/>
    </row>
    <row r="152" spans="1:8">
      <c r="A152" s="1600" t="s">
        <v>946</v>
      </c>
      <c r="B152" s="1599"/>
      <c r="C152" s="1599"/>
      <c r="D152" s="1599"/>
      <c r="E152" s="1599"/>
      <c r="F152" s="1599"/>
      <c r="G152" s="1599"/>
      <c r="H152" s="1599"/>
    </row>
    <row r="153" spans="1:8">
      <c r="A153" s="1600" t="s">
        <v>947</v>
      </c>
      <c r="B153" s="1599"/>
      <c r="C153" s="1599"/>
      <c r="D153" s="1599"/>
      <c r="E153" s="1599"/>
      <c r="F153" s="1599"/>
      <c r="G153" s="1599"/>
      <c r="H153" s="1599"/>
    </row>
    <row r="154" spans="1:8">
      <c r="A154" s="1599"/>
      <c r="B154" s="1599"/>
      <c r="C154" s="1599"/>
      <c r="D154" s="1599"/>
      <c r="E154" s="1599"/>
      <c r="F154" s="1599"/>
      <c r="G154" s="1599"/>
      <c r="H154" s="1599"/>
    </row>
    <row r="155" spans="1:8">
      <c r="A155" s="1600" t="s">
        <v>943</v>
      </c>
      <c r="B155" s="1599"/>
      <c r="C155" s="1599"/>
      <c r="D155" s="1599"/>
      <c r="E155" s="1599"/>
      <c r="F155" s="1599"/>
      <c r="G155" s="1599"/>
      <c r="H155" s="1599"/>
    </row>
    <row r="156" spans="1:8">
      <c r="A156" s="1600" t="s">
        <v>944</v>
      </c>
      <c r="B156" s="1599"/>
      <c r="C156" s="1599"/>
      <c r="D156" s="1599"/>
      <c r="E156" s="1599"/>
      <c r="F156" s="1599"/>
      <c r="G156" s="1599"/>
      <c r="H156" s="1599"/>
    </row>
    <row r="157" spans="1:8">
      <c r="A157" s="1599"/>
      <c r="B157" s="1599"/>
      <c r="C157" s="1599"/>
      <c r="D157" s="1599"/>
      <c r="E157" s="1599"/>
      <c r="F157" s="1599"/>
      <c r="G157" s="1599"/>
      <c r="H157" s="1599"/>
    </row>
    <row r="158" spans="1:8" ht="15.75">
      <c r="A158" s="1601" t="s">
        <v>766</v>
      </c>
      <c r="B158" s="1599"/>
      <c r="C158" s="1599"/>
      <c r="D158" s="1599"/>
      <c r="E158" s="1599"/>
      <c r="F158" s="1599"/>
      <c r="G158" s="1599"/>
      <c r="H158" s="1599"/>
    </row>
    <row r="159" spans="1:8">
      <c r="A159" s="1599"/>
      <c r="B159" s="1599"/>
      <c r="C159" s="1599"/>
      <c r="D159" s="1599"/>
      <c r="E159" s="1599"/>
      <c r="F159" s="1599"/>
      <c r="G159" s="1599"/>
      <c r="H159" s="1599"/>
    </row>
    <row r="160" spans="1:8">
      <c r="A160" s="1600" t="s">
        <v>941</v>
      </c>
      <c r="B160" s="1599"/>
      <c r="C160" s="1599"/>
      <c r="D160" s="1599"/>
      <c r="E160" s="1599"/>
      <c r="F160" s="1599"/>
      <c r="G160" s="1599"/>
      <c r="H160" s="1599"/>
    </row>
    <row r="161" spans="1:8">
      <c r="A161" s="1600" t="s">
        <v>942</v>
      </c>
      <c r="B161" s="1599"/>
      <c r="C161" s="1599"/>
      <c r="D161" s="1599"/>
      <c r="E161" s="1599"/>
      <c r="F161" s="1599"/>
      <c r="G161" s="1599"/>
      <c r="H161" s="1599"/>
    </row>
    <row r="162" spans="1:8">
      <c r="A162" s="1599"/>
      <c r="B162" s="1599"/>
      <c r="C162" s="1599"/>
      <c r="D162" s="1599"/>
      <c r="E162" s="1599"/>
      <c r="F162" s="1599"/>
      <c r="G162" s="1599"/>
      <c r="H162" s="1599"/>
    </row>
    <row r="163" spans="1:8">
      <c r="A163" s="1600" t="s">
        <v>939</v>
      </c>
      <c r="B163" s="1599"/>
      <c r="C163" s="1599"/>
      <c r="D163" s="1599"/>
      <c r="E163" s="1599"/>
      <c r="F163" s="1599"/>
      <c r="G163" s="1599"/>
      <c r="H163" s="1599"/>
    </row>
    <row r="164" spans="1:8">
      <c r="A164" s="1600" t="s">
        <v>940</v>
      </c>
      <c r="B164" s="1599"/>
      <c r="C164" s="1599"/>
      <c r="D164" s="1599"/>
      <c r="E164" s="1599"/>
      <c r="F164" s="1599"/>
      <c r="G164" s="1599"/>
      <c r="H164" s="1599"/>
    </row>
    <row r="165" spans="1:8">
      <c r="A165" s="1599"/>
      <c r="B165" s="1599"/>
      <c r="C165" s="1599"/>
      <c r="D165" s="1599"/>
      <c r="E165" s="1599"/>
      <c r="F165" s="1599"/>
      <c r="G165" s="1599"/>
      <c r="H165" s="1599"/>
    </row>
    <row r="166" spans="1:8">
      <c r="A166" s="1600" t="s">
        <v>937</v>
      </c>
      <c r="B166" s="1599"/>
      <c r="C166" s="1599"/>
      <c r="D166" s="1599"/>
      <c r="E166" s="1599"/>
      <c r="F166" s="1599"/>
      <c r="G166" s="1599"/>
      <c r="H166" s="1599"/>
    </row>
    <row r="167" spans="1:8">
      <c r="A167" s="1600" t="s">
        <v>938</v>
      </c>
      <c r="B167" s="1599"/>
      <c r="C167" s="1599"/>
      <c r="D167" s="1599"/>
      <c r="E167" s="1599"/>
      <c r="F167" s="1599"/>
      <c r="G167" s="1599"/>
      <c r="H167" s="1599"/>
    </row>
    <row r="168" spans="1:8">
      <c r="A168" s="1599"/>
      <c r="B168" s="1599"/>
      <c r="C168" s="1599"/>
      <c r="D168" s="1599"/>
      <c r="E168" s="1599"/>
      <c r="F168" s="1599"/>
      <c r="G168" s="1599"/>
      <c r="H168" s="1599"/>
    </row>
    <row r="169" spans="1:8">
      <c r="A169" s="1600" t="s">
        <v>934</v>
      </c>
      <c r="B169" s="1599"/>
      <c r="C169" s="1599"/>
      <c r="D169" s="1599"/>
      <c r="E169" s="1599"/>
      <c r="F169" s="1599"/>
      <c r="G169" s="1599"/>
      <c r="H169" s="1599"/>
    </row>
    <row r="170" spans="1:8">
      <c r="A170" s="1600" t="s">
        <v>935</v>
      </c>
      <c r="B170" s="1599"/>
      <c r="C170" s="1599"/>
      <c r="D170" s="1599"/>
      <c r="E170" s="1599"/>
      <c r="F170" s="1599"/>
      <c r="G170" s="1599"/>
      <c r="H170" s="1599"/>
    </row>
    <row r="171" spans="1:8">
      <c r="A171" s="1600" t="s">
        <v>936</v>
      </c>
      <c r="B171" s="1599"/>
      <c r="C171" s="1599"/>
      <c r="D171" s="1599"/>
      <c r="E171" s="1599"/>
      <c r="F171" s="1599"/>
      <c r="G171" s="1599"/>
      <c r="H171" s="1599"/>
    </row>
    <row r="172" spans="1:8">
      <c r="A172" s="1599"/>
      <c r="B172" s="1599"/>
      <c r="C172" s="1599"/>
      <c r="D172" s="1599"/>
      <c r="E172" s="1599"/>
      <c r="F172" s="1599"/>
      <c r="G172" s="1599"/>
      <c r="H172" s="1599"/>
    </row>
    <row r="173" spans="1:8">
      <c r="A173" s="1599"/>
      <c r="B173" s="1599"/>
      <c r="C173" s="1599"/>
      <c r="D173" s="1599"/>
      <c r="E173" s="1599"/>
      <c r="F173" s="1599"/>
      <c r="G173" s="1599"/>
      <c r="H173" s="1599"/>
    </row>
    <row r="174" spans="1:8">
      <c r="A174" s="1600" t="s">
        <v>492</v>
      </c>
      <c r="B174" s="1599"/>
      <c r="C174" s="1599"/>
      <c r="D174" s="1599"/>
      <c r="E174" s="1599"/>
      <c r="F174" s="1599"/>
      <c r="G174" s="1599"/>
      <c r="H174" s="1599"/>
    </row>
    <row r="175" spans="1:8">
      <c r="A175" s="1599"/>
      <c r="B175" s="1599"/>
      <c r="C175" s="1599"/>
      <c r="D175" s="1599"/>
      <c r="E175" s="1599"/>
      <c r="F175" s="1599"/>
      <c r="G175" s="1599"/>
      <c r="H175" s="1599"/>
    </row>
    <row r="176" spans="1:8" ht="15.75">
      <c r="A176" s="1601" t="s">
        <v>767</v>
      </c>
      <c r="B176" s="1599"/>
      <c r="C176" s="1599"/>
      <c r="D176" s="1599"/>
      <c r="E176" s="1599"/>
      <c r="F176" s="1599"/>
      <c r="G176" s="1599"/>
      <c r="H176" s="1599"/>
    </row>
    <row r="177" spans="1:8">
      <c r="A177" s="1599"/>
      <c r="B177" s="1599"/>
      <c r="C177" s="1599"/>
      <c r="D177" s="1599"/>
      <c r="E177" s="1599"/>
      <c r="F177" s="1599"/>
      <c r="G177" s="1599"/>
      <c r="H177" s="1599"/>
    </row>
    <row r="178" spans="1:8">
      <c r="A178" s="1599"/>
      <c r="B178" s="1599"/>
      <c r="C178" s="1599"/>
      <c r="D178" s="1599"/>
      <c r="E178" s="1599"/>
      <c r="F178" s="1599"/>
      <c r="G178" s="1599"/>
      <c r="H178" s="1599"/>
    </row>
    <row r="179" spans="1:8">
      <c r="A179" s="1599"/>
      <c r="B179" s="1599"/>
      <c r="C179" s="1599"/>
      <c r="D179" s="1599"/>
      <c r="E179" s="1599"/>
      <c r="F179" s="1599"/>
      <c r="G179" s="1599"/>
      <c r="H179" s="1599"/>
    </row>
    <row r="180" spans="1:8">
      <c r="A180" s="1599"/>
      <c r="B180" s="1599"/>
      <c r="C180" s="1599"/>
      <c r="D180" s="1599"/>
      <c r="E180" s="1599"/>
      <c r="F180" s="1599"/>
      <c r="G180" s="1599"/>
      <c r="H180" s="1599"/>
    </row>
    <row r="181" spans="1:8">
      <c r="A181" s="1599"/>
      <c r="B181" s="1599"/>
      <c r="C181" s="1599"/>
      <c r="D181" s="1599"/>
      <c r="E181" s="1599"/>
      <c r="F181" s="1599"/>
      <c r="G181" s="1599"/>
      <c r="H181" s="1599"/>
    </row>
    <row r="182" spans="1:8">
      <c r="A182" s="1599"/>
      <c r="B182" s="1599"/>
      <c r="C182" s="1599"/>
      <c r="D182" s="1599"/>
      <c r="E182" s="1599"/>
      <c r="F182" s="1599"/>
      <c r="G182" s="1599"/>
      <c r="H182" s="1599"/>
    </row>
    <row r="183" spans="1:8">
      <c r="A183" s="1599"/>
      <c r="B183" s="1599"/>
      <c r="C183" s="1599"/>
      <c r="D183" s="1599"/>
      <c r="E183" s="1599"/>
      <c r="F183" s="1599"/>
      <c r="G183" s="1599"/>
      <c r="H183" s="1599"/>
    </row>
    <row r="184" spans="1:8">
      <c r="A184" s="1599"/>
      <c r="B184" s="1599"/>
      <c r="C184" s="1599"/>
      <c r="D184" s="1599"/>
      <c r="E184" s="1599"/>
      <c r="F184" s="1599"/>
      <c r="G184" s="1599"/>
      <c r="H184" s="1599"/>
    </row>
    <row r="185" spans="1:8">
      <c r="A185" s="1599"/>
      <c r="B185" s="1599"/>
      <c r="C185" s="1599"/>
      <c r="D185" s="1599"/>
      <c r="E185" s="1599"/>
      <c r="F185" s="1599"/>
      <c r="G185" s="1599"/>
      <c r="H185" s="1599"/>
    </row>
    <row r="186" spans="1:8">
      <c r="A186" s="1599"/>
      <c r="B186" s="1599"/>
      <c r="C186" s="1599"/>
      <c r="D186" s="1599"/>
      <c r="E186" s="1599"/>
      <c r="F186" s="1599"/>
      <c r="G186" s="1599"/>
      <c r="H186" s="1599"/>
    </row>
    <row r="187" spans="1:8">
      <c r="A187" s="1599"/>
      <c r="B187" s="1599"/>
      <c r="C187" s="1599"/>
      <c r="D187" s="1599"/>
      <c r="E187" s="1599"/>
      <c r="F187" s="1599"/>
      <c r="G187" s="1599"/>
      <c r="H187" s="1599"/>
    </row>
    <row r="188" spans="1:8">
      <c r="A188" s="1599"/>
      <c r="B188" s="1599"/>
      <c r="C188" s="1599"/>
      <c r="D188" s="1599"/>
      <c r="E188" s="1599"/>
      <c r="F188" s="1599"/>
      <c r="G188" s="1599"/>
      <c r="H188" s="1599"/>
    </row>
    <row r="189" spans="1:8">
      <c r="A189" s="1599"/>
      <c r="B189" s="1599"/>
      <c r="C189" s="1599"/>
      <c r="D189" s="1599"/>
      <c r="E189" s="1599"/>
      <c r="F189" s="1599"/>
      <c r="G189" s="1599"/>
      <c r="H189" s="1599"/>
    </row>
    <row r="190" spans="1:8">
      <c r="A190" s="1599"/>
      <c r="B190" s="1599"/>
      <c r="C190" s="1599"/>
      <c r="D190" s="1599"/>
      <c r="E190" s="1599"/>
      <c r="F190" s="1599"/>
      <c r="G190" s="1599"/>
      <c r="H190" s="1599"/>
    </row>
    <row r="191" spans="1:8">
      <c r="A191" s="1599"/>
      <c r="B191" s="1599"/>
      <c r="C191" s="1599"/>
      <c r="D191" s="1599"/>
      <c r="E191" s="1599"/>
      <c r="F191" s="1599"/>
      <c r="G191" s="1599"/>
      <c r="H191" s="1599"/>
    </row>
    <row r="192" spans="1:8">
      <c r="A192" s="1599"/>
      <c r="B192" s="1599"/>
      <c r="C192" s="1599"/>
      <c r="D192" s="1599"/>
      <c r="E192" s="1599"/>
      <c r="F192" s="1599"/>
      <c r="G192" s="1599"/>
      <c r="H192" s="1599"/>
    </row>
    <row r="193" spans="1:8">
      <c r="A193" s="1599"/>
      <c r="B193" s="1599"/>
      <c r="C193" s="1599"/>
      <c r="D193" s="1599"/>
      <c r="E193" s="1599"/>
      <c r="F193" s="1599"/>
      <c r="G193" s="1599"/>
      <c r="H193" s="1599"/>
    </row>
    <row r="194" spans="1:8">
      <c r="A194" s="1599"/>
      <c r="B194" s="1599"/>
      <c r="C194" s="1599"/>
      <c r="D194" s="1599"/>
      <c r="E194" s="1599"/>
      <c r="F194" s="1599"/>
      <c r="G194" s="1599"/>
      <c r="H194" s="1599"/>
    </row>
    <row r="195" spans="1:8">
      <c r="A195" s="1599"/>
      <c r="B195" s="1599"/>
      <c r="C195" s="1599"/>
      <c r="D195" s="1599"/>
      <c r="E195" s="1599"/>
      <c r="F195" s="1599"/>
      <c r="G195" s="1599"/>
      <c r="H195" s="1599"/>
    </row>
    <row r="196" spans="1:8">
      <c r="A196" s="1599"/>
      <c r="B196" s="1599"/>
      <c r="C196" s="1599"/>
      <c r="D196" s="1599"/>
      <c r="E196" s="1599"/>
      <c r="F196" s="1599"/>
      <c r="G196" s="1599"/>
      <c r="H196" s="1599"/>
    </row>
    <row r="197" spans="1:8">
      <c r="A197" s="1599"/>
      <c r="B197" s="1599"/>
      <c r="C197" s="1599"/>
      <c r="D197" s="1599"/>
      <c r="E197" s="1599"/>
      <c r="F197" s="1599"/>
      <c r="G197" s="1599"/>
      <c r="H197" s="1599"/>
    </row>
    <row r="198" spans="1:8">
      <c r="A198" s="1599"/>
      <c r="B198" s="1599"/>
      <c r="C198" s="1599"/>
      <c r="D198" s="1599"/>
      <c r="E198" s="1599"/>
      <c r="F198" s="1599"/>
      <c r="G198" s="1599"/>
      <c r="H198" s="1599"/>
    </row>
    <row r="199" spans="1:8">
      <c r="A199" s="1599"/>
      <c r="B199" s="1599"/>
      <c r="C199" s="1599"/>
      <c r="D199" s="1599"/>
      <c r="E199" s="1599"/>
      <c r="F199" s="1599"/>
      <c r="G199" s="1599"/>
      <c r="H199" s="1599"/>
    </row>
    <row r="200" spans="1:8">
      <c r="A200" s="1599"/>
      <c r="B200" s="1599"/>
      <c r="C200" s="1599"/>
      <c r="D200" s="1599"/>
      <c r="E200" s="1599"/>
      <c r="F200" s="1599"/>
      <c r="G200" s="1599"/>
      <c r="H200" s="1599"/>
    </row>
    <row r="201" spans="1:8">
      <c r="A201" s="1599"/>
      <c r="B201" s="1599"/>
      <c r="C201" s="1599"/>
      <c r="D201" s="1599"/>
      <c r="E201" s="1599"/>
      <c r="F201" s="1599"/>
      <c r="G201" s="1599"/>
      <c r="H201" s="1599"/>
    </row>
    <row r="202" spans="1:8">
      <c r="A202" s="1599"/>
      <c r="B202" s="1599"/>
      <c r="C202" s="1599"/>
      <c r="D202" s="1599"/>
      <c r="E202" s="1599"/>
      <c r="F202" s="1599"/>
      <c r="G202" s="1599"/>
      <c r="H202" s="1599"/>
    </row>
    <row r="203" spans="1:8" ht="15.75">
      <c r="A203" s="1601" t="s">
        <v>768</v>
      </c>
      <c r="B203" s="1599"/>
      <c r="C203" s="1599"/>
      <c r="D203" s="1599"/>
      <c r="E203" s="1599"/>
      <c r="F203" s="1599"/>
      <c r="G203" s="1599"/>
      <c r="H203" s="1599"/>
    </row>
    <row r="204" spans="1:8">
      <c r="A204" s="1599"/>
      <c r="B204" s="1599"/>
      <c r="C204" s="1599"/>
      <c r="D204" s="1599"/>
      <c r="E204" s="1599"/>
      <c r="F204" s="1599"/>
      <c r="G204" s="1599"/>
      <c r="H204" s="1599"/>
    </row>
    <row r="205" spans="1:8">
      <c r="A205" s="1600" t="s">
        <v>929</v>
      </c>
      <c r="B205" s="1599"/>
      <c r="C205" s="1599"/>
      <c r="D205" s="1599"/>
      <c r="E205" s="1599"/>
      <c r="F205" s="1599"/>
      <c r="G205" s="1599"/>
      <c r="H205" s="1599"/>
    </row>
    <row r="206" spans="1:8">
      <c r="A206" s="1600" t="s">
        <v>930</v>
      </c>
      <c r="B206" s="1599"/>
      <c r="C206" s="1599"/>
      <c r="D206" s="1599"/>
      <c r="E206" s="1599"/>
      <c r="F206" s="1599"/>
      <c r="G206" s="1599"/>
      <c r="H206" s="1599"/>
    </row>
    <row r="207" spans="1:8">
      <c r="A207" s="1600" t="s">
        <v>931</v>
      </c>
      <c r="B207" s="1599"/>
      <c r="C207" s="1599"/>
      <c r="D207" s="1599"/>
      <c r="E207" s="1599"/>
      <c r="F207" s="1599"/>
      <c r="G207" s="1599"/>
      <c r="H207" s="1599"/>
    </row>
    <row r="208" spans="1:8">
      <c r="A208" s="1600" t="s">
        <v>932</v>
      </c>
      <c r="B208" s="1599"/>
      <c r="C208" s="1599"/>
      <c r="D208" s="1599"/>
      <c r="E208" s="1599"/>
      <c r="F208" s="1599"/>
      <c r="G208" s="1599"/>
      <c r="H208" s="1599"/>
    </row>
    <row r="209" spans="1:8">
      <c r="A209" s="1600" t="s">
        <v>933</v>
      </c>
      <c r="B209" s="1599"/>
      <c r="C209" s="1599"/>
      <c r="D209" s="1599"/>
      <c r="E209" s="1599"/>
      <c r="F209" s="1599"/>
      <c r="G209" s="1599"/>
      <c r="H209" s="1599"/>
    </row>
    <row r="210" spans="1:8">
      <c r="A210" s="1599"/>
      <c r="B210" s="1599"/>
      <c r="C210" s="1599"/>
      <c r="D210" s="1599"/>
      <c r="E210" s="1599"/>
      <c r="F210" s="1599"/>
      <c r="G210" s="1599"/>
      <c r="H210" s="1599"/>
    </row>
    <row r="211" spans="1:8">
      <c r="A211" s="1600" t="s">
        <v>926</v>
      </c>
      <c r="B211" s="1599"/>
      <c r="C211" s="1599"/>
      <c r="D211" s="1599"/>
      <c r="E211" s="1599"/>
      <c r="F211" s="1599"/>
      <c r="G211" s="1599"/>
      <c r="H211" s="1599"/>
    </row>
    <row r="212" spans="1:8">
      <c r="A212" s="1600" t="s">
        <v>927</v>
      </c>
      <c r="B212" s="1599"/>
      <c r="C212" s="1599"/>
      <c r="D212" s="1599"/>
      <c r="E212" s="1599"/>
      <c r="F212" s="1599"/>
      <c r="G212" s="1599"/>
      <c r="H212" s="1599"/>
    </row>
    <row r="213" spans="1:8">
      <c r="A213" s="1600" t="s">
        <v>928</v>
      </c>
      <c r="B213" s="1599"/>
      <c r="C213" s="1599"/>
      <c r="D213" s="1599"/>
      <c r="E213" s="1599"/>
      <c r="F213" s="1599"/>
      <c r="G213" s="1599"/>
      <c r="H213" s="1599"/>
    </row>
    <row r="214" spans="1:8" ht="15.75">
      <c r="A214" s="1601" t="s">
        <v>769</v>
      </c>
      <c r="B214" s="1599"/>
      <c r="C214" s="1599"/>
      <c r="D214" s="1599"/>
      <c r="E214" s="1599"/>
      <c r="F214" s="1599"/>
      <c r="G214" s="1599"/>
      <c r="H214" s="1599"/>
    </row>
    <row r="215" spans="1:8">
      <c r="A215" s="1599"/>
      <c r="B215" s="1599"/>
      <c r="C215" s="1599"/>
      <c r="D215" s="1599"/>
      <c r="E215" s="1599"/>
      <c r="F215" s="1599"/>
      <c r="G215" s="1599"/>
      <c r="H215" s="1599"/>
    </row>
    <row r="216" spans="1:8">
      <c r="A216" s="1600" t="s">
        <v>924</v>
      </c>
      <c r="B216" s="1599"/>
      <c r="C216" s="1599"/>
      <c r="D216" s="1599"/>
      <c r="E216" s="1599"/>
      <c r="F216" s="1599"/>
      <c r="G216" s="1599"/>
      <c r="H216" s="1599"/>
    </row>
    <row r="217" spans="1:8">
      <c r="A217" s="1600" t="s">
        <v>925</v>
      </c>
      <c r="B217" s="1599"/>
      <c r="C217" s="1599"/>
      <c r="D217" s="1599"/>
      <c r="E217" s="1599"/>
      <c r="F217" s="1599"/>
      <c r="G217" s="1599"/>
      <c r="H217" s="1599"/>
    </row>
    <row r="218" spans="1:8">
      <c r="A218" s="1599"/>
      <c r="B218" s="1599"/>
      <c r="C218" s="1599"/>
      <c r="D218" s="1599"/>
      <c r="E218" s="1599"/>
      <c r="F218" s="1599"/>
      <c r="G218" s="1599"/>
      <c r="H218" s="1599"/>
    </row>
    <row r="219" spans="1:8">
      <c r="A219" s="1600" t="s">
        <v>917</v>
      </c>
      <c r="B219" s="1599"/>
      <c r="C219" s="1599"/>
      <c r="D219" s="1599"/>
      <c r="E219" s="1599"/>
      <c r="F219" s="1599"/>
      <c r="G219" s="1599"/>
      <c r="H219" s="1599"/>
    </row>
    <row r="220" spans="1:8">
      <c r="A220" s="1600" t="s">
        <v>918</v>
      </c>
      <c r="B220" s="1599"/>
      <c r="C220" s="1599"/>
      <c r="D220" s="1599"/>
      <c r="E220" s="1599"/>
      <c r="F220" s="1599"/>
      <c r="G220" s="1599"/>
      <c r="H220" s="1599"/>
    </row>
    <row r="221" spans="1:8">
      <c r="A221" s="1600" t="s">
        <v>919</v>
      </c>
      <c r="B221" s="1599"/>
      <c r="C221" s="1599"/>
      <c r="D221" s="1599"/>
      <c r="E221" s="1599"/>
      <c r="F221" s="1599"/>
      <c r="G221" s="1599"/>
      <c r="H221" s="1599"/>
    </row>
    <row r="222" spans="1:8">
      <c r="A222" s="1600" t="s">
        <v>920</v>
      </c>
      <c r="B222" s="1599"/>
      <c r="C222" s="1599"/>
      <c r="D222" s="1599"/>
      <c r="E222" s="1599"/>
      <c r="F222" s="1599"/>
      <c r="G222" s="1599"/>
      <c r="H222" s="1599"/>
    </row>
    <row r="223" spans="1:8">
      <c r="A223" s="1600" t="s">
        <v>921</v>
      </c>
      <c r="B223" s="1599"/>
      <c r="C223" s="1599"/>
      <c r="D223" s="1599"/>
      <c r="E223" s="1599"/>
      <c r="F223" s="1599"/>
      <c r="G223" s="1599"/>
      <c r="H223" s="1599"/>
    </row>
    <row r="224" spans="1:8">
      <c r="A224" s="1600" t="s">
        <v>922</v>
      </c>
      <c r="B224" s="1599"/>
      <c r="C224" s="1599"/>
      <c r="D224" s="1599"/>
      <c r="E224" s="1599"/>
      <c r="F224" s="1599"/>
      <c r="G224" s="1599"/>
      <c r="H224" s="1599"/>
    </row>
    <row r="225" spans="1:8">
      <c r="A225" s="1600" t="s">
        <v>923</v>
      </c>
      <c r="B225" s="1599"/>
      <c r="C225" s="1599"/>
      <c r="D225" s="1599"/>
      <c r="E225" s="1599"/>
      <c r="F225" s="1599"/>
      <c r="G225" s="1599"/>
      <c r="H225" s="1599"/>
    </row>
    <row r="226" spans="1:8">
      <c r="A226" s="1599"/>
      <c r="B226" s="1599"/>
      <c r="C226" s="1599"/>
      <c r="D226" s="1599"/>
      <c r="E226" s="1599"/>
      <c r="F226" s="1599"/>
      <c r="G226" s="1599"/>
      <c r="H226" s="1599"/>
    </row>
    <row r="227" spans="1:8">
      <c r="A227" s="1600" t="s">
        <v>914</v>
      </c>
      <c r="B227" s="1599"/>
      <c r="C227" s="1599"/>
      <c r="D227" s="1599"/>
      <c r="E227" s="1599"/>
      <c r="F227" s="1599"/>
      <c r="G227" s="1599"/>
      <c r="H227" s="1599"/>
    </row>
    <row r="228" spans="1:8">
      <c r="A228" s="1600" t="s">
        <v>915</v>
      </c>
      <c r="B228" s="1599"/>
      <c r="C228" s="1599"/>
      <c r="D228" s="1599"/>
      <c r="E228" s="1599"/>
      <c r="F228" s="1599"/>
      <c r="G228" s="1599"/>
      <c r="H228" s="1599"/>
    </row>
    <row r="229" spans="1:8">
      <c r="A229" s="1600" t="s">
        <v>916</v>
      </c>
      <c r="B229" s="1599"/>
      <c r="C229" s="1599"/>
      <c r="D229" s="1599"/>
      <c r="E229" s="1599"/>
      <c r="F229" s="1599"/>
      <c r="G229" s="1599"/>
      <c r="H229" s="1599"/>
    </row>
    <row r="230" spans="1:8">
      <c r="A230" s="1599"/>
      <c r="B230" s="1599"/>
      <c r="C230" s="1599"/>
      <c r="D230" s="1599"/>
      <c r="E230" s="1599"/>
      <c r="F230" s="1599"/>
      <c r="G230" s="1599"/>
      <c r="H230" s="1599"/>
    </row>
    <row r="231" spans="1:8">
      <c r="A231" s="1600" t="s">
        <v>909</v>
      </c>
      <c r="B231" s="1599"/>
      <c r="C231" s="1599"/>
      <c r="D231" s="1599"/>
      <c r="E231" s="1599"/>
      <c r="F231" s="1599"/>
      <c r="G231" s="1599"/>
      <c r="H231" s="1599"/>
    </row>
    <row r="232" spans="1:8">
      <c r="A232" s="1600" t="s">
        <v>910</v>
      </c>
      <c r="B232" s="1599"/>
      <c r="C232" s="1599"/>
      <c r="D232" s="1599"/>
      <c r="E232" s="1599"/>
      <c r="F232" s="1599"/>
      <c r="G232" s="1599"/>
      <c r="H232" s="1599"/>
    </row>
    <row r="233" spans="1:8">
      <c r="A233" s="1600" t="s">
        <v>911</v>
      </c>
      <c r="B233" s="1599"/>
      <c r="C233" s="1599"/>
      <c r="D233" s="1599"/>
      <c r="E233" s="1599"/>
      <c r="F233" s="1599"/>
      <c r="G233" s="1599"/>
      <c r="H233" s="1599"/>
    </row>
    <row r="234" spans="1:8">
      <c r="A234" s="1600" t="s">
        <v>912</v>
      </c>
      <c r="B234" s="1599"/>
      <c r="C234" s="1599"/>
      <c r="D234" s="1599"/>
      <c r="E234" s="1599"/>
      <c r="F234" s="1599"/>
      <c r="G234" s="1599"/>
      <c r="H234" s="1599"/>
    </row>
    <row r="235" spans="1:8">
      <c r="A235" s="1600" t="s">
        <v>913</v>
      </c>
      <c r="B235" s="1599"/>
      <c r="C235" s="1599"/>
      <c r="D235" s="1599"/>
      <c r="E235" s="1599"/>
      <c r="F235" s="1599"/>
      <c r="G235" s="1599"/>
      <c r="H235" s="1599"/>
    </row>
    <row r="236" spans="1:8">
      <c r="A236" s="1599"/>
      <c r="B236" s="1599"/>
      <c r="C236" s="1599"/>
      <c r="D236" s="1599"/>
      <c r="E236" s="1599"/>
      <c r="F236" s="1599"/>
      <c r="G236" s="1599"/>
      <c r="H236" s="1599"/>
    </row>
    <row r="237" spans="1:8">
      <c r="A237" s="1600" t="s">
        <v>903</v>
      </c>
      <c r="B237" s="1599"/>
      <c r="C237" s="1599"/>
      <c r="D237" s="1599"/>
      <c r="E237" s="1599"/>
      <c r="F237" s="1599"/>
      <c r="G237" s="1599"/>
      <c r="H237" s="1599"/>
    </row>
    <row r="238" spans="1:8">
      <c r="A238" s="1600" t="s">
        <v>904</v>
      </c>
      <c r="B238" s="1599"/>
      <c r="C238" s="1599"/>
      <c r="D238" s="1599"/>
      <c r="E238" s="1599"/>
      <c r="F238" s="1599"/>
      <c r="G238" s="1599"/>
      <c r="H238" s="1599"/>
    </row>
    <row r="239" spans="1:8">
      <c r="A239" s="1600" t="s">
        <v>905</v>
      </c>
      <c r="B239" s="1599"/>
      <c r="C239" s="1599"/>
      <c r="D239" s="1599"/>
      <c r="E239" s="1599"/>
      <c r="F239" s="1599"/>
      <c r="G239" s="1599"/>
      <c r="H239" s="1599"/>
    </row>
    <row r="240" spans="1:8">
      <c r="A240" s="1600" t="s">
        <v>906</v>
      </c>
      <c r="B240" s="1599"/>
      <c r="C240" s="1599"/>
      <c r="D240" s="1599"/>
      <c r="E240" s="1599"/>
      <c r="F240" s="1599"/>
      <c r="G240" s="1599"/>
      <c r="H240" s="1599"/>
    </row>
    <row r="241" spans="1:8">
      <c r="A241" s="1600" t="s">
        <v>907</v>
      </c>
      <c r="B241" s="1599"/>
      <c r="C241" s="1599"/>
      <c r="D241" s="1599"/>
      <c r="E241" s="1599"/>
      <c r="F241" s="1599"/>
      <c r="G241" s="1599"/>
      <c r="H241" s="1599"/>
    </row>
    <row r="242" spans="1:8">
      <c r="A242" s="1600" t="s">
        <v>908</v>
      </c>
      <c r="B242" s="1599"/>
      <c r="C242" s="1599"/>
      <c r="D242" s="1599"/>
      <c r="E242" s="1599"/>
      <c r="F242" s="1599"/>
      <c r="G242" s="1599"/>
      <c r="H242" s="1599"/>
    </row>
    <row r="243" spans="1:8">
      <c r="A243" s="1599"/>
      <c r="B243" s="1599"/>
      <c r="C243" s="1599"/>
      <c r="D243" s="1599"/>
      <c r="E243" s="1599"/>
      <c r="F243" s="1599"/>
      <c r="G243" s="1599"/>
      <c r="H243" s="1599"/>
    </row>
    <row r="244" spans="1:8">
      <c r="A244" s="1600" t="s">
        <v>893</v>
      </c>
      <c r="B244" s="1599"/>
      <c r="C244" s="1599"/>
      <c r="D244" s="1599"/>
      <c r="E244" s="1599"/>
      <c r="F244" s="1599"/>
      <c r="G244" s="1599"/>
      <c r="H244" s="1599"/>
    </row>
    <row r="245" spans="1:8">
      <c r="A245" s="1600" t="s">
        <v>894</v>
      </c>
      <c r="B245" s="1599"/>
      <c r="C245" s="1599"/>
      <c r="D245" s="1599"/>
      <c r="E245" s="1599"/>
      <c r="F245" s="1599"/>
      <c r="G245" s="1599"/>
      <c r="H245" s="1599"/>
    </row>
    <row r="246" spans="1:8">
      <c r="A246" s="1600" t="s">
        <v>895</v>
      </c>
      <c r="B246" s="1599"/>
      <c r="C246" s="1599"/>
      <c r="D246" s="1599"/>
      <c r="E246" s="1599"/>
      <c r="F246" s="1599"/>
      <c r="G246" s="1599"/>
      <c r="H246" s="1599"/>
    </row>
    <row r="247" spans="1:8">
      <c r="A247" s="1600" t="s">
        <v>896</v>
      </c>
      <c r="B247" s="1599"/>
      <c r="C247" s="1599"/>
      <c r="D247" s="1599"/>
      <c r="E247" s="1599"/>
      <c r="F247" s="1599"/>
      <c r="G247" s="1599"/>
      <c r="H247" s="1599"/>
    </row>
    <row r="248" spans="1:8">
      <c r="A248" s="1600" t="s">
        <v>897</v>
      </c>
      <c r="B248" s="1599"/>
      <c r="C248" s="1599"/>
      <c r="D248" s="1599"/>
      <c r="E248" s="1599"/>
      <c r="F248" s="1599"/>
      <c r="G248" s="1599"/>
      <c r="H248" s="1599"/>
    </row>
    <row r="249" spans="1:8">
      <c r="A249" s="1600" t="s">
        <v>898</v>
      </c>
      <c r="B249" s="1599"/>
      <c r="C249" s="1599"/>
      <c r="D249" s="1599"/>
      <c r="E249" s="1599"/>
      <c r="F249" s="1599"/>
      <c r="G249" s="1599"/>
      <c r="H249" s="1599"/>
    </row>
    <row r="250" spans="1:8">
      <c r="A250" s="1600" t="s">
        <v>899</v>
      </c>
      <c r="B250" s="1599"/>
      <c r="C250" s="1599"/>
      <c r="D250" s="1599"/>
      <c r="E250" s="1599"/>
      <c r="F250" s="1599"/>
      <c r="G250" s="1599"/>
      <c r="H250" s="1599"/>
    </row>
    <row r="251" spans="1:8">
      <c r="A251" s="1600" t="s">
        <v>900</v>
      </c>
      <c r="B251" s="1599"/>
      <c r="C251" s="1599"/>
      <c r="D251" s="1599"/>
      <c r="E251" s="1599"/>
      <c r="F251" s="1599"/>
      <c r="G251" s="1599"/>
      <c r="H251" s="1599"/>
    </row>
    <row r="252" spans="1:8">
      <c r="A252" s="1600" t="s">
        <v>901</v>
      </c>
      <c r="B252" s="1599"/>
      <c r="C252" s="1599"/>
      <c r="D252" s="1599"/>
      <c r="E252" s="1599"/>
      <c r="F252" s="1599"/>
      <c r="G252" s="1599"/>
      <c r="H252" s="1599"/>
    </row>
    <row r="253" spans="1:8">
      <c r="A253" s="1600" t="s">
        <v>902</v>
      </c>
      <c r="B253" s="1599"/>
      <c r="C253" s="1599"/>
      <c r="D253" s="1599"/>
      <c r="E253" s="1599"/>
      <c r="F253" s="1599"/>
      <c r="G253" s="1599"/>
      <c r="H253" s="1599"/>
    </row>
    <row r="254" spans="1:8">
      <c r="A254" s="1599"/>
      <c r="B254" s="1599"/>
      <c r="C254" s="1599"/>
      <c r="D254" s="1599"/>
      <c r="E254" s="1599"/>
      <c r="F254" s="1599"/>
      <c r="G254" s="1599"/>
      <c r="H254" s="1599"/>
    </row>
    <row r="255" spans="1:8">
      <c r="A255" s="1600" t="s">
        <v>891</v>
      </c>
      <c r="B255" s="1599"/>
      <c r="C255" s="1599"/>
      <c r="D255" s="1599"/>
      <c r="E255" s="1599"/>
      <c r="F255" s="1599"/>
      <c r="G255" s="1599"/>
      <c r="H255" s="1599"/>
    </row>
    <row r="256" spans="1:8">
      <c r="A256" s="1600" t="s">
        <v>892</v>
      </c>
      <c r="B256" s="1599"/>
      <c r="C256" s="1599"/>
      <c r="D256" s="1599"/>
      <c r="E256" s="1599"/>
      <c r="F256" s="1599"/>
      <c r="G256" s="1599"/>
      <c r="H256" s="1599"/>
    </row>
    <row r="257" spans="1:8">
      <c r="A257" s="1599"/>
      <c r="B257" s="1599"/>
      <c r="C257" s="1599"/>
      <c r="D257" s="1599"/>
      <c r="E257" s="1599"/>
      <c r="F257" s="1599"/>
      <c r="G257" s="1599"/>
      <c r="H257" s="1599"/>
    </row>
    <row r="258" spans="1:8">
      <c r="A258" s="1600" t="s">
        <v>875</v>
      </c>
      <c r="B258" s="1599"/>
      <c r="C258" s="1599"/>
      <c r="D258" s="1599"/>
      <c r="E258" s="1599"/>
      <c r="F258" s="1599"/>
      <c r="G258" s="1599"/>
      <c r="H258" s="1599"/>
    </row>
    <row r="259" spans="1:8">
      <c r="A259" s="1600" t="s">
        <v>876</v>
      </c>
      <c r="B259" s="1599"/>
      <c r="C259" s="1599"/>
      <c r="D259" s="1599"/>
      <c r="E259" s="1599"/>
      <c r="F259" s="1599"/>
      <c r="G259" s="1599"/>
      <c r="H259" s="1599"/>
    </row>
    <row r="260" spans="1:8">
      <c r="A260" s="1600" t="s">
        <v>877</v>
      </c>
      <c r="B260" s="1599"/>
      <c r="C260" s="1599"/>
      <c r="D260" s="1599"/>
      <c r="E260" s="1599"/>
      <c r="F260" s="1599"/>
      <c r="G260" s="1599"/>
      <c r="H260" s="1599"/>
    </row>
    <row r="261" spans="1:8">
      <c r="A261" s="1600" t="s">
        <v>878</v>
      </c>
      <c r="B261" s="1599"/>
      <c r="C261" s="1599"/>
      <c r="D261" s="1599"/>
      <c r="E261" s="1599"/>
      <c r="F261" s="1599"/>
      <c r="G261" s="1599"/>
      <c r="H261" s="1599"/>
    </row>
    <row r="262" spans="1:8">
      <c r="A262" s="1600" t="s">
        <v>879</v>
      </c>
      <c r="B262" s="1599"/>
      <c r="C262" s="1599"/>
      <c r="D262" s="1599"/>
      <c r="E262" s="1599"/>
      <c r="F262" s="1599"/>
      <c r="G262" s="1599"/>
      <c r="H262" s="1599"/>
    </row>
    <row r="263" spans="1:8">
      <c r="A263" s="1600" t="s">
        <v>880</v>
      </c>
      <c r="B263" s="1599"/>
      <c r="C263" s="1599"/>
      <c r="D263" s="1599"/>
      <c r="E263" s="1599"/>
      <c r="F263" s="1599"/>
      <c r="G263" s="1599"/>
      <c r="H263" s="1599"/>
    </row>
    <row r="264" spans="1:8">
      <c r="A264" s="1600" t="s">
        <v>881</v>
      </c>
      <c r="B264" s="1599"/>
      <c r="C264" s="1599"/>
      <c r="D264" s="1599"/>
      <c r="E264" s="1599"/>
      <c r="F264" s="1599"/>
      <c r="G264" s="1599"/>
      <c r="H264" s="1599"/>
    </row>
    <row r="265" spans="1:8">
      <c r="A265" s="1600" t="s">
        <v>882</v>
      </c>
      <c r="B265" s="1599"/>
      <c r="C265" s="1599"/>
      <c r="D265" s="1599"/>
      <c r="E265" s="1599"/>
      <c r="F265" s="1599"/>
      <c r="G265" s="1599"/>
      <c r="H265" s="1599"/>
    </row>
    <row r="266" spans="1:8">
      <c r="A266" s="1600" t="s">
        <v>883</v>
      </c>
      <c r="B266" s="1599"/>
      <c r="C266" s="1599"/>
      <c r="D266" s="1599"/>
      <c r="E266" s="1599"/>
      <c r="F266" s="1599"/>
      <c r="G266" s="1599"/>
      <c r="H266" s="1599"/>
    </row>
    <row r="267" spans="1:8">
      <c r="A267" s="1600" t="s">
        <v>884</v>
      </c>
      <c r="B267" s="1599"/>
      <c r="C267" s="1599"/>
      <c r="D267" s="1599"/>
      <c r="E267" s="1599"/>
      <c r="F267" s="1599"/>
      <c r="G267" s="1599"/>
      <c r="H267" s="1599"/>
    </row>
    <row r="268" spans="1:8">
      <c r="A268" s="1600" t="s">
        <v>885</v>
      </c>
      <c r="B268" s="1599"/>
      <c r="C268" s="1599"/>
      <c r="D268" s="1599"/>
      <c r="E268" s="1599"/>
      <c r="F268" s="1599"/>
      <c r="G268" s="1599"/>
      <c r="H268" s="1599"/>
    </row>
    <row r="269" spans="1:8">
      <c r="A269" s="1600" t="s">
        <v>886</v>
      </c>
      <c r="B269" s="1599"/>
      <c r="C269" s="1599"/>
      <c r="D269" s="1599"/>
      <c r="E269" s="1599"/>
      <c r="F269" s="1599"/>
      <c r="G269" s="1599"/>
      <c r="H269" s="1599"/>
    </row>
    <row r="270" spans="1:8">
      <c r="A270" s="1600" t="s">
        <v>887</v>
      </c>
      <c r="B270" s="1599"/>
      <c r="C270" s="1599"/>
      <c r="D270" s="1599"/>
      <c r="E270" s="1599"/>
      <c r="F270" s="1599"/>
      <c r="G270" s="1599"/>
      <c r="H270" s="1599"/>
    </row>
    <row r="271" spans="1:8">
      <c r="A271" s="1600" t="s">
        <v>888</v>
      </c>
      <c r="B271" s="1599"/>
      <c r="C271" s="1599"/>
      <c r="D271" s="1599"/>
      <c r="E271" s="1599"/>
      <c r="F271" s="1599"/>
      <c r="G271" s="1599"/>
      <c r="H271" s="1599"/>
    </row>
    <row r="272" spans="1:8">
      <c r="A272" s="1600" t="s">
        <v>889</v>
      </c>
      <c r="B272" s="1599"/>
      <c r="C272" s="1599"/>
      <c r="D272" s="1599"/>
      <c r="E272" s="1599"/>
      <c r="F272" s="1599"/>
      <c r="G272" s="1599"/>
      <c r="H272" s="1599"/>
    </row>
    <row r="273" spans="1:8">
      <c r="A273" s="1600" t="s">
        <v>890</v>
      </c>
      <c r="B273" s="1599"/>
      <c r="C273" s="1599"/>
      <c r="D273" s="1599"/>
      <c r="E273" s="1599"/>
      <c r="F273" s="1599"/>
      <c r="G273" s="1599"/>
      <c r="H273" s="1599"/>
    </row>
    <row r="274" spans="1:8">
      <c r="A274" s="1599"/>
      <c r="B274" s="1599"/>
      <c r="C274" s="1599"/>
      <c r="D274" s="1599"/>
      <c r="E274" s="1599"/>
      <c r="F274" s="1599"/>
      <c r="G274" s="1599"/>
      <c r="H274" s="1599"/>
    </row>
    <row r="275" spans="1:8">
      <c r="A275" s="1600" t="s">
        <v>868</v>
      </c>
      <c r="B275" s="1599"/>
      <c r="C275" s="1599"/>
      <c r="D275" s="1599"/>
      <c r="E275" s="1599"/>
      <c r="F275" s="1599"/>
      <c r="G275" s="1599"/>
      <c r="H275" s="1599"/>
    </row>
    <row r="276" spans="1:8">
      <c r="A276" s="1600" t="s">
        <v>869</v>
      </c>
      <c r="B276" s="1599"/>
      <c r="C276" s="1599"/>
      <c r="D276" s="1599"/>
      <c r="E276" s="1599"/>
      <c r="F276" s="1599"/>
      <c r="G276" s="1599"/>
      <c r="H276" s="1599"/>
    </row>
    <row r="277" spans="1:8">
      <c r="A277" s="1600" t="s">
        <v>870</v>
      </c>
      <c r="B277" s="1599"/>
      <c r="C277" s="1599"/>
      <c r="D277" s="1599"/>
      <c r="E277" s="1599"/>
      <c r="F277" s="1599"/>
      <c r="G277" s="1599"/>
      <c r="H277" s="1599"/>
    </row>
    <row r="278" spans="1:8">
      <c r="A278" s="1600" t="s">
        <v>871</v>
      </c>
      <c r="B278" s="1599"/>
      <c r="C278" s="1599"/>
      <c r="D278" s="1599"/>
      <c r="E278" s="1599"/>
      <c r="F278" s="1599"/>
      <c r="G278" s="1599"/>
      <c r="H278" s="1599"/>
    </row>
    <row r="279" spans="1:8">
      <c r="A279" s="1600" t="s">
        <v>872</v>
      </c>
      <c r="B279" s="1599"/>
      <c r="C279" s="1599"/>
      <c r="D279" s="1599"/>
      <c r="E279" s="1599"/>
      <c r="F279" s="1599"/>
      <c r="G279" s="1599"/>
      <c r="H279" s="1599"/>
    </row>
    <row r="280" spans="1:8">
      <c r="A280" s="1600" t="s">
        <v>873</v>
      </c>
      <c r="B280" s="1599"/>
      <c r="C280" s="1599"/>
      <c r="D280" s="1599"/>
      <c r="E280" s="1599"/>
      <c r="F280" s="1599"/>
      <c r="G280" s="1599"/>
      <c r="H280" s="1599"/>
    </row>
    <row r="281" spans="1:8">
      <c r="A281" s="1600" t="s">
        <v>874</v>
      </c>
      <c r="B281" s="1599"/>
      <c r="C281" s="1599"/>
      <c r="D281" s="1599"/>
      <c r="E281" s="1599"/>
      <c r="F281" s="1599"/>
      <c r="G281" s="1599"/>
      <c r="H281" s="1599"/>
    </row>
    <row r="282" spans="1:8">
      <c r="A282" s="1599"/>
      <c r="B282" s="1599"/>
      <c r="C282" s="1599"/>
      <c r="D282" s="1599"/>
      <c r="E282" s="1599"/>
      <c r="F282" s="1599"/>
      <c r="G282" s="1599"/>
      <c r="H282" s="1599"/>
    </row>
    <row r="283" spans="1:8">
      <c r="A283" s="1600" t="s">
        <v>859</v>
      </c>
      <c r="B283" s="1599"/>
      <c r="C283" s="1599"/>
      <c r="D283" s="1599"/>
      <c r="E283" s="1599"/>
      <c r="F283" s="1599"/>
      <c r="G283" s="1599"/>
      <c r="H283" s="1599"/>
    </row>
    <row r="284" spans="1:8">
      <c r="A284" s="1600" t="s">
        <v>860</v>
      </c>
      <c r="B284" s="1599"/>
      <c r="C284" s="1599"/>
      <c r="D284" s="1599"/>
      <c r="E284" s="1599"/>
      <c r="F284" s="1599"/>
      <c r="G284" s="1599"/>
      <c r="H284" s="1599"/>
    </row>
    <row r="285" spans="1:8">
      <c r="A285" s="1600" t="s">
        <v>861</v>
      </c>
      <c r="B285" s="1599"/>
      <c r="C285" s="1599"/>
      <c r="D285" s="1599"/>
      <c r="E285" s="1599"/>
      <c r="F285" s="1599"/>
      <c r="G285" s="1599"/>
      <c r="H285" s="1599"/>
    </row>
    <row r="286" spans="1:8">
      <c r="A286" s="1600" t="s">
        <v>862</v>
      </c>
      <c r="B286" s="1599"/>
      <c r="C286" s="1599"/>
      <c r="D286" s="1599"/>
      <c r="E286" s="1599"/>
      <c r="F286" s="1599"/>
      <c r="G286" s="1599"/>
      <c r="H286" s="1599"/>
    </row>
    <row r="287" spans="1:8">
      <c r="A287" s="1600" t="s">
        <v>863</v>
      </c>
      <c r="B287" s="1599"/>
      <c r="C287" s="1599"/>
      <c r="D287" s="1599"/>
      <c r="E287" s="1599"/>
      <c r="F287" s="1599"/>
      <c r="G287" s="1599"/>
      <c r="H287" s="1599"/>
    </row>
    <row r="288" spans="1:8">
      <c r="A288" s="1600" t="s">
        <v>864</v>
      </c>
      <c r="B288" s="1599"/>
      <c r="C288" s="1599"/>
      <c r="D288" s="1599"/>
      <c r="E288" s="1599"/>
      <c r="F288" s="1599"/>
      <c r="G288" s="1599"/>
      <c r="H288" s="1599"/>
    </row>
    <row r="289" spans="1:8">
      <c r="A289" s="1600" t="s">
        <v>865</v>
      </c>
      <c r="B289" s="1599"/>
      <c r="C289" s="1599"/>
      <c r="D289" s="1599"/>
      <c r="E289" s="1599"/>
      <c r="F289" s="1599"/>
      <c r="G289" s="1599"/>
      <c r="H289" s="1599"/>
    </row>
    <row r="290" spans="1:8">
      <c r="A290" s="1600" t="s">
        <v>866</v>
      </c>
      <c r="B290" s="1599"/>
      <c r="C290" s="1599"/>
      <c r="D290" s="1599"/>
      <c r="E290" s="1599"/>
      <c r="F290" s="1599"/>
      <c r="G290" s="1599"/>
      <c r="H290" s="1599"/>
    </row>
    <row r="291" spans="1:8">
      <c r="A291" s="1600" t="s">
        <v>867</v>
      </c>
      <c r="B291" s="1599"/>
      <c r="C291" s="1599"/>
      <c r="D291" s="1599"/>
      <c r="E291" s="1599"/>
      <c r="F291" s="1599"/>
      <c r="G291" s="1599"/>
      <c r="H291" s="1599"/>
    </row>
    <row r="292" spans="1:8">
      <c r="A292" s="1599"/>
      <c r="B292" s="1599"/>
      <c r="C292" s="1599"/>
      <c r="D292" s="1599"/>
      <c r="E292" s="1599"/>
      <c r="F292" s="1599"/>
      <c r="G292" s="1599"/>
      <c r="H292" s="1599"/>
    </row>
    <row r="293" spans="1:8">
      <c r="A293" s="1600" t="s">
        <v>852</v>
      </c>
      <c r="B293" s="1599"/>
      <c r="C293" s="1599"/>
      <c r="D293" s="1599"/>
      <c r="E293" s="1599"/>
      <c r="F293" s="1599"/>
      <c r="G293" s="1599"/>
      <c r="H293" s="1599"/>
    </row>
    <row r="294" spans="1:8">
      <c r="A294" s="1600" t="s">
        <v>853</v>
      </c>
      <c r="B294" s="1599"/>
      <c r="C294" s="1599"/>
      <c r="D294" s="1599"/>
      <c r="E294" s="1599"/>
      <c r="F294" s="1599"/>
      <c r="G294" s="1599"/>
      <c r="H294" s="1599"/>
    </row>
    <row r="295" spans="1:8">
      <c r="A295" s="1600" t="s">
        <v>854</v>
      </c>
      <c r="B295" s="1599"/>
      <c r="C295" s="1599"/>
      <c r="D295" s="1599"/>
      <c r="E295" s="1599"/>
      <c r="F295" s="1599"/>
      <c r="G295" s="1599"/>
      <c r="H295" s="1599"/>
    </row>
    <row r="296" spans="1:8">
      <c r="A296" s="1600" t="s">
        <v>855</v>
      </c>
      <c r="B296" s="1599"/>
      <c r="C296" s="1599"/>
      <c r="D296" s="1599"/>
      <c r="E296" s="1599"/>
      <c r="F296" s="1599"/>
      <c r="G296" s="1599"/>
      <c r="H296" s="1599"/>
    </row>
    <row r="297" spans="1:8">
      <c r="A297" s="1600" t="s">
        <v>856</v>
      </c>
      <c r="B297" s="1599"/>
      <c r="C297" s="1599"/>
      <c r="D297" s="1599"/>
      <c r="E297" s="1599"/>
      <c r="F297" s="1599"/>
      <c r="G297" s="1599"/>
      <c r="H297" s="1599"/>
    </row>
    <row r="298" spans="1:8">
      <c r="A298" s="1600" t="s">
        <v>857</v>
      </c>
      <c r="B298" s="1599"/>
      <c r="C298" s="1599"/>
      <c r="D298" s="1599"/>
      <c r="E298" s="1599"/>
      <c r="F298" s="1599"/>
      <c r="G298" s="1599"/>
      <c r="H298" s="1599"/>
    </row>
    <row r="299" spans="1:8">
      <c r="A299" s="1600" t="s">
        <v>858</v>
      </c>
      <c r="B299" s="1599"/>
      <c r="C299" s="1599"/>
      <c r="D299" s="1599"/>
      <c r="E299" s="1599"/>
      <c r="F299" s="1599"/>
      <c r="G299" s="1599"/>
      <c r="H299" s="1599"/>
    </row>
    <row r="300" spans="1:8">
      <c r="A300" s="1599"/>
      <c r="B300" s="1599"/>
      <c r="C300" s="1599"/>
      <c r="D300" s="1599"/>
      <c r="E300" s="1599"/>
      <c r="F300" s="1599"/>
      <c r="G300" s="1599"/>
      <c r="H300" s="1599"/>
    </row>
    <row r="301" spans="1:8">
      <c r="A301" s="1600" t="s">
        <v>849</v>
      </c>
      <c r="B301" s="1599"/>
      <c r="C301" s="1599"/>
      <c r="D301" s="1599"/>
      <c r="E301" s="1599"/>
      <c r="F301" s="1599"/>
      <c r="G301" s="1599"/>
      <c r="H301" s="1599"/>
    </row>
    <row r="302" spans="1:8">
      <c r="A302" s="1600" t="s">
        <v>850</v>
      </c>
      <c r="B302" s="1599"/>
      <c r="C302" s="1599"/>
      <c r="D302" s="1599"/>
      <c r="E302" s="1599"/>
      <c r="F302" s="1599"/>
      <c r="G302" s="1599"/>
      <c r="H302" s="1599"/>
    </row>
    <row r="303" spans="1:8">
      <c r="A303" s="1600" t="s">
        <v>851</v>
      </c>
      <c r="B303" s="1599"/>
      <c r="C303" s="1599"/>
      <c r="D303" s="1599"/>
      <c r="E303" s="1599"/>
      <c r="F303" s="1599"/>
      <c r="G303" s="1599"/>
      <c r="H303" s="1599"/>
    </row>
    <row r="304" spans="1:8">
      <c r="A304" s="1599"/>
      <c r="B304" s="1599"/>
      <c r="C304" s="1599"/>
      <c r="D304" s="1599"/>
      <c r="E304" s="1599"/>
      <c r="F304" s="1599"/>
      <c r="G304" s="1599"/>
      <c r="H304" s="1599"/>
    </row>
    <row r="305" spans="1:8">
      <c r="A305" s="1600" t="s">
        <v>847</v>
      </c>
      <c r="B305" s="1599"/>
      <c r="C305" s="1599"/>
      <c r="D305" s="1599"/>
      <c r="E305" s="1599"/>
      <c r="F305" s="1599"/>
      <c r="G305" s="1599"/>
      <c r="H305" s="1599"/>
    </row>
    <row r="306" spans="1:8">
      <c r="A306" s="1600" t="s">
        <v>848</v>
      </c>
      <c r="B306" s="1599"/>
      <c r="C306" s="1599"/>
      <c r="D306" s="1599"/>
      <c r="E306" s="1599"/>
      <c r="F306" s="1599"/>
      <c r="G306" s="1599"/>
      <c r="H306" s="1599"/>
    </row>
    <row r="307" spans="1:8">
      <c r="A307" s="1599"/>
      <c r="B307" s="1599"/>
      <c r="C307" s="1599"/>
      <c r="D307" s="1599"/>
      <c r="E307" s="1599"/>
      <c r="F307" s="1599"/>
      <c r="G307" s="1599"/>
      <c r="H307" s="1599"/>
    </row>
    <row r="308" spans="1:8">
      <c r="A308" s="1600" t="s">
        <v>834</v>
      </c>
      <c r="B308" s="1599"/>
      <c r="C308" s="1599"/>
      <c r="D308" s="1599"/>
      <c r="E308" s="1599"/>
      <c r="F308" s="1599"/>
      <c r="G308" s="1599"/>
      <c r="H308" s="1599"/>
    </row>
    <row r="309" spans="1:8">
      <c r="A309" s="1600" t="s">
        <v>835</v>
      </c>
      <c r="B309" s="1599"/>
      <c r="C309" s="1599"/>
      <c r="D309" s="1599"/>
      <c r="E309" s="1599"/>
      <c r="F309" s="1599"/>
      <c r="G309" s="1599"/>
      <c r="H309" s="1599"/>
    </row>
    <row r="310" spans="1:8">
      <c r="A310" s="1600" t="s">
        <v>836</v>
      </c>
      <c r="B310" s="1599"/>
      <c r="C310" s="1599"/>
      <c r="D310" s="1599"/>
      <c r="E310" s="1599"/>
      <c r="F310" s="1599"/>
      <c r="G310" s="1599"/>
      <c r="H310" s="1599"/>
    </row>
    <row r="311" spans="1:8">
      <c r="A311" s="1600" t="s">
        <v>837</v>
      </c>
      <c r="B311" s="1599"/>
      <c r="C311" s="1599"/>
      <c r="D311" s="1599"/>
      <c r="E311" s="1599"/>
      <c r="F311" s="1599"/>
      <c r="G311" s="1599"/>
      <c r="H311" s="1599"/>
    </row>
    <row r="312" spans="1:8">
      <c r="A312" s="1600" t="s">
        <v>838</v>
      </c>
      <c r="B312" s="1599"/>
      <c r="C312" s="1599"/>
      <c r="D312" s="1599"/>
      <c r="E312" s="1599"/>
      <c r="F312" s="1599"/>
      <c r="G312" s="1599"/>
      <c r="H312" s="1599"/>
    </row>
    <row r="313" spans="1:8">
      <c r="A313" s="1600" t="s">
        <v>839</v>
      </c>
      <c r="B313" s="1599"/>
      <c r="C313" s="1599"/>
      <c r="D313" s="1599"/>
      <c r="E313" s="1599"/>
      <c r="F313" s="1599"/>
      <c r="G313" s="1599"/>
      <c r="H313" s="1599"/>
    </row>
    <row r="314" spans="1:8">
      <c r="A314" s="1600" t="s">
        <v>840</v>
      </c>
      <c r="B314" s="1599"/>
      <c r="C314" s="1599"/>
      <c r="D314" s="1599"/>
      <c r="E314" s="1599"/>
      <c r="F314" s="1599"/>
      <c r="G314" s="1599"/>
      <c r="H314" s="1599"/>
    </row>
    <row r="315" spans="1:8">
      <c r="A315" s="1600" t="s">
        <v>841</v>
      </c>
      <c r="B315" s="1599"/>
      <c r="C315" s="1599"/>
      <c r="D315" s="1599"/>
      <c r="E315" s="1599"/>
      <c r="F315" s="1599"/>
      <c r="G315" s="1599"/>
      <c r="H315" s="1599"/>
    </row>
    <row r="316" spans="1:8">
      <c r="A316" s="1600" t="s">
        <v>842</v>
      </c>
      <c r="B316" s="1599"/>
      <c r="C316" s="1599"/>
      <c r="D316" s="1599"/>
      <c r="E316" s="1599"/>
      <c r="F316" s="1599"/>
      <c r="G316" s="1599"/>
      <c r="H316" s="1599"/>
    </row>
    <row r="317" spans="1:8">
      <c r="A317" s="1600" t="s">
        <v>843</v>
      </c>
      <c r="B317" s="1599"/>
      <c r="C317" s="1599"/>
      <c r="D317" s="1599"/>
      <c r="E317" s="1599"/>
      <c r="F317" s="1599"/>
      <c r="G317" s="1599"/>
      <c r="H317" s="1599"/>
    </row>
    <row r="318" spans="1:8">
      <c r="A318" s="1600" t="s">
        <v>844</v>
      </c>
      <c r="B318" s="1599"/>
      <c r="C318" s="1599"/>
      <c r="D318" s="1599"/>
      <c r="E318" s="1599"/>
      <c r="F318" s="1599"/>
      <c r="G318" s="1599"/>
      <c r="H318" s="1599"/>
    </row>
    <row r="319" spans="1:8">
      <c r="A319" s="1600" t="s">
        <v>845</v>
      </c>
      <c r="B319" s="1599"/>
      <c r="C319" s="1599"/>
      <c r="D319" s="1599"/>
      <c r="E319" s="1599"/>
      <c r="F319" s="1599"/>
      <c r="G319" s="1599"/>
      <c r="H319" s="1599"/>
    </row>
    <row r="320" spans="1:8">
      <c r="A320" s="1600" t="s">
        <v>846</v>
      </c>
      <c r="B320" s="1599"/>
      <c r="C320" s="1599"/>
      <c r="D320" s="1599"/>
      <c r="E320" s="1599"/>
      <c r="F320" s="1599"/>
      <c r="G320" s="1599"/>
      <c r="H320" s="1599"/>
    </row>
    <row r="321" spans="1:8">
      <c r="A321" s="1599"/>
      <c r="B321" s="1599"/>
      <c r="C321" s="1599"/>
      <c r="D321" s="1599"/>
      <c r="E321" s="1599"/>
      <c r="F321" s="1599"/>
      <c r="G321" s="1599"/>
      <c r="H321" s="1599"/>
    </row>
    <row r="322" spans="1:8">
      <c r="A322" s="1600" t="s">
        <v>826</v>
      </c>
      <c r="B322" s="1599"/>
      <c r="C322" s="1599"/>
      <c r="D322" s="1599"/>
      <c r="E322" s="1599"/>
      <c r="F322" s="1599"/>
      <c r="G322" s="1599"/>
      <c r="H322" s="1599"/>
    </row>
    <row r="323" spans="1:8">
      <c r="A323" s="1600" t="s">
        <v>827</v>
      </c>
      <c r="B323" s="1599"/>
      <c r="C323" s="1599"/>
      <c r="D323" s="1599"/>
      <c r="E323" s="1599"/>
      <c r="F323" s="1599"/>
      <c r="G323" s="1599"/>
      <c r="H323" s="1599"/>
    </row>
    <row r="324" spans="1:8">
      <c r="A324" s="1600" t="s">
        <v>828</v>
      </c>
      <c r="B324" s="1599"/>
      <c r="C324" s="1599"/>
      <c r="D324" s="1599"/>
      <c r="E324" s="1599"/>
      <c r="F324" s="1599"/>
      <c r="G324" s="1599"/>
      <c r="H324" s="1599"/>
    </row>
    <row r="325" spans="1:8">
      <c r="A325" s="1600" t="s">
        <v>829</v>
      </c>
      <c r="B325" s="1599"/>
      <c r="C325" s="1599"/>
      <c r="D325" s="1599"/>
      <c r="E325" s="1599"/>
      <c r="F325" s="1599"/>
      <c r="G325" s="1599"/>
      <c r="H325" s="1599"/>
    </row>
    <row r="326" spans="1:8">
      <c r="A326" s="1600" t="s">
        <v>830</v>
      </c>
      <c r="B326" s="1599"/>
      <c r="C326" s="1599"/>
      <c r="D326" s="1599"/>
      <c r="E326" s="1599"/>
      <c r="F326" s="1599"/>
      <c r="G326" s="1599"/>
      <c r="H326" s="1599"/>
    </row>
    <row r="327" spans="1:8">
      <c r="A327" s="1600" t="s">
        <v>831</v>
      </c>
      <c r="B327" s="1599"/>
      <c r="C327" s="1599"/>
      <c r="D327" s="1599"/>
      <c r="E327" s="1599"/>
      <c r="F327" s="1599"/>
      <c r="G327" s="1599"/>
      <c r="H327" s="1599"/>
    </row>
    <row r="328" spans="1:8">
      <c r="A328" s="1600" t="s">
        <v>832</v>
      </c>
      <c r="B328" s="1599"/>
      <c r="C328" s="1599"/>
      <c r="D328" s="1599"/>
      <c r="E328" s="1599"/>
      <c r="F328" s="1599"/>
      <c r="G328" s="1599"/>
      <c r="H328" s="1599"/>
    </row>
    <row r="329" spans="1:8">
      <c r="A329" s="1600" t="s">
        <v>833</v>
      </c>
      <c r="B329" s="1599"/>
      <c r="C329" s="1599"/>
      <c r="D329" s="1599"/>
      <c r="E329" s="1599"/>
      <c r="F329" s="1599"/>
      <c r="G329" s="1599"/>
      <c r="H329" s="1599"/>
    </row>
    <row r="330" spans="1:8">
      <c r="A330" s="1599"/>
      <c r="B330" s="1599"/>
      <c r="C330" s="1599"/>
      <c r="D330" s="1599"/>
      <c r="E330" s="1599"/>
      <c r="F330" s="1599"/>
      <c r="G330" s="1599"/>
      <c r="H330" s="1599"/>
    </row>
    <row r="331" spans="1:8">
      <c r="A331" s="1600" t="s">
        <v>791</v>
      </c>
      <c r="B331" s="1599"/>
      <c r="C331" s="1599"/>
      <c r="D331" s="1599"/>
      <c r="E331" s="1599"/>
      <c r="F331" s="1599"/>
      <c r="G331" s="1599"/>
      <c r="H331" s="1599"/>
    </row>
    <row r="332" spans="1:8">
      <c r="A332" s="1600" t="s">
        <v>792</v>
      </c>
      <c r="B332" s="1599"/>
      <c r="C332" s="1599"/>
      <c r="D332" s="1599"/>
      <c r="E332" s="1599"/>
      <c r="F332" s="1599"/>
      <c r="G332" s="1599"/>
      <c r="H332" s="1599"/>
    </row>
    <row r="333" spans="1:8">
      <c r="A333" s="1600" t="s">
        <v>793</v>
      </c>
      <c r="B333" s="1599"/>
      <c r="C333" s="1599"/>
      <c r="D333" s="1599"/>
      <c r="E333" s="1599"/>
      <c r="F333" s="1599"/>
      <c r="G333" s="1599"/>
      <c r="H333" s="1599"/>
    </row>
    <row r="334" spans="1:8">
      <c r="A334" s="1600" t="s">
        <v>794</v>
      </c>
      <c r="B334" s="1599"/>
      <c r="C334" s="1599"/>
      <c r="D334" s="1599"/>
      <c r="E334" s="1599"/>
      <c r="F334" s="1599"/>
      <c r="G334" s="1599"/>
      <c r="H334" s="1599"/>
    </row>
    <row r="335" spans="1:8">
      <c r="A335" s="1600" t="s">
        <v>795</v>
      </c>
      <c r="B335" s="1599"/>
      <c r="C335" s="1599"/>
      <c r="D335" s="1599"/>
      <c r="E335" s="1599"/>
      <c r="F335" s="1599"/>
      <c r="G335" s="1599"/>
      <c r="H335" s="1599"/>
    </row>
    <row r="336" spans="1:8">
      <c r="A336" s="1600" t="s">
        <v>796</v>
      </c>
      <c r="B336" s="1599"/>
      <c r="C336" s="1599"/>
      <c r="D336" s="1599"/>
      <c r="E336" s="1599"/>
      <c r="F336" s="1599"/>
      <c r="G336" s="1599"/>
      <c r="H336" s="1599"/>
    </row>
    <row r="337" spans="1:8">
      <c r="A337" s="1600" t="s">
        <v>797</v>
      </c>
      <c r="B337" s="1599"/>
      <c r="C337" s="1599"/>
      <c r="D337" s="1599"/>
      <c r="E337" s="1599"/>
      <c r="F337" s="1599"/>
      <c r="G337" s="1599"/>
      <c r="H337" s="1599"/>
    </row>
    <row r="338" spans="1:8">
      <c r="A338" s="1600" t="s">
        <v>798</v>
      </c>
      <c r="B338" s="1599"/>
      <c r="C338" s="1599"/>
      <c r="D338" s="1599"/>
      <c r="E338" s="1599"/>
      <c r="F338" s="1599"/>
      <c r="G338" s="1599"/>
      <c r="H338" s="1599"/>
    </row>
    <row r="339" spans="1:8">
      <c r="A339" s="1600" t="s">
        <v>799</v>
      </c>
      <c r="B339" s="1599"/>
      <c r="C339" s="1599"/>
      <c r="D339" s="1599"/>
      <c r="E339" s="1599"/>
      <c r="F339" s="1599"/>
      <c r="G339" s="1599"/>
      <c r="H339" s="1599"/>
    </row>
    <row r="340" spans="1:8">
      <c r="A340" s="1600" t="s">
        <v>800</v>
      </c>
      <c r="B340" s="1599"/>
      <c r="C340" s="1599"/>
      <c r="D340" s="1599"/>
      <c r="E340" s="1599"/>
      <c r="F340" s="1599"/>
      <c r="G340" s="1599"/>
      <c r="H340" s="1599"/>
    </row>
    <row r="341" spans="1:8">
      <c r="A341" s="1600" t="s">
        <v>801</v>
      </c>
      <c r="B341" s="1599"/>
      <c r="C341" s="1599"/>
      <c r="D341" s="1599"/>
      <c r="E341" s="1599"/>
      <c r="F341" s="1599"/>
      <c r="G341" s="1599"/>
      <c r="H341" s="1599"/>
    </row>
    <row r="342" spans="1:8">
      <c r="A342" s="1600" t="s">
        <v>802</v>
      </c>
      <c r="B342" s="1599"/>
      <c r="C342" s="1599"/>
      <c r="D342" s="1599"/>
      <c r="E342" s="1599"/>
      <c r="F342" s="1599"/>
      <c r="G342" s="1599"/>
      <c r="H342" s="1599"/>
    </row>
    <row r="343" spans="1:8">
      <c r="A343" s="1600" t="s">
        <v>803</v>
      </c>
      <c r="B343" s="1599"/>
      <c r="C343" s="1599"/>
      <c r="D343" s="1599"/>
      <c r="E343" s="1599"/>
      <c r="F343" s="1599"/>
      <c r="G343" s="1599"/>
      <c r="H343" s="1599"/>
    </row>
    <row r="344" spans="1:8">
      <c r="A344" s="1600" t="s">
        <v>804</v>
      </c>
      <c r="B344" s="1599"/>
      <c r="C344" s="1599"/>
      <c r="D344" s="1599"/>
      <c r="E344" s="1599"/>
      <c r="F344" s="1599"/>
      <c r="G344" s="1599"/>
      <c r="H344" s="1599"/>
    </row>
    <row r="345" spans="1:8">
      <c r="A345" s="1600" t="s">
        <v>805</v>
      </c>
      <c r="B345" s="1599"/>
      <c r="C345" s="1599"/>
      <c r="D345" s="1599"/>
      <c r="E345" s="1599"/>
      <c r="F345" s="1599"/>
      <c r="G345" s="1599"/>
      <c r="H345" s="1599"/>
    </row>
    <row r="346" spans="1:8">
      <c r="A346" s="1600" t="s">
        <v>806</v>
      </c>
      <c r="B346" s="1599"/>
      <c r="C346" s="1599"/>
      <c r="D346" s="1599"/>
      <c r="E346" s="1599"/>
      <c r="F346" s="1599"/>
      <c r="G346" s="1599"/>
      <c r="H346" s="1599"/>
    </row>
    <row r="347" spans="1:8">
      <c r="A347" s="1600" t="s">
        <v>807</v>
      </c>
      <c r="B347" s="1599"/>
      <c r="C347" s="1599"/>
      <c r="D347" s="1599"/>
      <c r="E347" s="1599"/>
      <c r="F347" s="1599"/>
      <c r="G347" s="1599"/>
      <c r="H347" s="1599"/>
    </row>
    <row r="348" spans="1:8">
      <c r="A348" s="1600" t="s">
        <v>808</v>
      </c>
      <c r="B348" s="1599"/>
      <c r="C348" s="1599"/>
      <c r="D348" s="1599"/>
      <c r="E348" s="1599"/>
      <c r="F348" s="1599"/>
      <c r="G348" s="1599"/>
      <c r="H348" s="1599"/>
    </row>
    <row r="349" spans="1:8">
      <c r="A349" s="1600" t="s">
        <v>809</v>
      </c>
      <c r="B349" s="1599"/>
      <c r="C349" s="1599"/>
      <c r="D349" s="1599"/>
      <c r="E349" s="1599"/>
      <c r="F349" s="1599"/>
      <c r="G349" s="1599"/>
      <c r="H349" s="1599"/>
    </row>
    <row r="350" spans="1:8">
      <c r="A350" s="1600" t="s">
        <v>810</v>
      </c>
      <c r="B350" s="1599"/>
      <c r="C350" s="1599"/>
      <c r="D350" s="1599"/>
      <c r="E350" s="1599"/>
      <c r="F350" s="1599"/>
      <c r="G350" s="1599"/>
      <c r="H350" s="1599"/>
    </row>
    <row r="351" spans="1:8">
      <c r="A351" s="1600" t="s">
        <v>811</v>
      </c>
      <c r="B351" s="1599"/>
      <c r="C351" s="1599"/>
      <c r="D351" s="1599"/>
      <c r="E351" s="1599"/>
      <c r="F351" s="1599"/>
      <c r="G351" s="1599"/>
      <c r="H351" s="1599"/>
    </row>
    <row r="352" spans="1:8">
      <c r="A352" s="1600" t="s">
        <v>812</v>
      </c>
      <c r="B352" s="1599"/>
      <c r="C352" s="1599"/>
      <c r="D352" s="1599"/>
      <c r="E352" s="1599"/>
      <c r="F352" s="1599"/>
      <c r="G352" s="1599"/>
      <c r="H352" s="1599"/>
    </row>
    <row r="353" spans="1:8">
      <c r="A353" s="1600" t="s">
        <v>813</v>
      </c>
      <c r="B353" s="1599"/>
      <c r="C353" s="1599"/>
      <c r="D353" s="1599"/>
      <c r="E353" s="1599"/>
      <c r="F353" s="1599"/>
      <c r="G353" s="1599"/>
      <c r="H353" s="1599"/>
    </row>
    <row r="354" spans="1:8">
      <c r="A354" s="1600" t="s">
        <v>814</v>
      </c>
      <c r="B354" s="1599"/>
      <c r="C354" s="1599"/>
      <c r="D354" s="1599"/>
      <c r="E354" s="1599"/>
      <c r="F354" s="1599"/>
      <c r="G354" s="1599"/>
      <c r="H354" s="1599"/>
    </row>
    <row r="355" spans="1:8">
      <c r="A355" s="1600" t="s">
        <v>815</v>
      </c>
      <c r="B355" s="1599"/>
      <c r="C355" s="1599"/>
      <c r="D355" s="1599"/>
      <c r="E355" s="1599"/>
      <c r="F355" s="1599"/>
      <c r="G355" s="1599"/>
      <c r="H355" s="1599"/>
    </row>
    <row r="356" spans="1:8">
      <c r="A356" s="1600" t="s">
        <v>816</v>
      </c>
      <c r="B356" s="1599"/>
      <c r="C356" s="1599"/>
      <c r="D356" s="1599"/>
      <c r="E356" s="1599"/>
      <c r="F356" s="1599"/>
      <c r="G356" s="1599"/>
      <c r="H356" s="1599"/>
    </row>
    <row r="357" spans="1:8">
      <c r="A357" s="1600" t="s">
        <v>817</v>
      </c>
      <c r="B357" s="1599"/>
      <c r="C357" s="1599"/>
      <c r="D357" s="1599"/>
      <c r="E357" s="1599"/>
      <c r="F357" s="1599"/>
      <c r="G357" s="1599"/>
      <c r="H357" s="1599"/>
    </row>
    <row r="358" spans="1:8">
      <c r="A358" s="1600" t="s">
        <v>818</v>
      </c>
      <c r="B358" s="1599"/>
      <c r="C358" s="1599"/>
      <c r="D358" s="1599"/>
      <c r="E358" s="1599"/>
      <c r="F358" s="1599"/>
      <c r="G358" s="1599"/>
      <c r="H358" s="1599"/>
    </row>
    <row r="359" spans="1:8">
      <c r="A359" s="1600" t="s">
        <v>819</v>
      </c>
      <c r="B359" s="1599"/>
      <c r="C359" s="1599"/>
      <c r="D359" s="1599"/>
      <c r="E359" s="1599"/>
      <c r="F359" s="1599"/>
      <c r="G359" s="1599"/>
      <c r="H359" s="1599"/>
    </row>
    <row r="360" spans="1:8">
      <c r="A360" s="1600" t="s">
        <v>820</v>
      </c>
      <c r="B360" s="1599"/>
      <c r="C360" s="1599"/>
      <c r="D360" s="1599"/>
      <c r="E360" s="1599"/>
      <c r="F360" s="1599"/>
      <c r="G360" s="1599"/>
      <c r="H360" s="1599"/>
    </row>
    <row r="361" spans="1:8">
      <c r="A361" s="1600" t="s">
        <v>821</v>
      </c>
      <c r="B361" s="1599"/>
      <c r="C361" s="1599"/>
      <c r="D361" s="1599"/>
      <c r="E361" s="1599"/>
      <c r="F361" s="1599"/>
      <c r="G361" s="1599"/>
      <c r="H361" s="1599"/>
    </row>
    <row r="362" spans="1:8">
      <c r="A362" s="1600" t="s">
        <v>822</v>
      </c>
      <c r="B362" s="1599"/>
      <c r="C362" s="1599"/>
      <c r="D362" s="1599"/>
      <c r="E362" s="1599"/>
      <c r="F362" s="1599"/>
      <c r="G362" s="1599"/>
      <c r="H362" s="1599"/>
    </row>
    <row r="363" spans="1:8">
      <c r="A363" s="1600" t="s">
        <v>823</v>
      </c>
      <c r="B363" s="1599"/>
      <c r="C363" s="1599"/>
      <c r="D363" s="1599"/>
      <c r="E363" s="1599"/>
      <c r="F363" s="1599"/>
      <c r="G363" s="1599"/>
      <c r="H363" s="1599"/>
    </row>
    <row r="364" spans="1:8">
      <c r="A364" s="1600" t="s">
        <v>824</v>
      </c>
      <c r="B364" s="1599"/>
      <c r="C364" s="1599"/>
      <c r="D364" s="1599"/>
      <c r="E364" s="1599"/>
      <c r="F364" s="1599"/>
      <c r="G364" s="1599"/>
      <c r="H364" s="1599"/>
    </row>
    <row r="365" spans="1:8">
      <c r="A365" s="1600" t="s">
        <v>825</v>
      </c>
      <c r="B365" s="1599"/>
      <c r="C365" s="1599"/>
      <c r="D365" s="1599"/>
      <c r="E365" s="1599"/>
      <c r="F365" s="1599"/>
      <c r="G365" s="1599"/>
      <c r="H365" s="1599"/>
    </row>
    <row r="366" spans="1:8">
      <c r="A366" s="1599"/>
      <c r="B366" s="1599"/>
      <c r="C366" s="1599"/>
      <c r="D366" s="1599"/>
      <c r="E366" s="1599"/>
      <c r="F366" s="1599"/>
      <c r="G366" s="1599"/>
      <c r="H366" s="1599"/>
    </row>
    <row r="367" spans="1:8">
      <c r="A367" s="1600" t="s">
        <v>783</v>
      </c>
      <c r="B367" s="1599"/>
      <c r="C367" s="1599"/>
      <c r="D367" s="1599"/>
      <c r="E367" s="1599"/>
      <c r="F367" s="1599"/>
      <c r="G367" s="1599"/>
      <c r="H367" s="1599"/>
    </row>
    <row r="368" spans="1:8">
      <c r="A368" s="1600" t="s">
        <v>787</v>
      </c>
      <c r="B368" s="1599"/>
      <c r="C368" s="1599"/>
      <c r="D368" s="1599"/>
      <c r="E368" s="1599"/>
      <c r="F368" s="1599"/>
      <c r="G368" s="1599"/>
      <c r="H368" s="1599"/>
    </row>
    <row r="369" spans="1:8">
      <c r="A369" s="1600" t="s">
        <v>788</v>
      </c>
      <c r="B369" s="1599"/>
      <c r="C369" s="1599"/>
      <c r="D369" s="1599"/>
      <c r="E369" s="1599"/>
      <c r="F369" s="1599"/>
      <c r="G369" s="1599"/>
      <c r="H369" s="1599"/>
    </row>
    <row r="370" spans="1:8">
      <c r="A370" s="1600" t="s">
        <v>789</v>
      </c>
      <c r="B370" s="1599"/>
      <c r="C370" s="1599"/>
      <c r="D370" s="1599"/>
      <c r="E370" s="1599"/>
      <c r="F370" s="1599"/>
      <c r="G370" s="1599"/>
      <c r="H370" s="1599"/>
    </row>
    <row r="371" spans="1:8">
      <c r="A371" s="1600" t="s">
        <v>790</v>
      </c>
      <c r="B371" s="1599"/>
      <c r="C371" s="1599"/>
      <c r="D371" s="1599"/>
      <c r="E371" s="1599"/>
      <c r="F371" s="1599"/>
      <c r="G371" s="1599"/>
      <c r="H371" s="1599"/>
    </row>
    <row r="372" spans="1:8">
      <c r="A372" s="1599"/>
      <c r="B372" s="1599"/>
      <c r="C372" s="1599"/>
      <c r="D372" s="1599"/>
      <c r="E372" s="1599"/>
      <c r="F372" s="1599"/>
      <c r="G372" s="1599"/>
      <c r="H372" s="1599"/>
    </row>
    <row r="373" spans="1:8">
      <c r="A373" s="1600" t="s">
        <v>783</v>
      </c>
      <c r="B373" s="1599"/>
      <c r="C373" s="1599"/>
      <c r="D373" s="1599"/>
      <c r="E373" s="1599"/>
      <c r="F373" s="1599"/>
      <c r="G373" s="1599"/>
      <c r="H373" s="1599"/>
    </row>
    <row r="374" spans="1:8">
      <c r="A374" s="1600" t="s">
        <v>784</v>
      </c>
      <c r="B374" s="1599"/>
      <c r="C374" s="1599"/>
      <c r="D374" s="1599"/>
      <c r="E374" s="1599"/>
      <c r="F374" s="1599"/>
      <c r="G374" s="1599"/>
      <c r="H374" s="1599"/>
    </row>
    <row r="375" spans="1:8">
      <c r="A375" s="1600" t="s">
        <v>785</v>
      </c>
      <c r="B375" s="1599"/>
      <c r="C375" s="1599"/>
      <c r="D375" s="1599"/>
      <c r="E375" s="1599"/>
      <c r="F375" s="1599"/>
      <c r="G375" s="1599"/>
      <c r="H375" s="1599"/>
    </row>
    <row r="376" spans="1:8">
      <c r="A376" s="1600" t="s">
        <v>786</v>
      </c>
      <c r="B376" s="1599"/>
      <c r="C376" s="1599"/>
      <c r="D376" s="1599"/>
      <c r="E376" s="1599"/>
      <c r="F376" s="1599"/>
      <c r="G376" s="1599"/>
      <c r="H376" s="1599"/>
    </row>
    <row r="377" spans="1:8">
      <c r="A377" s="1599"/>
      <c r="B377" s="1599"/>
      <c r="C377" s="1599"/>
      <c r="D377" s="1599"/>
      <c r="E377" s="1599"/>
      <c r="F377" s="1599"/>
      <c r="G377" s="1599"/>
      <c r="H377" s="1599"/>
    </row>
    <row r="378" spans="1:8">
      <c r="A378" s="1600" t="s">
        <v>777</v>
      </c>
      <c r="B378" s="1599"/>
      <c r="C378" s="1599"/>
      <c r="D378" s="1599"/>
      <c r="E378" s="1599"/>
      <c r="F378" s="1599"/>
      <c r="G378" s="1599"/>
      <c r="H378" s="1599"/>
    </row>
    <row r="379" spans="1:8">
      <c r="A379" s="1600" t="s">
        <v>778</v>
      </c>
      <c r="B379" s="1599"/>
      <c r="C379" s="1599"/>
      <c r="D379" s="1599"/>
      <c r="E379" s="1599"/>
      <c r="F379" s="1599"/>
      <c r="G379" s="1599"/>
      <c r="H379" s="1599"/>
    </row>
    <row r="380" spans="1:8">
      <c r="A380" s="1600" t="s">
        <v>779</v>
      </c>
      <c r="B380" s="1599"/>
      <c r="C380" s="1599"/>
      <c r="D380" s="1599"/>
      <c r="E380" s="1599"/>
      <c r="F380" s="1599"/>
      <c r="G380" s="1599"/>
      <c r="H380" s="1599"/>
    </row>
    <row r="381" spans="1:8">
      <c r="A381" s="1600" t="s">
        <v>780</v>
      </c>
      <c r="B381" s="1599"/>
      <c r="C381" s="1599"/>
      <c r="D381" s="1599"/>
      <c r="E381" s="1599"/>
      <c r="F381" s="1599"/>
      <c r="G381" s="1599"/>
      <c r="H381" s="1599"/>
    </row>
    <row r="382" spans="1:8">
      <c r="A382" s="1600" t="s">
        <v>781</v>
      </c>
      <c r="B382" s="1599"/>
      <c r="C382" s="1599"/>
      <c r="D382" s="1599"/>
      <c r="E382" s="1599"/>
      <c r="F382" s="1599"/>
      <c r="G382" s="1599"/>
      <c r="H382" s="1599"/>
    </row>
    <row r="383" spans="1:8">
      <c r="A383" s="1600" t="s">
        <v>782</v>
      </c>
      <c r="B383" s="1599"/>
      <c r="C383" s="1599"/>
      <c r="D383" s="1599"/>
      <c r="E383" s="1599"/>
      <c r="F383" s="1599"/>
      <c r="G383" s="1599"/>
      <c r="H383" s="1599"/>
    </row>
    <row r="384" spans="1:8">
      <c r="A384" s="1599"/>
      <c r="B384" s="1599"/>
      <c r="C384" s="1599"/>
      <c r="D384" s="1599"/>
      <c r="E384" s="1599"/>
      <c r="F384" s="1599"/>
      <c r="G384" s="1599"/>
      <c r="H384" s="1599"/>
    </row>
    <row r="385" spans="1:8">
      <c r="A385" s="1600" t="s">
        <v>772</v>
      </c>
      <c r="B385" s="1599"/>
      <c r="C385" s="1599"/>
      <c r="D385" s="1599"/>
      <c r="E385" s="1599"/>
      <c r="F385" s="1599"/>
      <c r="G385" s="1599"/>
      <c r="H385" s="1599"/>
    </row>
    <row r="386" spans="1:8">
      <c r="A386" s="1600" t="s">
        <v>773</v>
      </c>
      <c r="B386" s="1599"/>
      <c r="C386" s="1599"/>
      <c r="D386" s="1599"/>
      <c r="E386" s="1599"/>
      <c r="F386" s="1599"/>
      <c r="G386" s="1599"/>
      <c r="H386" s="1599"/>
    </row>
    <row r="387" spans="1:8">
      <c r="A387" s="1600" t="s">
        <v>774</v>
      </c>
      <c r="B387" s="1599"/>
      <c r="C387" s="1599"/>
      <c r="D387" s="1599"/>
      <c r="E387" s="1599"/>
      <c r="F387" s="1599"/>
      <c r="G387" s="1599"/>
      <c r="H387" s="1599"/>
    </row>
    <row r="388" spans="1:8">
      <c r="A388" s="1600" t="s">
        <v>775</v>
      </c>
      <c r="B388" s="1599"/>
      <c r="C388" s="1599"/>
      <c r="D388" s="1599"/>
      <c r="E388" s="1599"/>
      <c r="F388" s="1599"/>
      <c r="G388" s="1599"/>
      <c r="H388" s="1599"/>
    </row>
    <row r="389" spans="1:8">
      <c r="A389" s="1600" t="s">
        <v>776</v>
      </c>
      <c r="B389" s="1599"/>
      <c r="C389" s="1599"/>
      <c r="D389" s="1599"/>
      <c r="E389" s="1599"/>
      <c r="F389" s="1599"/>
      <c r="G389" s="1599"/>
      <c r="H389" s="1599"/>
    </row>
    <row r="390" spans="1:8">
      <c r="A390" s="1599"/>
      <c r="B390" s="1599"/>
      <c r="C390" s="1599"/>
      <c r="D390" s="1599"/>
      <c r="E390" s="1599"/>
      <c r="F390" s="1599"/>
      <c r="G390" s="1599"/>
      <c r="H390" s="1599"/>
    </row>
    <row r="391" spans="1:8">
      <c r="A391" s="1600" t="s">
        <v>770</v>
      </c>
      <c r="B391" s="1599"/>
      <c r="C391" s="1599"/>
      <c r="D391" s="1599"/>
      <c r="E391" s="1599"/>
      <c r="F391" s="1599"/>
      <c r="G391" s="1599"/>
      <c r="H391" s="1599"/>
    </row>
    <row r="392" spans="1:8">
      <c r="A392" s="1600" t="s">
        <v>771</v>
      </c>
      <c r="B392" s="1599"/>
      <c r="C392" s="1599"/>
      <c r="D392" s="1599"/>
      <c r="E392" s="1599"/>
      <c r="F392" s="1599"/>
      <c r="G392" s="1599"/>
      <c r="H392" s="1599"/>
    </row>
    <row r="394" spans="1:8">
      <c r="A394" s="1595" t="s">
        <v>1028</v>
      </c>
    </row>
  </sheetData>
  <mergeCells count="12">
    <mergeCell ref="A132:H132"/>
    <mergeCell ref="A133:H133"/>
    <mergeCell ref="B125:C125"/>
    <mergeCell ref="D125:F125"/>
    <mergeCell ref="G125:H125"/>
    <mergeCell ref="A111:H111"/>
    <mergeCell ref="A112:H112"/>
    <mergeCell ref="A113:H113"/>
    <mergeCell ref="A114:H114"/>
    <mergeCell ref="A116:H116"/>
    <mergeCell ref="A117:H117"/>
    <mergeCell ref="A124:H124"/>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JA97"/>
  <sheetViews>
    <sheetView showGridLines="0" zoomScale="85" zoomScaleNormal="85" workbookViewId="0">
      <pane xSplit="1" topLeftCell="EK1" activePane="topRight" state="frozen"/>
      <selection activeCell="J127" sqref="J127"/>
      <selection pane="topRight" activeCell="GM4" sqref="GM4"/>
    </sheetView>
  </sheetViews>
  <sheetFormatPr defaultRowHeight="12.75" outlineLevelRow="2" outlineLevelCol="1"/>
  <cols>
    <col min="1" max="1" width="33.42578125" style="398" customWidth="1"/>
    <col min="2" max="2" width="1" style="398" hidden="1" customWidth="1" outlineLevel="1"/>
    <col min="3" max="6" width="7.28515625" style="398" hidden="1" customWidth="1" outlineLevel="1"/>
    <col min="7" max="7" width="1" style="398" hidden="1" customWidth="1" outlineLevel="1"/>
    <col min="8" max="11" width="7.28515625" style="398" hidden="1" customWidth="1" outlineLevel="1"/>
    <col min="12" max="12" width="1" style="398" hidden="1" customWidth="1" outlineLevel="1"/>
    <col min="13" max="16" width="7.28515625" style="398" hidden="1" customWidth="1" outlineLevel="1"/>
    <col min="17" max="17" width="1" style="398" hidden="1" customWidth="1" outlineLevel="1"/>
    <col min="18" max="21" width="7.28515625" style="398" hidden="1" customWidth="1" outlineLevel="1"/>
    <col min="22" max="22" width="1" style="398" hidden="1" customWidth="1" outlineLevel="1"/>
    <col min="23" max="26" width="7.28515625" style="398" hidden="1" customWidth="1" outlineLevel="1"/>
    <col min="27" max="27" width="1" style="398" hidden="1" customWidth="1" outlineLevel="1"/>
    <col min="28" max="31" width="7.28515625" style="398" hidden="1" customWidth="1" outlineLevel="1"/>
    <col min="32" max="32" width="1" style="398" hidden="1" customWidth="1" outlineLevel="1"/>
    <col min="33" max="36" width="7.28515625" style="398" hidden="1" customWidth="1" outlineLevel="1"/>
    <col min="37" max="37" width="1" style="398" hidden="1" customWidth="1" outlineLevel="1"/>
    <col min="38" max="41" width="7.28515625" style="398" hidden="1" customWidth="1" outlineLevel="1"/>
    <col min="42" max="42" width="1" style="398" hidden="1" customWidth="1" outlineLevel="1"/>
    <col min="43" max="46" width="7.28515625" style="398" hidden="1" customWidth="1" outlineLevel="1"/>
    <col min="47" max="47" width="1" style="398" hidden="1" customWidth="1" outlineLevel="1"/>
    <col min="48" max="51" width="7.28515625" style="398" hidden="1" customWidth="1" outlineLevel="1"/>
    <col min="52" max="52" width="1" style="398" hidden="1" customWidth="1" outlineLevel="1"/>
    <col min="53" max="56" width="7.28515625" style="398" hidden="1" customWidth="1" outlineLevel="1"/>
    <col min="57" max="57" width="1" style="398" hidden="1" customWidth="1" outlineLevel="1"/>
    <col min="58" max="61" width="7.28515625" style="398" hidden="1" customWidth="1" outlineLevel="1"/>
    <col min="62" max="62" width="1" style="398" hidden="1" customWidth="1" outlineLevel="1"/>
    <col min="63" max="66" width="7.28515625" style="398" hidden="1" customWidth="1" outlineLevel="1"/>
    <col min="67" max="67" width="1" style="398" hidden="1" customWidth="1" outlineLevel="1"/>
    <col min="68" max="71" width="7.28515625" style="398" hidden="1" customWidth="1" outlineLevel="1"/>
    <col min="72" max="72" width="1" style="398" hidden="1" customWidth="1" outlineLevel="1"/>
    <col min="73" max="74" width="8.140625" style="398" hidden="1" customWidth="1" outlineLevel="1"/>
    <col min="75" max="76" width="7.28515625" style="398" hidden="1" customWidth="1" outlineLevel="1"/>
    <col min="77" max="77" width="1" style="398" hidden="1" customWidth="1" outlineLevel="1"/>
    <col min="78" max="78" width="8.140625" style="398" hidden="1" customWidth="1" outlineLevel="1"/>
    <col min="79" max="79" width="7.28515625" style="398" hidden="1" customWidth="1" outlineLevel="1"/>
    <col min="80" max="80" width="8.140625" style="398" hidden="1" customWidth="1" outlineLevel="1"/>
    <col min="81" max="81" width="7.28515625" style="398" hidden="1" customWidth="1" outlineLevel="1"/>
    <col min="82" max="82" width="1" style="398" hidden="1" customWidth="1" outlineLevel="1"/>
    <col min="83" max="86" width="7.28515625" style="398" hidden="1" customWidth="1" outlineLevel="1"/>
    <col min="87" max="87" width="1" style="398" hidden="1" customWidth="1" outlineLevel="1"/>
    <col min="88" max="91" width="7.28515625" style="398" hidden="1" customWidth="1" outlineLevel="1"/>
    <col min="92" max="92" width="1" style="398" hidden="1" customWidth="1" outlineLevel="1"/>
    <col min="93" max="96" width="7.28515625" style="398" hidden="1" customWidth="1" outlineLevel="1"/>
    <col min="97" max="97" width="1" style="398" hidden="1" customWidth="1" outlineLevel="1"/>
    <col min="98" max="99" width="7.28515625" style="398" hidden="1" customWidth="1" outlineLevel="1"/>
    <col min="100" max="101" width="8.140625" style="398" hidden="1" customWidth="1" outlineLevel="1"/>
    <col min="102" max="102" width="1" style="398" hidden="1" customWidth="1" outlineLevel="1"/>
    <col min="103" max="106" width="7.28515625" style="398" hidden="1" customWidth="1" outlineLevel="1"/>
    <col min="107" max="107" width="1" style="398" hidden="1" customWidth="1" outlineLevel="1"/>
    <col min="108" max="108" width="7.28515625" style="398" hidden="1" customWidth="1" outlineLevel="1" collapsed="1"/>
    <col min="109" max="111" width="7.28515625" style="398" hidden="1" customWidth="1" outlineLevel="1"/>
    <col min="112" max="112" width="1" style="398" hidden="1" customWidth="1" outlineLevel="1"/>
    <col min="113" max="113" width="7.28515625" style="398" hidden="1" customWidth="1" outlineLevel="1" collapsed="1"/>
    <col min="114" max="116" width="7.28515625" style="398" hidden="1" customWidth="1" outlineLevel="1"/>
    <col min="117" max="117" width="1" style="398" hidden="1" customWidth="1" outlineLevel="1"/>
    <col min="118" max="118" width="8" style="398" hidden="1" customWidth="1" outlineLevel="1" collapsed="1"/>
    <col min="119" max="119" width="8" style="398" hidden="1" customWidth="1" outlineLevel="1"/>
    <col min="120" max="120" width="7.7109375" style="398" hidden="1" customWidth="1" outlineLevel="1"/>
    <col min="121" max="121" width="7.7109375" style="507" hidden="1" customWidth="1" outlineLevel="1"/>
    <col min="122" max="122" width="1" style="398" hidden="1" customWidth="1" outlineLevel="1"/>
    <col min="123" max="123" width="10.28515625" style="398" hidden="1" customWidth="1" outlineLevel="1" collapsed="1"/>
    <col min="124" max="124" width="8.5703125" style="398" hidden="1" customWidth="1" outlineLevel="1"/>
    <col min="125" max="125" width="8.42578125" style="398" hidden="1" customWidth="1" outlineLevel="1"/>
    <col min="126" max="126" width="9.28515625" style="398" hidden="1" customWidth="1" outlineLevel="1"/>
    <col min="127" max="127" width="1.28515625" style="398" hidden="1" customWidth="1" outlineLevel="1"/>
    <col min="128" max="128" width="8" style="398" hidden="1" customWidth="1" outlineLevel="1" collapsed="1"/>
    <col min="129" max="129" width="9.140625" style="398" hidden="1" customWidth="1" outlineLevel="1"/>
    <col min="130" max="130" width="8.85546875" style="398" hidden="1" customWidth="1" outlineLevel="1"/>
    <col min="131" max="131" width="9.28515625" style="398" hidden="1" customWidth="1" outlineLevel="1"/>
    <col min="132" max="132" width="1" style="398" hidden="1" customWidth="1" outlineLevel="1"/>
    <col min="133" max="133" width="9.140625" style="398" hidden="1" customWidth="1" outlineLevel="1"/>
    <col min="134" max="135" width="10.42578125" style="398" hidden="1" customWidth="1" outlineLevel="1"/>
    <col min="136" max="136" width="9.28515625" style="398" hidden="1" customWidth="1" outlineLevel="1"/>
    <col min="137" max="137" width="1" style="398" customWidth="1" collapsed="1"/>
    <col min="138" max="138" width="9.140625" style="398" customWidth="1"/>
    <col min="139" max="139" width="10.140625" style="398" customWidth="1"/>
    <col min="140" max="140" width="8.5703125" style="398" customWidth="1"/>
    <col min="141" max="141" width="9.28515625" style="398" customWidth="1"/>
    <col min="142" max="142" width="1" style="398" customWidth="1"/>
    <col min="143" max="143" width="9.140625" style="398" customWidth="1"/>
    <col min="144" max="144" width="10.140625" style="398" customWidth="1"/>
    <col min="145" max="145" width="8.5703125" style="398" customWidth="1"/>
    <col min="146" max="146" width="9.28515625" style="398" customWidth="1"/>
    <col min="147" max="147" width="1" style="398" customWidth="1"/>
    <col min="148" max="148" width="9.140625" style="398" customWidth="1"/>
    <col min="149" max="149" width="10.140625" style="398" customWidth="1"/>
    <col min="150" max="150" width="8.5703125" style="398" customWidth="1"/>
    <col min="151" max="151" width="9.28515625" style="398" customWidth="1"/>
    <col min="152" max="152" width="1.85546875" style="398" customWidth="1"/>
    <col min="153" max="168" width="8.140625" style="398" hidden="1" customWidth="1" outlineLevel="1"/>
    <col min="169" max="169" width="8.140625" style="398" hidden="1" customWidth="1" outlineLevel="1" collapsed="1"/>
    <col min="170" max="170" width="8.7109375" style="398" hidden="1" customWidth="1" outlineLevel="1" collapsed="1"/>
    <col min="171" max="171" width="9.28515625" style="398" hidden="1" customWidth="1" outlineLevel="1"/>
    <col min="172" max="172" width="8.7109375" style="398" hidden="1" customWidth="1" outlineLevel="1"/>
    <col min="173" max="173" width="9.28515625" style="398" hidden="1" customWidth="1" outlineLevel="1" collapsed="1"/>
    <col min="174" max="175" width="9.42578125" style="398" hidden="1" customWidth="1" outlineLevel="1"/>
    <col min="176" max="176" width="9.5703125" style="398" hidden="1" customWidth="1" outlineLevel="1"/>
    <col min="177" max="177" width="9.28515625" style="398" customWidth="1" collapsed="1"/>
    <col min="178" max="179" width="9.140625" style="398" customWidth="1"/>
    <col min="180" max="180" width="9.28515625" style="398" customWidth="1"/>
    <col min="181" max="181" width="8.42578125" style="398" bestFit="1" customWidth="1"/>
    <col min="182" max="182" width="8.7109375" style="398" customWidth="1"/>
    <col min="183" max="183" width="8.140625" style="398" customWidth="1"/>
    <col min="184" max="184" width="11" style="398" customWidth="1"/>
    <col min="185" max="185" width="11" style="398" hidden="1" customWidth="1" outlineLevel="1"/>
    <col min="186" max="186" width="9.140625" style="136" hidden="1" customWidth="1" outlineLevel="1"/>
    <col min="187" max="187" width="9.140625" style="398" collapsed="1"/>
    <col min="188" max="188" width="26.28515625" hidden="1" customWidth="1" outlineLevel="1"/>
    <col min="189" max="193" width="9.140625" hidden="1" customWidth="1" outlineLevel="1"/>
    <col min="194" max="194" width="9.140625" style="398" collapsed="1"/>
    <col min="195" max="198" width="9.140625" style="398"/>
    <col min="199" max="199" width="20.5703125" style="398" bestFit="1" customWidth="1"/>
    <col min="200" max="16384" width="9.140625" style="398"/>
  </cols>
  <sheetData>
    <row r="1" spans="1:261">
      <c r="A1" s="582" t="s">
        <v>442</v>
      </c>
    </row>
    <row r="2" spans="1:261">
      <c r="A2" s="583" t="s">
        <v>627</v>
      </c>
      <c r="B2" s="584"/>
      <c r="C2" s="584"/>
      <c r="D2" s="584"/>
      <c r="E2" s="584"/>
      <c r="F2" s="584"/>
      <c r="G2" s="584"/>
      <c r="H2" s="584"/>
      <c r="I2" s="584"/>
      <c r="J2" s="584"/>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584"/>
      <c r="AJ2" s="584"/>
      <c r="AK2" s="584"/>
      <c r="AL2" s="584"/>
      <c r="AM2" s="584"/>
      <c r="AN2" s="584"/>
      <c r="AO2" s="584"/>
      <c r="AP2" s="584"/>
      <c r="AQ2" s="584"/>
      <c r="AR2" s="584"/>
      <c r="AS2" s="584"/>
      <c r="AT2" s="584"/>
      <c r="AU2" s="584"/>
      <c r="AV2" s="584"/>
      <c r="AW2" s="584"/>
      <c r="AX2" s="584"/>
      <c r="AY2" s="584"/>
      <c r="AZ2" s="584"/>
      <c r="BA2" s="584"/>
      <c r="BB2" s="584"/>
      <c r="BC2" s="584"/>
      <c r="BD2" s="584"/>
      <c r="BE2" s="584"/>
      <c r="BF2" s="584"/>
      <c r="BG2" s="584"/>
      <c r="BH2" s="584"/>
      <c r="BI2" s="584"/>
      <c r="BJ2" s="584"/>
      <c r="BK2" s="584"/>
      <c r="BL2" s="584"/>
      <c r="BM2" s="584"/>
      <c r="BN2" s="584"/>
      <c r="BO2" s="584"/>
      <c r="BP2" s="584"/>
      <c r="BQ2" s="584"/>
      <c r="BR2" s="584"/>
      <c r="BS2" s="584"/>
      <c r="BT2" s="584"/>
      <c r="BU2" s="584"/>
      <c r="BV2" s="584"/>
      <c r="BW2" s="584"/>
      <c r="BX2" s="584"/>
      <c r="BY2" s="584"/>
      <c r="BZ2" s="584"/>
      <c r="CA2" s="584"/>
      <c r="CB2" s="584"/>
      <c r="CC2" s="584"/>
      <c r="CD2" s="584"/>
      <c r="CE2" s="584"/>
      <c r="CF2" s="584"/>
      <c r="CG2" s="584"/>
      <c r="CH2" s="584"/>
      <c r="CI2" s="584"/>
      <c r="CJ2" s="584"/>
      <c r="CK2" s="584"/>
      <c r="CL2" s="584"/>
      <c r="CM2" s="584"/>
      <c r="CN2" s="584"/>
      <c r="CO2" s="584"/>
      <c r="CP2" s="584"/>
      <c r="CQ2" s="584"/>
      <c r="CR2" s="584"/>
      <c r="CS2" s="584"/>
      <c r="CT2" s="584"/>
      <c r="CU2" s="584"/>
      <c r="CV2" s="584"/>
      <c r="CW2" s="584"/>
      <c r="CX2" s="584"/>
      <c r="CY2" s="584"/>
      <c r="CZ2" s="584"/>
      <c r="DA2" s="584"/>
      <c r="DB2" s="584"/>
      <c r="DC2" s="584"/>
      <c r="DD2" s="584"/>
      <c r="DE2" s="584"/>
      <c r="DF2" s="584"/>
      <c r="DG2" s="584"/>
      <c r="DH2" s="584"/>
      <c r="DI2" s="584"/>
      <c r="DJ2" s="584"/>
      <c r="DK2" s="584"/>
      <c r="DL2" s="584"/>
      <c r="DM2" s="584"/>
      <c r="DN2" s="584"/>
      <c r="DO2" s="584"/>
      <c r="DP2" s="584"/>
      <c r="DQ2" s="584"/>
      <c r="DR2" s="584"/>
      <c r="DS2" s="584"/>
      <c r="DT2" s="584"/>
      <c r="DU2" s="584"/>
      <c r="DV2" s="584"/>
      <c r="DW2" s="584"/>
      <c r="DX2" s="584"/>
      <c r="DY2" s="584"/>
      <c r="DZ2" s="584"/>
      <c r="EA2" s="584"/>
      <c r="EB2" s="584"/>
      <c r="EC2" s="584"/>
      <c r="ED2" s="584"/>
      <c r="EE2" s="584"/>
      <c r="EF2" s="584"/>
      <c r="EG2" s="584"/>
      <c r="EH2" s="584"/>
      <c r="EI2" s="584"/>
      <c r="EJ2" s="584"/>
      <c r="EK2" s="584"/>
      <c r="EL2" s="584"/>
      <c r="EM2" s="584"/>
      <c r="EN2" s="584"/>
      <c r="EO2" s="584"/>
      <c r="EP2" s="584"/>
      <c r="EQ2" s="584"/>
      <c r="ER2" s="584"/>
      <c r="ES2" s="584"/>
      <c r="ET2" s="584"/>
      <c r="EU2" s="584"/>
      <c r="EW2" s="584"/>
      <c r="EX2" s="584"/>
      <c r="EY2" s="584"/>
      <c r="EZ2" s="584"/>
      <c r="FA2" s="584"/>
      <c r="FB2" s="584"/>
      <c r="FC2" s="584"/>
      <c r="FD2" s="584"/>
      <c r="FE2" s="584"/>
      <c r="FF2" s="584"/>
      <c r="FG2" s="584"/>
      <c r="FH2" s="584"/>
      <c r="FI2" s="584"/>
      <c r="FJ2" s="584"/>
      <c r="FK2" s="584"/>
      <c r="FL2" s="584"/>
      <c r="FM2" s="584"/>
      <c r="FN2" s="584"/>
      <c r="FO2" s="584"/>
      <c r="FP2" s="584"/>
      <c r="FQ2" s="584"/>
      <c r="FR2" s="584"/>
      <c r="FS2" s="584"/>
      <c r="FT2" s="584"/>
      <c r="FU2" s="584"/>
      <c r="FV2" s="584"/>
      <c r="FW2" s="584"/>
      <c r="FX2" s="584"/>
      <c r="FY2" s="584"/>
      <c r="FZ2" s="584"/>
      <c r="GA2" s="584"/>
      <c r="GB2" s="584"/>
      <c r="GC2" s="584"/>
    </row>
    <row r="3" spans="1:261">
      <c r="A3" s="585" t="s">
        <v>149</v>
      </c>
      <c r="DL3" s="586"/>
      <c r="DQ3" s="586"/>
      <c r="DS3" s="586"/>
      <c r="DX3" s="586"/>
      <c r="EC3" s="586"/>
      <c r="EE3" s="587"/>
      <c r="EH3" s="586"/>
      <c r="EM3" s="586"/>
      <c r="ER3" s="586"/>
      <c r="FM3" s="588"/>
      <c r="FN3" s="588"/>
      <c r="GQ3" s="703"/>
    </row>
    <row r="4" spans="1:261" ht="13.5" customHeight="1">
      <c r="BM4" s="587">
        <f>SUMPRODUCT(BM63:BN63,BM10:BN10)/SUM(BM10:BN10)</f>
        <v>2.7467503185962156E-2</v>
      </c>
      <c r="DD4" s="587"/>
      <c r="DE4" s="587"/>
      <c r="DF4" s="587"/>
      <c r="DG4" s="587"/>
      <c r="DI4" s="587"/>
      <c r="DJ4" s="587"/>
      <c r="DK4" s="587"/>
      <c r="DL4" s="587"/>
      <c r="DN4" s="587"/>
      <c r="DO4" s="587"/>
      <c r="DP4" s="587"/>
      <c r="DQ4" s="587"/>
      <c r="DS4" s="587"/>
      <c r="DT4" s="587"/>
      <c r="DU4" s="587"/>
      <c r="DV4" s="587"/>
      <c r="DX4" s="587"/>
      <c r="DY4" s="587"/>
      <c r="DZ4" s="587"/>
      <c r="EA4" s="587"/>
      <c r="EC4" s="587"/>
      <c r="ED4" s="587"/>
      <c r="EE4" s="590"/>
      <c r="EF4" s="587"/>
      <c r="EH4" s="702"/>
      <c r="EI4" s="702"/>
      <c r="EJ4" s="590"/>
      <c r="EK4" s="579"/>
      <c r="EM4" s="587"/>
      <c r="EN4" s="702"/>
      <c r="EP4" s="579"/>
      <c r="ER4" s="587"/>
      <c r="ES4" s="702"/>
      <c r="EU4" s="579"/>
      <c r="FM4" s="500"/>
      <c r="FN4" s="500"/>
      <c r="FV4" s="579"/>
      <c r="FW4" s="580"/>
      <c r="FX4" s="580"/>
      <c r="FY4" s="580"/>
      <c r="GA4" s="706"/>
      <c r="GO4" s="580"/>
      <c r="GP4" s="580"/>
      <c r="GQ4" s="580"/>
    </row>
    <row r="5" spans="1:261" ht="12.75" customHeight="1">
      <c r="CY5" s="592" t="s">
        <v>256</v>
      </c>
      <c r="CZ5" s="593"/>
      <c r="DA5" s="593"/>
      <c r="DB5" s="593"/>
      <c r="DC5" s="593"/>
      <c r="DD5" s="593"/>
      <c r="DE5" s="593"/>
      <c r="DF5" s="593"/>
      <c r="DG5" s="593"/>
      <c r="DH5" s="593"/>
      <c r="DI5" s="593"/>
      <c r="DJ5" s="593"/>
      <c r="DK5" s="593"/>
      <c r="DL5" s="593"/>
      <c r="DM5" s="593"/>
      <c r="DN5" s="593"/>
      <c r="DO5" s="593"/>
      <c r="DP5" s="593"/>
      <c r="DQ5" s="593"/>
      <c r="DR5" s="593"/>
      <c r="DS5" s="593"/>
      <c r="DT5" s="593"/>
      <c r="DU5" s="593"/>
      <c r="DV5" s="593"/>
      <c r="DW5" s="593"/>
      <c r="DX5" s="593"/>
      <c r="DY5" s="593"/>
      <c r="DZ5" s="593"/>
      <c r="EA5" s="593"/>
      <c r="EB5" s="593"/>
      <c r="EC5" s="594"/>
      <c r="ED5" s="593"/>
      <c r="EE5" s="595"/>
      <c r="EF5" s="596"/>
      <c r="EG5" s="593"/>
      <c r="EH5" s="594"/>
      <c r="EI5" s="700"/>
      <c r="EJ5" s="701"/>
      <c r="EK5" s="593"/>
      <c r="EL5" s="593"/>
      <c r="EM5" s="594"/>
      <c r="EN5" s="700"/>
      <c r="EO5" s="701"/>
      <c r="EP5" s="593"/>
      <c r="EQ5" s="593"/>
      <c r="ER5" s="594"/>
      <c r="ES5" s="700"/>
      <c r="ET5" s="701"/>
      <c r="EU5" s="593"/>
      <c r="FM5" s="500"/>
      <c r="FN5" s="500"/>
      <c r="FW5" s="696"/>
      <c r="FX5" s="696"/>
      <c r="FY5" s="696"/>
      <c r="FZ5" s="696"/>
      <c r="GA5" s="696"/>
      <c r="GB5" s="696"/>
      <c r="GC5" s="696"/>
      <c r="GR5" s="704"/>
    </row>
    <row r="6" spans="1:261" hidden="1" outlineLevel="1">
      <c r="C6" s="597">
        <f>C7</f>
        <v>1989</v>
      </c>
      <c r="D6" s="597">
        <f>C6</f>
        <v>1989</v>
      </c>
      <c r="E6" s="597">
        <f>D6</f>
        <v>1989</v>
      </c>
      <c r="F6" s="597">
        <f>E6</f>
        <v>1989</v>
      </c>
      <c r="H6" s="597">
        <f>H7</f>
        <v>1990</v>
      </c>
      <c r="I6" s="597">
        <f>H6</f>
        <v>1990</v>
      </c>
      <c r="J6" s="597">
        <f>I6</f>
        <v>1990</v>
      </c>
      <c r="K6" s="597">
        <f>J6</f>
        <v>1990</v>
      </c>
      <c r="M6" s="597">
        <f>M7</f>
        <v>1991</v>
      </c>
      <c r="N6" s="597">
        <f>M6</f>
        <v>1991</v>
      </c>
      <c r="O6" s="597">
        <f>N6</f>
        <v>1991</v>
      </c>
      <c r="P6" s="597">
        <f>O6</f>
        <v>1991</v>
      </c>
      <c r="R6" s="597">
        <f>R7</f>
        <v>1992</v>
      </c>
      <c r="S6" s="597">
        <f>R6</f>
        <v>1992</v>
      </c>
      <c r="T6" s="597">
        <f>S6</f>
        <v>1992</v>
      </c>
      <c r="U6" s="597">
        <f>T6</f>
        <v>1992</v>
      </c>
      <c r="W6" s="597">
        <f>W7</f>
        <v>1993</v>
      </c>
      <c r="X6" s="597">
        <f>W6</f>
        <v>1993</v>
      </c>
      <c r="Y6" s="597">
        <f>X6</f>
        <v>1993</v>
      </c>
      <c r="Z6" s="597">
        <f>Y6</f>
        <v>1993</v>
      </c>
      <c r="AB6" s="597">
        <f>AB7</f>
        <v>1994</v>
      </c>
      <c r="AC6" s="597">
        <f>AB6</f>
        <v>1994</v>
      </c>
      <c r="AD6" s="597">
        <f>AC6</f>
        <v>1994</v>
      </c>
      <c r="AE6" s="597">
        <f>AD6</f>
        <v>1994</v>
      </c>
      <c r="AG6" s="597">
        <f>AG7</f>
        <v>1995</v>
      </c>
      <c r="AH6" s="597">
        <f>AG6</f>
        <v>1995</v>
      </c>
      <c r="AI6" s="597">
        <f>AH6</f>
        <v>1995</v>
      </c>
      <c r="AJ6" s="597">
        <f>AI6</f>
        <v>1995</v>
      </c>
      <c r="AL6" s="597">
        <f>AL7</f>
        <v>1996</v>
      </c>
      <c r="AM6" s="597">
        <f>AL6</f>
        <v>1996</v>
      </c>
      <c r="AN6" s="597">
        <f>AM6</f>
        <v>1996</v>
      </c>
      <c r="AO6" s="597">
        <f>AN6</f>
        <v>1996</v>
      </c>
      <c r="AQ6" s="597">
        <f>AQ7</f>
        <v>1997</v>
      </c>
      <c r="AR6" s="597">
        <f>AQ6</f>
        <v>1997</v>
      </c>
      <c r="AS6" s="597">
        <f>AR6</f>
        <v>1997</v>
      </c>
      <c r="AT6" s="597">
        <f>AS6</f>
        <v>1997</v>
      </c>
      <c r="AV6" s="597">
        <f>AV7</f>
        <v>1998</v>
      </c>
      <c r="AW6" s="597">
        <f>AV6</f>
        <v>1998</v>
      </c>
      <c r="AX6" s="597">
        <f>AW6</f>
        <v>1998</v>
      </c>
      <c r="AY6" s="597">
        <f>AX6</f>
        <v>1998</v>
      </c>
      <c r="BA6" s="597">
        <f>BA7</f>
        <v>1999</v>
      </c>
      <c r="BB6" s="597">
        <f>BA6</f>
        <v>1999</v>
      </c>
      <c r="BC6" s="597">
        <f>BB6</f>
        <v>1999</v>
      </c>
      <c r="BD6" s="597">
        <f>BC6</f>
        <v>1999</v>
      </c>
      <c r="BF6" s="597">
        <f>BF7</f>
        <v>2000</v>
      </c>
      <c r="BG6" s="597">
        <f>BF6</f>
        <v>2000</v>
      </c>
      <c r="BH6" s="597">
        <f>BG6</f>
        <v>2000</v>
      </c>
      <c r="BI6" s="597">
        <f>BH6</f>
        <v>2000</v>
      </c>
      <c r="BK6" s="597" t="str">
        <f>BK7</f>
        <v>2001R</v>
      </c>
      <c r="BL6" s="597" t="str">
        <f>BK6</f>
        <v>2001R</v>
      </c>
      <c r="BM6" s="597" t="str">
        <f>BL6</f>
        <v>2001R</v>
      </c>
      <c r="BN6" s="597" t="str">
        <f>BM6</f>
        <v>2001R</v>
      </c>
      <c r="BP6" s="597" t="str">
        <f>BP7</f>
        <v>2002R</v>
      </c>
      <c r="BQ6" s="597" t="str">
        <f>BP6</f>
        <v>2002R</v>
      </c>
      <c r="BR6" s="597" t="str">
        <f>BQ6</f>
        <v>2002R</v>
      </c>
      <c r="BS6" s="597" t="str">
        <f>BR6</f>
        <v>2002R</v>
      </c>
      <c r="BU6" s="597">
        <f>BU7</f>
        <v>2003</v>
      </c>
      <c r="BV6" s="597">
        <f>BU6</f>
        <v>2003</v>
      </c>
      <c r="BW6" s="597">
        <f>BV6</f>
        <v>2003</v>
      </c>
      <c r="BX6" s="597">
        <f>BW6</f>
        <v>2003</v>
      </c>
      <c r="BZ6" s="597">
        <f>BZ7</f>
        <v>2004</v>
      </c>
      <c r="CA6" s="597">
        <f>BZ6</f>
        <v>2004</v>
      </c>
      <c r="CB6" s="597">
        <f>CA6</f>
        <v>2004</v>
      </c>
      <c r="CC6" s="597">
        <f>CB6</f>
        <v>2004</v>
      </c>
      <c r="CE6" s="597">
        <f>CE7</f>
        <v>2005</v>
      </c>
      <c r="CF6" s="597">
        <f>CE6</f>
        <v>2005</v>
      </c>
      <c r="CG6" s="597">
        <f>CF6</f>
        <v>2005</v>
      </c>
      <c r="CH6" s="597">
        <f>CG6</f>
        <v>2005</v>
      </c>
      <c r="CJ6" s="597">
        <f>CJ7</f>
        <v>2006</v>
      </c>
      <c r="CK6" s="597">
        <f>CJ6</f>
        <v>2006</v>
      </c>
      <c r="CL6" s="597">
        <f>CK6</f>
        <v>2006</v>
      </c>
      <c r="CM6" s="597">
        <f>CL6</f>
        <v>2006</v>
      </c>
      <c r="CO6" s="597">
        <f>CO7</f>
        <v>2007</v>
      </c>
      <c r="CP6" s="597">
        <f>CO6</f>
        <v>2007</v>
      </c>
      <c r="CQ6" s="597">
        <f>CP6</f>
        <v>2007</v>
      </c>
      <c r="CR6" s="597">
        <f>CQ6</f>
        <v>2007</v>
      </c>
      <c r="CT6" s="597">
        <f>CT7</f>
        <v>2008</v>
      </c>
      <c r="CU6" s="597">
        <f>CT6</f>
        <v>2008</v>
      </c>
      <c r="CV6" s="597">
        <f>CU6</f>
        <v>2008</v>
      </c>
      <c r="CW6" s="597">
        <f>CV6</f>
        <v>2008</v>
      </c>
      <c r="CY6" s="597">
        <f>CY7</f>
        <v>2009</v>
      </c>
      <c r="CZ6" s="597">
        <f>CY6</f>
        <v>2009</v>
      </c>
      <c r="DA6" s="597">
        <f>CZ6</f>
        <v>2009</v>
      </c>
      <c r="DB6" s="597">
        <f>DA6</f>
        <v>2009</v>
      </c>
      <c r="DD6" s="597">
        <f>DD7</f>
        <v>2010</v>
      </c>
      <c r="DE6" s="597">
        <f>DD6</f>
        <v>2010</v>
      </c>
      <c r="DF6" s="597">
        <f>DE6</f>
        <v>2010</v>
      </c>
      <c r="DG6" s="597">
        <f>DF6</f>
        <v>2010</v>
      </c>
      <c r="DI6" s="597">
        <f>DI7</f>
        <v>2011</v>
      </c>
      <c r="DJ6" s="597">
        <f>DI6</f>
        <v>2011</v>
      </c>
      <c r="DK6" s="597">
        <f>DJ6</f>
        <v>2011</v>
      </c>
      <c r="DL6" s="597">
        <f>DK6</f>
        <v>2011</v>
      </c>
      <c r="DN6" s="598">
        <f>DN7</f>
        <v>2012</v>
      </c>
      <c r="DO6" s="598">
        <f>DN6</f>
        <v>2012</v>
      </c>
      <c r="DP6" s="598">
        <f>DO6</f>
        <v>2012</v>
      </c>
      <c r="DQ6" s="599">
        <f>DP6</f>
        <v>2012</v>
      </c>
      <c r="DS6" s="598">
        <f>DS7</f>
        <v>2013</v>
      </c>
      <c r="DT6" s="598">
        <f>DS6</f>
        <v>2013</v>
      </c>
      <c r="DU6" s="598">
        <f>DT6</f>
        <v>2013</v>
      </c>
      <c r="DV6" s="598">
        <f>DU6</f>
        <v>2013</v>
      </c>
      <c r="DX6" s="598">
        <f>DX7</f>
        <v>2014</v>
      </c>
      <c r="DY6" s="598">
        <f>DX6</f>
        <v>2014</v>
      </c>
      <c r="DZ6" s="598">
        <f>DY6</f>
        <v>2014</v>
      </c>
      <c r="EA6" s="598">
        <f>DZ6</f>
        <v>2014</v>
      </c>
      <c r="EC6" s="598">
        <f>EC7</f>
        <v>2015</v>
      </c>
      <c r="ED6" s="598">
        <f>EC6</f>
        <v>2015</v>
      </c>
      <c r="EE6" s="598">
        <f>ED6</f>
        <v>2015</v>
      </c>
      <c r="EF6" s="598">
        <f>EE6</f>
        <v>2015</v>
      </c>
      <c r="EH6" s="598">
        <f>EH7</f>
        <v>2016</v>
      </c>
      <c r="EI6" s="598">
        <f>EH6</f>
        <v>2016</v>
      </c>
      <c r="EJ6" s="598">
        <f>EI6</f>
        <v>2016</v>
      </c>
      <c r="EK6" s="598">
        <f>EJ6</f>
        <v>2016</v>
      </c>
      <c r="EM6" s="598">
        <f>EM7</f>
        <v>2017</v>
      </c>
      <c r="EN6" s="598">
        <f>EM6</f>
        <v>2017</v>
      </c>
      <c r="EO6" s="598">
        <f>EN6</f>
        <v>2017</v>
      </c>
      <c r="EP6" s="598">
        <f>EO6</f>
        <v>2017</v>
      </c>
      <c r="ER6" s="598">
        <f>ER7</f>
        <v>2018</v>
      </c>
      <c r="ES6" s="598">
        <f>ER6</f>
        <v>2018</v>
      </c>
      <c r="ET6" s="598">
        <f>ES6</f>
        <v>2018</v>
      </c>
      <c r="EU6" s="598">
        <f>ET6</f>
        <v>2018</v>
      </c>
      <c r="EW6" s="597"/>
      <c r="EX6" s="597"/>
      <c r="EY6" s="597"/>
      <c r="EZ6" s="597"/>
      <c r="FB6" s="597"/>
      <c r="FC6" s="597"/>
      <c r="FD6" s="597"/>
      <c r="FE6" s="597"/>
      <c r="FG6" s="597"/>
      <c r="FH6" s="597"/>
      <c r="FI6" s="597"/>
      <c r="FJ6" s="597"/>
      <c r="FL6" s="597"/>
      <c r="FM6" s="600"/>
      <c r="FN6" s="600"/>
      <c r="FQ6" s="597"/>
      <c r="FR6" s="597"/>
      <c r="FS6" s="597"/>
      <c r="FT6" s="597"/>
      <c r="FU6" s="597"/>
      <c r="FV6" s="597"/>
      <c r="FW6" s="597"/>
      <c r="FX6" s="597"/>
      <c r="FY6" s="597"/>
      <c r="FZ6" s="597"/>
      <c r="GA6" s="597"/>
      <c r="GB6" s="597"/>
      <c r="GC6" s="597"/>
    </row>
    <row r="7" spans="1:261" collapsed="1">
      <c r="A7" s="588"/>
      <c r="B7" s="601"/>
      <c r="C7" s="602">
        <f>H7-1</f>
        <v>1989</v>
      </c>
      <c r="D7" s="492"/>
      <c r="E7" s="492"/>
      <c r="F7" s="492"/>
      <c r="G7" s="601"/>
      <c r="H7" s="602">
        <f>M7-1</f>
        <v>1990</v>
      </c>
      <c r="I7" s="492"/>
      <c r="J7" s="492"/>
      <c r="K7" s="492"/>
      <c r="L7" s="601"/>
      <c r="M7" s="602">
        <f>R7-1</f>
        <v>1991</v>
      </c>
      <c r="N7" s="492"/>
      <c r="O7" s="492"/>
      <c r="P7" s="492"/>
      <c r="Q7" s="601"/>
      <c r="R7" s="602">
        <f>W7-1</f>
        <v>1992</v>
      </c>
      <c r="S7" s="492"/>
      <c r="T7" s="492"/>
      <c r="U7" s="492"/>
      <c r="V7" s="601"/>
      <c r="W7" s="602">
        <f>AB7-1</f>
        <v>1993</v>
      </c>
      <c r="X7" s="492"/>
      <c r="Y7" s="492"/>
      <c r="Z7" s="492"/>
      <c r="AA7" s="601"/>
      <c r="AB7" s="602">
        <f>AG7-1</f>
        <v>1994</v>
      </c>
      <c r="AC7" s="492"/>
      <c r="AD7" s="492"/>
      <c r="AE7" s="492"/>
      <c r="AF7" s="601"/>
      <c r="AG7" s="602">
        <f>AL7-1</f>
        <v>1995</v>
      </c>
      <c r="AH7" s="492"/>
      <c r="AI7" s="492"/>
      <c r="AJ7" s="492"/>
      <c r="AK7" s="601"/>
      <c r="AL7" s="602">
        <f>AQ7-1</f>
        <v>1996</v>
      </c>
      <c r="AM7" s="492"/>
      <c r="AN7" s="492"/>
      <c r="AO7" s="492"/>
      <c r="AP7" s="601"/>
      <c r="AQ7" s="602">
        <f>AV7-1</f>
        <v>1997</v>
      </c>
      <c r="AR7" s="492"/>
      <c r="AS7" s="492"/>
      <c r="AT7" s="492"/>
      <c r="AU7" s="601"/>
      <c r="AV7" s="602">
        <f>BA7-1</f>
        <v>1998</v>
      </c>
      <c r="AW7" s="492"/>
      <c r="AX7" s="492"/>
      <c r="AY7" s="492"/>
      <c r="AZ7" s="601"/>
      <c r="BA7" s="602">
        <f>BF7-1</f>
        <v>1999</v>
      </c>
      <c r="BB7" s="492"/>
      <c r="BC7" s="492"/>
      <c r="BD7" s="492"/>
      <c r="BE7" s="601"/>
      <c r="BF7" s="602">
        <v>2000</v>
      </c>
      <c r="BG7" s="492"/>
      <c r="BH7" s="492"/>
      <c r="BI7" s="492"/>
      <c r="BJ7" s="601"/>
      <c r="BK7" s="602" t="s">
        <v>354</v>
      </c>
      <c r="BL7" s="492"/>
      <c r="BM7" s="492"/>
      <c r="BN7" s="492"/>
      <c r="BO7" s="601"/>
      <c r="BP7" s="602" t="s">
        <v>355</v>
      </c>
      <c r="BQ7" s="492"/>
      <c r="BR7" s="492"/>
      <c r="BS7" s="492"/>
      <c r="BT7" s="601"/>
      <c r="BU7" s="602">
        <f>BZ7-1</f>
        <v>2003</v>
      </c>
      <c r="BV7" s="492"/>
      <c r="BW7" s="492"/>
      <c r="BX7" s="492"/>
      <c r="BY7" s="601"/>
      <c r="BZ7" s="602">
        <v>2004</v>
      </c>
      <c r="CA7" s="492"/>
      <c r="CB7" s="492"/>
      <c r="CC7" s="492"/>
      <c r="CD7" s="601"/>
      <c r="CE7" s="602">
        <v>2005</v>
      </c>
      <c r="CF7" s="492"/>
      <c r="CG7" s="492"/>
      <c r="CH7" s="492"/>
      <c r="CI7" s="601"/>
      <c r="CJ7" s="602">
        <f>CE7+1</f>
        <v>2006</v>
      </c>
      <c r="CK7" s="492"/>
      <c r="CL7" s="492"/>
      <c r="CM7" s="492"/>
      <c r="CN7" s="601"/>
      <c r="CO7" s="602">
        <f>CJ7+1</f>
        <v>2007</v>
      </c>
      <c r="CP7" s="492"/>
      <c r="CQ7" s="492"/>
      <c r="CR7" s="492"/>
      <c r="CS7" s="601"/>
      <c r="CT7" s="602">
        <f>CO7+1</f>
        <v>2008</v>
      </c>
      <c r="CU7" s="492"/>
      <c r="CV7" s="492"/>
      <c r="CW7" s="492"/>
      <c r="CX7" s="601"/>
      <c r="CY7" s="602">
        <f>CT7+1</f>
        <v>2009</v>
      </c>
      <c r="CZ7" s="492"/>
      <c r="DA7" s="492"/>
      <c r="DB7" s="492"/>
      <c r="DC7" s="601"/>
      <c r="DD7" s="602">
        <f>CY7+1</f>
        <v>2010</v>
      </c>
      <c r="DE7" s="492"/>
      <c r="DF7" s="492"/>
      <c r="DG7" s="492"/>
      <c r="DH7" s="601"/>
      <c r="DI7" s="602">
        <f>DD7+1</f>
        <v>2011</v>
      </c>
      <c r="DJ7" s="492"/>
      <c r="DK7" s="492"/>
      <c r="DL7" s="492"/>
      <c r="DM7" s="601"/>
      <c r="DN7" s="602">
        <f>DI7+1</f>
        <v>2012</v>
      </c>
      <c r="DO7" s="492"/>
      <c r="DP7" s="492"/>
      <c r="DQ7" s="492"/>
      <c r="DR7" s="601"/>
      <c r="DS7" s="602">
        <f>DN7+1</f>
        <v>2013</v>
      </c>
      <c r="DT7" s="492"/>
      <c r="DU7" s="492"/>
      <c r="DV7" s="492"/>
      <c r="DW7" s="601"/>
      <c r="DX7" s="602">
        <f>DS7+1</f>
        <v>2014</v>
      </c>
      <c r="DY7" s="492"/>
      <c r="DZ7" s="492"/>
      <c r="EA7" s="492"/>
      <c r="EB7" s="601"/>
      <c r="EC7" s="602">
        <f>DX7+1</f>
        <v>2015</v>
      </c>
      <c r="ED7" s="492"/>
      <c r="EE7" s="492"/>
      <c r="EF7" s="492"/>
      <c r="EG7" s="601"/>
      <c r="EH7" s="602">
        <f>EC7+1</f>
        <v>2016</v>
      </c>
      <c r="EI7" s="492"/>
      <c r="EJ7" s="492"/>
      <c r="EK7" s="492"/>
      <c r="EL7" s="601"/>
      <c r="EM7" s="602">
        <f>EH7+1</f>
        <v>2017</v>
      </c>
      <c r="EN7" s="492"/>
      <c r="EO7" s="492"/>
      <c r="EP7" s="492"/>
      <c r="EQ7" s="601"/>
      <c r="ER7" s="1460">
        <f>EM7+1</f>
        <v>2018</v>
      </c>
      <c r="ES7" s="1461"/>
      <c r="ET7" s="1461"/>
      <c r="EU7" s="1461"/>
      <c r="EV7" s="601"/>
      <c r="EW7" s="603">
        <v>1989</v>
      </c>
      <c r="EX7" s="604">
        <f>EW7+1</f>
        <v>1990</v>
      </c>
      <c r="EY7" s="604">
        <f t="shared" ref="EY7:FH7" si="0">EX7+1</f>
        <v>1991</v>
      </c>
      <c r="EZ7" s="604">
        <f t="shared" si="0"/>
        <v>1992</v>
      </c>
      <c r="FA7" s="604">
        <f t="shared" si="0"/>
        <v>1993</v>
      </c>
      <c r="FB7" s="604">
        <f t="shared" si="0"/>
        <v>1994</v>
      </c>
      <c r="FC7" s="604">
        <f t="shared" si="0"/>
        <v>1995</v>
      </c>
      <c r="FD7" s="604">
        <f t="shared" si="0"/>
        <v>1996</v>
      </c>
      <c r="FE7" s="604">
        <f t="shared" si="0"/>
        <v>1997</v>
      </c>
      <c r="FF7" s="604">
        <f t="shared" si="0"/>
        <v>1998</v>
      </c>
      <c r="FG7" s="604">
        <f t="shared" si="0"/>
        <v>1999</v>
      </c>
      <c r="FH7" s="604">
        <f t="shared" si="0"/>
        <v>2000</v>
      </c>
      <c r="FI7" s="604" t="s">
        <v>354</v>
      </c>
      <c r="FJ7" s="604" t="s">
        <v>355</v>
      </c>
      <c r="FK7" s="604">
        <v>2003</v>
      </c>
      <c r="FL7" s="604">
        <f>FK7+1</f>
        <v>2004</v>
      </c>
      <c r="FM7" s="603">
        <f>FL7+1</f>
        <v>2005</v>
      </c>
      <c r="FN7" s="603">
        <f t="shared" ref="FN7:FS7" si="1">FM7+1</f>
        <v>2006</v>
      </c>
      <c r="FO7" s="604">
        <f t="shared" si="1"/>
        <v>2007</v>
      </c>
      <c r="FP7" s="604">
        <f t="shared" si="1"/>
        <v>2008</v>
      </c>
      <c r="FQ7" s="603">
        <f t="shared" si="1"/>
        <v>2009</v>
      </c>
      <c r="FR7" s="603">
        <f t="shared" si="1"/>
        <v>2010</v>
      </c>
      <c r="FS7" s="604">
        <f t="shared" si="1"/>
        <v>2011</v>
      </c>
      <c r="FT7" s="604">
        <v>2012</v>
      </c>
      <c r="FU7" s="604">
        <f t="shared" ref="FU7:GA7" si="2">FT7+1</f>
        <v>2013</v>
      </c>
      <c r="FV7" s="604">
        <f t="shared" si="2"/>
        <v>2014</v>
      </c>
      <c r="FW7" s="604">
        <f t="shared" si="2"/>
        <v>2015</v>
      </c>
      <c r="FX7" s="604">
        <f>FW7+1</f>
        <v>2016</v>
      </c>
      <c r="FY7" s="604">
        <f>FX7+1</f>
        <v>2017</v>
      </c>
      <c r="FZ7" s="1376">
        <f t="shared" si="2"/>
        <v>2018</v>
      </c>
      <c r="GA7" s="1376">
        <f t="shared" si="2"/>
        <v>2019</v>
      </c>
      <c r="GB7" s="1377">
        <f>GA7+1</f>
        <v>2020</v>
      </c>
      <c r="GC7" s="1376">
        <f>GB7+1</f>
        <v>2021</v>
      </c>
      <c r="GD7" s="1483">
        <f>GC7+1</f>
        <v>2022</v>
      </c>
    </row>
    <row r="8" spans="1:261">
      <c r="A8" s="605" t="s">
        <v>230</v>
      </c>
      <c r="B8" s="507"/>
      <c r="C8" s="606" t="s">
        <v>140</v>
      </c>
      <c r="D8" s="606" t="s">
        <v>141</v>
      </c>
      <c r="E8" s="606" t="s">
        <v>142</v>
      </c>
      <c r="F8" s="606" t="s">
        <v>143</v>
      </c>
      <c r="G8" s="507"/>
      <c r="H8" s="606" t="s">
        <v>140</v>
      </c>
      <c r="I8" s="606" t="s">
        <v>141</v>
      </c>
      <c r="J8" s="606" t="s">
        <v>142</v>
      </c>
      <c r="K8" s="606" t="s">
        <v>143</v>
      </c>
      <c r="L8" s="507"/>
      <c r="M8" s="606" t="s">
        <v>140</v>
      </c>
      <c r="N8" s="606" t="s">
        <v>141</v>
      </c>
      <c r="O8" s="606" t="s">
        <v>142</v>
      </c>
      <c r="P8" s="606" t="s">
        <v>143</v>
      </c>
      <c r="Q8" s="507"/>
      <c r="R8" s="606" t="s">
        <v>140</v>
      </c>
      <c r="S8" s="606" t="s">
        <v>141</v>
      </c>
      <c r="T8" s="606" t="s">
        <v>142</v>
      </c>
      <c r="U8" s="606" t="s">
        <v>143</v>
      </c>
      <c r="V8" s="507"/>
      <c r="W8" s="606" t="s">
        <v>140</v>
      </c>
      <c r="X8" s="606" t="s">
        <v>141</v>
      </c>
      <c r="Y8" s="606" t="s">
        <v>142</v>
      </c>
      <c r="Z8" s="606" t="s">
        <v>143</v>
      </c>
      <c r="AA8" s="507"/>
      <c r="AB8" s="606" t="s">
        <v>140</v>
      </c>
      <c r="AC8" s="606" t="s">
        <v>141</v>
      </c>
      <c r="AD8" s="606" t="s">
        <v>142</v>
      </c>
      <c r="AE8" s="606" t="s">
        <v>143</v>
      </c>
      <c r="AF8" s="507"/>
      <c r="AG8" s="606" t="s">
        <v>140</v>
      </c>
      <c r="AH8" s="606" t="s">
        <v>141</v>
      </c>
      <c r="AI8" s="606" t="s">
        <v>142</v>
      </c>
      <c r="AJ8" s="606" t="s">
        <v>143</v>
      </c>
      <c r="AK8" s="507"/>
      <c r="AL8" s="606" t="s">
        <v>140</v>
      </c>
      <c r="AM8" s="606" t="s">
        <v>141</v>
      </c>
      <c r="AN8" s="606" t="s">
        <v>142</v>
      </c>
      <c r="AO8" s="606" t="s">
        <v>143</v>
      </c>
      <c r="AP8" s="507"/>
      <c r="AQ8" s="606" t="s">
        <v>140</v>
      </c>
      <c r="AR8" s="606" t="s">
        <v>141</v>
      </c>
      <c r="AS8" s="606" t="s">
        <v>142</v>
      </c>
      <c r="AT8" s="606" t="s">
        <v>143</v>
      </c>
      <c r="AU8" s="507"/>
      <c r="AV8" s="606" t="s">
        <v>140</v>
      </c>
      <c r="AW8" s="606" t="s">
        <v>141</v>
      </c>
      <c r="AX8" s="606" t="s">
        <v>142</v>
      </c>
      <c r="AY8" s="606" t="s">
        <v>143</v>
      </c>
      <c r="AZ8" s="507"/>
      <c r="BA8" s="606" t="s">
        <v>140</v>
      </c>
      <c r="BB8" s="606" t="s">
        <v>141</v>
      </c>
      <c r="BC8" s="606" t="s">
        <v>142</v>
      </c>
      <c r="BD8" s="606" t="s">
        <v>143</v>
      </c>
      <c r="BE8" s="507"/>
      <c r="BF8" s="606" t="s">
        <v>140</v>
      </c>
      <c r="BG8" s="606" t="s">
        <v>141</v>
      </c>
      <c r="BH8" s="606" t="s">
        <v>142</v>
      </c>
      <c r="BI8" s="606" t="s">
        <v>143</v>
      </c>
      <c r="BJ8" s="507"/>
      <c r="BK8" s="606" t="s">
        <v>140</v>
      </c>
      <c r="BL8" s="606" t="s">
        <v>141</v>
      </c>
      <c r="BM8" s="606" t="s">
        <v>142</v>
      </c>
      <c r="BN8" s="606" t="s">
        <v>143</v>
      </c>
      <c r="BO8" s="507"/>
      <c r="BP8" s="606" t="s">
        <v>140</v>
      </c>
      <c r="BQ8" s="606" t="s">
        <v>141</v>
      </c>
      <c r="BR8" s="606" t="s">
        <v>142</v>
      </c>
      <c r="BS8" s="606" t="s">
        <v>143</v>
      </c>
      <c r="BT8" s="507"/>
      <c r="BU8" s="606" t="s">
        <v>140</v>
      </c>
      <c r="BV8" s="606" t="s">
        <v>141</v>
      </c>
      <c r="BW8" s="606" t="s">
        <v>142</v>
      </c>
      <c r="BX8" s="606" t="s">
        <v>143</v>
      </c>
      <c r="BY8" s="507"/>
      <c r="BZ8" s="606" t="s">
        <v>140</v>
      </c>
      <c r="CA8" s="606" t="s">
        <v>141</v>
      </c>
      <c r="CB8" s="606" t="s">
        <v>142</v>
      </c>
      <c r="CC8" s="606" t="s">
        <v>143</v>
      </c>
      <c r="CD8" s="507"/>
      <c r="CE8" s="606" t="s">
        <v>140</v>
      </c>
      <c r="CF8" s="606" t="s">
        <v>141</v>
      </c>
      <c r="CG8" s="606" t="s">
        <v>142</v>
      </c>
      <c r="CH8" s="606" t="s">
        <v>143</v>
      </c>
      <c r="CI8" s="507"/>
      <c r="CJ8" s="606" t="s">
        <v>140</v>
      </c>
      <c r="CK8" s="606" t="s">
        <v>141</v>
      </c>
      <c r="CL8" s="606" t="s">
        <v>142</v>
      </c>
      <c r="CM8" s="606" t="s">
        <v>143</v>
      </c>
      <c r="CN8" s="507"/>
      <c r="CO8" s="606" t="s">
        <v>140</v>
      </c>
      <c r="CP8" s="606" t="s">
        <v>141</v>
      </c>
      <c r="CQ8" s="606" t="s">
        <v>142</v>
      </c>
      <c r="CR8" s="606" t="s">
        <v>143</v>
      </c>
      <c r="CS8" s="507"/>
      <c r="CT8" s="606" t="s">
        <v>140</v>
      </c>
      <c r="CU8" s="606" t="s">
        <v>141</v>
      </c>
      <c r="CV8" s="606" t="s">
        <v>142</v>
      </c>
      <c r="CW8" s="606" t="s">
        <v>143</v>
      </c>
      <c r="CX8" s="507"/>
      <c r="CY8" s="606" t="s">
        <v>140</v>
      </c>
      <c r="CZ8" s="606" t="s">
        <v>141</v>
      </c>
      <c r="DA8" s="606" t="s">
        <v>142</v>
      </c>
      <c r="DB8" s="606" t="s">
        <v>143</v>
      </c>
      <c r="DC8" s="507"/>
      <c r="DD8" s="606" t="s">
        <v>140</v>
      </c>
      <c r="DE8" s="606" t="s">
        <v>141</v>
      </c>
      <c r="DF8" s="606" t="s">
        <v>142</v>
      </c>
      <c r="DG8" s="606" t="s">
        <v>143</v>
      </c>
      <c r="DH8" s="507"/>
      <c r="DI8" s="606" t="s">
        <v>140</v>
      </c>
      <c r="DJ8" s="606" t="s">
        <v>141</v>
      </c>
      <c r="DK8" s="606" t="s">
        <v>142</v>
      </c>
      <c r="DL8" s="606" t="s">
        <v>143</v>
      </c>
      <c r="DM8" s="507"/>
      <c r="DN8" s="607" t="s">
        <v>140</v>
      </c>
      <c r="DO8" s="607" t="s">
        <v>141</v>
      </c>
      <c r="DP8" s="607" t="s">
        <v>142</v>
      </c>
      <c r="DQ8" s="607" t="s">
        <v>143</v>
      </c>
      <c r="DR8" s="507"/>
      <c r="DS8" s="607" t="s">
        <v>140</v>
      </c>
      <c r="DT8" s="607" t="s">
        <v>141</v>
      </c>
      <c r="DU8" s="607" t="s">
        <v>142</v>
      </c>
      <c r="DV8" s="607" t="s">
        <v>143</v>
      </c>
      <c r="DW8" s="507"/>
      <c r="DX8" s="606" t="s">
        <v>140</v>
      </c>
      <c r="DY8" s="606" t="s">
        <v>141</v>
      </c>
      <c r="DZ8" s="606" t="s">
        <v>142</v>
      </c>
      <c r="EA8" s="606" t="s">
        <v>143</v>
      </c>
      <c r="EB8" s="507"/>
      <c r="EC8" s="606" t="s">
        <v>140</v>
      </c>
      <c r="ED8" s="606" t="s">
        <v>141</v>
      </c>
      <c r="EE8" s="606" t="s">
        <v>142</v>
      </c>
      <c r="EF8" s="606" t="s">
        <v>143</v>
      </c>
      <c r="EG8" s="507"/>
      <c r="EH8" s="606" t="s">
        <v>140</v>
      </c>
      <c r="EI8" s="606" t="s">
        <v>141</v>
      </c>
      <c r="EJ8" s="606" t="s">
        <v>142</v>
      </c>
      <c r="EK8" s="606" t="s">
        <v>143</v>
      </c>
      <c r="EL8" s="507"/>
      <c r="EM8" s="606" t="s">
        <v>140</v>
      </c>
      <c r="EN8" s="606" t="s">
        <v>141</v>
      </c>
      <c r="EO8" s="606" t="s">
        <v>142</v>
      </c>
      <c r="EP8" s="606" t="s">
        <v>143</v>
      </c>
      <c r="EQ8" s="507"/>
      <c r="ER8" s="1462" t="s">
        <v>140</v>
      </c>
      <c r="ES8" s="1462" t="s">
        <v>141</v>
      </c>
      <c r="ET8" s="1462" t="s">
        <v>142</v>
      </c>
      <c r="EU8" s="1462" t="s">
        <v>143</v>
      </c>
      <c r="EV8" s="507"/>
      <c r="EW8" s="608" t="s">
        <v>143</v>
      </c>
      <c r="EX8" s="606" t="s">
        <v>143</v>
      </c>
      <c r="EY8" s="606" t="s">
        <v>143</v>
      </c>
      <c r="EZ8" s="606" t="s">
        <v>143</v>
      </c>
      <c r="FA8" s="606" t="s">
        <v>143</v>
      </c>
      <c r="FB8" s="606" t="s">
        <v>143</v>
      </c>
      <c r="FC8" s="606" t="s">
        <v>143</v>
      </c>
      <c r="FD8" s="606" t="s">
        <v>143</v>
      </c>
      <c r="FE8" s="606" t="s">
        <v>143</v>
      </c>
      <c r="FF8" s="606" t="s">
        <v>143</v>
      </c>
      <c r="FG8" s="606" t="s">
        <v>143</v>
      </c>
      <c r="FH8" s="606" t="s">
        <v>143</v>
      </c>
      <c r="FI8" s="606" t="s">
        <v>143</v>
      </c>
      <c r="FJ8" s="606" t="s">
        <v>143</v>
      </c>
      <c r="FK8" s="606" t="s">
        <v>143</v>
      </c>
      <c r="FL8" s="606" t="s">
        <v>143</v>
      </c>
      <c r="FM8" s="608" t="s">
        <v>143</v>
      </c>
      <c r="FN8" s="608" t="s">
        <v>143</v>
      </c>
      <c r="FO8" s="606" t="s">
        <v>143</v>
      </c>
      <c r="FP8" s="606" t="s">
        <v>143</v>
      </c>
      <c r="FQ8" s="608" t="s">
        <v>143</v>
      </c>
      <c r="FR8" s="608" t="s">
        <v>143</v>
      </c>
      <c r="FS8" s="606" t="s">
        <v>143</v>
      </c>
      <c r="FT8" s="606" t="s">
        <v>143</v>
      </c>
      <c r="FU8" s="606" t="s">
        <v>143</v>
      </c>
      <c r="FV8" s="606" t="s">
        <v>143</v>
      </c>
      <c r="FW8" s="606" t="s">
        <v>143</v>
      </c>
      <c r="FX8" s="606" t="s">
        <v>143</v>
      </c>
      <c r="FY8" s="606" t="s">
        <v>143</v>
      </c>
      <c r="FZ8" s="606" t="s">
        <v>143</v>
      </c>
      <c r="GA8" s="606" t="s">
        <v>143</v>
      </c>
      <c r="GB8" s="1262" t="s">
        <v>143</v>
      </c>
      <c r="GC8" s="606" t="s">
        <v>143</v>
      </c>
      <c r="GD8" s="1484" t="s">
        <v>143</v>
      </c>
    </row>
    <row r="9" spans="1:261" ht="9" customHeight="1">
      <c r="A9" s="500"/>
      <c r="B9" s="507"/>
      <c r="C9" s="507"/>
      <c r="D9" s="507"/>
      <c r="E9" s="507"/>
      <c r="F9" s="507"/>
      <c r="G9" s="507"/>
      <c r="H9" s="507"/>
      <c r="I9" s="507"/>
      <c r="J9" s="507"/>
      <c r="K9" s="507"/>
      <c r="L9" s="507"/>
      <c r="M9" s="507"/>
      <c r="N9" s="507"/>
      <c r="O9" s="507"/>
      <c r="P9" s="507"/>
      <c r="Q9" s="507"/>
      <c r="R9" s="507"/>
      <c r="S9" s="507"/>
      <c r="T9" s="507"/>
      <c r="U9" s="507"/>
      <c r="V9" s="507"/>
      <c r="W9" s="507"/>
      <c r="X9" s="507"/>
      <c r="Y9" s="507"/>
      <c r="Z9" s="507"/>
      <c r="AA9" s="507"/>
      <c r="AB9" s="507"/>
      <c r="AC9" s="507"/>
      <c r="AD9" s="507"/>
      <c r="AE9" s="507"/>
      <c r="AF9" s="507"/>
      <c r="AG9" s="507"/>
      <c r="AH9" s="507"/>
      <c r="AI9" s="507"/>
      <c r="AJ9" s="507"/>
      <c r="AK9" s="507"/>
      <c r="AL9" s="507"/>
      <c r="AM9" s="507"/>
      <c r="AN9" s="507"/>
      <c r="AO9" s="507"/>
      <c r="AP9" s="507"/>
      <c r="AQ9" s="507"/>
      <c r="AR9" s="507"/>
      <c r="AS9" s="507"/>
      <c r="AT9" s="507"/>
      <c r="AU9" s="507"/>
      <c r="AV9" s="507"/>
      <c r="AW9" s="507"/>
      <c r="AX9" s="507"/>
      <c r="AY9" s="507"/>
      <c r="AZ9" s="507"/>
      <c r="BA9" s="507"/>
      <c r="BB9" s="507"/>
      <c r="BC9" s="507"/>
      <c r="BD9" s="507"/>
      <c r="BE9" s="507"/>
      <c r="BF9" s="507"/>
      <c r="BG9" s="507"/>
      <c r="BH9" s="507"/>
      <c r="BI9" s="507"/>
      <c r="BJ9" s="507"/>
      <c r="BK9" s="507"/>
      <c r="BL9" s="507"/>
      <c r="BM9" s="507"/>
      <c r="BN9" s="507"/>
      <c r="BO9" s="507"/>
      <c r="BP9" s="507"/>
      <c r="BQ9" s="507"/>
      <c r="BR9" s="507"/>
      <c r="BS9" s="507"/>
      <c r="BT9" s="507"/>
      <c r="BU9" s="507"/>
      <c r="BV9" s="507"/>
      <c r="BW9" s="507"/>
      <c r="BX9" s="507"/>
      <c r="BY9" s="507"/>
      <c r="BZ9" s="507"/>
      <c r="CA9" s="507"/>
      <c r="CB9" s="507"/>
      <c r="CC9" s="507"/>
      <c r="CD9" s="507"/>
      <c r="CE9" s="507"/>
      <c r="CF9" s="507"/>
      <c r="CG9" s="507"/>
      <c r="CH9" s="507"/>
      <c r="CI9" s="507"/>
      <c r="CJ9" s="507"/>
      <c r="CK9" s="507"/>
      <c r="CL9" s="507"/>
      <c r="CM9" s="507"/>
      <c r="CN9" s="507"/>
      <c r="CO9" s="507"/>
      <c r="CP9" s="507"/>
      <c r="CQ9" s="507"/>
      <c r="CR9" s="507"/>
      <c r="CS9" s="507"/>
      <c r="CT9" s="507"/>
      <c r="CU9" s="507"/>
      <c r="CV9" s="507"/>
      <c r="CW9" s="507"/>
      <c r="CX9" s="507"/>
      <c r="CY9" s="507"/>
      <c r="CZ9" s="507"/>
      <c r="DA9" s="507"/>
      <c r="DB9" s="507"/>
      <c r="DC9" s="507"/>
      <c r="DD9" s="507"/>
      <c r="DE9" s="507"/>
      <c r="DF9" s="507"/>
      <c r="DG9" s="507"/>
      <c r="DH9" s="507"/>
      <c r="DI9" s="507"/>
      <c r="DJ9" s="507"/>
      <c r="DK9" s="507"/>
      <c r="DL9" s="507"/>
      <c r="DM9" s="507"/>
      <c r="DN9" s="507"/>
      <c r="DO9" s="507"/>
      <c r="DP9" s="507"/>
      <c r="DR9" s="507"/>
      <c r="DS9" s="507"/>
      <c r="DT9" s="507"/>
      <c r="DU9" s="507"/>
      <c r="DV9" s="507"/>
      <c r="DW9" s="507"/>
      <c r="DX9" s="507"/>
      <c r="DY9" s="507"/>
      <c r="DZ9" s="507"/>
      <c r="EA9" s="507"/>
      <c r="EB9" s="507"/>
      <c r="EC9" s="507"/>
      <c r="ED9" s="507"/>
      <c r="EE9" s="507"/>
      <c r="EF9" s="507"/>
      <c r="EG9" s="507"/>
      <c r="EH9" s="507"/>
      <c r="EI9" s="507"/>
      <c r="EJ9" s="507"/>
      <c r="EK9" s="507"/>
      <c r="EL9" s="507"/>
      <c r="EM9" s="507"/>
      <c r="EN9" s="507"/>
      <c r="EO9" s="507"/>
      <c r="EP9" s="507"/>
      <c r="EQ9" s="507"/>
      <c r="ER9" s="1463"/>
      <c r="ES9" s="1463"/>
      <c r="ET9" s="1463"/>
      <c r="EU9" s="1463"/>
      <c r="EV9" s="507"/>
      <c r="EW9" s="500"/>
      <c r="EX9" s="507"/>
      <c r="EY9" s="507"/>
      <c r="EZ9" s="507"/>
      <c r="FA9" s="507"/>
      <c r="FB9" s="507"/>
      <c r="FC9" s="507"/>
      <c r="FD9" s="507"/>
      <c r="FE9" s="507"/>
      <c r="FF9" s="507"/>
      <c r="FG9" s="507"/>
      <c r="FH9" s="507"/>
      <c r="FI9" s="507"/>
      <c r="FJ9" s="507"/>
      <c r="FK9" s="507"/>
      <c r="FL9" s="507"/>
      <c r="FM9" s="500"/>
      <c r="FN9" s="500"/>
      <c r="FO9" s="507"/>
      <c r="FP9" s="507"/>
      <c r="FQ9" s="500"/>
      <c r="FR9" s="500"/>
      <c r="FS9" s="507"/>
      <c r="FT9" s="507"/>
      <c r="FU9" s="507"/>
      <c r="FV9" s="507"/>
      <c r="FW9" s="507"/>
      <c r="FX9" s="507"/>
      <c r="FY9" s="507"/>
      <c r="FZ9" s="507"/>
      <c r="GA9" s="507"/>
      <c r="GB9" s="961"/>
      <c r="GC9" s="507"/>
      <c r="GD9" s="1485"/>
    </row>
    <row r="10" spans="1:261" ht="11.25" customHeight="1">
      <c r="A10" s="500" t="s">
        <v>231</v>
      </c>
      <c r="B10" s="507"/>
      <c r="C10" s="609">
        <f>INDEX('qtrP&amp;L'!$10:$10,MATCH(C$7,'qtrP&amp;L'!$6:$6,0))</f>
        <v>3341</v>
      </c>
      <c r="D10" s="609">
        <f>INDEX('qtrP&amp;L'!$11:$11,MATCH(C$7,'qtrP&amp;L'!$6:$6,0))</f>
        <v>3438</v>
      </c>
      <c r="E10" s="609">
        <f>INDEX('qtrP&amp;L'!$12:$12,MATCH(C$7,'qtrP&amp;L'!$6:$6,0))</f>
        <v>4061</v>
      </c>
      <c r="F10" s="609">
        <f>INDEX('qtrP&amp;L'!$13:$13,MATCH(C$7,'qtrP&amp;L'!$6:$6,0))</f>
        <v>5263</v>
      </c>
      <c r="G10" s="610"/>
      <c r="H10" s="609">
        <f>INDEX('qtrP&amp;L'!$10:$10,MATCH(H$7,'qtrP&amp;L'!$6:$6,0))</f>
        <v>3530</v>
      </c>
      <c r="I10" s="609">
        <f>INDEX('qtrP&amp;L'!$11:$11,MATCH(H$7,'qtrP&amp;L'!$6:$6,0))</f>
        <v>3580</v>
      </c>
      <c r="J10" s="609">
        <f>INDEX('qtrP&amp;L'!$12:$12,MATCH(H$7,'qtrP&amp;L'!$6:$6,0))</f>
        <v>3995</v>
      </c>
      <c r="K10" s="609">
        <f>INDEX('qtrP&amp;L'!$13:$13,MATCH(H$7,'qtrP&amp;L'!$6:$6,0))</f>
        <v>5260</v>
      </c>
      <c r="L10" s="610"/>
      <c r="M10" s="609">
        <f>INDEX('qtrP&amp;L'!$10:$10,MATCH(M$7,'qtrP&amp;L'!$6:$6,0))</f>
        <v>3433</v>
      </c>
      <c r="N10" s="609">
        <f>INDEX('qtrP&amp;L'!$11:$11,MATCH(M$7,'qtrP&amp;L'!$6:$6,0))</f>
        <v>3456</v>
      </c>
      <c r="O10" s="609">
        <f>INDEX('qtrP&amp;L'!$12:$12,MATCH(M$7,'qtrP&amp;L'!$6:$6,0))</f>
        <v>3937</v>
      </c>
      <c r="P10" s="609">
        <f>INDEX('qtrP&amp;L'!$13:$13,MATCH(M$7,'qtrP&amp;L'!$6:$6,0))</f>
        <v>5375</v>
      </c>
      <c r="Q10" s="610"/>
      <c r="R10" s="609">
        <f>INDEX('qtrP&amp;L'!$10:$10,MATCH(R$7,'qtrP&amp;L'!$6:$6,0))</f>
        <v>3793</v>
      </c>
      <c r="S10" s="609">
        <f>INDEX('qtrP&amp;L'!$11:$11,MATCH(R$7,'qtrP&amp;L'!$6:$6,0))</f>
        <v>3789</v>
      </c>
      <c r="T10" s="609">
        <f>INDEX('qtrP&amp;L'!$12:$12,MATCH(R$7,'qtrP&amp;L'!$6:$6,0))</f>
        <v>4342</v>
      </c>
      <c r="U10" s="609">
        <f>INDEX('qtrP&amp;L'!$13:$13,MATCH(R$7,'qtrP&amp;L'!$6:$6,0))</f>
        <v>6085</v>
      </c>
      <c r="V10" s="610"/>
      <c r="W10" s="609">
        <f>INDEX('qtrP&amp;L'!$10:$10,MATCH(W$7,'qtrP&amp;L'!$6:$6,0))</f>
        <v>3964</v>
      </c>
      <c r="X10" s="609">
        <f>INDEX('qtrP&amp;L'!$11:$11,MATCH(W$7,'qtrP&amp;L'!$6:$6,0))</f>
        <v>3963</v>
      </c>
      <c r="Y10" s="609">
        <f>INDEX('qtrP&amp;L'!$12:$12,MATCH(W$7,'qtrP&amp;L'!$6:$6,0))</f>
        <v>4735</v>
      </c>
      <c r="Z10" s="609">
        <f>INDEX('qtrP&amp;L'!$13:$13,MATCH(W$7,'qtrP&amp;L'!$6:$6,0))</f>
        <v>6321</v>
      </c>
      <c r="AA10" s="610"/>
      <c r="AB10" s="609">
        <f>INDEX('qtrP&amp;L'!$10:$10,MATCH(AB$7,'qtrP&amp;L'!$6:$6,0))</f>
        <v>4350</v>
      </c>
      <c r="AC10" s="609">
        <f>INDEX('qtrP&amp;L'!$11:$11,MATCH(AB$7,'qtrP&amp;L'!$6:$6,0))</f>
        <v>4242</v>
      </c>
      <c r="AD10" s="609">
        <f>INDEX('qtrP&amp;L'!$12:$12,MATCH(AB$7,'qtrP&amp;L'!$6:$6,0))</f>
        <v>5149</v>
      </c>
      <c r="AE10" s="609">
        <f>INDEX('qtrP&amp;L'!$13:$13,MATCH(AB$7,'qtrP&amp;L'!$6:$6,0))</f>
        <v>6639</v>
      </c>
      <c r="AF10" s="610"/>
      <c r="AG10" s="609">
        <f>INDEX('qtrP&amp;L'!$10:$10,MATCH(AG$7,'qtrP&amp;L'!$6:$6,0))</f>
        <v>4367</v>
      </c>
      <c r="AH10" s="609">
        <f>INDEX('qtrP&amp;L'!$11:$11,MATCH(AG$7,'qtrP&amp;L'!$6:$6,0))</f>
        <v>4435</v>
      </c>
      <c r="AI10" s="609">
        <f>INDEX('qtrP&amp;L'!$12:$12,MATCH(AG$7,'qtrP&amp;L'!$6:$6,0))</f>
        <v>5128</v>
      </c>
      <c r="AJ10" s="609">
        <f>INDEX('qtrP&amp;L'!$13:$13,MATCH(AG$7,'qtrP&amp;L'!$6:$6,0))</f>
        <v>6632</v>
      </c>
      <c r="AK10" s="610"/>
      <c r="AL10" s="609">
        <f>INDEX('qtrP&amp;L'!$10:$10,MATCH(AL$7,'qtrP&amp;L'!$6:$6,0))</f>
        <v>4452</v>
      </c>
      <c r="AM10" s="609">
        <f>INDEX('qtrP&amp;L'!$11:$11,MATCH(AL$7,'qtrP&amp;L'!$6:$6,0))</f>
        <v>4507</v>
      </c>
      <c r="AN10" s="609">
        <f>INDEX('qtrP&amp;L'!$12:$12,MATCH(AL$7,'qtrP&amp;L'!$6:$6,0))</f>
        <v>5537</v>
      </c>
      <c r="AO10" s="609">
        <f>INDEX('qtrP&amp;L'!$13:$13,MATCH(AL$7,'qtrP&amp;L'!$6:$6,0))</f>
        <v>8156</v>
      </c>
      <c r="AP10" s="610"/>
      <c r="AQ10" s="609">
        <f>INDEX('qtrP&amp;L'!$10:$10,MATCH(AQ$7,'qtrP&amp;L'!$6:$6,0))</f>
        <v>6477.3</v>
      </c>
      <c r="AR10" s="609">
        <f>INDEX('qtrP&amp;L'!$11:$11,MATCH(AQ$7,'qtrP&amp;L'!$6:$6,0))</f>
        <v>6385.6</v>
      </c>
      <c r="AS10" s="609">
        <f>INDEX('qtrP&amp;L'!$12:$12,MATCH(AQ$7,'qtrP&amp;L'!$6:$6,0))</f>
        <v>7103.3</v>
      </c>
      <c r="AT10" s="609">
        <f>INDEX('qtrP&amp;L'!$13:$13,MATCH(AQ$7,'qtrP&amp;L'!$6:$6,0))</f>
        <v>9515</v>
      </c>
      <c r="AU10" s="610"/>
      <c r="AV10" s="609">
        <f>INDEX('qtrP&amp;L'!$10:$10,MATCH(AV$7,'qtrP&amp;L'!$6:$6,0))</f>
        <v>6755</v>
      </c>
      <c r="AW10" s="609">
        <f>INDEX('qtrP&amp;L'!$11:$11,MATCH(AV$7,'qtrP&amp;L'!$6:$6,0))</f>
        <v>6482</v>
      </c>
      <c r="AX10" s="609">
        <f>INDEX('qtrP&amp;L'!$12:$12,MATCH(AV$7,'qtrP&amp;L'!$6:$6,0))</f>
        <v>7129</v>
      </c>
      <c r="AY10" s="609">
        <f>INDEX('qtrP&amp;L'!$13:$13,MATCH(AV$7,'qtrP&amp;L'!$6:$6,0))</f>
        <v>9072</v>
      </c>
      <c r="AZ10" s="610"/>
      <c r="BA10" s="609">
        <f>INDEX('qtrP&amp;L'!$10:$10,MATCH(BA$7,'qtrP&amp;L'!$6:$6,0))</f>
        <v>7339</v>
      </c>
      <c r="BB10" s="609">
        <f>INDEX('qtrP&amp;L'!$11:$11,MATCH(BA$7,'qtrP&amp;L'!$6:$6,0))</f>
        <v>7104</v>
      </c>
      <c r="BC10" s="609">
        <f>INDEX('qtrP&amp;L'!$12:$12,MATCH(BA$7,'qtrP&amp;L'!$6:$6,0))</f>
        <v>7639</v>
      </c>
      <c r="BD10" s="609">
        <f>INDEX('qtrP&amp;L'!$13:$13,MATCH(BA$7,'qtrP&amp;L'!$6:$6,0))</f>
        <v>9661</v>
      </c>
      <c r="BE10" s="610"/>
      <c r="BF10" s="609">
        <f>INDEX('qtrP&amp;L'!$10:$10,MATCH(BF$7,'qtrP&amp;L'!$6:$6,0))</f>
        <v>7528</v>
      </c>
      <c r="BG10" s="609">
        <f>INDEX('qtrP&amp;L'!$11:$11,MATCH(BF$7,'qtrP&amp;L'!$6:$6,0))</f>
        <v>7207</v>
      </c>
      <c r="BH10" s="609">
        <f>INDEX('qtrP&amp;L'!$12:$12,MATCH(BF$7,'qtrP&amp;L'!$6:$6,0))</f>
        <v>7538</v>
      </c>
      <c r="BI10" s="609">
        <f>INDEX('qtrP&amp;L'!$13:$13,MATCH(BF$7,'qtrP&amp;L'!$6:$6,0))</f>
        <v>9573</v>
      </c>
      <c r="BJ10" s="610"/>
      <c r="BK10" s="609">
        <f>INDEX('qtrP&amp;L'!$10:$10,MATCH(BK$7,'qtrP&amp;L'!$6:$6,0))</f>
        <v>4049</v>
      </c>
      <c r="BL10" s="609">
        <f>INDEX('qtrP&amp;L'!$11:$11,MATCH(BK$7,'qtrP&amp;L'!$6:$6,0))</f>
        <v>3842</v>
      </c>
      <c r="BM10" s="609">
        <f>INDEX('qtrP&amp;L'!$12:$12,MATCH(BK$7,'qtrP&amp;L'!$6:$6,0))</f>
        <v>4346</v>
      </c>
      <c r="BN10" s="609">
        <f>INDEX('qtrP&amp;L'!$13:$13,MATCH(BK$7,'qtrP&amp;L'!$6:$6,0))</f>
        <v>5855</v>
      </c>
      <c r="BO10" s="610"/>
      <c r="BP10" s="609">
        <f>INDEX('qtrP&amp;L'!$10:$10,MATCH(BP$7,'qtrP&amp;L'!$6:$6,0))</f>
        <v>3990</v>
      </c>
      <c r="BQ10" s="609">
        <f>INDEX('qtrP&amp;L'!$11:$11,MATCH(BP$7,'qtrP&amp;L'!$6:$6,0))</f>
        <v>3605.982</v>
      </c>
      <c r="BR10" s="609">
        <f>INDEX('qtrP&amp;L'!$12:$12,MATCH(BP$7,'qtrP&amp;L'!$6:$6,0))</f>
        <v>4294</v>
      </c>
      <c r="BS10" s="609">
        <f>INDEX('qtrP&amp;L'!$13:$13,MATCH(BP$7,'qtrP&amp;L'!$6:$6,0))</f>
        <v>5743</v>
      </c>
      <c r="BT10" s="610"/>
      <c r="BU10" s="609">
        <f>INDEX('qtrP&amp;L'!$10:$10,MATCH(BU$7,'qtrP&amp;L'!$6:$6,0))</f>
        <v>3669</v>
      </c>
      <c r="BV10" s="609">
        <f>INDEX('qtrP&amp;L'!$11:$11,MATCH(BU$7,'qtrP&amp;L'!$6:$6,0))</f>
        <v>3578</v>
      </c>
      <c r="BW10" s="609">
        <f>INDEX('qtrP&amp;L'!$12:$12,MATCH(BU$7,'qtrP&amp;L'!$6:$6,0))</f>
        <v>4268</v>
      </c>
      <c r="BX10" s="609">
        <f>INDEX('qtrP&amp;L'!$13:$13,MATCH(BU$7,'qtrP&amp;L'!$6:$6,0))</f>
        <v>5998</v>
      </c>
      <c r="BY10" s="610"/>
      <c r="BZ10" s="609">
        <f>INDEX('qtrP&amp;L'!$10:$10,MATCH(BZ$7,'qtrP&amp;L'!$6:$6,0))</f>
        <v>3972</v>
      </c>
      <c r="CA10" s="609">
        <f>INDEX('qtrP&amp;L'!$11:$11,MATCH(BZ$7,'qtrP&amp;L'!$6:$6,0))</f>
        <v>3778</v>
      </c>
      <c r="CB10" s="609">
        <f>INDEX('qtrP&amp;L'!$12:$12,MATCH(BZ$7,'qtrP&amp;L'!$6:$6,0))</f>
        <v>4391</v>
      </c>
      <c r="CC10" s="609">
        <f>INDEX('qtrP&amp;L'!$13:$13,MATCH(BZ$7,'qtrP&amp;L'!$6:$6,0))</f>
        <v>5955</v>
      </c>
      <c r="CD10" s="610"/>
      <c r="CE10" s="609">
        <f>INDEX('qtrP&amp;L'!$10:$10,MATCH(CE$7,'qtrP&amp;L'!$6:$6,0))</f>
        <v>4118</v>
      </c>
      <c r="CF10" s="609">
        <f>INDEX('qtrP&amp;L'!$11:$11,MATCH(CE$7,'qtrP&amp;L'!$6:$6,0))</f>
        <v>3981</v>
      </c>
      <c r="CG10" s="609">
        <f>INDEX('qtrP&amp;L'!$12:$12,MATCH(CE$7,'qtrP&amp;L'!$6:$6,0))</f>
        <v>4479</v>
      </c>
      <c r="CH10" s="609">
        <f>INDEX('qtrP&amp;L'!$13:$13,MATCH(CE$7,'qtrP&amp;L'!$6:$6,0))</f>
        <v>6203.0839999999998</v>
      </c>
      <c r="CI10" s="610"/>
      <c r="CJ10" s="609">
        <f>INDEX('qtrP&amp;L'!$10:$10,MATCH(CJ$7,'qtrP&amp;L'!$6:$6,0))</f>
        <v>4219</v>
      </c>
      <c r="CK10" s="609">
        <f>INDEX('qtrP&amp;L'!$11:$11,MATCH(CJ$7,'qtrP&amp;L'!$6:$6,0))</f>
        <v>4237.0879999999997</v>
      </c>
      <c r="CL10" s="609">
        <f>INDEX('qtrP&amp;L'!$12:$12,MATCH(CJ$7,'qtrP&amp;L'!$6:$6,0))</f>
        <v>4781</v>
      </c>
      <c r="CM10" s="609">
        <f>INDEX('qtrP&amp;L'!$13:$13,MATCH(CJ$7,'qtrP&amp;L'!$6:$6,0))</f>
        <v>6668</v>
      </c>
      <c r="CN10" s="610"/>
      <c r="CO10" s="609">
        <f>INDEX('qtrP&amp;L'!$10:$10,MATCH(CO$7,'qtrP&amp;L'!$6:$6,0))</f>
        <v>4349</v>
      </c>
      <c r="CP10" s="609">
        <f>INDEX('qtrP&amp;L'!$11:$11,MATCH(CO$7,'qtrP&amp;L'!$6:$6,0))</f>
        <v>4390</v>
      </c>
      <c r="CQ10" s="609">
        <f>INDEX('qtrP&amp;L'!$12:$12,MATCH(CO$7,'qtrP&amp;L'!$6:$6,0))</f>
        <v>4728</v>
      </c>
      <c r="CR10" s="609">
        <f>INDEX('qtrP&amp;L'!$13:$13,MATCH(CO$7,'qtrP&amp;L'!$6:$6,0))</f>
        <v>6390</v>
      </c>
      <c r="CS10" s="610"/>
      <c r="CT10" s="609">
        <f>INDEX('qtrP&amp;L'!$10:$10,MATCH(CT$7,'qtrP&amp;L'!$6:$6,0))</f>
        <v>4127</v>
      </c>
      <c r="CU10" s="609">
        <f>INDEX('qtrP&amp;L'!$11:$11,MATCH(CT$7,'qtrP&amp;L'!$6:$6,0))</f>
        <v>4282.4964120962914</v>
      </c>
      <c r="CV10" s="609">
        <f>INDEX('qtrP&amp;L'!$12:$12,MATCH(CT$7,'qtrP&amp;L'!$6:$6,0))</f>
        <v>4317.814358998382</v>
      </c>
      <c r="CW10" s="609">
        <f>INDEX('qtrP&amp;L'!$13:$13,MATCH(CT$7,'qtrP&amp;L'!$6:$6,0))</f>
        <v>5759.2217076112174</v>
      </c>
      <c r="CX10" s="610"/>
      <c r="CY10" s="609">
        <f>INDEX('qtrP&amp;L'!$10:$10,MATCH(CY$7,'qtrP&amp;L'!$6:$6,0))</f>
        <v>3886.4351206486276</v>
      </c>
      <c r="CZ10" s="609">
        <f>INDEX('qtrP&amp;L'!$11:$11,MATCH(CY$7,'qtrP&amp;L'!$6:$6,0))</f>
        <v>3942.6502200871132</v>
      </c>
      <c r="DA10" s="609">
        <f>INDEX('qtrP&amp;L'!$12:$12,MATCH(CY$7,'qtrP&amp;L'!$6:$6,0))</f>
        <v>4180.3941909596269</v>
      </c>
      <c r="DB10" s="609">
        <f>INDEX('qtrP&amp;L'!$13:$13,MATCH(CY$7,'qtrP&amp;L'!$6:$6,0))</f>
        <v>5550</v>
      </c>
      <c r="DC10" s="610"/>
      <c r="DD10" s="609">
        <f>INDEX('qtrP&amp;L'!$10:$10,MATCH(DD$7,'qtrP&amp;L'!$6:$6,0))</f>
        <v>3929</v>
      </c>
      <c r="DE10" s="609">
        <f>INDEX('qtrP&amp;L'!$11:$11,MATCH(DD$7,'qtrP&amp;L'!$6:$6,0))</f>
        <v>3938</v>
      </c>
      <c r="DF10" s="609">
        <f>INDEX('qtrP&amp;L'!$12:$12,MATCH(DD$7,'qtrP&amp;L'!$6:$6,0))</f>
        <v>4189</v>
      </c>
      <c r="DG10" s="609">
        <f>INDEX('qtrP&amp;L'!$13:$13,MATCH(DD$7,'qtrP&amp;L'!$6:$6,0))</f>
        <v>5703</v>
      </c>
      <c r="DH10" s="610"/>
      <c r="DI10" s="609">
        <f>INDEX('qtrP&amp;L'!$10:$10,MATCH(DI$7,'qtrP&amp;L'!$6:$6,0))</f>
        <v>3943</v>
      </c>
      <c r="DJ10" s="609">
        <f>INDEX('qtrP&amp;L'!$11:$11,MATCH(DI$7,'qtrP&amp;L'!$6:$6,0))</f>
        <v>3906</v>
      </c>
      <c r="DK10" s="609">
        <f>INDEX('qtrP&amp;L'!$12:$12,MATCH(DI$7,'qtrP&amp;L'!$6:$6,0))</f>
        <v>3986</v>
      </c>
      <c r="DL10" s="609">
        <f>INDEX('qtrP&amp;L'!$13:$13,MATCH(DI$7,'qtrP&amp;L'!$6:$6,0))</f>
        <v>5425</v>
      </c>
      <c r="DM10" s="610"/>
      <c r="DN10" s="609">
        <f>INDEX('qtrP&amp;L'!$10:$10,MATCH(DN$7,'qtrP&amp;L'!$6:$6,0))</f>
        <v>3152</v>
      </c>
      <c r="DO10" s="609">
        <f>INDEX('qtrP&amp;L'!$11:$11,MATCH(DN$7,'qtrP&amp;L'!$6:$6,0))</f>
        <v>3022</v>
      </c>
      <c r="DP10" s="609">
        <f>INDEX('qtrP&amp;L'!$12:$12,MATCH(DN$7,'qtrP&amp;L'!$6:$6,0))</f>
        <v>2927</v>
      </c>
      <c r="DQ10" s="609">
        <f>INDEX('qtrP&amp;L'!$13:$13,MATCH(DN$7,'qtrP&amp;L'!$6:$6,0))</f>
        <v>3884</v>
      </c>
      <c r="DR10" s="610"/>
      <c r="DS10" s="609">
        <f>INDEX('qtrP&amp;L'!$10:$10,MATCH(DS$7,'qtrP&amp;L'!$6:$6,0))</f>
        <v>2635</v>
      </c>
      <c r="DT10" s="609">
        <f>INDEX('qtrP&amp;L'!$11:$11,MATCH(DS$7,'qtrP&amp;L'!$6:$6,0))</f>
        <v>2663</v>
      </c>
      <c r="DU10" s="609">
        <f>INDEX('qtrP&amp;L'!$12:$12,MATCH(DS$7,'qtrP&amp;L'!$6:$6,0))</f>
        <v>2779</v>
      </c>
      <c r="DV10" s="609">
        <f>INDEX('qtrP&amp;L'!$13:$13,MATCH(DS$7,'qtrP&amp;L'!$6:$6,0))</f>
        <v>3782</v>
      </c>
      <c r="DW10" s="610"/>
      <c r="DX10" s="609">
        <f>INDEX('qtrP&amp;L'!$10:$10,MATCH(DX$7,'qtrP&amp;L'!$6:$6,0))</f>
        <v>2801</v>
      </c>
      <c r="DY10" s="609">
        <f>INDEX('qtrP&amp;L'!$11:$11,MATCH(DX$7,'qtrP&amp;L'!$6:$6,0))</f>
        <v>2799</v>
      </c>
      <c r="DZ10" s="609">
        <f>INDEX('qtrP&amp;L'!$12:$12,MATCH(DX$7,'qtrP&amp;L'!$6:$6,0))</f>
        <v>2764</v>
      </c>
      <c r="EA10" s="609">
        <f>INDEX('qtrP&amp;L'!$13:$13,MATCH(DX$7,'qtrP&amp;L'!$6:$6,0))</f>
        <v>3893</v>
      </c>
      <c r="EB10" s="610"/>
      <c r="EC10" s="609">
        <f>INDEX('qtrP&amp;L'!$10:$10,MATCH(EC$7,'qtrP&amp;L'!$6:$6,0))</f>
        <v>2857</v>
      </c>
      <c r="ED10" s="609">
        <f>INDEX('qtrP&amp;L'!$11:$11,MATCH(EC$7,'qtrP&amp;L'!$6:$6,0))</f>
        <v>2875</v>
      </c>
      <c r="EE10" s="609">
        <f>INDEX('qtrP&amp;L'!$12:$12,MATCH(EC$7,'qtrP&amp;L'!$6:$6,0))</f>
        <v>2897</v>
      </c>
      <c r="EF10" s="609">
        <f>INDEX('qtrP&amp;L'!$13:$13,MATCH(EC$7,'qtrP&amp;L'!$6:$6,0))</f>
        <v>3996</v>
      </c>
      <c r="EG10" s="610"/>
      <c r="EH10" s="609">
        <f>INDEX('qtrP&amp;L'!$10:$10,MATCH(EH$7,'qtrP&amp;L'!$6:$6,0))</f>
        <v>2811</v>
      </c>
      <c r="EI10" s="609">
        <f>INDEX('qtrP&amp;L'!$11:$11,MATCH(EH$7,'qtrP&amp;L'!$6:$6,0))</f>
        <v>2918</v>
      </c>
      <c r="EJ10" s="609">
        <f>INDEX('qtrP&amp;L'!$12:$12,MATCH(EH$7,'qtrP&amp;L'!$6:$6,0))</f>
        <v>2857</v>
      </c>
      <c r="EK10" s="609">
        <f>INDEX('qtrP&amp;L'!$13:$13,MATCH(EH$7,'qtrP&amp;L'!$6:$6,0))</f>
        <v>3961</v>
      </c>
      <c r="EL10" s="610"/>
      <c r="EM10" s="609">
        <f>INDEX('qtrP&amp;L'!$10:$10,MATCH(EM$7,'qtrP&amp;L'!$6:$6,0))</f>
        <v>2706</v>
      </c>
      <c r="EN10" s="609">
        <f>INDEX('qtrP&amp;L'!$11:$11,MATCH(EM$7,'qtrP&amp;L'!$6:$6,0))</f>
        <v>2962.0000000000005</v>
      </c>
      <c r="EO10" s="609">
        <f>INDEX('qtrP&amp;L'!$12:$12,MATCH(EM$7,'qtrP&amp;L'!$6:$6,0))</f>
        <v>2807</v>
      </c>
      <c r="EP10" s="609">
        <f>INDEX('qtrP&amp;L'!$13:$13,MATCH(EM$7,'qtrP&amp;L'!$6:$6,0))</f>
        <v>4031</v>
      </c>
      <c r="EQ10" s="610"/>
      <c r="ER10" s="1464">
        <f>INDEX('qtrP&amp;L'!$10:$10,MATCH(ER$7,'qtrP&amp;L'!$6:$6,0))</f>
        <v>2662.7040000000002</v>
      </c>
      <c r="ES10" s="1464">
        <f>INDEX('qtrP&amp;L'!$11:$11,MATCH(ER$7,'qtrP&amp;L'!$6:$6,0))</f>
        <v>2938.3040000000005</v>
      </c>
      <c r="ET10" s="1464">
        <f>INDEX('qtrP&amp;L'!$12:$12,MATCH(ER$7,'qtrP&amp;L'!$6:$6,0))</f>
        <v>2728.404</v>
      </c>
      <c r="EU10" s="1464">
        <f>INDEX('qtrP&amp;L'!$13:$13,MATCH(ER$7,'qtrP&amp;L'!$6:$6,0))</f>
        <v>3724.6440000000002</v>
      </c>
      <c r="EV10" s="507"/>
      <c r="EW10" s="611">
        <f t="shared" ref="EW10:FH10" si="3">SUMIF($A$6:$DQ$6,EW$7,$A10:$DQ10)</f>
        <v>16103</v>
      </c>
      <c r="EX10" s="609">
        <f t="shared" si="3"/>
        <v>16365</v>
      </c>
      <c r="EY10" s="609">
        <f t="shared" si="3"/>
        <v>16201</v>
      </c>
      <c r="EZ10" s="609">
        <f t="shared" si="3"/>
        <v>18009</v>
      </c>
      <c r="FA10" s="609">
        <f t="shared" si="3"/>
        <v>18983</v>
      </c>
      <c r="FB10" s="609">
        <f t="shared" si="3"/>
        <v>20380</v>
      </c>
      <c r="FC10" s="609">
        <f t="shared" si="3"/>
        <v>20562</v>
      </c>
      <c r="FD10" s="609">
        <f t="shared" si="3"/>
        <v>22652</v>
      </c>
      <c r="FE10" s="609">
        <f t="shared" si="3"/>
        <v>29481.200000000001</v>
      </c>
      <c r="FF10" s="609">
        <f t="shared" si="3"/>
        <v>29438</v>
      </c>
      <c r="FG10" s="609">
        <f t="shared" si="3"/>
        <v>31743</v>
      </c>
      <c r="FH10" s="609">
        <f t="shared" si="3"/>
        <v>31846</v>
      </c>
      <c r="FI10" s="609">
        <f>'qtrP&amp;L'!BK14</f>
        <v>17840</v>
      </c>
      <c r="FJ10" s="609">
        <f>'qtrP&amp;L'!BO14</f>
        <v>17384</v>
      </c>
      <c r="FK10" s="609">
        <f t="shared" ref="FK10:FQ10" si="4">SUMIF($A$6:$DQ$6,FK$7,$A10:$DQ10)</f>
        <v>17513</v>
      </c>
      <c r="FL10" s="609">
        <f t="shared" si="4"/>
        <v>18096</v>
      </c>
      <c r="FM10" s="611">
        <f t="shared" si="4"/>
        <v>18781.083999999999</v>
      </c>
      <c r="FN10" s="611">
        <f t="shared" si="4"/>
        <v>19905.088</v>
      </c>
      <c r="FO10" s="609">
        <f t="shared" si="4"/>
        <v>19857</v>
      </c>
      <c r="FP10" s="609">
        <f t="shared" si="4"/>
        <v>18486.532478705889</v>
      </c>
      <c r="FQ10" s="611">
        <f t="shared" si="4"/>
        <v>17559.479531695368</v>
      </c>
      <c r="FR10" s="611">
        <f>SUMIF($A$6:$DQ$6,FR$7,$A10:$DQ10)</f>
        <v>17759</v>
      </c>
      <c r="FS10" s="609">
        <f>SUMIF($A$6:$DQ$6,FS$7,$A10:$DQ10)</f>
        <v>17260</v>
      </c>
      <c r="FT10" s="609">
        <f>SUMIF($A$6:$DQ$6,FT$7,$A10:$DQ10)</f>
        <v>12985</v>
      </c>
      <c r="FU10" s="609">
        <f>'yrP&amp;L'!AB7</f>
        <v>11859</v>
      </c>
      <c r="FV10" s="609">
        <f>'yrP&amp;L'!AC7</f>
        <v>12257</v>
      </c>
      <c r="FW10" s="609">
        <f>'yrP&amp;L'!AD7</f>
        <v>12625</v>
      </c>
      <c r="FX10" s="609">
        <f>'yrP&amp;L'!AE7</f>
        <v>12547</v>
      </c>
      <c r="FY10" s="609">
        <f>'yrP&amp;L'!AF7</f>
        <v>12506</v>
      </c>
      <c r="FZ10" s="609">
        <f>'yrP&amp;L'!AG7</f>
        <v>12054.056</v>
      </c>
      <c r="GA10" s="609">
        <f>'yrP&amp;L'!AH7</f>
        <v>11725.464803815385</v>
      </c>
      <c r="GB10" s="1263">
        <f>'yrP&amp;L'!AI7</f>
        <v>11327.560385207391</v>
      </c>
      <c r="GC10" s="609">
        <f>'yrP&amp;L'!AJ7</f>
        <v>10860.185527968701</v>
      </c>
      <c r="GD10" s="1486">
        <f>'yrP&amp;L'!AK7</f>
        <v>10282.217070467816</v>
      </c>
      <c r="GN10" s="659"/>
      <c r="GQ10" s="705"/>
    </row>
    <row r="11" spans="1:261" ht="9" customHeight="1">
      <c r="A11" s="500"/>
      <c r="B11" s="507"/>
      <c r="C11" s="507"/>
      <c r="D11" s="507"/>
      <c r="E11" s="507"/>
      <c r="F11" s="507"/>
      <c r="G11" s="507"/>
      <c r="H11" s="507"/>
      <c r="I11" s="507"/>
      <c r="J11" s="507"/>
      <c r="K11" s="507"/>
      <c r="L11" s="507"/>
      <c r="M11" s="507"/>
      <c r="N11" s="507"/>
      <c r="O11" s="507"/>
      <c r="P11" s="507"/>
      <c r="Q11" s="507"/>
      <c r="R11" s="507"/>
      <c r="S11" s="507"/>
      <c r="T11" s="507"/>
      <c r="U11" s="507"/>
      <c r="V11" s="507"/>
      <c r="W11" s="507"/>
      <c r="X11" s="507"/>
      <c r="Y11" s="507"/>
      <c r="Z11" s="507"/>
      <c r="AA11" s="507"/>
      <c r="AB11" s="507"/>
      <c r="AC11" s="507"/>
      <c r="AD11" s="507"/>
      <c r="AE11" s="507"/>
      <c r="AF11" s="507"/>
      <c r="AG11" s="507"/>
      <c r="AH11" s="507"/>
      <c r="AI11" s="507"/>
      <c r="AJ11" s="507"/>
      <c r="AK11" s="507"/>
      <c r="AL11" s="507"/>
      <c r="AM11" s="507"/>
      <c r="AN11" s="507"/>
      <c r="AO11" s="507"/>
      <c r="AP11" s="507"/>
      <c r="AQ11" s="507"/>
      <c r="AR11" s="507"/>
      <c r="AS11" s="507"/>
      <c r="AT11" s="507"/>
      <c r="AU11" s="507"/>
      <c r="AV11" s="507"/>
      <c r="AW11" s="507"/>
      <c r="AX11" s="507"/>
      <c r="AY11" s="507"/>
      <c r="AZ11" s="507"/>
      <c r="BA11" s="507"/>
      <c r="BB11" s="507"/>
      <c r="BC11" s="507"/>
      <c r="BD11" s="507"/>
      <c r="BE11" s="507"/>
      <c r="BF11" s="507"/>
      <c r="BG11" s="507"/>
      <c r="BH11" s="507"/>
      <c r="BI11" s="507"/>
      <c r="BJ11" s="507"/>
      <c r="BK11" s="507"/>
      <c r="BL11" s="507"/>
      <c r="BM11" s="507"/>
      <c r="BN11" s="507"/>
      <c r="BO11" s="507"/>
      <c r="BP11" s="507"/>
      <c r="BQ11" s="507"/>
      <c r="BR11" s="507"/>
      <c r="BS11" s="507"/>
      <c r="BT11" s="507"/>
      <c r="BU11" s="507"/>
      <c r="BV11" s="507"/>
      <c r="BW11" s="507"/>
      <c r="BX11" s="507"/>
      <c r="BY11" s="507"/>
      <c r="BZ11" s="507"/>
      <c r="CA11" s="507"/>
      <c r="CB11" s="507"/>
      <c r="CC11" s="507"/>
      <c r="CD11" s="507"/>
      <c r="CE11" s="507"/>
      <c r="CF11" s="507"/>
      <c r="CG11" s="507"/>
      <c r="CH11" s="507"/>
      <c r="CI11" s="507"/>
      <c r="CJ11" s="507"/>
      <c r="CK11" s="507"/>
      <c r="CL11" s="507"/>
      <c r="CM11" s="507"/>
      <c r="CN11" s="507"/>
      <c r="CO11" s="507"/>
      <c r="CP11" s="507"/>
      <c r="CQ11" s="507"/>
      <c r="CR11" s="507"/>
      <c r="CS11" s="507"/>
      <c r="CT11" s="507"/>
      <c r="CU11" s="507"/>
      <c r="CV11" s="507"/>
      <c r="CW11" s="507"/>
      <c r="CX11" s="507"/>
      <c r="CY11" s="507"/>
      <c r="CZ11" s="507"/>
      <c r="DA11" s="507"/>
      <c r="DB11" s="507"/>
      <c r="DC11" s="507"/>
      <c r="DD11" s="507"/>
      <c r="DE11" s="507"/>
      <c r="DF11" s="507"/>
      <c r="DG11" s="507"/>
      <c r="DH11" s="507"/>
      <c r="DI11" s="507"/>
      <c r="DJ11" s="507"/>
      <c r="DK11" s="507"/>
      <c r="DL11" s="507"/>
      <c r="DM11" s="507"/>
      <c r="DN11" s="507"/>
      <c r="DO11" s="507"/>
      <c r="DP11" s="507"/>
      <c r="DR11" s="507"/>
      <c r="DS11" s="507"/>
      <c r="DT11" s="507"/>
      <c r="DU11" s="507"/>
      <c r="DV11" s="507"/>
      <c r="DW11" s="507"/>
      <c r="DX11" s="507"/>
      <c r="DY11" s="507"/>
      <c r="DZ11" s="507"/>
      <c r="EA11" s="507"/>
      <c r="EB11" s="507"/>
      <c r="EC11" s="507"/>
      <c r="ED11" s="507"/>
      <c r="EE11" s="507"/>
      <c r="EF11" s="507"/>
      <c r="EG11" s="507"/>
      <c r="EH11" s="507"/>
      <c r="EI11" s="507"/>
      <c r="EJ11" s="507"/>
      <c r="EK11" s="507"/>
      <c r="EL11" s="507"/>
      <c r="EM11" s="507"/>
      <c r="EN11" s="507"/>
      <c r="EO11" s="507"/>
      <c r="EP11" s="507"/>
      <c r="EQ11" s="507"/>
      <c r="ER11" s="1463"/>
      <c r="ES11" s="1463"/>
      <c r="ET11" s="1463"/>
      <c r="EU11" s="1463"/>
      <c r="EV11" s="507"/>
      <c r="EW11" s="613"/>
      <c r="EX11" s="614"/>
      <c r="EY11" s="614"/>
      <c r="EZ11" s="614"/>
      <c r="FA11" s="614"/>
      <c r="FB11" s="614"/>
      <c r="FC11" s="614"/>
      <c r="FD11" s="614"/>
      <c r="FE11" s="614"/>
      <c r="FF11" s="614"/>
      <c r="FG11" s="614"/>
      <c r="FH11" s="614"/>
      <c r="FI11" s="614"/>
      <c r="FJ11" s="614"/>
      <c r="FK11" s="614"/>
      <c r="FL11" s="614"/>
      <c r="FM11" s="613"/>
      <c r="FN11" s="613"/>
      <c r="FO11" s="614"/>
      <c r="FP11" s="614"/>
      <c r="FQ11" s="613"/>
      <c r="FR11" s="613"/>
      <c r="FS11" s="614"/>
      <c r="FT11" s="614"/>
      <c r="FU11" s="614"/>
      <c r="FV11" s="614"/>
      <c r="FW11" s="614"/>
      <c r="FX11" s="614"/>
      <c r="FY11" s="614"/>
      <c r="FZ11" s="614"/>
      <c r="GA11" s="614"/>
      <c r="GB11" s="1264"/>
      <c r="GC11" s="614"/>
      <c r="GD11" s="1487"/>
    </row>
    <row r="12" spans="1:261">
      <c r="A12" s="500" t="s">
        <v>232</v>
      </c>
      <c r="B12" s="507"/>
      <c r="C12" s="615">
        <f>INDEX('qtrP&amp;L'!$20:$20,MATCH(C$7,'qtrP&amp;L'!$6:$6,0))</f>
        <v>2189</v>
      </c>
      <c r="D12" s="615">
        <f>INDEX('qtrP&amp;L'!$21:$21,MATCH(C$7,'qtrP&amp;L'!$6:$6,0))</f>
        <v>2330</v>
      </c>
      <c r="E12" s="615">
        <f>INDEX('qtrP&amp;L'!$22:$22,MATCH(C$7,'qtrP&amp;L'!$6:$6,0))</f>
        <v>2667</v>
      </c>
      <c r="F12" s="615">
        <f>INDEX('qtrP&amp;L'!$23:$23,MATCH(C$7,'qtrP&amp;L'!$6:$6,0))</f>
        <v>3576</v>
      </c>
      <c r="G12" s="615"/>
      <c r="H12" s="615">
        <f>INDEX('qtrP&amp;L'!$20:$20,MATCH(H$7,'qtrP&amp;L'!$6:$6,0))</f>
        <v>2329</v>
      </c>
      <c r="I12" s="615">
        <f>INDEX('qtrP&amp;L'!$21:$21,MATCH(H$7,'qtrP&amp;L'!$6:$6,0))</f>
        <v>2448</v>
      </c>
      <c r="J12" s="615">
        <f>INDEX('qtrP&amp;L'!$22:$22,MATCH(H$7,'qtrP&amp;L'!$6:$6,0))</f>
        <v>2670</v>
      </c>
      <c r="K12" s="615">
        <f>INDEX('qtrP&amp;L'!$23:$23,MATCH(H$7,'qtrP&amp;L'!$6:$6,0))</f>
        <v>3725</v>
      </c>
      <c r="L12" s="615"/>
      <c r="M12" s="615">
        <f>INDEX('qtrP&amp;L'!$20:$20,MATCH(M$7,'qtrP&amp;L'!$6:$6,0))</f>
        <v>2320</v>
      </c>
      <c r="N12" s="615">
        <f>INDEX('qtrP&amp;L'!$21:$21,MATCH(M$7,'qtrP&amp;L'!$6:$6,0))</f>
        <v>2411</v>
      </c>
      <c r="O12" s="615">
        <f>INDEX('qtrP&amp;L'!$22:$22,MATCH(M$7,'qtrP&amp;L'!$6:$6,0))</f>
        <v>2677</v>
      </c>
      <c r="P12" s="615">
        <f>INDEX('qtrP&amp;L'!$23:$23,MATCH(M$7,'qtrP&amp;L'!$6:$6,0))</f>
        <v>3782</v>
      </c>
      <c r="Q12" s="615"/>
      <c r="R12" s="615">
        <f>INDEX('qtrP&amp;L'!$20:$20,MATCH(R$7,'qtrP&amp;L'!$6:$6,0))</f>
        <v>2560</v>
      </c>
      <c r="S12" s="615">
        <f>INDEX('qtrP&amp;L'!$21:$21,MATCH(R$7,'qtrP&amp;L'!$6:$6,0))</f>
        <v>2625</v>
      </c>
      <c r="T12" s="615">
        <f>INDEX('qtrP&amp;L'!$22:$22,MATCH(R$7,'qtrP&amp;L'!$6:$6,0))</f>
        <v>2947</v>
      </c>
      <c r="U12" s="615">
        <f>INDEX('qtrP&amp;L'!$23:$23,MATCH(R$7,'qtrP&amp;L'!$6:$6,0))</f>
        <v>4197</v>
      </c>
      <c r="V12" s="615"/>
      <c r="W12" s="615">
        <f>INDEX('qtrP&amp;L'!$20:$20,MATCH(W$7,'qtrP&amp;L'!$6:$6,0))</f>
        <v>2684</v>
      </c>
      <c r="X12" s="615">
        <f>INDEX('qtrP&amp;L'!$21:$21,MATCH(W$7,'qtrP&amp;L'!$6:$6,0))</f>
        <v>2772</v>
      </c>
      <c r="Y12" s="615">
        <f>INDEX('qtrP&amp;L'!$22:$22,MATCH(W$7,'qtrP&amp;L'!$6:$6,0))</f>
        <v>3205</v>
      </c>
      <c r="Z12" s="615">
        <f>INDEX('qtrP&amp;L'!$23:$23,MATCH(W$7,'qtrP&amp;L'!$6:$6,0))</f>
        <v>4372</v>
      </c>
      <c r="AA12" s="615"/>
      <c r="AB12" s="615">
        <f>INDEX('qtrP&amp;L'!$20:$20,MATCH(AB$7,'qtrP&amp;L'!$6:$6,0))</f>
        <v>2955</v>
      </c>
      <c r="AC12" s="615">
        <f>INDEX('qtrP&amp;L'!$21:$21,MATCH(AB$7,'qtrP&amp;L'!$6:$6,0))</f>
        <v>2960</v>
      </c>
      <c r="AD12" s="615">
        <f>INDEX('qtrP&amp;L'!$22:$22,MATCH(AB$7,'qtrP&amp;L'!$6:$6,0))</f>
        <v>3488</v>
      </c>
      <c r="AE12" s="615">
        <f>INDEX('qtrP&amp;L'!$23:$23,MATCH(AB$7,'qtrP&amp;L'!$6:$6,0))</f>
        <v>4566</v>
      </c>
      <c r="AF12" s="615"/>
      <c r="AG12" s="615">
        <f>INDEX('qtrP&amp;L'!$20:$20,MATCH(AG$7,'qtrP&amp;L'!$6:$6,0))</f>
        <v>2997</v>
      </c>
      <c r="AH12" s="615">
        <f>INDEX('qtrP&amp;L'!$21:$21,MATCH(AG$7,'qtrP&amp;L'!$6:$6,0))</f>
        <v>3143</v>
      </c>
      <c r="AI12" s="615">
        <f>INDEX('qtrP&amp;L'!$22:$22,MATCH(AG$7,'qtrP&amp;L'!$6:$6,0))</f>
        <v>3536</v>
      </c>
      <c r="AJ12" s="615">
        <f>INDEX('qtrP&amp;L'!$23:$23,MATCH(AG$7,'qtrP&amp;L'!$6:$6,0))</f>
        <v>4678</v>
      </c>
      <c r="AK12" s="615"/>
      <c r="AL12" s="615">
        <f>INDEX('qtrP&amp;L'!$20:$20,MATCH(AL$7,'qtrP&amp;L'!$6:$6,0))</f>
        <v>3112</v>
      </c>
      <c r="AM12" s="615">
        <f>INDEX('qtrP&amp;L'!$21:$21,MATCH(AL$7,'qtrP&amp;L'!$6:$6,0))</f>
        <v>3195</v>
      </c>
      <c r="AN12" s="615">
        <f>INDEX('qtrP&amp;L'!$22:$22,MATCH(AL$7,'qtrP&amp;L'!$6:$6,0))</f>
        <v>3837</v>
      </c>
      <c r="AO12" s="615">
        <f>INDEX('qtrP&amp;L'!$23:$23,MATCH(AL$7,'qtrP&amp;L'!$6:$6,0))</f>
        <v>5928</v>
      </c>
      <c r="AP12" s="615"/>
      <c r="AQ12" s="615">
        <f>INDEX('qtrP&amp;L'!$20:$20,MATCH(AQ$7,'qtrP&amp;L'!$6:$6,0))</f>
        <v>4673.3</v>
      </c>
      <c r="AR12" s="615">
        <f>INDEX('qtrP&amp;L'!$21:$21,MATCH(AQ$7,'qtrP&amp;L'!$6:$6,0))</f>
        <v>4669.6000000000004</v>
      </c>
      <c r="AS12" s="615">
        <f>INDEX('qtrP&amp;L'!$22:$22,MATCH(AQ$7,'qtrP&amp;L'!$6:$6,0))</f>
        <v>5057.3</v>
      </c>
      <c r="AT12" s="615">
        <f>INDEX('qtrP&amp;L'!$23:$23,MATCH(AQ$7,'qtrP&amp;L'!$6:$6,0))</f>
        <v>6869</v>
      </c>
      <c r="AU12" s="615"/>
      <c r="AV12" s="615">
        <f>INDEX('qtrP&amp;L'!$20:$20,MATCH(AV$7,'qtrP&amp;L'!$6:$6,0))</f>
        <v>4841.9526233433089</v>
      </c>
      <c r="AW12" s="615">
        <f>INDEX('qtrP&amp;L'!$21:$21,MATCH(AV$7,'qtrP&amp;L'!$6:$6,0))</f>
        <v>4747</v>
      </c>
      <c r="AX12" s="615">
        <f>INDEX('qtrP&amp;L'!$22:$22,MATCH(AV$7,'qtrP&amp;L'!$6:$6,0))</f>
        <v>5104</v>
      </c>
      <c r="AY12" s="615">
        <f>INDEX('qtrP&amp;L'!$23:$23,MATCH(AV$7,'qtrP&amp;L'!$6:$6,0))</f>
        <v>6840</v>
      </c>
      <c r="AZ12" s="615"/>
      <c r="BA12" s="615">
        <f>INDEX('qtrP&amp;L'!$20:$20,MATCH(BA$7,'qtrP&amp;L'!$6:$6,0))</f>
        <v>5025</v>
      </c>
      <c r="BB12" s="615">
        <f>INDEX('qtrP&amp;L'!$21:$21,MATCH(BA$7,'qtrP&amp;L'!$6:$6,0))</f>
        <v>4914</v>
      </c>
      <c r="BC12" s="615">
        <f>INDEX('qtrP&amp;L'!$22:$22,MATCH(BA$7,'qtrP&amp;L'!$6:$6,0))</f>
        <v>5211</v>
      </c>
      <c r="BD12" s="615">
        <f>INDEX('qtrP&amp;L'!$23:$23,MATCH(BA$7,'qtrP&amp;L'!$6:$6,0))</f>
        <v>6998</v>
      </c>
      <c r="BE12" s="615"/>
      <c r="BF12" s="615">
        <f>INDEX('qtrP&amp;L'!$20:$20,MATCH(BF$7,'qtrP&amp;L'!$6:$6,0))</f>
        <v>5226</v>
      </c>
      <c r="BG12" s="615">
        <f>INDEX('qtrP&amp;L'!$21:$21,MATCH(BF$7,'qtrP&amp;L'!$6:$6,0))</f>
        <v>5094</v>
      </c>
      <c r="BH12" s="615">
        <f>INDEX('qtrP&amp;L'!$22:$22,MATCH(BF$7,'qtrP&amp;L'!$6:$6,0))</f>
        <v>5356</v>
      </c>
      <c r="BI12" s="615">
        <f>INDEX('qtrP&amp;L'!$23:$23,MATCH(BF$7,'qtrP&amp;L'!$6:$6,0))</f>
        <v>7090</v>
      </c>
      <c r="BJ12" s="615"/>
      <c r="BK12" s="615">
        <f>INDEX('qtrP&amp;L'!$20:$20,MATCH(BK$7,'qtrP&amp;L'!$6:$6,0))</f>
        <v>2593</v>
      </c>
      <c r="BL12" s="615">
        <f>INDEX('qtrP&amp;L'!$21:$21,MATCH(BK$7,'qtrP&amp;L'!$6:$6,0))</f>
        <v>2568</v>
      </c>
      <c r="BM12" s="615">
        <f>INDEX('qtrP&amp;L'!$22:$22,MATCH(BK$7,'qtrP&amp;L'!$6:$6,0))</f>
        <v>2812</v>
      </c>
      <c r="BN12" s="615">
        <f>INDEX('qtrP&amp;L'!$23:$23,MATCH(BK$7,'qtrP&amp;L'!$6:$6,0))</f>
        <v>4037</v>
      </c>
      <c r="BO12" s="615"/>
      <c r="BP12" s="615">
        <f>INDEX('qtrP&amp;L'!$20:$20,MATCH(BP$7,'qtrP&amp;L'!$6:$6,0))</f>
        <v>2483</v>
      </c>
      <c r="BQ12" s="615">
        <f>INDEX('qtrP&amp;L'!$21:$21,MATCH(BP$7,'qtrP&amp;L'!$6:$6,0))</f>
        <v>2303.982</v>
      </c>
      <c r="BR12" s="615">
        <f>INDEX('qtrP&amp;L'!$22:$22,MATCH(BP$7,'qtrP&amp;L'!$6:$6,0))</f>
        <v>2719</v>
      </c>
      <c r="BS12" s="615">
        <f>INDEX('qtrP&amp;L'!$23:$23,MATCH(BP$7,'qtrP&amp;L'!$6:$6,0))</f>
        <v>3793</v>
      </c>
      <c r="BT12" s="615"/>
      <c r="BU12" s="615">
        <f>INDEX('qtrP&amp;L'!$20:$20,MATCH(BU$7,'qtrP&amp;L'!$6:$6,0))</f>
        <v>2233</v>
      </c>
      <c r="BV12" s="615">
        <f>INDEX('qtrP&amp;L'!$21:$21,MATCH(BU$7,'qtrP&amp;L'!$6:$6,0))</f>
        <v>2298</v>
      </c>
      <c r="BW12" s="615">
        <f>INDEX('qtrP&amp;L'!$22:$22,MATCH(BU$7,'qtrP&amp;L'!$6:$6,0))</f>
        <v>2629</v>
      </c>
      <c r="BX12" s="615">
        <f>INDEX('qtrP&amp;L'!$23:$23,MATCH(BU$7,'qtrP&amp;L'!$6:$6,0))</f>
        <v>3855</v>
      </c>
      <c r="BY12" s="615"/>
      <c r="BZ12" s="615">
        <f>INDEX('qtrP&amp;L'!$20:$20,MATCH(BZ$7,'qtrP&amp;L'!$6:$6,0))</f>
        <v>2438</v>
      </c>
      <c r="CA12" s="615">
        <f>INDEX('qtrP&amp;L'!$21:$21,MATCH(BZ$7,'qtrP&amp;L'!$6:$6,0))</f>
        <v>2416</v>
      </c>
      <c r="CB12" s="615">
        <f>INDEX('qtrP&amp;L'!$22:$22,MATCH(BZ$7,'qtrP&amp;L'!$6:$6,0))</f>
        <v>2656</v>
      </c>
      <c r="CC12" s="615">
        <f>INDEX('qtrP&amp;L'!$23:$23,MATCH(BZ$7,'qtrP&amp;L'!$6:$6,0))</f>
        <v>3812</v>
      </c>
      <c r="CD12" s="615"/>
      <c r="CE12" s="615">
        <f>INDEX('qtrP&amp;L'!$20:$20,MATCH(CE$7,'qtrP&amp;L'!$6:$6,0))</f>
        <v>2470</v>
      </c>
      <c r="CF12" s="615">
        <f>INDEX('qtrP&amp;L'!$21:$21,MATCH(CE$7,'qtrP&amp;L'!$6:$6,0))</f>
        <v>2508</v>
      </c>
      <c r="CG12" s="615">
        <f>INDEX('qtrP&amp;L'!$22:$22,MATCH(CE$7,'qtrP&amp;L'!$6:$6,0))</f>
        <v>2655</v>
      </c>
      <c r="CH12" s="615">
        <f>INDEX('qtrP&amp;L'!$23:$23,MATCH(CE$7,'qtrP&amp;L'!$6:$6,0))</f>
        <v>3958</v>
      </c>
      <c r="CI12" s="615"/>
      <c r="CJ12" s="615">
        <f>INDEX('qtrP&amp;L'!$20:$20,MATCH(CJ$7,'qtrP&amp;L'!$6:$6,0))</f>
        <v>2498</v>
      </c>
      <c r="CK12" s="615">
        <f>INDEX('qtrP&amp;L'!$21:$21,MATCH(CJ$7,'qtrP&amp;L'!$6:$6,0))</f>
        <v>2655.0879999999997</v>
      </c>
      <c r="CL12" s="615">
        <f>INDEX('qtrP&amp;L'!$22:$22,MATCH(CJ$7,'qtrP&amp;L'!$6:$6,0))</f>
        <v>2796</v>
      </c>
      <c r="CM12" s="615">
        <f>INDEX('qtrP&amp;L'!$23:$23,MATCH(CJ$7,'qtrP&amp;L'!$6:$6,0))</f>
        <v>4145</v>
      </c>
      <c r="CN12" s="615"/>
      <c r="CO12" s="615">
        <f>INDEX('qtrP&amp;L'!$20:$20,MATCH(CO$7,'qtrP&amp;L'!$6:$6,0))</f>
        <v>2543</v>
      </c>
      <c r="CP12" s="615">
        <f>INDEX('qtrP&amp;L'!$21:$21,MATCH(CO$7,'qtrP&amp;L'!$6:$6,0))</f>
        <v>2716.93</v>
      </c>
      <c r="CQ12" s="615">
        <f>INDEX('qtrP&amp;L'!$22:$22,MATCH(CO$7,'qtrP&amp;L'!$6:$6,0))</f>
        <v>2850</v>
      </c>
      <c r="CR12" s="615">
        <f>INDEX('qtrP&amp;L'!$23:$23,MATCH(CO$7,'qtrP&amp;L'!$6:$6,0))</f>
        <v>4086</v>
      </c>
      <c r="CS12" s="615"/>
      <c r="CT12" s="615">
        <f>INDEX('qtrP&amp;L'!$20:$20,MATCH(CT$7,'qtrP&amp;L'!$6:$6,0))</f>
        <v>2477</v>
      </c>
      <c r="CU12" s="615">
        <f>INDEX('qtrP&amp;L'!$21:$21,MATCH(CT$7,'qtrP&amp;L'!$6:$6,0))</f>
        <v>2676.4369120962911</v>
      </c>
      <c r="CV12" s="615">
        <f>INDEX('qtrP&amp;L'!$22:$22,MATCH(CT$7,'qtrP&amp;L'!$6:$6,0))</f>
        <v>2653.8143589983829</v>
      </c>
      <c r="CW12" s="615">
        <f>INDEX('qtrP&amp;L'!$23:$23,MATCH(CT$7,'qtrP&amp;L'!$6:$6,0))</f>
        <v>3763.2217076112174</v>
      </c>
      <c r="CX12" s="615"/>
      <c r="CY12" s="615">
        <f>INDEX('qtrP&amp;L'!$20:$20,MATCH(CY$7,'qtrP&amp;L'!$6:$6,0))</f>
        <v>2312.4351206486276</v>
      </c>
      <c r="CZ12" s="615">
        <f>INDEX('qtrP&amp;L'!$21:$21,MATCH(CY$7,'qtrP&amp;L'!$6:$6,0))</f>
        <v>2422.6502200871132</v>
      </c>
      <c r="DA12" s="615">
        <f>INDEX('qtrP&amp;L'!$22:$22,MATCH(CY$7,'qtrP&amp;L'!$6:$6,0))</f>
        <v>2484.3941909596269</v>
      </c>
      <c r="DB12" s="615">
        <f>INDEX('qtrP&amp;L'!$23:$23,MATCH(CY$7,'qtrP&amp;L'!$6:$6,0))</f>
        <v>3430</v>
      </c>
      <c r="DC12" s="615"/>
      <c r="DD12" s="615">
        <f>INDEX('qtrP&amp;L'!$20:$20,MATCH(DD$7,'qtrP&amp;L'!$6:$6,0))</f>
        <v>2299</v>
      </c>
      <c r="DE12" s="615">
        <f>INDEX('qtrP&amp;L'!$21:$21,MATCH(DD$7,'qtrP&amp;L'!$6:$6,0))</f>
        <v>2386</v>
      </c>
      <c r="DF12" s="615">
        <f>INDEX('qtrP&amp;L'!$22:$22,MATCH(DD$7,'qtrP&amp;L'!$6:$6,0))</f>
        <v>2554</v>
      </c>
      <c r="DG12" s="615">
        <f>INDEX('qtrP&amp;L'!$23:$23,MATCH(DD$7,'qtrP&amp;L'!$6:$6,0))</f>
        <v>3560</v>
      </c>
      <c r="DH12" s="615"/>
      <c r="DI12" s="615">
        <f>INDEX('qtrP&amp;L'!$20:$20,MATCH(DI$7,'qtrP&amp;L'!$6:$6,0))</f>
        <v>2348</v>
      </c>
      <c r="DJ12" s="615">
        <f>INDEX('qtrP&amp;L'!$21:$21,MATCH(DI$7,'qtrP&amp;L'!$6:$6,0))</f>
        <v>2409</v>
      </c>
      <c r="DK12" s="615">
        <f>INDEX('qtrP&amp;L'!$22:$22,MATCH(DI$7,'qtrP&amp;L'!$6:$6,0))</f>
        <v>2497</v>
      </c>
      <c r="DL12" s="615">
        <f>INDEX('qtrP&amp;L'!$23:$23,MATCH(DI$7,'qtrP&amp;L'!$6:$6,0))</f>
        <v>3581</v>
      </c>
      <c r="DM12" s="615"/>
      <c r="DN12" s="615">
        <f>INDEX('qtrP&amp;L'!$20:$20,MATCH(DN$7,'qtrP&amp;L'!$6:$6,0))</f>
        <v>1913</v>
      </c>
      <c r="DO12" s="615">
        <f>INDEX('qtrP&amp;L'!$21:$21,MATCH(DN$7,'qtrP&amp;L'!$6:$6,0))</f>
        <v>2018</v>
      </c>
      <c r="DP12" s="615">
        <f>INDEX('qtrP&amp;L'!$22:$22,MATCH(DN$7,'qtrP&amp;L'!$6:$6,0))</f>
        <v>1975</v>
      </c>
      <c r="DQ12" s="615">
        <f>INDEX('qtrP&amp;L'!$23:$23,MATCH(DN$7,'qtrP&amp;L'!$6:$6,0))</f>
        <v>2960</v>
      </c>
      <c r="DR12" s="615"/>
      <c r="DS12" s="615">
        <f>INDEX('qtrP&amp;L'!$20:$20,MATCH(DS$7,'qtrP&amp;L'!$6:$6,0))</f>
        <v>1823</v>
      </c>
      <c r="DT12" s="615">
        <f>INDEX('qtrP&amp;L'!$21:$21,MATCH(DS$7,'qtrP&amp;L'!$6:$6,0))</f>
        <v>1876</v>
      </c>
      <c r="DU12" s="615">
        <f>INDEX('qtrP&amp;L'!$22:$22,MATCH(DS$7,'qtrP&amp;L'!$6:$6,0))</f>
        <v>1960</v>
      </c>
      <c r="DV12" s="615">
        <f>INDEX('qtrP&amp;L'!$23:$23,MATCH(DS$7,'qtrP&amp;L'!$6:$6,0))</f>
        <v>2708</v>
      </c>
      <c r="DW12" s="615"/>
      <c r="DX12" s="615">
        <f>INDEX('qtrP&amp;L'!$20:$20,MATCH(DX$7,'qtrP&amp;L'!$6:$6,0))</f>
        <v>1875</v>
      </c>
      <c r="DY12" s="615">
        <f>INDEX('qtrP&amp;L'!$21:$21,MATCH(DX$7,'qtrP&amp;L'!$6:$6,0))</f>
        <v>1791</v>
      </c>
      <c r="DZ12" s="615">
        <f>INDEX('qtrP&amp;L'!$22:$22,MATCH(DX$7,'qtrP&amp;L'!$6:$6,0))</f>
        <v>1751</v>
      </c>
      <c r="EA12" s="615">
        <f>INDEX('qtrP&amp;L'!$23:$23,MATCH(DX$7,'qtrP&amp;L'!$6:$6,0))</f>
        <v>2579</v>
      </c>
      <c r="EB12" s="615"/>
      <c r="EC12" s="615">
        <f>INDEX('qtrP&amp;L'!$20:$20,MATCH(EC$7,'qtrP&amp;L'!$6:$6,0))</f>
        <v>1816</v>
      </c>
      <c r="ED12" s="615">
        <f>INDEX('qtrP&amp;L'!$21:$21,MATCH(EC$7,'qtrP&amp;L'!$6:$6,0))</f>
        <v>1810</v>
      </c>
      <c r="EE12" s="615">
        <f>INDEX('qtrP&amp;L'!$22:$22,MATCH(EC$7,'qtrP&amp;L'!$6:$6,0))</f>
        <v>1815</v>
      </c>
      <c r="EF12" s="615">
        <f>INDEX('qtrP&amp;L'!$23:$23,MATCH(EC$7,'qtrP&amp;L'!$6:$6,0))</f>
        <v>2633</v>
      </c>
      <c r="EG12" s="615"/>
      <c r="EH12" s="615">
        <f>INDEX('qtrP&amp;L'!$20:$20,MATCH(EH$7,'qtrP&amp;L'!$6:$6,0))</f>
        <v>1793</v>
      </c>
      <c r="EI12" s="615">
        <f>INDEX('qtrP&amp;L'!$21:$21,MATCH(EH$7,'qtrP&amp;L'!$6:$6,0))</f>
        <v>1834</v>
      </c>
      <c r="EJ12" s="615">
        <f>INDEX('qtrP&amp;L'!$22:$22,MATCH(EH$7,'qtrP&amp;L'!$6:$6,0))</f>
        <v>1795</v>
      </c>
      <c r="EK12" s="615">
        <f>INDEX('qtrP&amp;L'!$23:$23,MATCH(EH$7,'qtrP&amp;L'!$6:$6,0))</f>
        <v>2649</v>
      </c>
      <c r="EL12" s="615"/>
      <c r="EM12" s="615">
        <f>INDEX('qtrP&amp;L'!$20:$20,MATCH(EM$7,'qtrP&amp;L'!$6:$6,0))</f>
        <v>1723</v>
      </c>
      <c r="EN12" s="615">
        <f>INDEX('qtrP&amp;L'!$21:$21,MATCH(EM$7,'qtrP&amp;L'!$6:$6,0))</f>
        <v>1923</v>
      </c>
      <c r="EO12" s="615">
        <f>INDEX('qtrP&amp;L'!$22:$22,MATCH(EM$7,'qtrP&amp;L'!$6:$6,0))</f>
        <v>1852</v>
      </c>
      <c r="EP12" s="615">
        <f>INDEX('qtrP&amp;L'!$23:$23,MATCH(EM$7,'qtrP&amp;L'!$6:$6,0))</f>
        <v>2676</v>
      </c>
      <c r="EQ12" s="615"/>
      <c r="ER12" s="1465">
        <f>INDEX('qtrP&amp;L'!$20:$20,MATCH(ER$7,'qtrP&amp;L'!$6:$6,0))</f>
        <v>1706.7932640000001</v>
      </c>
      <c r="ES12" s="1465">
        <f>INDEX('qtrP&amp;L'!$21:$21,MATCH(ER$7,'qtrP&amp;L'!$6:$6,0))</f>
        <v>1862.8847360000004</v>
      </c>
      <c r="ET12" s="1465">
        <f>INDEX('qtrP&amp;L'!$22:$22,MATCH(ER$7,'qtrP&amp;L'!$6:$6,0))</f>
        <v>1732.5365400000001</v>
      </c>
      <c r="EU12" s="1465">
        <f>INDEX('qtrP&amp;L'!$23:$23,MATCH(ER$7,'qtrP&amp;L'!$6:$6,0))</f>
        <v>2499.2361240000005</v>
      </c>
      <c r="EV12" s="507"/>
      <c r="EW12" s="616">
        <f t="shared" ref="EW12:FH12" si="5">SUMIF($A$6:$DQ$6,EW$7,$A12:$DQ12)</f>
        <v>10762</v>
      </c>
      <c r="EX12" s="615">
        <f t="shared" si="5"/>
        <v>11172</v>
      </c>
      <c r="EY12" s="615">
        <f t="shared" si="5"/>
        <v>11190</v>
      </c>
      <c r="EZ12" s="615">
        <f t="shared" si="5"/>
        <v>12329</v>
      </c>
      <c r="FA12" s="615">
        <f t="shared" si="5"/>
        <v>13033</v>
      </c>
      <c r="FB12" s="615">
        <f t="shared" si="5"/>
        <v>13969</v>
      </c>
      <c r="FC12" s="615">
        <f t="shared" si="5"/>
        <v>14354</v>
      </c>
      <c r="FD12" s="615">
        <f t="shared" si="5"/>
        <v>16072</v>
      </c>
      <c r="FE12" s="615">
        <f t="shared" si="5"/>
        <v>21269.200000000001</v>
      </c>
      <c r="FF12" s="615">
        <f t="shared" si="5"/>
        <v>21532.95262334331</v>
      </c>
      <c r="FG12" s="615">
        <f t="shared" si="5"/>
        <v>22148</v>
      </c>
      <c r="FH12" s="615">
        <f t="shared" si="5"/>
        <v>22766</v>
      </c>
      <c r="FI12" s="615">
        <f>'qtrP&amp;L'!BK24</f>
        <v>11866</v>
      </c>
      <c r="FJ12" s="615">
        <f>'qtrP&amp;L'!BO24</f>
        <v>11287</v>
      </c>
      <c r="FK12" s="615">
        <f>'qtrP&amp;L'!BS24</f>
        <v>11237</v>
      </c>
      <c r="FL12" s="615">
        <f t="shared" ref="FL12:FQ12" si="6">SUMIF($A$6:$DQ$6,FL$7,$A12:$DQ12)</f>
        <v>11322</v>
      </c>
      <c r="FM12" s="616">
        <f t="shared" si="6"/>
        <v>11591</v>
      </c>
      <c r="FN12" s="616">
        <f t="shared" si="6"/>
        <v>12094.088</v>
      </c>
      <c r="FO12" s="615">
        <f t="shared" si="6"/>
        <v>12195.93</v>
      </c>
      <c r="FP12" s="615">
        <f t="shared" si="6"/>
        <v>11570.472978705891</v>
      </c>
      <c r="FQ12" s="616">
        <f t="shared" si="6"/>
        <v>10649.479531695368</v>
      </c>
      <c r="FR12" s="616">
        <f>SUMIF($A$6:$DQ$6,FR$7,$A12:$DQ12)</f>
        <v>10799</v>
      </c>
      <c r="FS12" s="615">
        <f>SUMIF($A$6:$DQ$6,FS$7,$A12:$DQ12)</f>
        <v>10835</v>
      </c>
      <c r="FT12" s="615">
        <f>SUMIF($A$6:$DQ$6,FT$7,$A12:$DQ12)</f>
        <v>8866</v>
      </c>
      <c r="FU12" s="615">
        <f>'yrP&amp;L'!AB11</f>
        <v>8367</v>
      </c>
      <c r="FV12" s="615">
        <f>'yrP&amp;L'!AC11</f>
        <v>7996</v>
      </c>
      <c r="FW12" s="615">
        <f>'yrP&amp;L'!AD11</f>
        <v>8074</v>
      </c>
      <c r="FX12" s="615">
        <f>'yrP&amp;L'!AE11</f>
        <v>8071</v>
      </c>
      <c r="FY12" s="615">
        <f>'yrP&amp;L'!AF11</f>
        <v>8174</v>
      </c>
      <c r="FZ12" s="615">
        <f>'yrP&amp;L'!AG11</f>
        <v>7801.4506640000018</v>
      </c>
      <c r="GA12" s="615">
        <f>'yrP&amp;L'!AH11</f>
        <v>7599.2737393527505</v>
      </c>
      <c r="GB12" s="1265">
        <f>'yrP&amp;L'!AI11</f>
        <v>7353.8522020766386</v>
      </c>
      <c r="GC12" s="615">
        <f>'yrP&amp;L'!AJ11</f>
        <v>7071.0667972604215</v>
      </c>
      <c r="GD12" s="1488">
        <f>'yrP&amp;L'!AK11</f>
        <v>6718.4006338436702</v>
      </c>
    </row>
    <row r="13" spans="1:261" ht="9" customHeight="1">
      <c r="A13" s="500"/>
      <c r="B13" s="507"/>
      <c r="C13" s="507"/>
      <c r="D13" s="507"/>
      <c r="E13" s="507"/>
      <c r="F13" s="507"/>
      <c r="G13" s="507"/>
      <c r="H13" s="507"/>
      <c r="I13" s="507"/>
      <c r="J13" s="507"/>
      <c r="K13" s="507"/>
      <c r="L13" s="507"/>
      <c r="M13" s="507"/>
      <c r="N13" s="507"/>
      <c r="O13" s="507"/>
      <c r="P13" s="507"/>
      <c r="Q13" s="507"/>
      <c r="R13" s="507"/>
      <c r="S13" s="507"/>
      <c r="T13" s="507"/>
      <c r="U13" s="507"/>
      <c r="V13" s="507"/>
      <c r="W13" s="507"/>
      <c r="X13" s="507"/>
      <c r="Y13" s="507"/>
      <c r="Z13" s="507"/>
      <c r="AA13" s="507"/>
      <c r="AB13" s="507"/>
      <c r="AC13" s="507"/>
      <c r="AD13" s="507"/>
      <c r="AE13" s="507"/>
      <c r="AF13" s="507"/>
      <c r="AG13" s="507"/>
      <c r="AH13" s="507"/>
      <c r="AI13" s="507"/>
      <c r="AJ13" s="507"/>
      <c r="AK13" s="507"/>
      <c r="AL13" s="507"/>
      <c r="AM13" s="507"/>
      <c r="AN13" s="507"/>
      <c r="AO13" s="507"/>
      <c r="AP13" s="507"/>
      <c r="AQ13" s="507"/>
      <c r="AR13" s="507"/>
      <c r="AS13" s="507"/>
      <c r="AT13" s="507"/>
      <c r="AU13" s="507"/>
      <c r="AV13" s="507"/>
      <c r="AW13" s="507"/>
      <c r="AX13" s="507"/>
      <c r="AY13" s="507"/>
      <c r="AZ13" s="507"/>
      <c r="BA13" s="507"/>
      <c r="BB13" s="507"/>
      <c r="BC13" s="507"/>
      <c r="BD13" s="507"/>
      <c r="BE13" s="507"/>
      <c r="BF13" s="507"/>
      <c r="BG13" s="507"/>
      <c r="BH13" s="507"/>
      <c r="BI13" s="507"/>
      <c r="BJ13" s="507"/>
      <c r="BK13" s="507"/>
      <c r="BL13" s="507"/>
      <c r="BM13" s="507"/>
      <c r="BN13" s="507"/>
      <c r="BO13" s="507"/>
      <c r="BP13" s="507"/>
      <c r="BQ13" s="507"/>
      <c r="BR13" s="507"/>
      <c r="BS13" s="507"/>
      <c r="BT13" s="507"/>
      <c r="BU13" s="507"/>
      <c r="BV13" s="507"/>
      <c r="BW13" s="507"/>
      <c r="BX13" s="507"/>
      <c r="BY13" s="507"/>
      <c r="BZ13" s="507"/>
      <c r="CA13" s="507"/>
      <c r="CB13" s="507"/>
      <c r="CC13" s="507"/>
      <c r="CD13" s="507"/>
      <c r="CE13" s="507"/>
      <c r="CF13" s="507"/>
      <c r="CG13" s="507"/>
      <c r="CH13" s="507"/>
      <c r="CI13" s="507"/>
      <c r="CJ13" s="507"/>
      <c r="CK13" s="507"/>
      <c r="CL13" s="507"/>
      <c r="CM13" s="507"/>
      <c r="CN13" s="507"/>
      <c r="CO13" s="507"/>
      <c r="CP13" s="507"/>
      <c r="CQ13" s="507"/>
      <c r="CR13" s="507"/>
      <c r="CS13" s="507"/>
      <c r="CT13" s="507"/>
      <c r="CU13" s="507"/>
      <c r="CV13" s="507"/>
      <c r="CW13" s="507"/>
      <c r="CX13" s="507"/>
      <c r="CY13" s="507"/>
      <c r="CZ13" s="507"/>
      <c r="DA13" s="507"/>
      <c r="DB13" s="507"/>
      <c r="DC13" s="507"/>
      <c r="DD13" s="507"/>
      <c r="DE13" s="507"/>
      <c r="DF13" s="507"/>
      <c r="DG13" s="507"/>
      <c r="DH13" s="507"/>
      <c r="DI13" s="507"/>
      <c r="DJ13" s="507"/>
      <c r="DK13" s="507"/>
      <c r="DL13" s="507"/>
      <c r="DM13" s="507"/>
      <c r="DN13" s="507"/>
      <c r="DO13" s="507"/>
      <c r="DP13" s="507"/>
      <c r="DR13" s="507"/>
      <c r="DS13" s="507"/>
      <c r="DT13" s="507"/>
      <c r="DU13" s="507"/>
      <c r="DV13" s="507"/>
      <c r="DW13" s="507"/>
      <c r="DX13" s="507"/>
      <c r="DY13" s="507"/>
      <c r="DZ13" s="507"/>
      <c r="EA13" s="507"/>
      <c r="EB13" s="507"/>
      <c r="EC13" s="507"/>
      <c r="ED13" s="507"/>
      <c r="EE13" s="507"/>
      <c r="EF13" s="507"/>
      <c r="EG13" s="507"/>
      <c r="EH13" s="507"/>
      <c r="EI13" s="507"/>
      <c r="EJ13" s="507"/>
      <c r="EK13" s="507"/>
      <c r="EL13" s="507"/>
      <c r="EM13" s="507"/>
      <c r="EN13" s="507"/>
      <c r="EO13" s="507"/>
      <c r="EP13" s="507"/>
      <c r="EQ13" s="507"/>
      <c r="ER13" s="1463"/>
      <c r="ES13" s="1463"/>
      <c r="ET13" s="1463"/>
      <c r="EU13" s="1463"/>
      <c r="EV13" s="507"/>
      <c r="EW13" s="613"/>
      <c r="EX13" s="614"/>
      <c r="EY13" s="614"/>
      <c r="EZ13" s="614"/>
      <c r="FA13" s="614"/>
      <c r="FB13" s="614"/>
      <c r="FC13" s="614"/>
      <c r="FD13" s="614"/>
      <c r="FE13" s="614"/>
      <c r="FF13" s="614"/>
      <c r="FG13" s="614"/>
      <c r="FH13" s="614"/>
      <c r="FI13" s="614"/>
      <c r="FJ13" s="614"/>
      <c r="FK13" s="614"/>
      <c r="FL13" s="614"/>
      <c r="FM13" s="613"/>
      <c r="FN13" s="613"/>
      <c r="FO13" s="614"/>
      <c r="FP13" s="614"/>
      <c r="FQ13" s="613"/>
      <c r="FR13" s="613"/>
      <c r="FS13" s="614"/>
      <c r="FT13" s="614"/>
      <c r="FU13" s="614"/>
      <c r="FV13" s="614"/>
      <c r="FW13" s="614"/>
      <c r="FX13" s="614"/>
      <c r="FY13" s="614"/>
      <c r="FZ13" s="614"/>
      <c r="GA13" s="614"/>
      <c r="GB13" s="1264"/>
      <c r="GC13" s="614"/>
      <c r="GD13" s="1487"/>
    </row>
    <row r="14" spans="1:261" s="590" customFormat="1">
      <c r="A14" s="617" t="s">
        <v>233</v>
      </c>
      <c r="B14" s="618"/>
      <c r="C14" s="619">
        <f>C10-C12</f>
        <v>1152</v>
      </c>
      <c r="D14" s="619">
        <f>D10-D12</f>
        <v>1108</v>
      </c>
      <c r="E14" s="619">
        <f>E10-E12</f>
        <v>1394</v>
      </c>
      <c r="F14" s="619">
        <f>F10-F12</f>
        <v>1687</v>
      </c>
      <c r="G14" s="619"/>
      <c r="H14" s="619">
        <f>H10-H12</f>
        <v>1201</v>
      </c>
      <c r="I14" s="619">
        <f>I10-I12</f>
        <v>1132</v>
      </c>
      <c r="J14" s="619">
        <f>J10-J12</f>
        <v>1325</v>
      </c>
      <c r="K14" s="619">
        <f>K10-K12</f>
        <v>1535</v>
      </c>
      <c r="L14" s="619"/>
      <c r="M14" s="619">
        <f>M10-M12</f>
        <v>1113</v>
      </c>
      <c r="N14" s="619">
        <f>N10-N12</f>
        <v>1045</v>
      </c>
      <c r="O14" s="619">
        <f>O10-O12</f>
        <v>1260</v>
      </c>
      <c r="P14" s="619">
        <f>P10-P12</f>
        <v>1593</v>
      </c>
      <c r="Q14" s="619"/>
      <c r="R14" s="619">
        <f>R10-R12</f>
        <v>1233</v>
      </c>
      <c r="S14" s="619">
        <f>S10-S12</f>
        <v>1164</v>
      </c>
      <c r="T14" s="619">
        <f>T10-T12</f>
        <v>1395</v>
      </c>
      <c r="U14" s="619">
        <f>U10-U12</f>
        <v>1888</v>
      </c>
      <c r="V14" s="619"/>
      <c r="W14" s="619">
        <f>W10-W12</f>
        <v>1280</v>
      </c>
      <c r="X14" s="619">
        <f>X10-X12</f>
        <v>1191</v>
      </c>
      <c r="Y14" s="619">
        <f>Y10-Y12</f>
        <v>1530</v>
      </c>
      <c r="Z14" s="619">
        <f>Z10-Z12</f>
        <v>1949</v>
      </c>
      <c r="AA14" s="619"/>
      <c r="AB14" s="619">
        <f>AB10-AB12</f>
        <v>1395</v>
      </c>
      <c r="AC14" s="619">
        <f>AC10-AC12</f>
        <v>1282</v>
      </c>
      <c r="AD14" s="619">
        <f>AD10-AD12</f>
        <v>1661</v>
      </c>
      <c r="AE14" s="619">
        <f>AE10-AE12</f>
        <v>2073</v>
      </c>
      <c r="AF14" s="619"/>
      <c r="AG14" s="619">
        <f>AG10-AG12</f>
        <v>1370</v>
      </c>
      <c r="AH14" s="619">
        <f>AH10-AH12</f>
        <v>1292</v>
      </c>
      <c r="AI14" s="619">
        <f>AI10-AI12</f>
        <v>1592</v>
      </c>
      <c r="AJ14" s="619">
        <f>AJ10-AJ12</f>
        <v>1954</v>
      </c>
      <c r="AK14" s="619"/>
      <c r="AL14" s="619">
        <f>AL10-AL12</f>
        <v>1340</v>
      </c>
      <c r="AM14" s="619">
        <f>AM10-AM12</f>
        <v>1312</v>
      </c>
      <c r="AN14" s="619">
        <f>AN10-AN12</f>
        <v>1700</v>
      </c>
      <c r="AO14" s="619">
        <f>AO10-AO12</f>
        <v>2228</v>
      </c>
      <c r="AP14" s="619"/>
      <c r="AQ14" s="619">
        <f>AQ10-AQ12</f>
        <v>1804</v>
      </c>
      <c r="AR14" s="619">
        <f>AR10-AR12</f>
        <v>1716</v>
      </c>
      <c r="AS14" s="619">
        <f>AS10-AS12</f>
        <v>2046</v>
      </c>
      <c r="AT14" s="619">
        <f>AT10-AT12</f>
        <v>2646</v>
      </c>
      <c r="AU14" s="619"/>
      <c r="AV14" s="619">
        <f>AV10-AV12</f>
        <v>1913.0473766566911</v>
      </c>
      <c r="AW14" s="619">
        <f>AW10-AW12</f>
        <v>1735</v>
      </c>
      <c r="AX14" s="619">
        <f>AX10-AX12</f>
        <v>2025</v>
      </c>
      <c r="AY14" s="619">
        <f>AY10-AY12</f>
        <v>2232</v>
      </c>
      <c r="AZ14" s="619"/>
      <c r="BA14" s="619">
        <f>BA10-BA12</f>
        <v>2314</v>
      </c>
      <c r="BB14" s="619">
        <f>BB10-BB12</f>
        <v>2190</v>
      </c>
      <c r="BC14" s="619">
        <f>BC10-BC12</f>
        <v>2428</v>
      </c>
      <c r="BD14" s="619">
        <f>BD10-BD12</f>
        <v>2663</v>
      </c>
      <c r="BE14" s="619"/>
      <c r="BF14" s="619">
        <f>BF10-BF12</f>
        <v>2302</v>
      </c>
      <c r="BG14" s="619">
        <f>BG10-BG12</f>
        <v>2113</v>
      </c>
      <c r="BH14" s="619">
        <f>BH10-BH12</f>
        <v>2182</v>
      </c>
      <c r="BI14" s="619">
        <f>BI10-BI12</f>
        <v>2483</v>
      </c>
      <c r="BJ14" s="619"/>
      <c r="BK14" s="619">
        <f>BK10-BK12</f>
        <v>1456</v>
      </c>
      <c r="BL14" s="619">
        <f>BL10-BL12</f>
        <v>1274</v>
      </c>
      <c r="BM14" s="619">
        <f>BM10-BM12</f>
        <v>1534</v>
      </c>
      <c r="BN14" s="619">
        <f>BN10-BN12</f>
        <v>1818</v>
      </c>
      <c r="BO14" s="619"/>
      <c r="BP14" s="619">
        <f>BP10-BP12</f>
        <v>1507</v>
      </c>
      <c r="BQ14" s="619">
        <f>BQ10-BQ12</f>
        <v>1302</v>
      </c>
      <c r="BR14" s="619">
        <f>BR10-BR12</f>
        <v>1575</v>
      </c>
      <c r="BS14" s="619">
        <f>BS10-BS12</f>
        <v>1950</v>
      </c>
      <c r="BT14" s="619"/>
      <c r="BU14" s="619">
        <f>BU10-BU12</f>
        <v>1436</v>
      </c>
      <c r="BV14" s="619">
        <f>BV10-BV12</f>
        <v>1280</v>
      </c>
      <c r="BW14" s="619">
        <f>BW10-BW12</f>
        <v>1639</v>
      </c>
      <c r="BX14" s="619">
        <f>BX10-BX12</f>
        <v>2143</v>
      </c>
      <c r="BY14" s="619"/>
      <c r="BZ14" s="619">
        <f>BZ10-BZ12</f>
        <v>1534</v>
      </c>
      <c r="CA14" s="619">
        <f>CA10-CA12</f>
        <v>1362</v>
      </c>
      <c r="CB14" s="619">
        <f>CB10-CB12</f>
        <v>1735</v>
      </c>
      <c r="CC14" s="619">
        <f>CC10-CC12</f>
        <v>2143</v>
      </c>
      <c r="CD14" s="619"/>
      <c r="CE14" s="619">
        <f>CE10-CE12</f>
        <v>1648</v>
      </c>
      <c r="CF14" s="619">
        <f>CF10-CF12</f>
        <v>1473</v>
      </c>
      <c r="CG14" s="619">
        <f>CG10-CG12</f>
        <v>1824</v>
      </c>
      <c r="CH14" s="619">
        <f>CH10-CH12</f>
        <v>2245.0839999999998</v>
      </c>
      <c r="CI14" s="619"/>
      <c r="CJ14" s="619">
        <f>CJ10-CJ12</f>
        <v>1721</v>
      </c>
      <c r="CK14" s="619">
        <f>CK10-CK12</f>
        <v>1582</v>
      </c>
      <c r="CL14" s="619">
        <f>CL10-CL12</f>
        <v>1985</v>
      </c>
      <c r="CM14" s="619">
        <f>CM10-CM12</f>
        <v>2523</v>
      </c>
      <c r="CN14" s="619"/>
      <c r="CO14" s="619">
        <f>CO10-CO12</f>
        <v>1806</v>
      </c>
      <c r="CP14" s="619">
        <f>CP10-CP12</f>
        <v>1673.0700000000002</v>
      </c>
      <c r="CQ14" s="619">
        <f>CQ10-CQ12</f>
        <v>1878</v>
      </c>
      <c r="CR14" s="619">
        <f>CR10-CR12</f>
        <v>2304</v>
      </c>
      <c r="CS14" s="619"/>
      <c r="CT14" s="619">
        <f>CT10-CT12</f>
        <v>1650</v>
      </c>
      <c r="CU14" s="619">
        <f>CU10-CU12</f>
        <v>1606.0595000000003</v>
      </c>
      <c r="CV14" s="619">
        <f>CV10-CV12</f>
        <v>1663.9999999999991</v>
      </c>
      <c r="CW14" s="619">
        <f>CW10-CW12</f>
        <v>1996</v>
      </c>
      <c r="CX14" s="619"/>
      <c r="CY14" s="619">
        <f>CY10-CY12</f>
        <v>1574</v>
      </c>
      <c r="CZ14" s="619">
        <f>CZ10-CZ12</f>
        <v>1520</v>
      </c>
      <c r="DA14" s="619">
        <f>DA10-DA12</f>
        <v>1696</v>
      </c>
      <c r="DB14" s="619">
        <f>DB10-DB12</f>
        <v>2120</v>
      </c>
      <c r="DC14" s="619"/>
      <c r="DD14" s="619">
        <f>DD10-DD12</f>
        <v>1630</v>
      </c>
      <c r="DE14" s="619">
        <f>DE10-DE12</f>
        <v>1552</v>
      </c>
      <c r="DF14" s="619">
        <f>DF10-DF12</f>
        <v>1635</v>
      </c>
      <c r="DG14" s="619">
        <f>DG10-DG12</f>
        <v>2143</v>
      </c>
      <c r="DH14" s="619"/>
      <c r="DI14" s="619">
        <f>DI10-DI12</f>
        <v>1595</v>
      </c>
      <c r="DJ14" s="619">
        <f>DJ10-DJ12</f>
        <v>1497</v>
      </c>
      <c r="DK14" s="619">
        <f>DK10-DK12</f>
        <v>1489</v>
      </c>
      <c r="DL14" s="619">
        <f>DL10-DL12</f>
        <v>1844</v>
      </c>
      <c r="DM14" s="619"/>
      <c r="DN14" s="619">
        <f>DN10-DN12</f>
        <v>1239</v>
      </c>
      <c r="DO14" s="619">
        <f>DO10-DO12</f>
        <v>1004</v>
      </c>
      <c r="DP14" s="619">
        <f>DP10-DP12</f>
        <v>952</v>
      </c>
      <c r="DQ14" s="619">
        <f>DQ10-DQ12</f>
        <v>924</v>
      </c>
      <c r="DR14" s="619"/>
      <c r="DS14" s="619">
        <f>DS10-DS12</f>
        <v>812</v>
      </c>
      <c r="DT14" s="619">
        <f>DT10-DT12</f>
        <v>787</v>
      </c>
      <c r="DU14" s="619">
        <f>DU10-DU12</f>
        <v>819</v>
      </c>
      <c r="DV14" s="619">
        <f>DV10-DV12</f>
        <v>1074</v>
      </c>
      <c r="DW14" s="619"/>
      <c r="DX14" s="619">
        <f>DX10-DX12</f>
        <v>926</v>
      </c>
      <c r="DY14" s="619">
        <f>DY10-DY12</f>
        <v>1008</v>
      </c>
      <c r="DZ14" s="619">
        <f>DZ10-DZ12</f>
        <v>1013</v>
      </c>
      <c r="EA14" s="619">
        <f>EA10-EA12</f>
        <v>1314</v>
      </c>
      <c r="EB14" s="619"/>
      <c r="EC14" s="619">
        <f>EC10-EC12</f>
        <v>1041</v>
      </c>
      <c r="ED14" s="619">
        <f>ED10-ED12</f>
        <v>1065</v>
      </c>
      <c r="EE14" s="619">
        <f>EE10-EE12</f>
        <v>1082</v>
      </c>
      <c r="EF14" s="619">
        <f>EF10-EF12</f>
        <v>1363</v>
      </c>
      <c r="EG14" s="619"/>
      <c r="EH14" s="619">
        <f>EH10-EH12</f>
        <v>1018</v>
      </c>
      <c r="EI14" s="619">
        <f>EI10-EI12</f>
        <v>1084</v>
      </c>
      <c r="EJ14" s="619">
        <f>EJ10-EJ12</f>
        <v>1062</v>
      </c>
      <c r="EK14" s="619">
        <f>EK10-EK12</f>
        <v>1312</v>
      </c>
      <c r="EL14" s="619"/>
      <c r="EM14" s="619">
        <f>EM10-EM12</f>
        <v>983</v>
      </c>
      <c r="EN14" s="619">
        <f>EN10-EN12</f>
        <v>1039.0000000000005</v>
      </c>
      <c r="EO14" s="619">
        <f>EO10-EO12</f>
        <v>955</v>
      </c>
      <c r="EP14" s="619">
        <f>EP10-EP12</f>
        <v>1355</v>
      </c>
      <c r="EQ14" s="619"/>
      <c r="ER14" s="1466">
        <f>ER10-ER12</f>
        <v>955.91073600000004</v>
      </c>
      <c r="ES14" s="1466">
        <f>ES10-ES12</f>
        <v>1075.4192640000001</v>
      </c>
      <c r="ET14" s="1466">
        <f>ET10-ET12</f>
        <v>995.86745999999994</v>
      </c>
      <c r="EU14" s="1466">
        <f>EU10-EU12</f>
        <v>1225.4078759999998</v>
      </c>
      <c r="EV14" s="507"/>
      <c r="EW14" s="620">
        <f t="shared" ref="EW14:FV14" si="7">EW10-EW12</f>
        <v>5341</v>
      </c>
      <c r="EX14" s="621">
        <f t="shared" si="7"/>
        <v>5193</v>
      </c>
      <c r="EY14" s="621">
        <f t="shared" si="7"/>
        <v>5011</v>
      </c>
      <c r="EZ14" s="621">
        <f t="shared" si="7"/>
        <v>5680</v>
      </c>
      <c r="FA14" s="621">
        <f t="shared" si="7"/>
        <v>5950</v>
      </c>
      <c r="FB14" s="621">
        <f t="shared" si="7"/>
        <v>6411</v>
      </c>
      <c r="FC14" s="621">
        <f t="shared" si="7"/>
        <v>6208</v>
      </c>
      <c r="FD14" s="621">
        <f t="shared" si="7"/>
        <v>6580</v>
      </c>
      <c r="FE14" s="621">
        <f t="shared" si="7"/>
        <v>8212</v>
      </c>
      <c r="FF14" s="621">
        <f t="shared" si="7"/>
        <v>7905.0473766566902</v>
      </c>
      <c r="FG14" s="621">
        <f t="shared" si="7"/>
        <v>9595</v>
      </c>
      <c r="FH14" s="621">
        <f t="shared" si="7"/>
        <v>9080</v>
      </c>
      <c r="FI14" s="621">
        <f t="shared" si="7"/>
        <v>5974</v>
      </c>
      <c r="FJ14" s="621">
        <f t="shared" si="7"/>
        <v>6097</v>
      </c>
      <c r="FK14" s="621">
        <f t="shared" si="7"/>
        <v>6276</v>
      </c>
      <c r="FL14" s="621">
        <f t="shared" si="7"/>
        <v>6774</v>
      </c>
      <c r="FM14" s="620">
        <f t="shared" si="7"/>
        <v>7190.0839999999989</v>
      </c>
      <c r="FN14" s="620">
        <f t="shared" si="7"/>
        <v>7811</v>
      </c>
      <c r="FO14" s="621">
        <f t="shared" si="7"/>
        <v>7661.07</v>
      </c>
      <c r="FP14" s="621">
        <f t="shared" si="7"/>
        <v>6916.0594999999976</v>
      </c>
      <c r="FQ14" s="620">
        <f t="shared" si="7"/>
        <v>6910</v>
      </c>
      <c r="FR14" s="620">
        <f t="shared" si="7"/>
        <v>6960</v>
      </c>
      <c r="FS14" s="621">
        <f t="shared" si="7"/>
        <v>6425</v>
      </c>
      <c r="FT14" s="621">
        <f t="shared" si="7"/>
        <v>4119</v>
      </c>
      <c r="FU14" s="621">
        <f t="shared" si="7"/>
        <v>3492</v>
      </c>
      <c r="FV14" s="621">
        <f t="shared" si="7"/>
        <v>4261</v>
      </c>
      <c r="FW14" s="621">
        <f t="shared" ref="FW14:GC14" si="8">FW10-FW12</f>
        <v>4551</v>
      </c>
      <c r="FX14" s="621">
        <f t="shared" si="8"/>
        <v>4476</v>
      </c>
      <c r="FY14" s="621">
        <f t="shared" si="8"/>
        <v>4332</v>
      </c>
      <c r="FZ14" s="621">
        <f t="shared" si="8"/>
        <v>4252.6053359999987</v>
      </c>
      <c r="GA14" s="621">
        <f t="shared" si="8"/>
        <v>4126.1910644626341</v>
      </c>
      <c r="GB14" s="1266">
        <f t="shared" si="8"/>
        <v>3973.7081831307523</v>
      </c>
      <c r="GC14" s="621">
        <f t="shared" si="8"/>
        <v>3789.1187307082791</v>
      </c>
      <c r="GD14" s="1489">
        <f t="shared" ref="GD14" si="9">GD10-GD12</f>
        <v>3563.8164366241454</v>
      </c>
      <c r="GF14"/>
      <c r="GG14"/>
      <c r="GH14"/>
      <c r="GI14"/>
      <c r="GJ14"/>
      <c r="GK14"/>
      <c r="GL14" s="398"/>
      <c r="GM14" s="398"/>
      <c r="GN14" s="706"/>
      <c r="GO14" s="398"/>
      <c r="GP14" s="398"/>
      <c r="GQ14" s="398"/>
      <c r="GR14" s="398"/>
      <c r="GS14" s="398"/>
      <c r="GT14" s="398"/>
      <c r="GU14" s="398"/>
      <c r="GV14" s="398"/>
      <c r="GW14" s="398"/>
      <c r="GX14" s="398"/>
      <c r="GY14" s="398"/>
      <c r="GZ14" s="398"/>
      <c r="HA14" s="398"/>
      <c r="HB14" s="398"/>
      <c r="HC14" s="398"/>
      <c r="HD14" s="398"/>
      <c r="HE14" s="398"/>
      <c r="HF14" s="398"/>
      <c r="HG14" s="398"/>
      <c r="HH14" s="398"/>
      <c r="HI14" s="398"/>
      <c r="HJ14" s="398"/>
      <c r="HK14" s="398"/>
      <c r="HL14" s="398"/>
      <c r="HM14" s="398"/>
      <c r="HN14" s="398"/>
      <c r="HO14" s="398"/>
      <c r="HP14" s="398"/>
      <c r="HQ14" s="398"/>
      <c r="HR14" s="398"/>
      <c r="HS14" s="398"/>
      <c r="HT14" s="398"/>
      <c r="HU14" s="398"/>
      <c r="HV14" s="398"/>
      <c r="HW14" s="398"/>
      <c r="HX14" s="398"/>
      <c r="HY14" s="398"/>
      <c r="HZ14" s="398"/>
      <c r="IA14" s="398"/>
      <c r="IB14" s="398"/>
      <c r="IC14" s="398"/>
      <c r="ID14" s="398"/>
      <c r="IE14" s="398"/>
      <c r="IF14" s="398"/>
      <c r="IG14" s="398"/>
      <c r="IH14" s="398"/>
      <c r="II14" s="398"/>
      <c r="IJ14" s="398"/>
      <c r="IK14" s="398"/>
      <c r="IL14" s="398"/>
      <c r="IM14" s="398"/>
      <c r="IN14" s="398"/>
      <c r="IO14" s="398"/>
      <c r="IP14" s="398"/>
      <c r="IQ14" s="398"/>
      <c r="IR14" s="398"/>
      <c r="IS14" s="398"/>
      <c r="IT14" s="398"/>
      <c r="IU14" s="398"/>
      <c r="IV14" s="398"/>
      <c r="IW14" s="398"/>
      <c r="IX14" s="398"/>
      <c r="IY14" s="398"/>
      <c r="IZ14" s="398"/>
      <c r="JA14" s="398"/>
    </row>
    <row r="15" spans="1:261" s="625" customFormat="1">
      <c r="A15" s="617" t="s">
        <v>234</v>
      </c>
      <c r="B15" s="622"/>
      <c r="C15" s="589" t="s">
        <v>446</v>
      </c>
      <c r="D15" s="589" t="s">
        <v>446</v>
      </c>
      <c r="E15" s="589" t="s">
        <v>446</v>
      </c>
      <c r="F15" s="589" t="s">
        <v>446</v>
      </c>
      <c r="G15" s="589"/>
      <c r="H15" s="589" t="s">
        <v>446</v>
      </c>
      <c r="I15" s="589" t="s">
        <v>446</v>
      </c>
      <c r="J15" s="589" t="s">
        <v>446</v>
      </c>
      <c r="K15" s="589" t="s">
        <v>446</v>
      </c>
      <c r="L15" s="589"/>
      <c r="M15" s="589" t="s">
        <v>446</v>
      </c>
      <c r="N15" s="589" t="s">
        <v>446</v>
      </c>
      <c r="O15" s="589" t="s">
        <v>446</v>
      </c>
      <c r="P15" s="589" t="s">
        <v>446</v>
      </c>
      <c r="Q15" s="589"/>
      <c r="R15" s="589" t="s">
        <v>446</v>
      </c>
      <c r="S15" s="589" t="s">
        <v>446</v>
      </c>
      <c r="T15" s="589" t="s">
        <v>446</v>
      </c>
      <c r="U15" s="589" t="s">
        <v>446</v>
      </c>
      <c r="V15" s="589"/>
      <c r="W15" s="589" t="s">
        <v>446</v>
      </c>
      <c r="X15" s="589" t="s">
        <v>446</v>
      </c>
      <c r="Y15" s="589" t="s">
        <v>446</v>
      </c>
      <c r="Z15" s="589" t="s">
        <v>446</v>
      </c>
      <c r="AA15" s="589"/>
      <c r="AB15" s="589" t="s">
        <v>446</v>
      </c>
      <c r="AC15" s="589" t="s">
        <v>446</v>
      </c>
      <c r="AD15" s="589" t="s">
        <v>446</v>
      </c>
      <c r="AE15" s="589" t="s">
        <v>446</v>
      </c>
      <c r="AF15" s="589"/>
      <c r="AG15" s="589" t="s">
        <v>446</v>
      </c>
      <c r="AH15" s="589" t="s">
        <v>446</v>
      </c>
      <c r="AI15" s="589" t="s">
        <v>446</v>
      </c>
      <c r="AJ15" s="589" t="s">
        <v>446</v>
      </c>
      <c r="AK15" s="589"/>
      <c r="AL15" s="589" t="s">
        <v>446</v>
      </c>
      <c r="AM15" s="589" t="s">
        <v>446</v>
      </c>
      <c r="AN15" s="589" t="s">
        <v>446</v>
      </c>
      <c r="AO15" s="589" t="s">
        <v>446</v>
      </c>
      <c r="AP15" s="589"/>
      <c r="AQ15" s="589" t="s">
        <v>446</v>
      </c>
      <c r="AR15" s="589" t="s">
        <v>446</v>
      </c>
      <c r="AS15" s="589" t="s">
        <v>446</v>
      </c>
      <c r="AT15" s="589" t="s">
        <v>446</v>
      </c>
      <c r="AU15" s="589"/>
      <c r="AV15" s="589" t="s">
        <v>446</v>
      </c>
      <c r="AW15" s="589" t="s">
        <v>446</v>
      </c>
      <c r="AX15" s="589" t="s">
        <v>446</v>
      </c>
      <c r="AY15" s="589" t="s">
        <v>446</v>
      </c>
      <c r="AZ15" s="589"/>
      <c r="BA15" s="589" t="s">
        <v>446</v>
      </c>
      <c r="BB15" s="589" t="s">
        <v>446</v>
      </c>
      <c r="BC15" s="589" t="s">
        <v>446</v>
      </c>
      <c r="BD15" s="589" t="s">
        <v>446</v>
      </c>
      <c r="BE15" s="589"/>
      <c r="BF15" s="589" t="s">
        <v>446</v>
      </c>
      <c r="BG15" s="589" t="s">
        <v>446</v>
      </c>
      <c r="BH15" s="589" t="s">
        <v>446</v>
      </c>
      <c r="BI15" s="589" t="s">
        <v>446</v>
      </c>
      <c r="BJ15" s="589"/>
      <c r="BK15" s="589" t="s">
        <v>446</v>
      </c>
      <c r="BL15" s="589" t="s">
        <v>446</v>
      </c>
      <c r="BM15" s="589" t="s">
        <v>446</v>
      </c>
      <c r="BN15" s="589" t="s">
        <v>446</v>
      </c>
      <c r="BO15" s="589"/>
      <c r="BP15" s="589" t="s">
        <v>446</v>
      </c>
      <c r="BQ15" s="589" t="s">
        <v>446</v>
      </c>
      <c r="BR15" s="589" t="s">
        <v>446</v>
      </c>
      <c r="BS15" s="589" t="s">
        <v>446</v>
      </c>
      <c r="BT15" s="589"/>
      <c r="BU15" s="589" t="s">
        <v>446</v>
      </c>
      <c r="BV15" s="589" t="s">
        <v>446</v>
      </c>
      <c r="BW15" s="589" t="s">
        <v>446</v>
      </c>
      <c r="BX15" s="589" t="s">
        <v>446</v>
      </c>
      <c r="BY15" s="589"/>
      <c r="BZ15" s="589">
        <f>INDEX('qtrP&amp;L'!$30:$30,MATCH(BZ$7,'qtrP&amp;L'!$6:$6,0))</f>
        <v>1193</v>
      </c>
      <c r="CA15" s="589">
        <f>INDEX('qtrP&amp;L'!$31:$31,MATCH(BZ$7,'qtrP&amp;L'!$6:$6,0))</f>
        <v>1097</v>
      </c>
      <c r="CB15" s="589">
        <f>INDEX('qtrP&amp;L'!$32:$32,MATCH(BZ$7,'qtrP&amp;L'!$6:$6,0))</f>
        <v>1271</v>
      </c>
      <c r="CC15" s="589">
        <f>INDEX('qtrP&amp;L'!$33:$33,MATCH(BZ$7,'qtrP&amp;L'!$6:$6,0))</f>
        <v>1454</v>
      </c>
      <c r="CD15" s="589"/>
      <c r="CE15" s="589">
        <f>INDEX('qtrP&amp;L'!$30:$30,MATCH(CE$7,'qtrP&amp;L'!$6:$6,0))</f>
        <v>1223</v>
      </c>
      <c r="CF15" s="589">
        <f>INDEX('qtrP&amp;L'!$31:$31,MATCH(CE$7,'qtrP&amp;L'!$6:$6,0))</f>
        <v>1141</v>
      </c>
      <c r="CG15" s="589">
        <f>INDEX('qtrP&amp;L'!$32:$32,MATCH(CE$7,'qtrP&amp;L'!$6:$6,0))</f>
        <v>1293</v>
      </c>
      <c r="CH15" s="589">
        <f>INDEX('qtrP&amp;L'!$33:$33,MATCH(CE$7,'qtrP&amp;L'!$6:$6,0))</f>
        <v>1458</v>
      </c>
      <c r="CI15" s="589"/>
      <c r="CJ15" s="589">
        <f>INDEX('qtrP&amp;L'!$30:$30,MATCH(CJ$7,'qtrP&amp;L'!$6:$6,0))</f>
        <v>1248</v>
      </c>
      <c r="CK15" s="589">
        <f>INDEX('qtrP&amp;L'!$31:$31,MATCH(CJ$7,'qtrP&amp;L'!$6:$6,0))</f>
        <v>1208</v>
      </c>
      <c r="CL15" s="589">
        <f>INDEX('qtrP&amp;L'!$32:$32,MATCH(CJ$7,'qtrP&amp;L'!$6:$6,0))</f>
        <v>1364</v>
      </c>
      <c r="CM15" s="589">
        <f>INDEX('qtrP&amp;L'!$33:$33,MATCH(CJ$7,'qtrP&amp;L'!$6:$6,0))</f>
        <v>1650</v>
      </c>
      <c r="CN15" s="589"/>
      <c r="CO15" s="589">
        <f>INDEX('qtrP&amp;L'!$30:$30,MATCH(CO$7,'qtrP&amp;L'!$6:$6,0))</f>
        <v>1302</v>
      </c>
      <c r="CP15" s="589">
        <f>INDEX('qtrP&amp;L'!$31:$31,MATCH(CO$7,'qtrP&amp;L'!$6:$6,0))</f>
        <v>1254</v>
      </c>
      <c r="CQ15" s="589">
        <f>INDEX('qtrP&amp;L'!$32:$32,MATCH(CO$7,'qtrP&amp;L'!$6:$6,0))</f>
        <v>1361</v>
      </c>
      <c r="CR15" s="589">
        <f>INDEX('qtrP&amp;L'!$33:$33,MATCH(CO$7,'qtrP&amp;L'!$6:$6,0))</f>
        <v>1485</v>
      </c>
      <c r="CS15" s="589"/>
      <c r="CT15" s="589">
        <f>INDEX('qtrP&amp;L'!$30:$30,MATCH(CT$7,'qtrP&amp;L'!$6:$6,0))</f>
        <v>1317</v>
      </c>
      <c r="CU15" s="589">
        <f>INDEX('qtrP&amp;L'!$31:$31,MATCH(CT$7,'qtrP&amp;L'!$6:$6,0))</f>
        <v>1270</v>
      </c>
      <c r="CV15" s="589">
        <f>INDEX('qtrP&amp;L'!$32:$32,MATCH(CT$7,'qtrP&amp;L'!$6:$6,0))</f>
        <v>1320</v>
      </c>
      <c r="CW15" s="589">
        <f>INDEX('qtrP&amp;L'!$33:$33,MATCH(CT$7,'qtrP&amp;L'!$6:$6,0))</f>
        <v>1488</v>
      </c>
      <c r="CX15" s="589"/>
      <c r="CY15" s="589">
        <f>INDEX('qtrP&amp;L'!$30:$30,MATCH(CY$7,'qtrP&amp;L'!$6:$6,0))</f>
        <v>1255</v>
      </c>
      <c r="CZ15" s="589">
        <f>INDEX('qtrP&amp;L'!$31:$31,MATCH(CY$7,'qtrP&amp;L'!$6:$6,0))</f>
        <v>1242</v>
      </c>
      <c r="DA15" s="589">
        <f>INDEX('qtrP&amp;L'!$32:$32,MATCH(CY$7,'qtrP&amp;L'!$6:$6,0))</f>
        <v>1376</v>
      </c>
      <c r="DB15" s="589">
        <f>INDEX('qtrP&amp;L'!$33:$33,MATCH(CY$7,'qtrP&amp;L'!$6:$6,0))</f>
        <v>1509</v>
      </c>
      <c r="DC15" s="589"/>
      <c r="DD15" s="589">
        <f>INDEX('qtrP&amp;L'!$30:$30,MATCH(DD$7,'qtrP&amp;L'!$6:$6,0))</f>
        <v>1292</v>
      </c>
      <c r="DE15" s="589">
        <f>INDEX('qtrP&amp;L'!$31:$31,MATCH(DD$7,'qtrP&amp;L'!$6:$6,0))</f>
        <v>1275</v>
      </c>
      <c r="DF15" s="589">
        <f>INDEX('qtrP&amp;L'!$32:$32,MATCH(DD$7,'qtrP&amp;L'!$6:$6,0))</f>
        <v>1326</v>
      </c>
      <c r="DG15" s="589">
        <f>INDEX('qtrP&amp;L'!$33:$33,MATCH(DD$7,'qtrP&amp;L'!$6:$6,0))</f>
        <v>1465</v>
      </c>
      <c r="DH15" s="589"/>
      <c r="DI15" s="589">
        <f>INDEX('qtrP&amp;L'!$30:$30,MATCH(DI$7,'qtrP&amp;L'!$6:$6,0))</f>
        <v>1281</v>
      </c>
      <c r="DJ15" s="589">
        <f>INDEX('qtrP&amp;L'!$31:$31,MATCH(DI$7,'qtrP&amp;L'!$6:$6,0))</f>
        <v>1243</v>
      </c>
      <c r="DK15" s="589">
        <f>INDEX('qtrP&amp;L'!$32:$32,MATCH(DI$7,'qtrP&amp;L'!$6:$6,0))</f>
        <v>1242</v>
      </c>
      <c r="DL15" s="589">
        <f>INDEX('qtrP&amp;L'!$33:$33,MATCH(DI$7,'qtrP&amp;L'!$6:$6,0))</f>
        <v>1343</v>
      </c>
      <c r="DM15" s="589"/>
      <c r="DN15" s="589">
        <f>INDEX('qtrP&amp;L'!$30:$30,MATCH(DN$7,'qtrP&amp;L'!$6:$6,0))</f>
        <v>1160</v>
      </c>
      <c r="DO15" s="589">
        <f>INDEX('qtrP&amp;L'!$31:$31,MATCH(DN$7,'qtrP&amp;L'!$6:$6,0))</f>
        <v>1050</v>
      </c>
      <c r="DP15" s="589">
        <f>INDEX('qtrP&amp;L'!$32:$32,MATCH(DN$7,'qtrP&amp;L'!$6:$6,0))</f>
        <v>1087</v>
      </c>
      <c r="DQ15" s="589">
        <f>INDEX('qtrP&amp;L'!$33:$33,MATCH(DN$7,'qtrP&amp;L'!$6:$6,0))</f>
        <v>1209</v>
      </c>
      <c r="DR15" s="589"/>
      <c r="DS15" s="589">
        <f>INDEX('qtrP&amp;L'!$30:$30,MATCH(DS$7,'qtrP&amp;L'!$6:$6,0))</f>
        <v>1078</v>
      </c>
      <c r="DT15" s="589">
        <f>INDEX('qtrP&amp;L'!$31:$31,MATCH(DS$7,'qtrP&amp;L'!$6:$6,0))</f>
        <v>1026</v>
      </c>
      <c r="DU15" s="589">
        <f>INDEX('qtrP&amp;L'!$32:$32,MATCH(DS$7,'qtrP&amp;L'!$6:$6,0))</f>
        <v>1006</v>
      </c>
      <c r="DV15" s="589">
        <f>INDEX('qtrP&amp;L'!$33:$33,MATCH(DS$7,'qtrP&amp;L'!$6:$6,0))</f>
        <v>1004</v>
      </c>
      <c r="DW15" s="589"/>
      <c r="DX15" s="589">
        <f>INDEX('qtrP&amp;L'!$30:$30,MATCH(DX$7,'qtrP&amp;L'!$6:$6,0))</f>
        <v>1009</v>
      </c>
      <c r="DY15" s="589">
        <f>INDEX('qtrP&amp;L'!$31:$31,MATCH(DX$7,'qtrP&amp;L'!$6:$6,0))</f>
        <v>964</v>
      </c>
      <c r="DZ15" s="589">
        <f>INDEX('qtrP&amp;L'!$32:$32,MATCH(DX$7,'qtrP&amp;L'!$6:$6,0))</f>
        <v>988</v>
      </c>
      <c r="EA15" s="589">
        <f>INDEX('qtrP&amp;L'!$33:$33,MATCH(DX$7,'qtrP&amp;L'!$6:$6,0))</f>
        <v>1032</v>
      </c>
      <c r="EB15" s="589"/>
      <c r="EC15" s="589">
        <f>INDEX('qtrP&amp;L'!$30:$30,MATCH(EC$7,'qtrP&amp;L'!$6:$6,0))</f>
        <v>965</v>
      </c>
      <c r="ED15" s="589">
        <f>INDEX('qtrP&amp;L'!$31:$31,MATCH(EC$7,'qtrP&amp;L'!$6:$6,0))</f>
        <v>901</v>
      </c>
      <c r="EE15" s="589">
        <f>INDEX('qtrP&amp;L'!$32:$32,MATCH(EC$7,'qtrP&amp;L'!$6:$6,0))</f>
        <v>947</v>
      </c>
      <c r="EF15" s="589">
        <f>INDEX('qtrP&amp;L'!$33:$33,MATCH(EC$7,'qtrP&amp;L'!$6:$6,0))</f>
        <v>962</v>
      </c>
      <c r="EG15" s="589"/>
      <c r="EH15" s="589">
        <f>INDEX('qtrP&amp;L'!$30:$30,MATCH(EH$7,'qtrP&amp;L'!$6:$6,0))</f>
        <v>872</v>
      </c>
      <c r="EI15" s="589">
        <f>INDEX('qtrP&amp;L'!$31:$31,MATCH(EH$7,'qtrP&amp;L'!$6:$6,0))</f>
        <v>853</v>
      </c>
      <c r="EJ15" s="589">
        <f>INDEX('qtrP&amp;L'!$32:$32,MATCH(EH$7,'qtrP&amp;L'!$6:$6,0))</f>
        <v>888</v>
      </c>
      <c r="EK15" s="589">
        <f>INDEX('qtrP&amp;L'!$33:$33,MATCH(EH$7,'qtrP&amp;L'!$6:$6,0))</f>
        <v>925</v>
      </c>
      <c r="EL15" s="589"/>
      <c r="EM15" s="589">
        <f>INDEX('qtrP&amp;L'!$30:$30,MATCH(EM$7,'qtrP&amp;L'!$6:$6,0))</f>
        <v>843</v>
      </c>
      <c r="EN15" s="589">
        <f>INDEX('qtrP&amp;L'!$31:$31,MATCH(EM$7,'qtrP&amp;L'!$6:$6,0))</f>
        <v>842</v>
      </c>
      <c r="EO15" s="589">
        <f>INDEX('qtrP&amp;L'!$32:$32,MATCH(EM$7,'qtrP&amp;L'!$6:$6,0))</f>
        <v>840</v>
      </c>
      <c r="EP15" s="589">
        <f>INDEX('qtrP&amp;L'!$33:$33,MATCH(EM$7,'qtrP&amp;L'!$6:$6,0))</f>
        <v>943</v>
      </c>
      <c r="EQ15" s="589"/>
      <c r="ER15" s="1467">
        <f>INDEX('qtrP&amp;L'!$30:$30,MATCH(ER$7,'qtrP&amp;L'!$6:$6,0))</f>
        <v>826.14</v>
      </c>
      <c r="ES15" s="1467">
        <f>INDEX('qtrP&amp;L'!$31:$31,MATCH(ER$7,'qtrP&amp;L'!$6:$6,0))</f>
        <v>820.94999999999993</v>
      </c>
      <c r="ET15" s="1467">
        <f>INDEX('qtrP&amp;L'!$32:$32,MATCH(ER$7,'qtrP&amp;L'!$6:$6,0))</f>
        <v>823.19999999999993</v>
      </c>
      <c r="EU15" s="1467">
        <f>INDEX('qtrP&amp;L'!$33:$33,MATCH(ER$7,'qtrP&amp;L'!$6:$6,0))</f>
        <v>909.995</v>
      </c>
      <c r="EV15" s="507"/>
      <c r="EW15" s="623" t="s">
        <v>446</v>
      </c>
      <c r="EX15" s="624" t="s">
        <v>446</v>
      </c>
      <c r="EY15" s="624" t="s">
        <v>446</v>
      </c>
      <c r="EZ15" s="624" t="s">
        <v>446</v>
      </c>
      <c r="FA15" s="624" t="s">
        <v>446</v>
      </c>
      <c r="FB15" s="624" t="s">
        <v>446</v>
      </c>
      <c r="FC15" s="624" t="s">
        <v>446</v>
      </c>
      <c r="FD15" s="624" t="s">
        <v>446</v>
      </c>
      <c r="FE15" s="624" t="s">
        <v>446</v>
      </c>
      <c r="FF15" s="624" t="s">
        <v>446</v>
      </c>
      <c r="FG15" s="624" t="s">
        <v>446</v>
      </c>
      <c r="FH15" s="624" t="s">
        <v>446</v>
      </c>
      <c r="FI15" s="624" t="s">
        <v>446</v>
      </c>
      <c r="FJ15" s="624">
        <f>INDEX('qtrP&amp;L'!$34:$34,MATCH(FJ$7,'qtrP&amp;L'!$6:$6,0))</f>
        <v>5050</v>
      </c>
      <c r="FK15" s="624">
        <f>INDEX('qtrP&amp;L'!$34:$34,MATCH(FK$7,'qtrP&amp;L'!$6:$6,0))</f>
        <v>5139</v>
      </c>
      <c r="FL15" s="624">
        <f t="shared" ref="FL15:FS15" si="10">SUMIF($A$6:$DQ$6,FL$7,$A15:$DQ15)</f>
        <v>5015</v>
      </c>
      <c r="FM15" s="623">
        <f t="shared" si="10"/>
        <v>5115</v>
      </c>
      <c r="FN15" s="623">
        <f t="shared" si="10"/>
        <v>5470</v>
      </c>
      <c r="FO15" s="624">
        <f t="shared" si="10"/>
        <v>5402</v>
      </c>
      <c r="FP15" s="624">
        <f t="shared" si="10"/>
        <v>5395</v>
      </c>
      <c r="FQ15" s="623">
        <f t="shared" si="10"/>
        <v>5382</v>
      </c>
      <c r="FR15" s="623">
        <f t="shared" si="10"/>
        <v>5358</v>
      </c>
      <c r="FS15" s="624">
        <f t="shared" si="10"/>
        <v>5109</v>
      </c>
      <c r="FT15" s="624">
        <f>SUMIF($A$6:$DQ$6,FT$7,$A15:$DQ15)</f>
        <v>4506</v>
      </c>
      <c r="FU15" s="615">
        <f>'yrP&amp;L'!AB15</f>
        <v>4114</v>
      </c>
      <c r="FV15" s="615">
        <f>'yrP&amp;L'!AC15</f>
        <v>3993</v>
      </c>
      <c r="FW15" s="615">
        <f>'yrP&amp;L'!AD15</f>
        <v>3775</v>
      </c>
      <c r="FX15" s="615">
        <f>'yrP&amp;L'!AE15</f>
        <v>3538</v>
      </c>
      <c r="FY15" s="615">
        <f>'yrP&amp;L'!AF15</f>
        <v>3468</v>
      </c>
      <c r="FZ15" s="615">
        <f>'yrP&amp;L'!AG15</f>
        <v>3380.2849999999999</v>
      </c>
      <c r="GA15" s="615">
        <f>'yrP&amp;L'!AH15</f>
        <v>3276.8482789999998</v>
      </c>
      <c r="GB15" s="1265">
        <f>'yrP&amp;L'!AI15</f>
        <v>3175.2659823509998</v>
      </c>
      <c r="GC15" s="615">
        <f>'yrP&amp;L'!AJ15</f>
        <v>3112.0781893022149</v>
      </c>
      <c r="GD15" s="1488">
        <f>'yrP&amp;L'!AK15</f>
        <v>3052.9487037054728</v>
      </c>
      <c r="GF15"/>
      <c r="GG15"/>
      <c r="GH15"/>
      <c r="GI15"/>
      <c r="GJ15"/>
      <c r="GK15"/>
      <c r="GL15" s="398"/>
      <c r="GM15" s="398"/>
      <c r="GN15" s="706"/>
      <c r="GO15" s="398"/>
      <c r="GP15" s="398"/>
      <c r="GQ15" s="398"/>
      <c r="GR15" s="398"/>
      <c r="GS15" s="398"/>
      <c r="GT15" s="398"/>
      <c r="GU15" s="398"/>
      <c r="GV15" s="398"/>
      <c r="GW15" s="398"/>
      <c r="GX15" s="398"/>
      <c r="GY15" s="398"/>
      <c r="GZ15" s="398"/>
      <c r="HA15" s="398"/>
      <c r="HB15" s="398"/>
      <c r="HC15" s="398"/>
      <c r="HD15" s="398"/>
      <c r="HE15" s="398"/>
      <c r="HF15" s="398"/>
      <c r="HG15" s="398"/>
      <c r="HH15" s="398"/>
      <c r="HI15" s="398"/>
      <c r="HJ15" s="398"/>
      <c r="HK15" s="398"/>
      <c r="HL15" s="398"/>
      <c r="HM15" s="398"/>
      <c r="HN15" s="398"/>
      <c r="HO15" s="398"/>
      <c r="HP15" s="398"/>
      <c r="HQ15" s="398"/>
      <c r="HR15" s="398"/>
      <c r="HS15" s="398"/>
      <c r="HT15" s="398"/>
      <c r="HU15" s="398"/>
      <c r="HV15" s="398"/>
      <c r="HW15" s="398"/>
      <c r="HX15" s="398"/>
      <c r="HY15" s="398"/>
      <c r="HZ15" s="398"/>
      <c r="IA15" s="398"/>
      <c r="IB15" s="398"/>
      <c r="IC15" s="398"/>
      <c r="ID15" s="398"/>
      <c r="IE15" s="398"/>
      <c r="IF15" s="398"/>
      <c r="IG15" s="398"/>
      <c r="IH15" s="398"/>
      <c r="II15" s="398"/>
      <c r="IJ15" s="398"/>
      <c r="IK15" s="398"/>
      <c r="IL15" s="398"/>
      <c r="IM15" s="398"/>
      <c r="IN15" s="398"/>
      <c r="IO15" s="398"/>
      <c r="IP15" s="398"/>
      <c r="IQ15" s="398"/>
      <c r="IR15" s="398"/>
      <c r="IS15" s="398"/>
      <c r="IT15" s="398"/>
      <c r="IU15" s="398"/>
      <c r="IV15" s="398"/>
      <c r="IW15" s="398"/>
      <c r="IX15" s="398"/>
      <c r="IY15" s="398"/>
      <c r="IZ15" s="398"/>
      <c r="JA15" s="398"/>
    </row>
    <row r="16" spans="1:261" s="625" customFormat="1" hidden="1" outlineLevel="1">
      <c r="A16" s="617" t="s">
        <v>458</v>
      </c>
      <c r="B16" s="622"/>
      <c r="C16" s="589">
        <f>C14-C18-C17</f>
        <v>931</v>
      </c>
      <c r="D16" s="589">
        <f>D14-D18-D17</f>
        <v>958</v>
      </c>
      <c r="E16" s="589">
        <f>E14-E18-E17</f>
        <v>1072</v>
      </c>
      <c r="F16" s="589">
        <f>F14-F18-F17</f>
        <v>1194</v>
      </c>
      <c r="G16" s="589"/>
      <c r="H16" s="589">
        <f>H14-H18-H17</f>
        <v>984</v>
      </c>
      <c r="I16" s="589">
        <f>I14-I18-I17</f>
        <v>997</v>
      </c>
      <c r="J16" s="589">
        <f>J14-J18-J17</f>
        <v>1094</v>
      </c>
      <c r="K16" s="589">
        <f>K14-K18-K17</f>
        <v>1210</v>
      </c>
      <c r="L16" s="589"/>
      <c r="M16" s="589">
        <f>M14-M18-M17</f>
        <v>975</v>
      </c>
      <c r="N16" s="589">
        <f>N14-N18-N17</f>
        <v>961</v>
      </c>
      <c r="O16" s="589">
        <f>O14-O18-O17</f>
        <v>1035</v>
      </c>
      <c r="P16" s="589">
        <f>P14-P18-P17</f>
        <v>1183</v>
      </c>
      <c r="Q16" s="589"/>
      <c r="R16" s="589">
        <f>R14-R18-R17</f>
        <v>1014</v>
      </c>
      <c r="S16" s="589">
        <f>S14-S18-S17</f>
        <v>1026</v>
      </c>
      <c r="T16" s="589">
        <f>T14-T18-T17</f>
        <v>1086</v>
      </c>
      <c r="U16" s="589">
        <f>U14-U18-U17</f>
        <v>1320</v>
      </c>
      <c r="V16" s="589"/>
      <c r="W16" s="589">
        <f>W14-W18-W17</f>
        <v>1025</v>
      </c>
      <c r="X16" s="589">
        <f>X14-X18-X17</f>
        <v>1021</v>
      </c>
      <c r="Y16" s="589">
        <f>Y14-Y18-Y17</f>
        <v>1145</v>
      </c>
      <c r="Z16" s="589">
        <f>Z14-Z18-Z17</f>
        <v>1317</v>
      </c>
      <c r="AA16" s="589"/>
      <c r="AB16" s="589">
        <f>AB14-AB18-AB17</f>
        <v>1092</v>
      </c>
      <c r="AC16" s="589">
        <f>AC14-AC18-AC17</f>
        <v>1079</v>
      </c>
      <c r="AD16" s="589">
        <f>AD14-AD18-AD17</f>
        <v>1204</v>
      </c>
      <c r="AE16" s="589">
        <f>AE14-AE18-AE17</f>
        <v>1408</v>
      </c>
      <c r="AF16" s="589"/>
      <c r="AG16" s="589">
        <f>AG14-AG18-AG17</f>
        <v>1148</v>
      </c>
      <c r="AH16" s="589">
        <f>AH14-AH18-AH17</f>
        <v>1107</v>
      </c>
      <c r="AI16" s="589">
        <f>AI14-AI18-AI17</f>
        <v>1201</v>
      </c>
      <c r="AJ16" s="589">
        <f>AJ14-AJ18-AJ17</f>
        <v>1439</v>
      </c>
      <c r="AK16" s="589"/>
      <c r="AL16" s="589">
        <f>AL14-AL18-AL17</f>
        <v>1154</v>
      </c>
      <c r="AM16" s="589">
        <f>AM14-AM18-AM17</f>
        <v>1160</v>
      </c>
      <c r="AN16" s="589">
        <f>AN14-AN18-AN17</f>
        <v>1251</v>
      </c>
      <c r="AO16" s="589">
        <f>AO14-AO18-AO17</f>
        <v>1697</v>
      </c>
      <c r="AP16" s="589"/>
      <c r="AQ16" s="589">
        <f>AQ14-AQ18-AQ17</f>
        <v>1516</v>
      </c>
      <c r="AR16" s="589">
        <f>AR14-AR18-AR17</f>
        <v>1472</v>
      </c>
      <c r="AS16" s="589">
        <f>AS14-AS18-AS17</f>
        <v>1557</v>
      </c>
      <c r="AT16" s="589">
        <f>AT14-AT18-AT17</f>
        <v>1940</v>
      </c>
      <c r="AU16" s="589"/>
      <c r="AV16" s="589">
        <f>AV14-AV18-AV17</f>
        <v>1551</v>
      </c>
      <c r="AW16" s="589">
        <f>AW14-AW18-AW17</f>
        <v>1488</v>
      </c>
      <c r="AX16" s="589">
        <f>AX14-AX18-AX17</f>
        <v>1622</v>
      </c>
      <c r="AY16" s="589">
        <f>AY14-AY18-AY17</f>
        <v>1850</v>
      </c>
      <c r="AZ16" s="589"/>
      <c r="BA16" s="589">
        <f>BA14-BA18-BA17</f>
        <v>2028</v>
      </c>
      <c r="BB16" s="589">
        <f>BB14-BB18-BB17</f>
        <v>1984</v>
      </c>
      <c r="BC16" s="589">
        <f>BC14-BC18-BC17</f>
        <v>2167</v>
      </c>
      <c r="BD16" s="589">
        <f>BD14-BD18-BD17</f>
        <v>2381</v>
      </c>
      <c r="BE16" s="589"/>
      <c r="BF16" s="589">
        <f>BF14-BF18-BF17</f>
        <v>2075</v>
      </c>
      <c r="BG16" s="589">
        <f>BG14-BG18-BG17</f>
        <v>2024</v>
      </c>
      <c r="BH16" s="589">
        <f>BH14-BH18-BH17</f>
        <v>2151</v>
      </c>
      <c r="BI16" s="589">
        <f>BI14-BI18-BI17</f>
        <v>2375</v>
      </c>
      <c r="BJ16" s="589"/>
      <c r="BK16" s="589">
        <f>BK14-BK18-BK17</f>
        <v>1324</v>
      </c>
      <c r="BL16" s="589">
        <f>BL14-BL18-BL17</f>
        <v>1262</v>
      </c>
      <c r="BM16" s="589">
        <f>BM14-BM18-BM17</f>
        <v>1384</v>
      </c>
      <c r="BN16" s="589">
        <f>BN14-BN18-BN17</f>
        <v>1559</v>
      </c>
      <c r="BO16" s="589"/>
      <c r="BP16" s="589">
        <f>BP14-BP18-BP17</f>
        <v>1350</v>
      </c>
      <c r="BQ16" s="589">
        <f>BQ14-BQ18-BQ17</f>
        <v>1279</v>
      </c>
      <c r="BR16" s="589">
        <f>BR14-BR18-BR17</f>
        <v>1404</v>
      </c>
      <c r="BS16" s="589">
        <f>BS14-BS18-BS17</f>
        <v>1601</v>
      </c>
      <c r="BT16" s="589"/>
      <c r="BU16" s="589">
        <f>BU14-BU18-BU17</f>
        <v>1353</v>
      </c>
      <c r="BV16" s="589">
        <f>BV14-BV18-BV17</f>
        <v>1232</v>
      </c>
      <c r="BW16" s="589">
        <f>BW14-BW18-BW17</f>
        <v>1433</v>
      </c>
      <c r="BX16" s="589">
        <f>BX14-BX18-BX17</f>
        <v>1711</v>
      </c>
      <c r="BY16" s="589"/>
      <c r="BZ16" s="589">
        <f>BZ14-BZ18-BZ17</f>
        <v>1310</v>
      </c>
      <c r="CA16" s="589">
        <f>CA14-CA18-CA17</f>
        <v>1213</v>
      </c>
      <c r="CB16" s="589">
        <f>CB14-CB18-CB17</f>
        <v>1393</v>
      </c>
      <c r="CC16" s="589">
        <f>CC14-CC18-CC17</f>
        <v>1589</v>
      </c>
      <c r="CD16" s="589"/>
      <c r="CE16" s="589">
        <f>CE14-CE18-CE17</f>
        <v>1340</v>
      </c>
      <c r="CF16" s="589">
        <f>CF14-CF18-CF17</f>
        <v>1260</v>
      </c>
      <c r="CG16" s="589">
        <f>CG14-CG18-CG17</f>
        <v>1423</v>
      </c>
      <c r="CH16" s="589">
        <f>CH14-CH18-CH17</f>
        <v>1591</v>
      </c>
      <c r="CI16" s="589"/>
      <c r="CJ16" s="589">
        <f>CJ14-CJ18-CJ17</f>
        <v>1353</v>
      </c>
      <c r="CK16" s="589">
        <f>CK14-CK18-CK17</f>
        <v>1312</v>
      </c>
      <c r="CL16" s="589">
        <f>CL14-CL18-CL17</f>
        <v>1489</v>
      </c>
      <c r="CM16" s="589">
        <f>CM14-CM18-CM17</f>
        <v>1783</v>
      </c>
      <c r="CN16" s="589"/>
      <c r="CO16" s="589">
        <f>CO14-CO18-CO17</f>
        <v>1397</v>
      </c>
      <c r="CP16" s="589">
        <f>CP14-CP18-CP17</f>
        <v>1358</v>
      </c>
      <c r="CQ16" s="589">
        <f>CQ14-CQ18-CQ17</f>
        <v>1477</v>
      </c>
      <c r="CR16" s="589">
        <f>CR14-CR18-CR17</f>
        <v>1597</v>
      </c>
      <c r="CS16" s="589"/>
      <c r="CT16" s="589">
        <f>CT14-CT18-CT17</f>
        <v>1411</v>
      </c>
      <c r="CU16" s="589">
        <f>CU14-CU18-CU17</f>
        <v>1372</v>
      </c>
      <c r="CV16" s="589">
        <f>CV14-CV18-CV17</f>
        <v>1427</v>
      </c>
      <c r="CW16" s="589">
        <f>CW14-CW18-CW17</f>
        <v>1595</v>
      </c>
      <c r="CX16" s="589"/>
      <c r="CY16" s="589">
        <f>CY14-CY18-CY17</f>
        <v>1474</v>
      </c>
      <c r="CZ16" s="589">
        <f>CZ14-CZ18-CZ17</f>
        <v>1460</v>
      </c>
      <c r="DA16" s="589">
        <f>DA14-DA18-DA17</f>
        <v>1586</v>
      </c>
      <c r="DB16" s="589">
        <f>DB14-DB18-DB17</f>
        <v>1722</v>
      </c>
      <c r="DC16" s="589"/>
      <c r="DD16" s="589">
        <f>DD14-DD18-DD17</f>
        <v>1481</v>
      </c>
      <c r="DE16" s="589">
        <f>DE14-DE18-DE17</f>
        <v>1464</v>
      </c>
      <c r="DF16" s="589">
        <f>DF14-DF18-DF17</f>
        <v>1518</v>
      </c>
      <c r="DG16" s="589">
        <f>DG14-DG18-DG17</f>
        <v>1661</v>
      </c>
      <c r="DH16" s="589"/>
      <c r="DI16" s="589">
        <f>DI14-DI18-DI17</f>
        <v>1438</v>
      </c>
      <c r="DJ16" s="589">
        <f>DJ14-DJ18-DJ17</f>
        <v>1399</v>
      </c>
      <c r="DK16" s="589">
        <f>DK14-DK18-DK17</f>
        <v>1400</v>
      </c>
      <c r="DL16" s="589">
        <f>DL14-DL18-DL17</f>
        <v>1511</v>
      </c>
      <c r="DM16" s="589"/>
      <c r="DN16" s="589">
        <f>DN14-DN18-DN17</f>
        <v>1343</v>
      </c>
      <c r="DO16" s="589">
        <f>DO14-DO18-DO17</f>
        <v>1236</v>
      </c>
      <c r="DP16" s="589">
        <f>DP14-DP18-DP17</f>
        <v>1271</v>
      </c>
      <c r="DQ16" s="589">
        <f>DQ14-DQ18-DQ17</f>
        <v>1552</v>
      </c>
      <c r="DR16" s="589"/>
      <c r="DS16" s="589">
        <f>DS14-DS18-DS17</f>
        <v>1248</v>
      </c>
      <c r="DT16" s="589">
        <f>DT14-DT18-DT17</f>
        <v>1203</v>
      </c>
      <c r="DU16" s="589">
        <f>DU14-DU18-DU17</f>
        <v>1201</v>
      </c>
      <c r="DV16" s="589">
        <f>DV14-DV18-DV17</f>
        <v>1200</v>
      </c>
      <c r="DW16" s="589"/>
      <c r="DX16" s="589">
        <f>DX14-DX18-DX17</f>
        <v>1168</v>
      </c>
      <c r="DY16" s="589">
        <f>DY14-DY18-DY17</f>
        <v>1126</v>
      </c>
      <c r="DZ16" s="589">
        <f>DZ14-DZ18-DZ17</f>
        <v>1145</v>
      </c>
      <c r="EA16" s="589">
        <f>EA14-EA18-EA17</f>
        <v>1191</v>
      </c>
      <c r="EB16" s="589"/>
      <c r="EC16" s="589">
        <f>EC14-EC18-EC17</f>
        <v>1102.75</v>
      </c>
      <c r="ED16" s="589">
        <f>ED14-ED18-ED17</f>
        <v>1067</v>
      </c>
      <c r="EE16" s="589">
        <f>EE14-EE18-EE17</f>
        <v>1111</v>
      </c>
      <c r="EF16" s="589">
        <f>EF14-EF18-EF17</f>
        <v>1333</v>
      </c>
      <c r="EG16" s="589"/>
      <c r="EH16" s="589">
        <f>EH14-EH18-EH17</f>
        <v>1028</v>
      </c>
      <c r="EI16" s="589">
        <f>EI14-EI18-EI17</f>
        <v>1008</v>
      </c>
      <c r="EJ16" s="589">
        <f>EJ14-EJ18-EJ17</f>
        <v>1038</v>
      </c>
      <c r="EK16" s="589">
        <f>EK14-EK18-EK17</f>
        <v>1092</v>
      </c>
      <c r="EL16" s="589"/>
      <c r="EM16" s="589">
        <f>EM14-EM18-EM17</f>
        <v>986</v>
      </c>
      <c r="EN16" s="589">
        <f>EN14-EN18-EN17</f>
        <v>982</v>
      </c>
      <c r="EO16" s="589">
        <f>EO14-EO18-EO17</f>
        <v>978</v>
      </c>
      <c r="EP16" s="589">
        <f>EP14-EP18-EP17</f>
        <v>1111</v>
      </c>
      <c r="EQ16" s="589"/>
      <c r="ER16" s="1467">
        <f>ER14-ER18-ER17</f>
        <v>979.14</v>
      </c>
      <c r="ES16" s="1467">
        <f>ES14-ES18-ES17</f>
        <v>968.94999999999993</v>
      </c>
      <c r="ET16" s="1467">
        <f>ET14-ET18-ET17</f>
        <v>969.19999999999993</v>
      </c>
      <c r="EU16" s="1467">
        <f>EU14-EU18-EU17</f>
        <v>1055.9949999999999</v>
      </c>
      <c r="EV16" s="507"/>
      <c r="EW16" s="623">
        <f t="shared" ref="EW16:FW16" si="11">EW14-EW18-EW17</f>
        <v>4155</v>
      </c>
      <c r="EX16" s="624">
        <f t="shared" si="11"/>
        <v>4285</v>
      </c>
      <c r="EY16" s="624">
        <f t="shared" si="11"/>
        <v>4154</v>
      </c>
      <c r="EZ16" s="624">
        <f t="shared" si="11"/>
        <v>4446</v>
      </c>
      <c r="FA16" s="624">
        <f t="shared" si="11"/>
        <v>4508</v>
      </c>
      <c r="FB16" s="624">
        <f t="shared" si="11"/>
        <v>4783</v>
      </c>
      <c r="FC16" s="624">
        <f t="shared" si="11"/>
        <v>4895</v>
      </c>
      <c r="FD16" s="624">
        <f t="shared" si="11"/>
        <v>5262</v>
      </c>
      <c r="FE16" s="624">
        <f t="shared" si="11"/>
        <v>6485</v>
      </c>
      <c r="FF16" s="624">
        <f t="shared" si="11"/>
        <v>6510.9999999999991</v>
      </c>
      <c r="FG16" s="624">
        <f t="shared" si="11"/>
        <v>8560</v>
      </c>
      <c r="FH16" s="624">
        <f t="shared" si="11"/>
        <v>8625</v>
      </c>
      <c r="FI16" s="624">
        <f t="shared" si="11"/>
        <v>5434</v>
      </c>
      <c r="FJ16" s="624">
        <f t="shared" si="11"/>
        <v>5414</v>
      </c>
      <c r="FK16" s="624">
        <f t="shared" si="11"/>
        <v>5529</v>
      </c>
      <c r="FL16" s="624">
        <f t="shared" si="11"/>
        <v>5505</v>
      </c>
      <c r="FM16" s="623">
        <f t="shared" si="11"/>
        <v>5613.9999999999991</v>
      </c>
      <c r="FN16" s="623">
        <f t="shared" si="11"/>
        <v>5937</v>
      </c>
      <c r="FO16" s="624">
        <f t="shared" si="11"/>
        <v>5829</v>
      </c>
      <c r="FP16" s="624">
        <f t="shared" si="11"/>
        <v>5804.9999999999982</v>
      </c>
      <c r="FQ16" s="623">
        <f t="shared" si="11"/>
        <v>6242</v>
      </c>
      <c r="FR16" s="623">
        <f t="shared" si="11"/>
        <v>6124</v>
      </c>
      <c r="FS16" s="624">
        <f t="shared" si="11"/>
        <v>5748</v>
      </c>
      <c r="FT16" s="624">
        <f t="shared" si="11"/>
        <v>5402</v>
      </c>
      <c r="FU16" s="615">
        <f t="shared" si="11"/>
        <v>4852</v>
      </c>
      <c r="FV16" s="615">
        <f t="shared" si="11"/>
        <v>4630</v>
      </c>
      <c r="FW16" s="615">
        <f t="shared" si="11"/>
        <v>4613.75</v>
      </c>
      <c r="FX16" s="615">
        <f t="shared" ref="FX16:GC16" si="12">FX14-FX18-FX17</f>
        <v>4166</v>
      </c>
      <c r="FY16" s="615">
        <f t="shared" si="12"/>
        <v>4057</v>
      </c>
      <c r="FZ16" s="615">
        <f t="shared" si="12"/>
        <v>3973.2849999999999</v>
      </c>
      <c r="GA16" s="615">
        <f t="shared" si="12"/>
        <v>3861.3922064558892</v>
      </c>
      <c r="GB16" s="1265">
        <f t="shared" si="12"/>
        <v>3734.6699798779359</v>
      </c>
      <c r="GC16" s="615">
        <f t="shared" si="12"/>
        <v>3655.6467235887749</v>
      </c>
      <c r="GD16" s="1488">
        <f t="shared" ref="GD16" si="13">GD14-GD18-GD17</f>
        <v>3569.9306889469922</v>
      </c>
      <c r="GF16"/>
      <c r="GG16"/>
      <c r="GH16"/>
      <c r="GI16"/>
      <c r="GJ16"/>
      <c r="GK16"/>
      <c r="GL16" s="398"/>
      <c r="GM16" s="398"/>
      <c r="GN16" s="398"/>
      <c r="GO16" s="398"/>
      <c r="GP16" s="398"/>
      <c r="GQ16" s="398"/>
      <c r="GR16" s="398"/>
      <c r="GS16" s="398"/>
      <c r="GT16" s="398"/>
      <c r="GU16" s="398"/>
      <c r="GV16" s="398"/>
      <c r="GW16" s="398"/>
      <c r="GX16" s="398"/>
      <c r="GY16" s="398"/>
      <c r="GZ16" s="398"/>
      <c r="HA16" s="398"/>
      <c r="HB16" s="398"/>
      <c r="HC16" s="398"/>
      <c r="HD16" s="398"/>
      <c r="HE16" s="398"/>
      <c r="HF16" s="398"/>
      <c r="HG16" s="398"/>
      <c r="HH16" s="398"/>
      <c r="HI16" s="398"/>
      <c r="HJ16" s="398"/>
      <c r="HK16" s="398"/>
      <c r="HL16" s="398"/>
      <c r="HM16" s="398"/>
      <c r="HN16" s="398"/>
      <c r="HO16" s="398"/>
      <c r="HP16" s="398"/>
      <c r="HQ16" s="398"/>
      <c r="HR16" s="398"/>
      <c r="HS16" s="398"/>
      <c r="HT16" s="398"/>
      <c r="HU16" s="398"/>
      <c r="HV16" s="398"/>
      <c r="HW16" s="398"/>
      <c r="HX16" s="398"/>
      <c r="HY16" s="398"/>
      <c r="HZ16" s="398"/>
      <c r="IA16" s="398"/>
      <c r="IB16" s="398"/>
      <c r="IC16" s="398"/>
      <c r="ID16" s="398"/>
      <c r="IE16" s="398"/>
      <c r="IF16" s="398"/>
      <c r="IG16" s="398"/>
      <c r="IH16" s="398"/>
      <c r="II16" s="398"/>
      <c r="IJ16" s="398"/>
      <c r="IK16" s="398"/>
      <c r="IL16" s="398"/>
      <c r="IM16" s="398"/>
      <c r="IN16" s="398"/>
      <c r="IO16" s="398"/>
      <c r="IP16" s="398"/>
      <c r="IQ16" s="398"/>
      <c r="IR16" s="398"/>
      <c r="IS16" s="398"/>
      <c r="IT16" s="398"/>
      <c r="IU16" s="398"/>
      <c r="IV16" s="398"/>
      <c r="IW16" s="398"/>
      <c r="IX16" s="398"/>
      <c r="IY16" s="398"/>
      <c r="IZ16" s="398"/>
      <c r="JA16" s="398"/>
    </row>
    <row r="17" spans="1:261" s="625" customFormat="1" hidden="1" outlineLevel="1">
      <c r="A17" s="617" t="s">
        <v>457</v>
      </c>
      <c r="B17" s="622"/>
      <c r="C17" s="619">
        <f>INDEX('qtrP&amp;L'!$90:$90,MATCH(C$7,'qtrP&amp;L'!$6:$6,0))</f>
        <v>0</v>
      </c>
      <c r="D17" s="619">
        <f>INDEX('qtrP&amp;L'!$91:$91,MATCH(C$7,'qtrP&amp;L'!$6:$6,0))</f>
        <v>0</v>
      </c>
      <c r="E17" s="619">
        <f>INDEX('qtrP&amp;L'!$92:$92,MATCH(C$7,'qtrP&amp;L'!$6:$6,0))</f>
        <v>0</v>
      </c>
      <c r="F17" s="619">
        <f>INDEX('qtrP&amp;L'!$93:$93,MATCH(C$7,'qtrP&amp;L'!$6:$6,0))</f>
        <v>0</v>
      </c>
      <c r="G17" s="619"/>
      <c r="H17" s="619">
        <f>INDEX('qtrP&amp;L'!$90:$90,MATCH(H$7,'qtrP&amp;L'!$6:$6,0))</f>
        <v>0</v>
      </c>
      <c r="I17" s="619">
        <f>INDEX('qtrP&amp;L'!$91:$91,MATCH(H$7,'qtrP&amp;L'!$6:$6,0))</f>
        <v>0</v>
      </c>
      <c r="J17" s="619">
        <f>INDEX('qtrP&amp;L'!$92:$92,MATCH(H$7,'qtrP&amp;L'!$6:$6,0))</f>
        <v>0</v>
      </c>
      <c r="K17" s="619">
        <f>INDEX('qtrP&amp;L'!$93:$93,MATCH(H$7,'qtrP&amp;L'!$6:$6,0))</f>
        <v>0</v>
      </c>
      <c r="L17" s="619"/>
      <c r="M17" s="619">
        <f>INDEX('qtrP&amp;L'!$90:$90,MATCH(M$7,'qtrP&amp;L'!$6:$6,0))</f>
        <v>0</v>
      </c>
      <c r="N17" s="619">
        <f>INDEX('qtrP&amp;L'!$91:$91,MATCH(M$7,'qtrP&amp;L'!$6:$6,0))</f>
        <v>0</v>
      </c>
      <c r="O17" s="619">
        <f>INDEX('qtrP&amp;L'!$92:$92,MATCH(M$7,'qtrP&amp;L'!$6:$6,0))</f>
        <v>0</v>
      </c>
      <c r="P17" s="619">
        <f>INDEX('qtrP&amp;L'!$93:$93,MATCH(M$7,'qtrP&amp;L'!$6:$6,0))</f>
        <v>0</v>
      </c>
      <c r="Q17" s="619"/>
      <c r="R17" s="619">
        <f>INDEX('qtrP&amp;L'!$90:$90,MATCH(R$7,'qtrP&amp;L'!$6:$6,0))</f>
        <v>0</v>
      </c>
      <c r="S17" s="619">
        <f>INDEX('qtrP&amp;L'!$91:$91,MATCH(R$7,'qtrP&amp;L'!$6:$6,0))</f>
        <v>0</v>
      </c>
      <c r="T17" s="619">
        <f>INDEX('qtrP&amp;L'!$92:$92,MATCH(R$7,'qtrP&amp;L'!$6:$6,0))</f>
        <v>0</v>
      </c>
      <c r="U17" s="619">
        <f>INDEX('qtrP&amp;L'!$93:$93,MATCH(R$7,'qtrP&amp;L'!$6:$6,0))</f>
        <v>0</v>
      </c>
      <c r="V17" s="619"/>
      <c r="W17" s="619">
        <f>INDEX('qtrP&amp;L'!$90:$90,MATCH(W$7,'qtrP&amp;L'!$6:$6,0))</f>
        <v>0</v>
      </c>
      <c r="X17" s="619">
        <f>INDEX('qtrP&amp;L'!$91:$91,MATCH(W$7,'qtrP&amp;L'!$6:$6,0))</f>
        <v>0</v>
      </c>
      <c r="Y17" s="619">
        <f>INDEX('qtrP&amp;L'!$92:$92,MATCH(W$7,'qtrP&amp;L'!$6:$6,0))</f>
        <v>0</v>
      </c>
      <c r="Z17" s="619">
        <f>INDEX('qtrP&amp;L'!$93:$93,MATCH(W$7,'qtrP&amp;L'!$6:$6,0))</f>
        <v>0</v>
      </c>
      <c r="AA17" s="619"/>
      <c r="AB17" s="619">
        <f>INDEX('qtrP&amp;L'!$90:$90,MATCH(AB$7,'qtrP&amp;L'!$6:$6,0))</f>
        <v>0</v>
      </c>
      <c r="AC17" s="619">
        <f>INDEX('qtrP&amp;L'!$91:$91,MATCH(AB$7,'qtrP&amp;L'!$6:$6,0))</f>
        <v>0</v>
      </c>
      <c r="AD17" s="619">
        <f>INDEX('qtrP&amp;L'!$92:$92,MATCH(AB$7,'qtrP&amp;L'!$6:$6,0))</f>
        <v>0</v>
      </c>
      <c r="AE17" s="619">
        <f>INDEX('qtrP&amp;L'!$93:$93,MATCH(AB$7,'qtrP&amp;L'!$6:$6,0))</f>
        <v>0</v>
      </c>
      <c r="AF17" s="619"/>
      <c r="AG17" s="619">
        <f>INDEX('qtrP&amp;L'!$90:$90,MATCH(AG$7,'qtrP&amp;L'!$6:$6,0))</f>
        <v>0</v>
      </c>
      <c r="AH17" s="619">
        <f>INDEX('qtrP&amp;L'!$91:$91,MATCH(AG$7,'qtrP&amp;L'!$6:$6,0))</f>
        <v>0</v>
      </c>
      <c r="AI17" s="619">
        <f>INDEX('qtrP&amp;L'!$92:$92,MATCH(AG$7,'qtrP&amp;L'!$6:$6,0))</f>
        <v>0</v>
      </c>
      <c r="AJ17" s="619">
        <f>INDEX('qtrP&amp;L'!$93:$93,MATCH(AG$7,'qtrP&amp;L'!$6:$6,0))</f>
        <v>0</v>
      </c>
      <c r="AK17" s="619"/>
      <c r="AL17" s="619">
        <f>INDEX('qtrP&amp;L'!$90:$90,MATCH(AL$7,'qtrP&amp;L'!$6:$6,0))</f>
        <v>0</v>
      </c>
      <c r="AM17" s="619">
        <f>INDEX('qtrP&amp;L'!$91:$91,MATCH(AL$7,'qtrP&amp;L'!$6:$6,0))</f>
        <v>0</v>
      </c>
      <c r="AN17" s="619">
        <f>INDEX('qtrP&amp;L'!$92:$92,MATCH(AL$7,'qtrP&amp;L'!$6:$6,0))</f>
        <v>0</v>
      </c>
      <c r="AO17" s="619">
        <f>INDEX('qtrP&amp;L'!$93:$93,MATCH(AL$7,'qtrP&amp;L'!$6:$6,0))</f>
        <v>0</v>
      </c>
      <c r="AP17" s="619"/>
      <c r="AQ17" s="619">
        <f>INDEX('qtrP&amp;L'!$90:$90,MATCH(AQ$7,'qtrP&amp;L'!$6:$6,0))</f>
        <v>0</v>
      </c>
      <c r="AR17" s="619">
        <f>INDEX('qtrP&amp;L'!$91:$91,MATCH(AQ$7,'qtrP&amp;L'!$6:$6,0))</f>
        <v>0</v>
      </c>
      <c r="AS17" s="619">
        <f>INDEX('qtrP&amp;L'!$92:$92,MATCH(AQ$7,'qtrP&amp;L'!$6:$6,0))</f>
        <v>0</v>
      </c>
      <c r="AT17" s="619">
        <f>INDEX('qtrP&amp;L'!$93:$93,MATCH(AQ$7,'qtrP&amp;L'!$6:$6,0))</f>
        <v>0</v>
      </c>
      <c r="AU17" s="619"/>
      <c r="AV17" s="619">
        <f>INDEX('qtrP&amp;L'!$90:$90,MATCH(AV$7,'qtrP&amp;L'!$6:$6,0))</f>
        <v>0</v>
      </c>
      <c r="AW17" s="619">
        <f>INDEX('qtrP&amp;L'!$91:$91,MATCH(AV$7,'qtrP&amp;L'!$6:$6,0))</f>
        <v>0</v>
      </c>
      <c r="AX17" s="619">
        <f>INDEX('qtrP&amp;L'!$92:$92,MATCH(AV$7,'qtrP&amp;L'!$6:$6,0))</f>
        <v>0</v>
      </c>
      <c r="AY17" s="619">
        <f>INDEX('qtrP&amp;L'!$93:$93,MATCH(AV$7,'qtrP&amp;L'!$6:$6,0))</f>
        <v>0</v>
      </c>
      <c r="AZ17" s="619"/>
      <c r="BA17" s="619">
        <f>INDEX('qtrP&amp;L'!$90:$90,MATCH(BA$7,'qtrP&amp;L'!$6:$6,0))</f>
        <v>0</v>
      </c>
      <c r="BB17" s="619">
        <f>INDEX('qtrP&amp;L'!$91:$91,MATCH(BA$7,'qtrP&amp;L'!$6:$6,0))</f>
        <v>0</v>
      </c>
      <c r="BC17" s="619">
        <f>INDEX('qtrP&amp;L'!$92:$92,MATCH(BA$7,'qtrP&amp;L'!$6:$6,0))</f>
        <v>0</v>
      </c>
      <c r="BD17" s="619">
        <f>INDEX('qtrP&amp;L'!$93:$93,MATCH(BA$7,'qtrP&amp;L'!$6:$6,0))</f>
        <v>0</v>
      </c>
      <c r="BE17" s="619"/>
      <c r="BF17" s="619">
        <f>INDEX('qtrP&amp;L'!$90:$90,MATCH(BF$7,'qtrP&amp;L'!$6:$6,0))</f>
        <v>0</v>
      </c>
      <c r="BG17" s="619">
        <f>INDEX('qtrP&amp;L'!$91:$91,MATCH(BF$7,'qtrP&amp;L'!$6:$6,0))</f>
        <v>0</v>
      </c>
      <c r="BH17" s="619">
        <f>INDEX('qtrP&amp;L'!$92:$92,MATCH(BF$7,'qtrP&amp;L'!$6:$6,0))</f>
        <v>0</v>
      </c>
      <c r="BI17" s="619">
        <f>INDEX('qtrP&amp;L'!$93:$93,MATCH(BF$7,'qtrP&amp;L'!$6:$6,0))</f>
        <v>0</v>
      </c>
      <c r="BJ17" s="619"/>
      <c r="BK17" s="619">
        <f>INDEX('qtrP&amp;L'!$90:$90,MATCH(BK$7,'qtrP&amp;L'!$6:$6,0))</f>
        <v>-12</v>
      </c>
      <c r="BL17" s="619">
        <f>INDEX('qtrP&amp;L'!$91:$91,MATCH(BK$7,'qtrP&amp;L'!$6:$6,0))</f>
        <v>23</v>
      </c>
      <c r="BM17" s="619">
        <f>INDEX('qtrP&amp;L'!$92:$92,MATCH(BK$7,'qtrP&amp;L'!$6:$6,0))</f>
        <v>15</v>
      </c>
      <c r="BN17" s="619">
        <f>INDEX('qtrP&amp;L'!$93:$93,MATCH(BK$7,'qtrP&amp;L'!$6:$6,0))</f>
        <v>22</v>
      </c>
      <c r="BO17" s="619"/>
      <c r="BP17" s="619">
        <f>INDEX('qtrP&amp;L'!$90:$90,MATCH(BP$7,'qtrP&amp;L'!$6:$6,0))</f>
        <v>8</v>
      </c>
      <c r="BQ17" s="619">
        <f>INDEX('qtrP&amp;L'!$91:$91,MATCH(BP$7,'qtrP&amp;L'!$6:$6,0))</f>
        <v>3</v>
      </c>
      <c r="BR17" s="619">
        <f>INDEX('qtrP&amp;L'!$92:$92,MATCH(BP$7,'qtrP&amp;L'!$6:$6,0))</f>
        <v>5</v>
      </c>
      <c r="BS17" s="619">
        <f>INDEX('qtrP&amp;L'!$93:$93,MATCH(BP$7,'qtrP&amp;L'!$6:$6,0))</f>
        <v>43</v>
      </c>
      <c r="BT17" s="619"/>
      <c r="BU17" s="619">
        <f>INDEX('qtrP&amp;L'!$90:$90,MATCH(BU$7,'qtrP&amp;L'!$6:$6,0))</f>
        <v>-9</v>
      </c>
      <c r="BV17" s="619">
        <f>INDEX('qtrP&amp;L'!$91:$91,MATCH(BU$7,'qtrP&amp;L'!$6:$6,0))</f>
        <v>-12</v>
      </c>
      <c r="BW17" s="619">
        <f>INDEX('qtrP&amp;L'!$92:$92,MATCH(BU$7,'qtrP&amp;L'!$6:$6,0))</f>
        <v>4</v>
      </c>
      <c r="BX17" s="619">
        <f>INDEX('qtrP&amp;L'!$93:$93,MATCH(BU$7,'qtrP&amp;L'!$6:$6,0))</f>
        <v>0</v>
      </c>
      <c r="BY17" s="619"/>
      <c r="BZ17" s="619">
        <f>INDEX('qtrP&amp;L'!$90:$90,MATCH(BZ$7,'qtrP&amp;L'!$6:$6,0))</f>
        <v>-8</v>
      </c>
      <c r="CA17" s="619">
        <f>INDEX('qtrP&amp;L'!$91:$91,MATCH(BZ$7,'qtrP&amp;L'!$6:$6,0))</f>
        <v>-5</v>
      </c>
      <c r="CB17" s="619">
        <f>INDEX('qtrP&amp;L'!$92:$92,MATCH(BZ$7,'qtrP&amp;L'!$6:$6,0))</f>
        <v>0</v>
      </c>
      <c r="CC17" s="619">
        <f>INDEX('qtrP&amp;L'!$93:$93,MATCH(BZ$7,'qtrP&amp;L'!$6:$6,0))</f>
        <v>25</v>
      </c>
      <c r="CD17" s="619"/>
      <c r="CE17" s="619">
        <f>INDEX('qtrP&amp;L'!$90:$90,MATCH(CE$7,'qtrP&amp;L'!$6:$6,0))</f>
        <v>-22</v>
      </c>
      <c r="CF17" s="619">
        <f>INDEX('qtrP&amp;L'!$91:$91,MATCH(CE$7,'qtrP&amp;L'!$6:$6,0))</f>
        <v>-14</v>
      </c>
      <c r="CG17" s="619">
        <f>INDEX('qtrP&amp;L'!$92:$92,MATCH(CE$7,'qtrP&amp;L'!$6:$6,0))</f>
        <v>-5</v>
      </c>
      <c r="CH17" s="619">
        <f>INDEX('qtrP&amp;L'!$93:$93,MATCH(CE$7,'qtrP&amp;L'!$6:$6,0))</f>
        <v>-13</v>
      </c>
      <c r="CI17" s="619"/>
      <c r="CJ17" s="619">
        <f>INDEX('qtrP&amp;L'!$90:$90,MATCH(CJ$7,'qtrP&amp;L'!$6:$6,0))</f>
        <v>-13</v>
      </c>
      <c r="CK17" s="619">
        <f>INDEX('qtrP&amp;L'!$91:$91,MATCH(CJ$7,'qtrP&amp;L'!$6:$6,0))</f>
        <v>-9</v>
      </c>
      <c r="CL17" s="619">
        <f>INDEX('qtrP&amp;L'!$92:$92,MATCH(CJ$7,'qtrP&amp;L'!$6:$6,0))</f>
        <v>-8</v>
      </c>
      <c r="CM17" s="619">
        <f>INDEX('qtrP&amp;L'!$93:$93,MATCH(CJ$7,'qtrP&amp;L'!$6:$6,0))</f>
        <v>-4</v>
      </c>
      <c r="CN17" s="619"/>
      <c r="CO17" s="619">
        <f>INDEX('qtrP&amp;L'!$90:$90,MATCH(CO$7,'qtrP&amp;L'!$6:$6,0))</f>
        <v>-9</v>
      </c>
      <c r="CP17" s="619">
        <f>INDEX('qtrP&amp;L'!$91:$91,MATCH(CO$7,'qtrP&amp;L'!$6:$6,0))</f>
        <v>-13</v>
      </c>
      <c r="CQ17" s="619">
        <f>INDEX('qtrP&amp;L'!$92:$92,MATCH(CO$7,'qtrP&amp;L'!$6:$6,0))</f>
        <v>-9</v>
      </c>
      <c r="CR17" s="619">
        <f>INDEX('qtrP&amp;L'!$93:$93,MATCH(CO$7,'qtrP&amp;L'!$6:$6,0))</f>
        <v>-15</v>
      </c>
      <c r="CS17" s="619"/>
      <c r="CT17" s="619">
        <f>INDEX('qtrP&amp;L'!$90:$90,MATCH(CT$7,'qtrP&amp;L'!$6:$6,0))</f>
        <v>-9</v>
      </c>
      <c r="CU17" s="619">
        <f>INDEX('qtrP&amp;L'!$91:$91,MATCH(CT$7,'qtrP&amp;L'!$6:$6,0))</f>
        <v>-9</v>
      </c>
      <c r="CV17" s="619">
        <f>INDEX('qtrP&amp;L'!$92:$92,MATCH(CT$7,'qtrP&amp;L'!$6:$6,0))</f>
        <v>-10.809677419354838</v>
      </c>
      <c r="CW17" s="619">
        <f>INDEX('qtrP&amp;L'!$93:$93,MATCH(CT$7,'qtrP&amp;L'!$6:$6,0))</f>
        <v>11</v>
      </c>
      <c r="CX17" s="619"/>
      <c r="CY17" s="619">
        <f>INDEX('qtrP&amp;L'!$90:$90,MATCH(CY$7,'qtrP&amp;L'!$6:$6,0))</f>
        <v>-6</v>
      </c>
      <c r="CZ17" s="619">
        <f>INDEX('qtrP&amp;L'!$91:$91,MATCH(CY$7,'qtrP&amp;L'!$6:$6,0))</f>
        <v>-7</v>
      </c>
      <c r="DA17" s="619">
        <f>INDEX('qtrP&amp;L'!$92:$92,MATCH(CY$7,'qtrP&amp;L'!$6:$6,0))</f>
        <v>3</v>
      </c>
      <c r="DB17" s="619">
        <f>INDEX('qtrP&amp;L'!$93:$93,MATCH(CY$7,'qtrP&amp;L'!$6:$6,0))</f>
        <v>15</v>
      </c>
      <c r="DC17" s="619"/>
      <c r="DD17" s="619">
        <f>INDEX('qtrP&amp;L'!$90:$90,MATCH(DD$7,'qtrP&amp;L'!$6:$6,0))</f>
        <v>-6</v>
      </c>
      <c r="DE17" s="619">
        <f>INDEX('qtrP&amp;L'!$91:$91,MATCH(DD$7,'qtrP&amp;L'!$6:$6,0))</f>
        <v>-7</v>
      </c>
      <c r="DF17" s="619">
        <f>INDEX('qtrP&amp;L'!$92:$92,MATCH(DD$7,'qtrP&amp;L'!$6:$6,0))</f>
        <v>-7</v>
      </c>
      <c r="DG17" s="619">
        <f>INDEX('qtrP&amp;L'!$93:$93,MATCH(DD$7,'qtrP&amp;L'!$6:$6,0))</f>
        <v>-8</v>
      </c>
      <c r="DH17" s="619"/>
      <c r="DI17" s="619">
        <f>INDEX('qtrP&amp;L'!$90:$90,MATCH(DI$7,'qtrP&amp;L'!$6:$6,0))</f>
        <v>-13</v>
      </c>
      <c r="DJ17" s="619">
        <f>INDEX('qtrP&amp;L'!$91:$91,MATCH(DI$7,'qtrP&amp;L'!$6:$6,0))</f>
        <v>-6</v>
      </c>
      <c r="DK17" s="619">
        <f>INDEX('qtrP&amp;L'!$92:$92,MATCH(DI$7,'qtrP&amp;L'!$6:$6,0))</f>
        <v>-5</v>
      </c>
      <c r="DL17" s="619">
        <f>INDEX('qtrP&amp;L'!$93:$93,MATCH(DI$7,'qtrP&amp;L'!$6:$6,0))</f>
        <v>45</v>
      </c>
      <c r="DM17" s="619"/>
      <c r="DN17" s="619">
        <f>INDEX('qtrP&amp;L'!$90:$90,MATCH(DN$7,'qtrP&amp;L'!$6:$6,0))</f>
        <v>-7</v>
      </c>
      <c r="DO17" s="619">
        <f>INDEX('qtrP&amp;L'!$91:$91,MATCH(DN$7,'qtrP&amp;L'!$6:$6,0))</f>
        <v>-8</v>
      </c>
      <c r="DP17" s="619">
        <f>INDEX('qtrP&amp;L'!$92:$92,MATCH(DN$7,'qtrP&amp;L'!$6:$6,0))</f>
        <v>0</v>
      </c>
      <c r="DQ17" s="619">
        <f>INDEX('qtrP&amp;L'!$93:$93,MATCH(DN$7,'qtrP&amp;L'!$6:$6,0))</f>
        <v>88</v>
      </c>
      <c r="DR17" s="619"/>
      <c r="DS17" s="619">
        <f>INDEX('qtrP&amp;L'!$90:$90,MATCH(DS$7,'qtrP&amp;L'!$6:$6,0))</f>
        <v>-22</v>
      </c>
      <c r="DT17" s="619">
        <f>INDEX('qtrP&amp;L'!$91:$91,MATCH(DS$7,'qtrP&amp;L'!$6:$6,0))</f>
        <v>-68</v>
      </c>
      <c r="DU17" s="619">
        <f>INDEX('qtrP&amp;L'!$92:$92,MATCH(DS$7,'qtrP&amp;L'!$6:$6,0))</f>
        <v>-27</v>
      </c>
      <c r="DV17" s="619">
        <f>INDEX('qtrP&amp;L'!$93:$93,MATCH(DS$7,'qtrP&amp;L'!$6:$6,0))</f>
        <v>-38</v>
      </c>
      <c r="DW17" s="619"/>
      <c r="DX17" s="619">
        <f>INDEX('qtrP&amp;L'!$90:$90,MATCH(DX$7,'qtrP&amp;L'!$6:$6,0))</f>
        <v>-17</v>
      </c>
      <c r="DY17" s="619">
        <f>INDEX('qtrP&amp;L'!$91:$91,MATCH(DX$7,'qtrP&amp;L'!$6:$6,0))</f>
        <v>-53</v>
      </c>
      <c r="DZ17" s="619">
        <f>INDEX('qtrP&amp;L'!$92:$92,MATCH(DX$7,'qtrP&amp;L'!$6:$6,0))</f>
        <v>-90</v>
      </c>
      <c r="EA17" s="619">
        <f>INDEX('qtrP&amp;L'!$93:$93,MATCH(DX$7,'qtrP&amp;L'!$6:$6,0))</f>
        <v>12</v>
      </c>
      <c r="EB17" s="619"/>
      <c r="EC17" s="619">
        <f>INDEX('qtrP&amp;L'!$90:$90,MATCH(EC$7,'qtrP&amp;L'!$6:$6,0))</f>
        <v>-13</v>
      </c>
      <c r="ED17" s="619">
        <f>INDEX('qtrP&amp;L'!$91:$91,MATCH(EC$7,'qtrP&amp;L'!$6:$6,0))</f>
        <v>36</v>
      </c>
      <c r="EE17" s="619">
        <f>INDEX('qtrP&amp;L'!$92:$92,MATCH(EC$7,'qtrP&amp;L'!$6:$6,0))</f>
        <v>16</v>
      </c>
      <c r="EF17" s="619">
        <f>INDEX('qtrP&amp;L'!$93:$93,MATCH(EC$7,'qtrP&amp;L'!$6:$6,0))</f>
        <v>17</v>
      </c>
      <c r="EG17" s="619"/>
      <c r="EH17" s="619">
        <f>INDEX('qtrP&amp;L'!$90:$90,MATCH(EH$7,'qtrP&amp;L'!$6:$6,0))</f>
        <v>-32</v>
      </c>
      <c r="EI17" s="619">
        <f>INDEX('qtrP&amp;L'!$91:$91,MATCH(EH$7,'qtrP&amp;L'!$6:$6,0))</f>
        <v>0</v>
      </c>
      <c r="EJ17" s="619">
        <f>INDEX('qtrP&amp;L'!$92:$92,MATCH(EH$7,'qtrP&amp;L'!$6:$6,0))</f>
        <v>1</v>
      </c>
      <c r="EK17" s="619">
        <f>INDEX('qtrP&amp;L'!$93:$93,MATCH(EH$7,'qtrP&amp;L'!$6:$6,0))</f>
        <v>-63</v>
      </c>
      <c r="EL17" s="619"/>
      <c r="EM17" s="619">
        <f>INDEX('qtrP&amp;L'!$90:$90,MATCH(EM$7,'qtrP&amp;L'!$6:$6,0))</f>
        <v>-117</v>
      </c>
      <c r="EN17" s="619">
        <f>INDEX('qtrP&amp;L'!$91:$91,MATCH(EM$7,'qtrP&amp;L'!$6:$6,0))</f>
        <v>-4</v>
      </c>
      <c r="EO17" s="619">
        <f>INDEX('qtrP&amp;L'!$92:$92,MATCH(EM$7,'qtrP&amp;L'!$6:$6,0))</f>
        <v>54</v>
      </c>
      <c r="EP17" s="619">
        <f>INDEX('qtrP&amp;L'!$93:$93,MATCH(EM$7,'qtrP&amp;L'!$6:$6,0))</f>
        <v>-11</v>
      </c>
      <c r="EQ17" s="619"/>
      <c r="ER17" s="1466">
        <f>INDEX('qtrP&amp;L'!$90:$90,MATCH(ER$7,'qtrP&amp;L'!$6:$6,0))</f>
        <v>-45</v>
      </c>
      <c r="ES17" s="1466">
        <f>INDEX('qtrP&amp;L'!$91:$91,MATCH(ER$7,'qtrP&amp;L'!$6:$6,0))</f>
        <v>-5</v>
      </c>
      <c r="ET17" s="1466">
        <f>INDEX('qtrP&amp;L'!$92:$92,MATCH(ER$7,'qtrP&amp;L'!$6:$6,0))</f>
        <v>-5</v>
      </c>
      <c r="EU17" s="1466">
        <f>INDEX('qtrP&amp;L'!$93:$93,MATCH(ER$7,'qtrP&amp;L'!$6:$6,0))</f>
        <v>-5</v>
      </c>
      <c r="EV17" s="507"/>
      <c r="EW17" s="623">
        <f>INDEX('qtrP&amp;L'!$94:$94,MATCH(EW$7,'qtrP&amp;L'!$6:$6,0))</f>
        <v>0</v>
      </c>
      <c r="EX17" s="624">
        <f>INDEX('qtrP&amp;L'!$94:$94,MATCH(EX$7,'qtrP&amp;L'!$6:$6,0))</f>
        <v>0</v>
      </c>
      <c r="EY17" s="624">
        <f>INDEX('qtrP&amp;L'!$94:$94,MATCH(EY$7,'qtrP&amp;L'!$6:$6,0))</f>
        <v>0</v>
      </c>
      <c r="EZ17" s="624">
        <f>INDEX('qtrP&amp;L'!$94:$94,MATCH(EZ$7,'qtrP&amp;L'!$6:$6,0))</f>
        <v>0</v>
      </c>
      <c r="FA17" s="624">
        <f>INDEX('qtrP&amp;L'!$94:$94,MATCH(FA$7,'qtrP&amp;L'!$6:$6,0))</f>
        <v>0</v>
      </c>
      <c r="FB17" s="624">
        <f>INDEX('qtrP&amp;L'!$94:$94,MATCH(FB$7,'qtrP&amp;L'!$6:$6,0))</f>
        <v>0</v>
      </c>
      <c r="FC17" s="624">
        <f>INDEX('qtrP&amp;L'!$94:$94,MATCH(FC$7,'qtrP&amp;L'!$6:$6,0))</f>
        <v>0</v>
      </c>
      <c r="FD17" s="624">
        <f>INDEX('qtrP&amp;L'!$94:$94,MATCH(FD$7,'qtrP&amp;L'!$6:$6,0))</f>
        <v>0</v>
      </c>
      <c r="FE17" s="624">
        <f>INDEX('qtrP&amp;L'!$94:$94,MATCH(FE$7,'qtrP&amp;L'!$6:$6,0))</f>
        <v>0</v>
      </c>
      <c r="FF17" s="624">
        <f>INDEX('qtrP&amp;L'!$94:$94,MATCH(FF$7,'qtrP&amp;L'!$6:$6,0))</f>
        <v>0</v>
      </c>
      <c r="FG17" s="624">
        <f>INDEX('qtrP&amp;L'!$94:$94,MATCH(FG$7,'qtrP&amp;L'!$6:$6,0))</f>
        <v>0</v>
      </c>
      <c r="FH17" s="624">
        <f>INDEX('qtrP&amp;L'!$94:$94,MATCH(FH$7,'qtrP&amp;L'!$6:$6,0))</f>
        <v>0</v>
      </c>
      <c r="FI17" s="624">
        <f>INDEX('qtrP&amp;L'!$94:$94,MATCH(FI$7,'qtrP&amp;L'!$6:$6,0))</f>
        <v>46</v>
      </c>
      <c r="FJ17" s="624">
        <f>INDEX('qtrP&amp;L'!$94:$94,MATCH(FJ$7,'qtrP&amp;L'!$6:$6,0))</f>
        <v>59</v>
      </c>
      <c r="FK17" s="624">
        <f>INDEX('qtrP&amp;L'!$94:$94,MATCH(FK$7,'qtrP&amp;L'!$6:$6,0))</f>
        <v>-39</v>
      </c>
      <c r="FL17" s="624">
        <f>INDEX('qtrP&amp;L'!$94:$94,MATCH(FL$7,'qtrP&amp;L'!$6:$6,0))</f>
        <v>12</v>
      </c>
      <c r="FM17" s="623">
        <f>INDEX('qtrP&amp;L'!$94:$94,MATCH(FM$7,'qtrP&amp;L'!$6:$6,0))</f>
        <v>-54</v>
      </c>
      <c r="FN17" s="623">
        <f>INDEX('qtrP&amp;L'!$94:$94,MATCH(FN$7,'qtrP&amp;L'!$6:$6,0))</f>
        <v>-34</v>
      </c>
      <c r="FO17" s="624">
        <f>INDEX('qtrP&amp;L'!$94:$94,MATCH(FO$7,'qtrP&amp;L'!$6:$6,0))</f>
        <v>-46</v>
      </c>
      <c r="FP17" s="624">
        <f>INDEX('qtrP&amp;L'!$94:$94,MATCH(FP$7,'qtrP&amp;L'!$6:$6,0))</f>
        <v>-17.809677419354838</v>
      </c>
      <c r="FQ17" s="623">
        <f>INDEX('qtrP&amp;L'!$94:$94,MATCH(FQ$7,'qtrP&amp;L'!$6:$6,0))</f>
        <v>5</v>
      </c>
      <c r="FR17" s="623">
        <f>INDEX('qtrP&amp;L'!$94:$94,MATCH(FR$7,'qtrP&amp;L'!$6:$6,0))</f>
        <v>-28</v>
      </c>
      <c r="FS17" s="624">
        <f>INDEX('qtrP&amp;L'!$94:$94,MATCH(FS$7,'qtrP&amp;L'!$6:$6,0))</f>
        <v>21</v>
      </c>
      <c r="FT17" s="624">
        <f>'yrP&amp;L'!AA39</f>
        <v>73</v>
      </c>
      <c r="FU17" s="615">
        <f>'yrP&amp;L'!AB39</f>
        <v>-155</v>
      </c>
      <c r="FV17" s="615">
        <f>'yrP&amp;L'!AC39</f>
        <v>-148</v>
      </c>
      <c r="FW17" s="615">
        <f>'yrP&amp;L'!AD39</f>
        <v>56</v>
      </c>
      <c r="FX17" s="615">
        <f>'yrP&amp;L'!AE39</f>
        <v>-94</v>
      </c>
      <c r="FY17" s="615">
        <f>'yrP&amp;L'!AF39</f>
        <v>-78</v>
      </c>
      <c r="FZ17" s="615">
        <f>'yrP&amp;L'!AG39</f>
        <v>-60</v>
      </c>
      <c r="GA17" s="615">
        <f>'yrP&amp;L'!AH39</f>
        <v>0</v>
      </c>
      <c r="GB17" s="1265">
        <f>'yrP&amp;L'!AI39</f>
        <v>0</v>
      </c>
      <c r="GC17" s="615">
        <f>'yrP&amp;L'!AJ39</f>
        <v>0</v>
      </c>
      <c r="GD17" s="1488">
        <f>'yrP&amp;L'!AL39</f>
        <v>0</v>
      </c>
      <c r="GF17"/>
      <c r="GG17"/>
      <c r="GH17"/>
      <c r="GI17"/>
      <c r="GJ17"/>
      <c r="GK17"/>
      <c r="GL17" s="398"/>
      <c r="GM17" s="398"/>
      <c r="GN17" s="398"/>
      <c r="GO17" s="398"/>
      <c r="GP17" s="398"/>
      <c r="GQ17" s="398"/>
      <c r="GR17" s="398"/>
      <c r="GS17" s="398"/>
      <c r="GT17" s="398"/>
      <c r="GU17" s="398"/>
      <c r="GV17" s="398"/>
      <c r="GW17" s="398"/>
      <c r="GX17" s="398"/>
      <c r="GY17" s="398"/>
      <c r="GZ17" s="398"/>
      <c r="HA17" s="398"/>
      <c r="HB17" s="398"/>
      <c r="HC17" s="398"/>
      <c r="HD17" s="398"/>
      <c r="HE17" s="398"/>
      <c r="HF17" s="398"/>
      <c r="HG17" s="398"/>
      <c r="HH17" s="398"/>
      <c r="HI17" s="398"/>
      <c r="HJ17" s="398"/>
      <c r="HK17" s="398"/>
      <c r="HL17" s="398"/>
      <c r="HM17" s="398"/>
      <c r="HN17" s="398"/>
      <c r="HO17" s="398"/>
      <c r="HP17" s="398"/>
      <c r="HQ17" s="398"/>
      <c r="HR17" s="398"/>
      <c r="HS17" s="398"/>
      <c r="HT17" s="398"/>
      <c r="HU17" s="398"/>
      <c r="HV17" s="398"/>
      <c r="HW17" s="398"/>
      <c r="HX17" s="398"/>
      <c r="HY17" s="398"/>
      <c r="HZ17" s="398"/>
      <c r="IA17" s="398"/>
      <c r="IB17" s="398"/>
      <c r="IC17" s="398"/>
      <c r="ID17" s="398"/>
      <c r="IE17" s="398"/>
      <c r="IF17" s="398"/>
      <c r="IG17" s="398"/>
      <c r="IH17" s="398"/>
      <c r="II17" s="398"/>
      <c r="IJ17" s="398"/>
      <c r="IK17" s="398"/>
      <c r="IL17" s="398"/>
      <c r="IM17" s="398"/>
      <c r="IN17" s="398"/>
      <c r="IO17" s="398"/>
      <c r="IP17" s="398"/>
      <c r="IQ17" s="398"/>
      <c r="IR17" s="398"/>
      <c r="IS17" s="398"/>
      <c r="IT17" s="398"/>
      <c r="IU17" s="398"/>
      <c r="IV17" s="398"/>
      <c r="IW17" s="398"/>
      <c r="IX17" s="398"/>
      <c r="IY17" s="398"/>
      <c r="IZ17" s="398"/>
      <c r="JA17" s="398"/>
    </row>
    <row r="18" spans="1:261" s="590" customFormat="1" collapsed="1">
      <c r="A18" s="626" t="s">
        <v>235</v>
      </c>
      <c r="B18" s="618"/>
      <c r="C18" s="619">
        <f>INDEX('qtrP&amp;L'!$100:$100,MATCH(C$7,'qtrP&amp;L'!$6:$6,0))</f>
        <v>221</v>
      </c>
      <c r="D18" s="619">
        <f>INDEX('qtrP&amp;L'!$101:$101,MATCH(C$7,'qtrP&amp;L'!$6:$6,0))</f>
        <v>150</v>
      </c>
      <c r="E18" s="619">
        <f>INDEX('qtrP&amp;L'!$102:$102,MATCH(C$7,'qtrP&amp;L'!$6:$6,0))</f>
        <v>322</v>
      </c>
      <c r="F18" s="619">
        <f>INDEX('qtrP&amp;L'!$103:$103,MATCH(C$7,'qtrP&amp;L'!$6:$6,0))</f>
        <v>493</v>
      </c>
      <c r="G18" s="619"/>
      <c r="H18" s="619">
        <f>INDEX('qtrP&amp;L'!$100:$100,MATCH(H$7,'qtrP&amp;L'!$6:$6,0))</f>
        <v>217</v>
      </c>
      <c r="I18" s="619">
        <f>INDEX('qtrP&amp;L'!$101:$101,MATCH(H$7,'qtrP&amp;L'!$6:$6,0))</f>
        <v>135</v>
      </c>
      <c r="J18" s="619">
        <f>INDEX('qtrP&amp;L'!$102:$102,MATCH(H$7,'qtrP&amp;L'!$6:$6,0))</f>
        <v>231</v>
      </c>
      <c r="K18" s="619">
        <f>INDEX('qtrP&amp;L'!$103:$103,MATCH(H$7,'qtrP&amp;L'!$6:$6,0))</f>
        <v>325</v>
      </c>
      <c r="L18" s="619"/>
      <c r="M18" s="619">
        <f>INDEX('qtrP&amp;L'!$100:$100,MATCH(M$7,'qtrP&amp;L'!$6:$6,0))</f>
        <v>138</v>
      </c>
      <c r="N18" s="619">
        <f>INDEX('qtrP&amp;L'!$101:$101,MATCH(M$7,'qtrP&amp;L'!$6:$6,0))</f>
        <v>84</v>
      </c>
      <c r="O18" s="619">
        <f>INDEX('qtrP&amp;L'!$102:$102,MATCH(M$7,'qtrP&amp;L'!$6:$6,0))</f>
        <v>225</v>
      </c>
      <c r="P18" s="619">
        <f>INDEX('qtrP&amp;L'!$103:$103,MATCH(M$7,'qtrP&amp;L'!$6:$6,0))</f>
        <v>410</v>
      </c>
      <c r="Q18" s="619"/>
      <c r="R18" s="619">
        <f>INDEX('qtrP&amp;L'!$100:$100,MATCH(R$7,'qtrP&amp;L'!$6:$6,0))</f>
        <v>219</v>
      </c>
      <c r="S18" s="619">
        <f>INDEX('qtrP&amp;L'!$101:$101,MATCH(R$7,'qtrP&amp;L'!$6:$6,0))</f>
        <v>138</v>
      </c>
      <c r="T18" s="619">
        <f>INDEX('qtrP&amp;L'!$102:$102,MATCH(R$7,'qtrP&amp;L'!$6:$6,0))</f>
        <v>309</v>
      </c>
      <c r="U18" s="619">
        <f>INDEX('qtrP&amp;L'!$103:$103,MATCH(R$7,'qtrP&amp;L'!$6:$6,0))</f>
        <v>568</v>
      </c>
      <c r="V18" s="619"/>
      <c r="W18" s="619">
        <f>INDEX('qtrP&amp;L'!$100:$100,MATCH(W$7,'qtrP&amp;L'!$6:$6,0))</f>
        <v>255</v>
      </c>
      <c r="X18" s="619">
        <f>INDEX('qtrP&amp;L'!$101:$101,MATCH(W$7,'qtrP&amp;L'!$6:$6,0))</f>
        <v>170</v>
      </c>
      <c r="Y18" s="619">
        <f>INDEX('qtrP&amp;L'!$102:$102,MATCH(W$7,'qtrP&amp;L'!$6:$6,0))</f>
        <v>385</v>
      </c>
      <c r="Z18" s="619">
        <f>INDEX('qtrP&amp;L'!$103:$103,MATCH(W$7,'qtrP&amp;L'!$6:$6,0))</f>
        <v>632</v>
      </c>
      <c r="AA18" s="619"/>
      <c r="AB18" s="619">
        <f>INDEX('qtrP&amp;L'!$100:$100,MATCH(AB$7,'qtrP&amp;L'!$6:$6,0))</f>
        <v>303</v>
      </c>
      <c r="AC18" s="619">
        <f>INDEX('qtrP&amp;L'!$101:$101,MATCH(AB$7,'qtrP&amp;L'!$6:$6,0))</f>
        <v>203</v>
      </c>
      <c r="AD18" s="619">
        <f>INDEX('qtrP&amp;L'!$102:$102,MATCH(AB$7,'qtrP&amp;L'!$6:$6,0))</f>
        <v>457</v>
      </c>
      <c r="AE18" s="619">
        <f>INDEX('qtrP&amp;L'!$103:$103,MATCH(AB$7,'qtrP&amp;L'!$6:$6,0))</f>
        <v>665</v>
      </c>
      <c r="AF18" s="619"/>
      <c r="AG18" s="619">
        <f>INDEX('qtrP&amp;L'!$100:$100,MATCH(AG$7,'qtrP&amp;L'!$6:$6,0))</f>
        <v>222</v>
      </c>
      <c r="AH18" s="619">
        <f>INDEX('qtrP&amp;L'!$101:$101,MATCH(AG$7,'qtrP&amp;L'!$6:$6,0))</f>
        <v>185</v>
      </c>
      <c r="AI18" s="619">
        <f>INDEX('qtrP&amp;L'!$102:$102,MATCH(AG$7,'qtrP&amp;L'!$6:$6,0))</f>
        <v>391</v>
      </c>
      <c r="AJ18" s="619">
        <f>INDEX('qtrP&amp;L'!$103:$103,MATCH(AG$7,'qtrP&amp;L'!$6:$6,0))</f>
        <v>515</v>
      </c>
      <c r="AK18" s="619"/>
      <c r="AL18" s="619">
        <f>INDEX('qtrP&amp;L'!$100:$100,MATCH(AL$7,'qtrP&amp;L'!$6:$6,0))</f>
        <v>186</v>
      </c>
      <c r="AM18" s="619">
        <f>INDEX('qtrP&amp;L'!$101:$101,MATCH(AL$7,'qtrP&amp;L'!$6:$6,0))</f>
        <v>152</v>
      </c>
      <c r="AN18" s="619">
        <f>INDEX('qtrP&amp;L'!$102:$102,MATCH(AL$7,'qtrP&amp;L'!$6:$6,0))</f>
        <v>449</v>
      </c>
      <c r="AO18" s="619">
        <f>INDEX('qtrP&amp;L'!$103:$103,MATCH(AL$7,'qtrP&amp;L'!$6:$6,0))</f>
        <v>531</v>
      </c>
      <c r="AP18" s="619"/>
      <c r="AQ18" s="619">
        <f>INDEX('qtrP&amp;L'!$100:$100,MATCH(AQ$7,'qtrP&amp;L'!$6:$6,0))</f>
        <v>288</v>
      </c>
      <c r="AR18" s="619">
        <f>INDEX('qtrP&amp;L'!$101:$101,MATCH(AQ$7,'qtrP&amp;L'!$6:$6,0))</f>
        <v>244</v>
      </c>
      <c r="AS18" s="619">
        <f>INDEX('qtrP&amp;L'!$102:$102,MATCH(AQ$7,'qtrP&amp;L'!$6:$6,0))</f>
        <v>489</v>
      </c>
      <c r="AT18" s="619">
        <f>INDEX('qtrP&amp;L'!$103:$103,MATCH(AQ$7,'qtrP&amp;L'!$6:$6,0))</f>
        <v>706</v>
      </c>
      <c r="AU18" s="619"/>
      <c r="AV18" s="619">
        <f>INDEX('qtrP&amp;L'!$100:$100,MATCH(AV$7,'qtrP&amp;L'!$6:$6,0))</f>
        <v>362.04737665669109</v>
      </c>
      <c r="AW18" s="619">
        <f>INDEX('qtrP&amp;L'!$101:$101,MATCH(AV$7,'qtrP&amp;L'!$6:$6,0))</f>
        <v>247</v>
      </c>
      <c r="AX18" s="619">
        <f>INDEX('qtrP&amp;L'!$102:$102,MATCH(AV$7,'qtrP&amp;L'!$6:$6,0))</f>
        <v>403</v>
      </c>
      <c r="AY18" s="619">
        <f>INDEX('qtrP&amp;L'!$103:$103,MATCH(AV$7,'qtrP&amp;L'!$6:$6,0))</f>
        <v>382</v>
      </c>
      <c r="AZ18" s="619"/>
      <c r="BA18" s="619">
        <f>INDEX('qtrP&amp;L'!$100:$100,MATCH(BA$7,'qtrP&amp;L'!$6:$6,0))</f>
        <v>286</v>
      </c>
      <c r="BB18" s="619">
        <f>INDEX('qtrP&amp;L'!$101:$101,MATCH(BA$7,'qtrP&amp;L'!$6:$6,0))</f>
        <v>206</v>
      </c>
      <c r="BC18" s="619">
        <f>INDEX('qtrP&amp;L'!$102:$102,MATCH(BA$7,'qtrP&amp;L'!$6:$6,0))</f>
        <v>261</v>
      </c>
      <c r="BD18" s="619">
        <f>INDEX('qtrP&amp;L'!$103:$103,MATCH(BA$7,'qtrP&amp;L'!$6:$6,0))</f>
        <v>282</v>
      </c>
      <c r="BE18" s="619"/>
      <c r="BF18" s="619">
        <f>INDEX('qtrP&amp;L'!$100:$100,MATCH(BF$7,'qtrP&amp;L'!$6:$6,0))</f>
        <v>227</v>
      </c>
      <c r="BG18" s="619">
        <f>INDEX('qtrP&amp;L'!$101:$101,MATCH(BF$7,'qtrP&amp;L'!$6:$6,0))</f>
        <v>89</v>
      </c>
      <c r="BH18" s="619">
        <f>INDEX('qtrP&amp;L'!$102:$102,MATCH(BF$7,'qtrP&amp;L'!$6:$6,0))</f>
        <v>31</v>
      </c>
      <c r="BI18" s="619">
        <f>INDEX('qtrP&amp;L'!$103:$103,MATCH(BF$7,'qtrP&amp;L'!$6:$6,0))</f>
        <v>108</v>
      </c>
      <c r="BJ18" s="619"/>
      <c r="BK18" s="619">
        <f>INDEX('qtrP&amp;L'!$100:$100,MATCH(BK$7,'qtrP&amp;L'!$6:$6,0))</f>
        <v>144</v>
      </c>
      <c r="BL18" s="619">
        <f>INDEX('qtrP&amp;L'!$101:$101,MATCH(BK$7,'qtrP&amp;L'!$6:$6,0))</f>
        <v>-11</v>
      </c>
      <c r="BM18" s="619">
        <f>INDEX('qtrP&amp;L'!$102:$102,MATCH(BK$7,'qtrP&amp;L'!$6:$6,0))</f>
        <v>135</v>
      </c>
      <c r="BN18" s="619">
        <f>INDEX('qtrP&amp;L'!$103:$103,MATCH(BK$7,'qtrP&amp;L'!$6:$6,0))</f>
        <v>237</v>
      </c>
      <c r="BO18" s="619"/>
      <c r="BP18" s="619">
        <f>INDEX('qtrP&amp;L'!$100:$100,MATCH(BP$7,'qtrP&amp;L'!$6:$6,0))</f>
        <v>149</v>
      </c>
      <c r="BQ18" s="619">
        <f>INDEX('qtrP&amp;L'!$101:$101,MATCH(BP$7,'qtrP&amp;L'!$6:$6,0))</f>
        <v>20</v>
      </c>
      <c r="BR18" s="619">
        <f>INDEX('qtrP&amp;L'!$102:$102,MATCH(BP$7,'qtrP&amp;L'!$6:$6,0))</f>
        <v>166</v>
      </c>
      <c r="BS18" s="619">
        <f>INDEX('qtrP&amp;L'!$103:$103,MATCH(BP$7,'qtrP&amp;L'!$6:$6,0))</f>
        <v>306</v>
      </c>
      <c r="BT18" s="619"/>
      <c r="BU18" s="619">
        <f>INDEX('qtrP&amp;L'!$100:$100,MATCH(BU$7,'qtrP&amp;L'!$6:$6,0))</f>
        <v>92</v>
      </c>
      <c r="BV18" s="619">
        <f>INDEX('qtrP&amp;L'!$101:$101,MATCH(BU$7,'qtrP&amp;L'!$6:$6,0))</f>
        <v>60</v>
      </c>
      <c r="BW18" s="619">
        <f>INDEX('qtrP&amp;L'!$102:$102,MATCH(BU$7,'qtrP&amp;L'!$6:$6,0))</f>
        <v>202</v>
      </c>
      <c r="BX18" s="619">
        <f>INDEX('qtrP&amp;L'!$103:$103,MATCH(BU$7,'qtrP&amp;L'!$6:$6,0))</f>
        <v>432</v>
      </c>
      <c r="BY18" s="619"/>
      <c r="BZ18" s="619">
        <f>INDEX('qtrP&amp;L'!$100:$100,MATCH(BZ$7,'qtrP&amp;L'!$6:$6,0))</f>
        <v>232</v>
      </c>
      <c r="CA18" s="619">
        <f>INDEX('qtrP&amp;L'!$101:$101,MATCH(BZ$7,'qtrP&amp;L'!$6:$6,0))</f>
        <v>154</v>
      </c>
      <c r="CB18" s="619">
        <f>INDEX('qtrP&amp;L'!$102:$102,MATCH(BZ$7,'qtrP&amp;L'!$6:$6,0))</f>
        <v>342</v>
      </c>
      <c r="CC18" s="619">
        <f>INDEX('qtrP&amp;L'!$103:$103,MATCH(BZ$7,'qtrP&amp;L'!$6:$6,0))</f>
        <v>529</v>
      </c>
      <c r="CD18" s="619"/>
      <c r="CE18" s="619">
        <f>INDEX('qtrP&amp;L'!$100:$100,MATCH(CE$7,'qtrP&amp;L'!$6:$6,0))</f>
        <v>330</v>
      </c>
      <c r="CF18" s="619">
        <f>INDEX('qtrP&amp;L'!$101:$101,MATCH(CE$7,'qtrP&amp;L'!$6:$6,0))</f>
        <v>227</v>
      </c>
      <c r="CG18" s="619">
        <f>INDEX('qtrP&amp;L'!$102:$102,MATCH(CE$7,'qtrP&amp;L'!$6:$6,0))</f>
        <v>406</v>
      </c>
      <c r="CH18" s="619">
        <f>INDEX('qtrP&amp;L'!$103:$103,MATCH(CE$7,'qtrP&amp;L'!$6:$6,0))</f>
        <v>667.08399999999983</v>
      </c>
      <c r="CI18" s="619"/>
      <c r="CJ18" s="619">
        <f>INDEX('qtrP&amp;L'!$100:$100,MATCH(CJ$7,'qtrP&amp;L'!$6:$6,0))</f>
        <v>381</v>
      </c>
      <c r="CK18" s="619">
        <f>INDEX('qtrP&amp;L'!$101:$101,MATCH(CJ$7,'qtrP&amp;L'!$6:$6,0))</f>
        <v>279</v>
      </c>
      <c r="CL18" s="619">
        <f>INDEX('qtrP&amp;L'!$102:$102,MATCH(CJ$7,'qtrP&amp;L'!$6:$6,0))</f>
        <v>504</v>
      </c>
      <c r="CM18" s="619">
        <f>INDEX('qtrP&amp;L'!$103:$103,MATCH(CJ$7,'qtrP&amp;L'!$6:$6,0))</f>
        <v>744</v>
      </c>
      <c r="CN18" s="619"/>
      <c r="CO18" s="619">
        <f>INDEX('qtrP&amp;L'!$100:$100,MATCH(CO$7,'qtrP&amp;L'!$6:$6,0))</f>
        <v>418</v>
      </c>
      <c r="CP18" s="619">
        <f>INDEX('qtrP&amp;L'!$101:$101,MATCH(CO$7,'qtrP&amp;L'!$6:$6,0))</f>
        <v>328.07000000000016</v>
      </c>
      <c r="CQ18" s="619">
        <f>INDEX('qtrP&amp;L'!$102:$102,MATCH(CO$7,'qtrP&amp;L'!$6:$6,0))</f>
        <v>410</v>
      </c>
      <c r="CR18" s="619">
        <f>INDEX('qtrP&amp;L'!$103:$103,MATCH(CO$7,'qtrP&amp;L'!$6:$6,0))</f>
        <v>722</v>
      </c>
      <c r="CS18" s="619"/>
      <c r="CT18" s="619">
        <f>INDEX('qtrP&amp;L'!$100:$100,MATCH(CT$7,'qtrP&amp;L'!$6:$6,0))</f>
        <v>248</v>
      </c>
      <c r="CU18" s="619">
        <f>INDEX('qtrP&amp;L'!$101:$101,MATCH(CT$7,'qtrP&amp;L'!$6:$6,0))</f>
        <v>243.0595000000003</v>
      </c>
      <c r="CV18" s="619">
        <f>INDEX('qtrP&amp;L'!$102:$102,MATCH(CT$7,'qtrP&amp;L'!$6:$6,0))</f>
        <v>247.80967741935393</v>
      </c>
      <c r="CW18" s="619">
        <f>INDEX('qtrP&amp;L'!$103:$103,MATCH(CT$7,'qtrP&amp;L'!$6:$6,0))</f>
        <v>390</v>
      </c>
      <c r="CX18" s="619"/>
      <c r="CY18" s="619">
        <f>INDEX('qtrP&amp;L'!$100:$100,MATCH(CY$7,'qtrP&amp;L'!$6:$6,0))</f>
        <v>106</v>
      </c>
      <c r="CZ18" s="619">
        <f>INDEX('qtrP&amp;L'!$101:$101,MATCH(CY$7,'qtrP&amp;L'!$6:$6,0))</f>
        <v>67</v>
      </c>
      <c r="DA18" s="619">
        <f>INDEX('qtrP&amp;L'!$102:$102,MATCH(CY$7,'qtrP&amp;L'!$6:$6,0))</f>
        <v>107</v>
      </c>
      <c r="DB18" s="619">
        <f>INDEX('qtrP&amp;L'!$103:$103,MATCH(CY$7,'qtrP&amp;L'!$6:$6,0))</f>
        <v>383</v>
      </c>
      <c r="DC18" s="619"/>
      <c r="DD18" s="619">
        <f>INDEX('qtrP&amp;L'!$100:$100,MATCH(DD$7,'qtrP&amp;L'!$6:$6,0))</f>
        <v>155</v>
      </c>
      <c r="DE18" s="619">
        <f>INDEX('qtrP&amp;L'!$101:$101,MATCH(DD$7,'qtrP&amp;L'!$6:$6,0))</f>
        <v>95</v>
      </c>
      <c r="DF18" s="619">
        <f>INDEX('qtrP&amp;L'!$102:$102,MATCH(DD$7,'qtrP&amp;L'!$6:$6,0))</f>
        <v>124</v>
      </c>
      <c r="DG18" s="619">
        <f>INDEX('qtrP&amp;L'!$103:$103,MATCH(DD$7,'qtrP&amp;L'!$6:$6,0))</f>
        <v>490</v>
      </c>
      <c r="DH18" s="619"/>
      <c r="DI18" s="619">
        <f>INDEX('qtrP&amp;L'!$100:$100,MATCH(DI$7,'qtrP&amp;L'!$6:$6,0))</f>
        <v>170</v>
      </c>
      <c r="DJ18" s="619">
        <f>INDEX('qtrP&amp;L'!$101:$101,MATCH(DI$7,'qtrP&amp;L'!$6:$6,0))</f>
        <v>104</v>
      </c>
      <c r="DK18" s="619">
        <f>INDEX('qtrP&amp;L'!$102:$102,MATCH(DI$7,'qtrP&amp;L'!$6:$6,0))</f>
        <v>94</v>
      </c>
      <c r="DL18" s="619">
        <f>INDEX('qtrP&amp;L'!$103:$103,MATCH(DI$7,'qtrP&amp;L'!$6:$6,0))</f>
        <v>288</v>
      </c>
      <c r="DM18" s="619"/>
      <c r="DN18" s="619">
        <f>INDEX('qtrP&amp;L'!$100:$100,MATCH(DN$7,'qtrP&amp;L'!$6:$6,0))</f>
        <v>-97</v>
      </c>
      <c r="DO18" s="619">
        <f>INDEX('qtrP&amp;L'!$101:$101,MATCH(DN$7,'qtrP&amp;L'!$6:$6,0))</f>
        <v>-224</v>
      </c>
      <c r="DP18" s="619">
        <f>INDEX('qtrP&amp;L'!$102:$102,MATCH(DN$7,'qtrP&amp;L'!$6:$6,0))</f>
        <v>-319</v>
      </c>
      <c r="DQ18" s="619">
        <f>INDEX('qtrP&amp;L'!$103:$103,MATCH(DN$7,'qtrP&amp;L'!$6:$6,0))</f>
        <v>-716</v>
      </c>
      <c r="DR18" s="619"/>
      <c r="DS18" s="619">
        <f>INDEX('qtrP&amp;L'!$100:$100,MATCH(DS$7,'qtrP&amp;L'!$6:$6,0))</f>
        <v>-414</v>
      </c>
      <c r="DT18" s="619">
        <f>INDEX('qtrP&amp;L'!$101:$101,MATCH(DS$7,'qtrP&amp;L'!$6:$6,0))</f>
        <v>-348</v>
      </c>
      <c r="DU18" s="619">
        <f>INDEX('qtrP&amp;L'!$102:$102,MATCH(DS$7,'qtrP&amp;L'!$6:$6,0))</f>
        <v>-355</v>
      </c>
      <c r="DV18" s="619">
        <f>INDEX('qtrP&amp;L'!$103:$103,MATCH(DS$7,'qtrP&amp;L'!$6:$6,0))</f>
        <v>-88</v>
      </c>
      <c r="DW18" s="619"/>
      <c r="DX18" s="619">
        <f>INDEX('qtrP&amp;L'!$100:$100,MATCH(DX$7,'qtrP&amp;L'!$6:$6,0))</f>
        <v>-225</v>
      </c>
      <c r="DY18" s="619">
        <f>INDEX('qtrP&amp;L'!$101:$101,MATCH(DX$7,'qtrP&amp;L'!$6:$6,0))</f>
        <v>-65</v>
      </c>
      <c r="DZ18" s="619">
        <f>INDEX('qtrP&amp;L'!$102:$102,MATCH(DX$7,'qtrP&amp;L'!$6:$6,0))</f>
        <v>-42</v>
      </c>
      <c r="EA18" s="619">
        <f>INDEX('qtrP&amp;L'!$103:$103,MATCH(DX$7,'qtrP&amp;L'!$6:$6,0))</f>
        <v>111</v>
      </c>
      <c r="EB18" s="619"/>
      <c r="EC18" s="619">
        <f>INDEX('qtrP&amp;L'!$100:$100,MATCH(EC$7,'qtrP&amp;L'!$6:$6,0))</f>
        <v>-48.75</v>
      </c>
      <c r="ED18" s="619">
        <f>INDEX('qtrP&amp;L'!$101:$101,MATCH(EC$7,'qtrP&amp;L'!$6:$6,0))</f>
        <v>-38</v>
      </c>
      <c r="EE18" s="619">
        <f>INDEX('qtrP&amp;L'!$102:$102,MATCH(EC$7,'qtrP&amp;L'!$6:$6,0))</f>
        <v>-45</v>
      </c>
      <c r="EF18" s="619">
        <f>INDEX('qtrP&amp;L'!$103:$103,MATCH(EC$7,'qtrP&amp;L'!$6:$6,0))</f>
        <v>13</v>
      </c>
      <c r="EG18" s="619"/>
      <c r="EH18" s="619">
        <f>INDEX('qtrP&amp;L'!$100:$100,MATCH(EH$7,'qtrP&amp;L'!$6:$6,0))</f>
        <v>22</v>
      </c>
      <c r="EI18" s="619">
        <f>INDEX('qtrP&amp;L'!$101:$101,MATCH(EH$7,'qtrP&amp;L'!$6:$6,0))</f>
        <v>76</v>
      </c>
      <c r="EJ18" s="619">
        <f>INDEX('qtrP&amp;L'!$102:$102,MATCH(EH$7,'qtrP&amp;L'!$6:$6,0))</f>
        <v>23</v>
      </c>
      <c r="EK18" s="619">
        <f>INDEX('qtrP&amp;L'!$103:$103,MATCH(EH$7,'qtrP&amp;L'!$6:$6,0))</f>
        <v>283</v>
      </c>
      <c r="EL18" s="619"/>
      <c r="EM18" s="619">
        <f>INDEX('qtrP&amp;L'!$100:$100,MATCH(EM$7,'qtrP&amp;L'!$6:$6,0))</f>
        <v>114</v>
      </c>
      <c r="EN18" s="619">
        <f>INDEX('qtrP&amp;L'!$101:$101,MATCH(EM$7,'qtrP&amp;L'!$6:$6,0))</f>
        <v>61.000000000000455</v>
      </c>
      <c r="EO18" s="619">
        <f>INDEX('qtrP&amp;L'!$102:$102,MATCH(EM$7,'qtrP&amp;L'!$6:$6,0))</f>
        <v>-77</v>
      </c>
      <c r="EP18" s="619">
        <f>INDEX('qtrP&amp;L'!$103:$103,MATCH(EM$7,'qtrP&amp;L'!$6:$6,0))</f>
        <v>255</v>
      </c>
      <c r="EQ18" s="619"/>
      <c r="ER18" s="1466">
        <f>INDEX('qtrP&amp;L'!$100:$100,MATCH(ER$7,'qtrP&amp;L'!$6:$6,0))</f>
        <v>21.770736000000056</v>
      </c>
      <c r="ES18" s="1466">
        <f>INDEX('qtrP&amp;L'!$101:$101,MATCH(ER$7,'qtrP&amp;L'!$6:$6,0))</f>
        <v>111.46926400000018</v>
      </c>
      <c r="ET18" s="1466">
        <f>INDEX('qtrP&amp;L'!$102:$102,MATCH(ER$7,'qtrP&amp;L'!$6:$6,0))</f>
        <v>31.667460000000005</v>
      </c>
      <c r="EU18" s="1466">
        <f>INDEX('qtrP&amp;L'!$103:$103,MATCH(ER$7,'qtrP&amp;L'!$6:$6,0))</f>
        <v>174.41287599999987</v>
      </c>
      <c r="EV18" s="507"/>
      <c r="EW18" s="620">
        <f t="shared" ref="EW18:FH18" si="14">SUMIF($A$6:$DQ$6,EW$7,$A18:$DQ18)</f>
        <v>1186</v>
      </c>
      <c r="EX18" s="621">
        <f t="shared" si="14"/>
        <v>908</v>
      </c>
      <c r="EY18" s="621">
        <f t="shared" si="14"/>
        <v>857</v>
      </c>
      <c r="EZ18" s="621">
        <f t="shared" si="14"/>
        <v>1234</v>
      </c>
      <c r="FA18" s="621">
        <f t="shared" si="14"/>
        <v>1442</v>
      </c>
      <c r="FB18" s="621">
        <f t="shared" si="14"/>
        <v>1628</v>
      </c>
      <c r="FC18" s="621">
        <f t="shared" si="14"/>
        <v>1313</v>
      </c>
      <c r="FD18" s="621">
        <f t="shared" si="14"/>
        <v>1318</v>
      </c>
      <c r="FE18" s="621">
        <f t="shared" si="14"/>
        <v>1727</v>
      </c>
      <c r="FF18" s="621">
        <f t="shared" si="14"/>
        <v>1394.0473766566911</v>
      </c>
      <c r="FG18" s="621">
        <f t="shared" si="14"/>
        <v>1035</v>
      </c>
      <c r="FH18" s="621">
        <f t="shared" si="14"/>
        <v>455</v>
      </c>
      <c r="FI18" s="621">
        <f>'qtrP&amp;L'!BK104</f>
        <v>494</v>
      </c>
      <c r="FJ18" s="621">
        <f>'qtrP&amp;L'!BO104</f>
        <v>624</v>
      </c>
      <c r="FK18" s="621">
        <f t="shared" ref="FK18:FS18" si="15">SUMIF($A$6:$DQ$6,FK$7,$A18:$DQ18)</f>
        <v>786</v>
      </c>
      <c r="FL18" s="621">
        <f t="shared" si="15"/>
        <v>1257</v>
      </c>
      <c r="FM18" s="620">
        <f t="shared" si="15"/>
        <v>1630.0839999999998</v>
      </c>
      <c r="FN18" s="620">
        <f t="shared" si="15"/>
        <v>1908</v>
      </c>
      <c r="FO18" s="621">
        <f t="shared" si="15"/>
        <v>1878.0700000000002</v>
      </c>
      <c r="FP18" s="621">
        <f t="shared" si="15"/>
        <v>1128.8691774193542</v>
      </c>
      <c r="FQ18" s="620">
        <f>SUMIF($A$6:$DQ$6,FQ$7,$A18:$DQ18)</f>
        <v>663</v>
      </c>
      <c r="FR18" s="620">
        <f t="shared" si="15"/>
        <v>864</v>
      </c>
      <c r="FS18" s="621">
        <f t="shared" si="15"/>
        <v>656</v>
      </c>
      <c r="FT18" s="621">
        <f>SUMIF($A$6:$DQ$6,FT$7,$A18:$DQ18)</f>
        <v>-1356</v>
      </c>
      <c r="FU18" s="621">
        <f>'yrP&amp;L'!AB42</f>
        <v>-1205</v>
      </c>
      <c r="FV18" s="621">
        <f>'yrP&amp;L'!AC42</f>
        <v>-221</v>
      </c>
      <c r="FW18" s="621">
        <f>'yrP&amp;L'!AD42</f>
        <v>-118.75</v>
      </c>
      <c r="FX18" s="621">
        <f>'yrP&amp;L'!AE42</f>
        <v>404</v>
      </c>
      <c r="FY18" s="621">
        <f>'yrP&amp;L'!AF42</f>
        <v>353</v>
      </c>
      <c r="FZ18" s="621">
        <f>'yrP&amp;L'!AG42</f>
        <v>339.32033599999886</v>
      </c>
      <c r="GA18" s="621">
        <f>'yrP&amp;L'!AH42</f>
        <v>264.79885800674492</v>
      </c>
      <c r="GB18" s="1266">
        <f>'yrP&amp;L'!AI42</f>
        <v>239.0382032528164</v>
      </c>
      <c r="GC18" s="621">
        <f>'yrP&amp;L'!AJ42</f>
        <v>133.47200711950427</v>
      </c>
      <c r="GD18" s="1489">
        <f>'yrP&amp;L'!AK42</f>
        <v>-6.1142523228468235</v>
      </c>
      <c r="GF18"/>
      <c r="GG18"/>
      <c r="GH18"/>
      <c r="GI18"/>
      <c r="GJ18"/>
      <c r="GK18"/>
      <c r="GL18" s="398"/>
      <c r="GM18" s="398"/>
      <c r="GN18" s="398"/>
      <c r="GO18" s="398"/>
      <c r="GP18" s="398"/>
      <c r="GQ18" s="398"/>
      <c r="GR18" s="398"/>
      <c r="GS18" s="398"/>
      <c r="GT18" s="398"/>
      <c r="GU18" s="398"/>
      <c r="GV18" s="398"/>
      <c r="GW18" s="398"/>
      <c r="GX18" s="398"/>
      <c r="GY18" s="398"/>
      <c r="GZ18" s="398"/>
      <c r="HA18" s="398"/>
      <c r="HB18" s="398"/>
      <c r="HC18" s="398"/>
      <c r="HD18" s="398"/>
      <c r="HE18" s="398"/>
      <c r="HF18" s="398"/>
      <c r="HG18" s="398"/>
      <c r="HH18" s="398"/>
      <c r="HI18" s="398"/>
      <c r="HJ18" s="398"/>
      <c r="HK18" s="398"/>
      <c r="HL18" s="398"/>
      <c r="HM18" s="398"/>
      <c r="HN18" s="398"/>
      <c r="HO18" s="398"/>
      <c r="HP18" s="398"/>
      <c r="HQ18" s="398"/>
      <c r="HR18" s="398"/>
      <c r="HS18" s="398"/>
      <c r="HT18" s="398"/>
      <c r="HU18" s="398"/>
      <c r="HV18" s="398"/>
      <c r="HW18" s="398"/>
      <c r="HX18" s="398"/>
      <c r="HY18" s="398"/>
      <c r="HZ18" s="398"/>
      <c r="IA18" s="398"/>
      <c r="IB18" s="398"/>
      <c r="IC18" s="398"/>
      <c r="ID18" s="398"/>
      <c r="IE18" s="398"/>
      <c r="IF18" s="398"/>
      <c r="IG18" s="398"/>
      <c r="IH18" s="398"/>
      <c r="II18" s="398"/>
      <c r="IJ18" s="398"/>
      <c r="IK18" s="398"/>
      <c r="IL18" s="398"/>
      <c r="IM18" s="398"/>
      <c r="IN18" s="398"/>
      <c r="IO18" s="398"/>
      <c r="IP18" s="398"/>
      <c r="IQ18" s="398"/>
      <c r="IR18" s="398"/>
      <c r="IS18" s="398"/>
      <c r="IT18" s="398"/>
      <c r="IU18" s="398"/>
      <c r="IV18" s="398"/>
      <c r="IW18" s="398"/>
      <c r="IX18" s="398"/>
      <c r="IY18" s="398"/>
      <c r="IZ18" s="398"/>
      <c r="JA18" s="398"/>
    </row>
    <row r="19" spans="1:261" ht="9" customHeight="1">
      <c r="A19" s="500"/>
      <c r="B19" s="507"/>
      <c r="C19" s="507"/>
      <c r="D19" s="507"/>
      <c r="E19" s="507"/>
      <c r="F19" s="507"/>
      <c r="G19" s="507"/>
      <c r="H19" s="507"/>
      <c r="I19" s="507"/>
      <c r="J19" s="507"/>
      <c r="K19" s="507"/>
      <c r="L19" s="507"/>
      <c r="M19" s="507"/>
      <c r="N19" s="507"/>
      <c r="O19" s="507"/>
      <c r="P19" s="507"/>
      <c r="Q19" s="507"/>
      <c r="R19" s="507"/>
      <c r="S19" s="507"/>
      <c r="T19" s="507"/>
      <c r="U19" s="507"/>
      <c r="V19" s="507"/>
      <c r="W19" s="507"/>
      <c r="X19" s="507"/>
      <c r="Y19" s="507"/>
      <c r="Z19" s="507"/>
      <c r="AA19" s="507"/>
      <c r="AB19" s="507"/>
      <c r="AC19" s="507"/>
      <c r="AD19" s="507"/>
      <c r="AE19" s="507"/>
      <c r="AF19" s="507"/>
      <c r="AG19" s="507"/>
      <c r="AH19" s="507"/>
      <c r="AI19" s="507"/>
      <c r="AJ19" s="507"/>
      <c r="AK19" s="507"/>
      <c r="AL19" s="507"/>
      <c r="AM19" s="507"/>
      <c r="AN19" s="507"/>
      <c r="AO19" s="507"/>
      <c r="AP19" s="507"/>
      <c r="AQ19" s="507"/>
      <c r="AR19" s="507"/>
      <c r="AS19" s="507"/>
      <c r="AT19" s="507"/>
      <c r="AU19" s="507"/>
      <c r="AV19" s="507"/>
      <c r="AW19" s="507"/>
      <c r="AX19" s="507"/>
      <c r="AY19" s="507"/>
      <c r="AZ19" s="507"/>
      <c r="BA19" s="507"/>
      <c r="BB19" s="507"/>
      <c r="BC19" s="507"/>
      <c r="BD19" s="507"/>
      <c r="BE19" s="507"/>
      <c r="BF19" s="507"/>
      <c r="BG19" s="507"/>
      <c r="BH19" s="507"/>
      <c r="BI19" s="507"/>
      <c r="BJ19" s="507"/>
      <c r="BK19" s="507"/>
      <c r="BL19" s="507"/>
      <c r="BM19" s="507"/>
      <c r="BN19" s="507"/>
      <c r="BO19" s="507"/>
      <c r="BP19" s="507"/>
      <c r="BQ19" s="507"/>
      <c r="BR19" s="507"/>
      <c r="BS19" s="507"/>
      <c r="BT19" s="507"/>
      <c r="BU19" s="507"/>
      <c r="BV19" s="507"/>
      <c r="BW19" s="507"/>
      <c r="BX19" s="507"/>
      <c r="BY19" s="507"/>
      <c r="BZ19" s="507"/>
      <c r="CA19" s="507"/>
      <c r="CB19" s="507"/>
      <c r="CC19" s="507"/>
      <c r="CD19" s="507"/>
      <c r="CE19" s="507"/>
      <c r="CF19" s="507"/>
      <c r="CG19" s="507"/>
      <c r="CH19" s="507"/>
      <c r="CI19" s="507"/>
      <c r="CJ19" s="507"/>
      <c r="CK19" s="507"/>
      <c r="CL19" s="507"/>
      <c r="CM19" s="507"/>
      <c r="CN19" s="507"/>
      <c r="CO19" s="507"/>
      <c r="CP19" s="507"/>
      <c r="CQ19" s="507"/>
      <c r="CR19" s="507"/>
      <c r="CS19" s="507"/>
      <c r="CT19" s="507"/>
      <c r="CU19" s="507"/>
      <c r="CV19" s="507"/>
      <c r="CW19" s="507"/>
      <c r="CX19" s="507"/>
      <c r="CY19" s="507"/>
      <c r="CZ19" s="507"/>
      <c r="DA19" s="507"/>
      <c r="DB19" s="507"/>
      <c r="DC19" s="507"/>
      <c r="DD19" s="507"/>
      <c r="DE19" s="507"/>
      <c r="DF19" s="507"/>
      <c r="DG19" s="507"/>
      <c r="DH19" s="507"/>
      <c r="DI19" s="507"/>
      <c r="DJ19" s="507"/>
      <c r="DK19" s="507"/>
      <c r="DL19" s="507"/>
      <c r="DM19" s="507"/>
      <c r="DN19" s="507"/>
      <c r="DO19" s="507"/>
      <c r="DP19" s="507"/>
      <c r="DR19" s="507"/>
      <c r="DS19" s="507"/>
      <c r="DT19" s="507"/>
      <c r="DU19" s="507"/>
      <c r="DV19" s="507"/>
      <c r="DW19" s="507"/>
      <c r="DX19" s="507"/>
      <c r="DY19" s="507"/>
      <c r="DZ19" s="507"/>
      <c r="EA19" s="507"/>
      <c r="EB19" s="507"/>
      <c r="EC19" s="507"/>
      <c r="ED19" s="507"/>
      <c r="EE19" s="507"/>
      <c r="EF19" s="507"/>
      <c r="EG19" s="507"/>
      <c r="EH19" s="507"/>
      <c r="EI19" s="507"/>
      <c r="EJ19" s="507"/>
      <c r="EK19" s="507"/>
      <c r="EL19" s="507"/>
      <c r="EM19" s="507"/>
      <c r="EN19" s="507"/>
      <c r="EO19" s="507"/>
      <c r="EP19" s="507"/>
      <c r="EQ19" s="507"/>
      <c r="ER19" s="1463"/>
      <c r="ES19" s="1463"/>
      <c r="ET19" s="1463"/>
      <c r="EU19" s="1463"/>
      <c r="EV19" s="507"/>
      <c r="EW19" s="613"/>
      <c r="EX19" s="614"/>
      <c r="EY19" s="614"/>
      <c r="EZ19" s="614"/>
      <c r="FA19" s="614"/>
      <c r="FB19" s="614"/>
      <c r="FC19" s="614"/>
      <c r="FD19" s="614"/>
      <c r="FE19" s="614"/>
      <c r="FF19" s="614"/>
      <c r="FG19" s="614"/>
      <c r="FH19" s="614"/>
      <c r="FI19" s="614"/>
      <c r="FJ19" s="614"/>
      <c r="FK19" s="614"/>
      <c r="FL19" s="614"/>
      <c r="FM19" s="613"/>
      <c r="FN19" s="613"/>
      <c r="FO19" s="614"/>
      <c r="FP19" s="614"/>
      <c r="FQ19" s="613"/>
      <c r="FR19" s="613"/>
      <c r="FS19" s="614"/>
      <c r="FT19" s="614"/>
      <c r="FU19" s="614"/>
      <c r="FV19" s="614"/>
      <c r="FW19" s="614"/>
      <c r="FX19" s="614"/>
      <c r="FY19" s="614"/>
      <c r="FZ19" s="614"/>
      <c r="GA19" s="614"/>
      <c r="GB19" s="1264"/>
      <c r="GC19" s="614"/>
      <c r="GD19" s="1487"/>
    </row>
    <row r="20" spans="1:261" s="590" customFormat="1">
      <c r="A20" s="617" t="s">
        <v>443</v>
      </c>
      <c r="B20" s="618"/>
      <c r="C20" s="619">
        <f>INDEX('qtrP&amp;L'!$120:$120,MATCH(C$7,'qtrP&amp;L'!$6:$6,0))</f>
        <v>-6</v>
      </c>
      <c r="D20" s="619">
        <f>INDEX('qtrP&amp;L'!$121:$121,MATCH(C$7,'qtrP&amp;L'!$6:$6,0))</f>
        <v>18</v>
      </c>
      <c r="E20" s="619">
        <f>INDEX('qtrP&amp;L'!$122:$122,MATCH(C$7,'qtrP&amp;L'!$6:$6,0))</f>
        <v>28</v>
      </c>
      <c r="F20" s="619">
        <f>INDEX('qtrP&amp;L'!$123:$123,MATCH(C$7,'qtrP&amp;L'!$6:$6,0))</f>
        <v>18</v>
      </c>
      <c r="G20" s="619"/>
      <c r="H20" s="619">
        <f>INDEX('qtrP&amp;L'!$120:$120,MATCH(H$7,'qtrP&amp;L'!$6:$6,0))</f>
        <v>-3</v>
      </c>
      <c r="I20" s="619">
        <f>INDEX('qtrP&amp;L'!$121:$121,MATCH(H$7,'qtrP&amp;L'!$6:$6,0))</f>
        <v>22</v>
      </c>
      <c r="J20" s="619">
        <f>INDEX('qtrP&amp;L'!$122:$122,MATCH(H$7,'qtrP&amp;L'!$6:$6,0))</f>
        <v>41</v>
      </c>
      <c r="K20" s="619">
        <f>INDEX('qtrP&amp;L'!$123:$123,MATCH(H$7,'qtrP&amp;L'!$6:$6,0))</f>
        <v>38</v>
      </c>
      <c r="L20" s="619"/>
      <c r="M20" s="619">
        <f>INDEX('qtrP&amp;L'!$120:$120,MATCH(M$7,'qtrP&amp;L'!$6:$6,0))</f>
        <v>22</v>
      </c>
      <c r="N20" s="619">
        <f>INDEX('qtrP&amp;L'!$121:$121,MATCH(M$7,'qtrP&amp;L'!$6:$6,0))</f>
        <v>50</v>
      </c>
      <c r="O20" s="619">
        <f>INDEX('qtrP&amp;L'!$122:$122,MATCH(M$7,'qtrP&amp;L'!$6:$6,0))</f>
        <v>54</v>
      </c>
      <c r="P20" s="619">
        <f>INDEX('qtrP&amp;L'!$123:$123,MATCH(M$7,'qtrP&amp;L'!$6:$6,0))</f>
        <v>50</v>
      </c>
      <c r="Q20" s="619"/>
      <c r="R20" s="619">
        <f>INDEX('qtrP&amp;L'!$120:$120,MATCH(R$7,'qtrP&amp;L'!$6:$6,0))</f>
        <v>29</v>
      </c>
      <c r="S20" s="619">
        <f>INDEX('qtrP&amp;L'!$121:$121,MATCH(R$7,'qtrP&amp;L'!$6:$6,0))</f>
        <v>35</v>
      </c>
      <c r="T20" s="619">
        <f>INDEX('qtrP&amp;L'!$122:$122,MATCH(R$7,'qtrP&amp;L'!$6:$6,0))</f>
        <v>39</v>
      </c>
      <c r="U20" s="619">
        <f>INDEX('qtrP&amp;L'!$123:$123,MATCH(R$7,'qtrP&amp;L'!$6:$6,0))</f>
        <v>29</v>
      </c>
      <c r="V20" s="619"/>
      <c r="W20" s="619">
        <f>INDEX('qtrP&amp;L'!$120:$120,MATCH(W$7,'qtrP&amp;L'!$6:$6,0))</f>
        <v>14</v>
      </c>
      <c r="X20" s="619">
        <f>INDEX('qtrP&amp;L'!$121:$121,MATCH(W$7,'qtrP&amp;L'!$6:$6,0))</f>
        <v>28</v>
      </c>
      <c r="Y20" s="619">
        <f>INDEX('qtrP&amp;L'!$122:$122,MATCH(W$7,'qtrP&amp;L'!$6:$6,0))</f>
        <v>29</v>
      </c>
      <c r="Z20" s="619">
        <f>INDEX('qtrP&amp;L'!$123:$123,MATCH(W$7,'qtrP&amp;L'!$6:$6,0))</f>
        <v>2</v>
      </c>
      <c r="AA20" s="619"/>
      <c r="AB20" s="619">
        <f>INDEX('qtrP&amp;L'!$120:$120,MATCH(AB$7,'qtrP&amp;L'!$6:$6,0))</f>
        <v>-17</v>
      </c>
      <c r="AC20" s="619">
        <f>INDEX('qtrP&amp;L'!$121:$121,MATCH(AB$7,'qtrP&amp;L'!$6:$6,0))</f>
        <v>26</v>
      </c>
      <c r="AD20" s="619">
        <f>INDEX('qtrP&amp;L'!$122:$122,MATCH(AB$7,'qtrP&amp;L'!$6:$6,0))</f>
        <v>48</v>
      </c>
      <c r="AE20" s="619">
        <f>INDEX('qtrP&amp;L'!$123:$123,MATCH(AB$7,'qtrP&amp;L'!$6:$6,0))</f>
        <v>36</v>
      </c>
      <c r="AF20" s="619"/>
      <c r="AG20" s="619">
        <f>INDEX('qtrP&amp;L'!$120:$120,MATCH(AG$7,'qtrP&amp;L'!$6:$6,0))</f>
        <v>17</v>
      </c>
      <c r="AH20" s="619">
        <f>INDEX('qtrP&amp;L'!$121:$121,MATCH(AG$7,'qtrP&amp;L'!$6:$6,0))</f>
        <v>48</v>
      </c>
      <c r="AI20" s="619">
        <f>INDEX('qtrP&amp;L'!$122:$122,MATCH(AG$7,'qtrP&amp;L'!$6:$6,0))</f>
        <v>58</v>
      </c>
      <c r="AJ20" s="619">
        <f>INDEX('qtrP&amp;L'!$123:$123,MATCH(AG$7,'qtrP&amp;L'!$6:$6,0))</f>
        <v>59.8</v>
      </c>
      <c r="AK20" s="619"/>
      <c r="AL20" s="619">
        <f>INDEX('qtrP&amp;L'!$120:$120,MATCH(AL$7,'qtrP&amp;L'!$6:$6,0))</f>
        <v>23</v>
      </c>
      <c r="AM20" s="619">
        <f>INDEX('qtrP&amp;L'!$121:$121,MATCH(AL$7,'qtrP&amp;L'!$6:$6,0))</f>
        <v>62</v>
      </c>
      <c r="AN20" s="619">
        <f>INDEX('qtrP&amp;L'!$122:$122,MATCH(AL$7,'qtrP&amp;L'!$6:$6,0))</f>
        <v>92</v>
      </c>
      <c r="AO20" s="619">
        <f>INDEX('qtrP&amp;L'!$123:$123,MATCH(AL$7,'qtrP&amp;L'!$6:$6,0))</f>
        <v>101</v>
      </c>
      <c r="AP20" s="619"/>
      <c r="AQ20" s="619">
        <f>INDEX('qtrP&amp;L'!$120:$120,MATCH(AQ$7,'qtrP&amp;L'!$6:$6,0))</f>
        <v>81</v>
      </c>
      <c r="AR20" s="619">
        <f>INDEX('qtrP&amp;L'!$121:$121,MATCH(AQ$7,'qtrP&amp;L'!$6:$6,0))</f>
        <v>122</v>
      </c>
      <c r="AS20" s="619">
        <f>INDEX('qtrP&amp;L'!$122:$122,MATCH(AQ$7,'qtrP&amp;L'!$6:$6,0))</f>
        <v>152</v>
      </c>
      <c r="AT20" s="619">
        <f>INDEX('qtrP&amp;L'!$123:$123,MATCH(AQ$7,'qtrP&amp;L'!$6:$6,0))</f>
        <v>192</v>
      </c>
      <c r="AU20" s="619"/>
      <c r="AV20" s="619">
        <f>INDEX('qtrP&amp;L'!$120:$120,MATCH(AV$7,'qtrP&amp;L'!$6:$6,0))</f>
        <v>93</v>
      </c>
      <c r="AW20" s="619">
        <f>INDEX('qtrP&amp;L'!$121:$121,MATCH(AV$7,'qtrP&amp;L'!$6:$6,0))</f>
        <v>115</v>
      </c>
      <c r="AX20" s="619">
        <f>INDEX('qtrP&amp;L'!$122:$122,MATCH(AV$7,'qtrP&amp;L'!$6:$6,0))</f>
        <v>142</v>
      </c>
      <c r="AY20" s="619">
        <f>INDEX('qtrP&amp;L'!$123:$123,MATCH(AV$7,'qtrP&amp;L'!$6:$6,0))</f>
        <v>130</v>
      </c>
      <c r="AZ20" s="619"/>
      <c r="BA20" s="619">
        <f>INDEX('qtrP&amp;L'!$120:$120,MATCH(BA$7,'qtrP&amp;L'!$6:$6,0))</f>
        <v>33</v>
      </c>
      <c r="BB20" s="619">
        <f>INDEX('qtrP&amp;L'!$121:$121,MATCH(BA$7,'qtrP&amp;L'!$6:$6,0))</f>
        <v>61</v>
      </c>
      <c r="BC20" s="619">
        <f>INDEX('qtrP&amp;L'!$122:$122,MATCH(BA$7,'qtrP&amp;L'!$6:$6,0))</f>
        <v>82</v>
      </c>
      <c r="BD20" s="619">
        <f>INDEX('qtrP&amp;L'!$123:$123,MATCH(BA$7,'qtrP&amp;L'!$6:$6,0))</f>
        <v>118</v>
      </c>
      <c r="BE20" s="619"/>
      <c r="BF20" s="619">
        <f>INDEX('qtrP&amp;L'!$120:$120,MATCH(BF$7,'qtrP&amp;L'!$6:$6,0))</f>
        <v>113</v>
      </c>
      <c r="BG20" s="619">
        <f>INDEX('qtrP&amp;L'!$121:$121,MATCH(BF$7,'qtrP&amp;L'!$6:$6,0))</f>
        <v>102</v>
      </c>
      <c r="BH20" s="619">
        <f>INDEX('qtrP&amp;L'!$122:$122,MATCH(BF$7,'qtrP&amp;L'!$6:$6,0))</f>
        <v>110</v>
      </c>
      <c r="BI20" s="619">
        <f>INDEX('qtrP&amp;L'!$123:$123,MATCH(BF$7,'qtrP&amp;L'!$6:$6,0))</f>
        <v>102</v>
      </c>
      <c r="BJ20" s="619"/>
      <c r="BK20" s="619">
        <f>INDEX('qtrP&amp;L'!$120:$120,MATCH(BK$7,'qtrP&amp;L'!$6:$6,0))</f>
        <v>64</v>
      </c>
      <c r="BL20" s="619">
        <f>INDEX('qtrP&amp;L'!$121:$121,MATCH(BK$7,'qtrP&amp;L'!$6:$6,0))</f>
        <v>51</v>
      </c>
      <c r="BM20" s="619">
        <f>INDEX('qtrP&amp;L'!$122:$122,MATCH(BK$7,'qtrP&amp;L'!$6:$6,0))</f>
        <v>57</v>
      </c>
      <c r="BN20" s="619">
        <f>INDEX('qtrP&amp;L'!$123:$123,MATCH(BK$7,'qtrP&amp;L'!$6:$6,0))</f>
        <v>59</v>
      </c>
      <c r="BO20" s="619"/>
      <c r="BP20" s="619">
        <f>INDEX('qtrP&amp;L'!$120:$120,MATCH(BP$7,'qtrP&amp;L'!$6:$6,0))</f>
        <v>54</v>
      </c>
      <c r="BQ20" s="619">
        <f>INDEX('qtrP&amp;L'!$121:$121,MATCH(BP$7,'qtrP&amp;L'!$6:$6,0))</f>
        <v>52</v>
      </c>
      <c r="BR20" s="619">
        <f>INDEX('qtrP&amp;L'!$122:$122,MATCH(BP$7,'qtrP&amp;L'!$6:$6,0))</f>
        <v>58</v>
      </c>
      <c r="BS20" s="619">
        <f>INDEX('qtrP&amp;L'!$123:$123,MATCH(BP$7,'qtrP&amp;L'!$6:$6,0))</f>
        <v>62</v>
      </c>
      <c r="BT20" s="619"/>
      <c r="BU20" s="619">
        <f>INDEX('qtrP&amp;L'!$120:$120,MATCH(BU$7,'qtrP&amp;L'!$6:$6,0))</f>
        <v>61</v>
      </c>
      <c r="BV20" s="619">
        <f>INDEX('qtrP&amp;L'!$121:$121,MATCH(BU$7,'qtrP&amp;L'!$6:$6,0))</f>
        <v>67</v>
      </c>
      <c r="BW20" s="619">
        <f>INDEX('qtrP&amp;L'!$122:$122,MATCH(BU$7,'qtrP&amp;L'!$6:$6,0))</f>
        <v>62</v>
      </c>
      <c r="BX20" s="619">
        <f>INDEX('qtrP&amp;L'!$123:$123,MATCH(BU$7,'qtrP&amp;L'!$6:$6,0))</f>
        <v>57</v>
      </c>
      <c r="BY20" s="619"/>
      <c r="BZ20" s="619">
        <f>INDEX('qtrP&amp;L'!$120:$120,MATCH(BZ$7,'qtrP&amp;L'!$6:$6,0))</f>
        <v>54</v>
      </c>
      <c r="CA20" s="619">
        <f>INDEX('qtrP&amp;L'!$121:$121,MATCH(BZ$7,'qtrP&amp;L'!$6:$6,0))</f>
        <v>48</v>
      </c>
      <c r="CB20" s="619">
        <f>INDEX('qtrP&amp;L'!$122:$122,MATCH(BZ$7,'qtrP&amp;L'!$6:$6,0))</f>
        <v>68</v>
      </c>
      <c r="CC20" s="619">
        <f>INDEX('qtrP&amp;L'!$123:$123,MATCH(BZ$7,'qtrP&amp;L'!$6:$6,0))</f>
        <v>53</v>
      </c>
      <c r="CD20" s="619"/>
      <c r="CE20" s="619">
        <f>INDEX('qtrP&amp;L'!$120:$120,MATCH(CE$7,'qtrP&amp;L'!$6:$6,0))</f>
        <v>49</v>
      </c>
      <c r="CF20" s="619">
        <f>INDEX('qtrP&amp;L'!$121:$121,MATCH(CE$7,'qtrP&amp;L'!$6:$6,0))</f>
        <v>40</v>
      </c>
      <c r="CG20" s="619">
        <f>INDEX('qtrP&amp;L'!$122:$122,MATCH(CE$7,'qtrP&amp;L'!$6:$6,0))</f>
        <v>41</v>
      </c>
      <c r="CH20" s="619">
        <f>INDEX('qtrP&amp;L'!$123:$123,MATCH(CE$7,'qtrP&amp;L'!$6:$6,0))</f>
        <v>39</v>
      </c>
      <c r="CI20" s="619"/>
      <c r="CJ20" s="619">
        <f>INDEX('qtrP&amp;L'!$120:$120,MATCH(CJ$7,'qtrP&amp;L'!$6:$6,0))</f>
        <v>34</v>
      </c>
      <c r="CK20" s="619">
        <f>INDEX('qtrP&amp;L'!$121:$121,MATCH(CJ$7,'qtrP&amp;L'!$6:$6,0))</f>
        <v>32</v>
      </c>
      <c r="CL20" s="619">
        <f>INDEX('qtrP&amp;L'!$122:$122,MATCH(CJ$7,'qtrP&amp;L'!$6:$6,0))</f>
        <v>36</v>
      </c>
      <c r="CM20" s="619">
        <f>INDEX('qtrP&amp;L'!$123:$123,MATCH(CJ$7,'qtrP&amp;L'!$6:$6,0))</f>
        <v>28</v>
      </c>
      <c r="CN20" s="619"/>
      <c r="CO20" s="619">
        <f>INDEX('qtrP&amp;L'!$120:$120,MATCH(CO$7,'qtrP&amp;L'!$6:$6,0))</f>
        <v>32</v>
      </c>
      <c r="CP20" s="619">
        <f>INDEX('qtrP&amp;L'!$121:$121,MATCH(CO$7,'qtrP&amp;L'!$6:$6,0))</f>
        <v>37</v>
      </c>
      <c r="CQ20" s="619">
        <f>INDEX('qtrP&amp;L'!$122:$122,MATCH(CO$7,'qtrP&amp;L'!$6:$6,0))</f>
        <v>41</v>
      </c>
      <c r="CR20" s="619">
        <f>INDEX('qtrP&amp;L'!$123:$123,MATCH(CO$7,'qtrP&amp;L'!$6:$6,0))</f>
        <v>43</v>
      </c>
      <c r="CS20" s="619"/>
      <c r="CT20" s="619">
        <f>INDEX('qtrP&amp;L'!$120:$120,MATCH(CT$7,'qtrP&amp;L'!$6:$6,0))</f>
        <v>53</v>
      </c>
      <c r="CU20" s="619">
        <f>INDEX('qtrP&amp;L'!$121:$121,MATCH(CT$7,'qtrP&amp;L'!$6:$6,0))</f>
        <v>55</v>
      </c>
      <c r="CV20" s="619">
        <f>INDEX('qtrP&amp;L'!$122:$122,MATCH(CT$7,'qtrP&amp;L'!$6:$6,0))</f>
        <v>56</v>
      </c>
      <c r="CW20" s="619">
        <f>INDEX('qtrP&amp;L'!$123:$123,MATCH(CT$7,'qtrP&amp;L'!$6:$6,0))</f>
        <v>61</v>
      </c>
      <c r="CX20" s="619"/>
      <c r="CY20" s="619">
        <f>INDEX('qtrP&amp;L'!$120:$120,MATCH(CY$7,'qtrP&amp;L'!$6:$6,0))</f>
        <v>63</v>
      </c>
      <c r="CZ20" s="619">
        <f>INDEX('qtrP&amp;L'!$121:$121,MATCH(CY$7,'qtrP&amp;L'!$6:$6,0))</f>
        <v>68</v>
      </c>
      <c r="DA20" s="619">
        <f>INDEX('qtrP&amp;L'!$122:$122,MATCH(CY$7,'qtrP&amp;L'!$6:$6,0))</f>
        <v>64</v>
      </c>
      <c r="DB20" s="619">
        <f>INDEX('qtrP&amp;L'!$123:$123,MATCH(CY$7,'qtrP&amp;L'!$6:$6,0))</f>
        <v>65</v>
      </c>
      <c r="DC20" s="619"/>
      <c r="DD20" s="619">
        <f>INDEX('qtrP&amp;L'!$120:$120,MATCH(DD$7,'qtrP&amp;L'!$6:$6,0))</f>
        <v>59</v>
      </c>
      <c r="DE20" s="619">
        <f>INDEX('qtrP&amp;L'!$121:$121,MATCH(DD$7,'qtrP&amp;L'!$6:$6,0))</f>
        <v>57</v>
      </c>
      <c r="DF20" s="619">
        <f>INDEX('qtrP&amp;L'!$122:$122,MATCH(DD$7,'qtrP&amp;L'!$6:$6,0))</f>
        <v>57</v>
      </c>
      <c r="DG20" s="619">
        <f>INDEX('qtrP&amp;L'!$123:$123,MATCH(DD$7,'qtrP&amp;L'!$6:$6,0))</f>
        <v>58</v>
      </c>
      <c r="DH20" s="619"/>
      <c r="DI20" s="619">
        <f>INDEX('qtrP&amp;L'!$120:$120,MATCH(DI$7,'qtrP&amp;L'!$6:$6,0))</f>
        <v>58</v>
      </c>
      <c r="DJ20" s="619">
        <f>INDEX('qtrP&amp;L'!$121:$121,MATCH(DI$7,'qtrP&amp;L'!$6:$6,0))</f>
        <v>56.678373073677903</v>
      </c>
      <c r="DK20" s="619">
        <f>INDEX('qtrP&amp;L'!$122:$122,MATCH(DI$7,'qtrP&amp;L'!$6:$6,0))</f>
        <v>55</v>
      </c>
      <c r="DL20" s="619">
        <f>INDEX('qtrP&amp;L'!$123:$123,MATCH(DI$7,'qtrP&amp;L'!$6:$6,0))</f>
        <v>57</v>
      </c>
      <c r="DM20" s="619"/>
      <c r="DN20" s="619">
        <f>INDEX('qtrP&amp;L'!$120:$120,MATCH(DN$7,'qtrP&amp;L'!$6:$6,0))</f>
        <v>56</v>
      </c>
      <c r="DO20" s="619">
        <f>INDEX('qtrP&amp;L'!$121:$121,MATCH(DN$7,'qtrP&amp;L'!$6:$6,0))</f>
        <v>58</v>
      </c>
      <c r="DP20" s="619">
        <f>INDEX('qtrP&amp;L'!$122:$122,MATCH(DN$7,'qtrP&amp;L'!$6:$6,0))</f>
        <v>55</v>
      </c>
      <c r="DQ20" s="619">
        <f>INDEX('qtrP&amp;L'!$123:$123,MATCH(DN$7,'qtrP&amp;L'!$6:$6,0))</f>
        <v>57</v>
      </c>
      <c r="DR20" s="619"/>
      <c r="DS20" s="619">
        <f>INDEX('qtrP&amp;L'!$120:$120,MATCH(DS$7,'qtrP&amp;L'!$6:$6,0))</f>
        <v>61</v>
      </c>
      <c r="DT20" s="619">
        <f>INDEX('qtrP&amp;L'!$121:$121,MATCH(DS$7,'qtrP&amp;L'!$6:$6,0))</f>
        <v>95</v>
      </c>
      <c r="DU20" s="619">
        <f>INDEX('qtrP&amp;L'!$122:$122,MATCH(DS$7,'qtrP&amp;L'!$6:$6,0))</f>
        <v>99</v>
      </c>
      <c r="DV20" s="619">
        <f>INDEX('qtrP&amp;L'!$123:$123,MATCH(DS$7,'qtrP&amp;L'!$6:$6,0))</f>
        <v>97</v>
      </c>
      <c r="DW20" s="619"/>
      <c r="DX20" s="619">
        <f>INDEX('qtrP&amp;L'!$120:$120,MATCH(DX$7,'qtrP&amp;L'!$6:$6,0))</f>
        <v>97</v>
      </c>
      <c r="DY20" s="619">
        <f>INDEX('qtrP&amp;L'!$121:$121,MATCH(DX$7,'qtrP&amp;L'!$6:$6,0))</f>
        <v>106</v>
      </c>
      <c r="DZ20" s="619">
        <f>INDEX('qtrP&amp;L'!$122:$122,MATCH(DX$7,'qtrP&amp;L'!$6:$6,0))</f>
        <v>103</v>
      </c>
      <c r="EA20" s="619">
        <f>INDEX('qtrP&amp;L'!$123:$123,MATCH(DX$7,'qtrP&amp;L'!$6:$6,0))</f>
        <v>100</v>
      </c>
      <c r="EB20" s="619"/>
      <c r="EC20" s="619">
        <f>INDEX('qtrP&amp;L'!$120:$120,MATCH(EC$7,'qtrP&amp;L'!$6:$6,0))</f>
        <v>98</v>
      </c>
      <c r="ED20" s="619">
        <f>INDEX('qtrP&amp;L'!$121:$121,MATCH(EC$7,'qtrP&amp;L'!$6:$6,0))</f>
        <v>103</v>
      </c>
      <c r="EE20" s="619">
        <f>INDEX('qtrP&amp;L'!$122:$122,MATCH(EC$7,'qtrP&amp;L'!$6:$6,0))</f>
        <v>102</v>
      </c>
      <c r="EF20" s="619">
        <f>INDEX('qtrP&amp;L'!$123:$123,MATCH(EC$7,'qtrP&amp;L'!$6:$6,0))</f>
        <v>102</v>
      </c>
      <c r="EG20" s="619"/>
      <c r="EH20" s="619">
        <f>INDEX('qtrP&amp;L'!$120:$120,MATCH(EH$7,'qtrP&amp;L'!$6:$6,0))</f>
        <v>95</v>
      </c>
      <c r="EI20" s="619">
        <f>INDEX('qtrP&amp;L'!$121:$121,MATCH(EH$7,'qtrP&amp;L'!$6:$6,0))</f>
        <v>93</v>
      </c>
      <c r="EJ20" s="619">
        <f>INDEX('qtrP&amp;L'!$122:$122,MATCH(EH$7,'qtrP&amp;L'!$6:$6,0))</f>
        <v>87</v>
      </c>
      <c r="EK20" s="619">
        <f>INDEX('qtrP&amp;L'!$123:$123,MATCH(EH$7,'qtrP&amp;L'!$6:$6,0))</f>
        <v>88</v>
      </c>
      <c r="EL20" s="619"/>
      <c r="EM20" s="619">
        <f>INDEX('qtrP&amp;L'!$120:$120,MATCH(EM$7,'qtrP&amp;L'!$6:$6,0))</f>
        <v>87</v>
      </c>
      <c r="EN20" s="619">
        <f>INDEX('qtrP&amp;L'!$121:$121,MATCH(EM$7,'qtrP&amp;L'!$6:$6,0))</f>
        <v>79</v>
      </c>
      <c r="EO20" s="619">
        <f>INDEX('qtrP&amp;L'!$122:$122,MATCH(EM$7,'qtrP&amp;L'!$6:$6,0))</f>
        <v>78</v>
      </c>
      <c r="EP20" s="619">
        <f>INDEX('qtrP&amp;L'!$123:$123,MATCH(EM$7,'qtrP&amp;L'!$6:$6,0))</f>
        <v>81</v>
      </c>
      <c r="EQ20" s="619"/>
      <c r="ER20" s="1466">
        <f>INDEX('qtrP&amp;L'!$120:$120,MATCH(ER$7,'qtrP&amp;L'!$6:$6,0))</f>
        <v>77</v>
      </c>
      <c r="ES20" s="1466">
        <f>INDEX('qtrP&amp;L'!$121:$121,MATCH(ER$7,'qtrP&amp;L'!$6:$6,0))</f>
        <v>75</v>
      </c>
      <c r="ET20" s="1466">
        <f>INDEX('qtrP&amp;L'!$122:$122,MATCH(ER$7,'qtrP&amp;L'!$6:$6,0))</f>
        <v>75</v>
      </c>
      <c r="EU20" s="1466">
        <f>INDEX('qtrP&amp;L'!$123:$123,MATCH(ER$7,'qtrP&amp;L'!$6:$6,0))</f>
        <v>73</v>
      </c>
      <c r="EV20" s="507"/>
      <c r="EW20" s="620">
        <f t="shared" ref="EW20:FF21" si="16">SUMIF($A$6:$DQ$6,EW$7,$A20:$DQ20)</f>
        <v>58</v>
      </c>
      <c r="EX20" s="621">
        <f t="shared" si="16"/>
        <v>98</v>
      </c>
      <c r="EY20" s="621">
        <f t="shared" si="16"/>
        <v>176</v>
      </c>
      <c r="EZ20" s="621">
        <f t="shared" si="16"/>
        <v>132</v>
      </c>
      <c r="FA20" s="621">
        <f t="shared" si="16"/>
        <v>73</v>
      </c>
      <c r="FB20" s="621">
        <f t="shared" si="16"/>
        <v>93</v>
      </c>
      <c r="FC20" s="621">
        <f t="shared" si="16"/>
        <v>182.8</v>
      </c>
      <c r="FD20" s="621">
        <f t="shared" si="16"/>
        <v>278</v>
      </c>
      <c r="FE20" s="621">
        <f t="shared" si="16"/>
        <v>547</v>
      </c>
      <c r="FF20" s="621">
        <f t="shared" si="16"/>
        <v>480</v>
      </c>
      <c r="FG20" s="621">
        <f t="shared" ref="FG20:FT21" si="17">SUMIF($A$6:$DQ$6,FG$7,$A20:$DQ20)</f>
        <v>294</v>
      </c>
      <c r="FH20" s="621">
        <f t="shared" si="17"/>
        <v>427</v>
      </c>
      <c r="FI20" s="621">
        <f t="shared" si="17"/>
        <v>231</v>
      </c>
      <c r="FJ20" s="621">
        <f t="shared" si="17"/>
        <v>226</v>
      </c>
      <c r="FK20" s="621">
        <f t="shared" si="17"/>
        <v>247</v>
      </c>
      <c r="FL20" s="621">
        <f t="shared" si="17"/>
        <v>223</v>
      </c>
      <c r="FM20" s="620">
        <f t="shared" si="17"/>
        <v>169</v>
      </c>
      <c r="FN20" s="620">
        <f t="shared" si="17"/>
        <v>130</v>
      </c>
      <c r="FO20" s="621">
        <f t="shared" si="17"/>
        <v>153</v>
      </c>
      <c r="FP20" s="621">
        <f t="shared" si="17"/>
        <v>225</v>
      </c>
      <c r="FQ20" s="620">
        <f t="shared" si="17"/>
        <v>260</v>
      </c>
      <c r="FR20" s="620">
        <f t="shared" si="17"/>
        <v>231</v>
      </c>
      <c r="FS20" s="621">
        <f t="shared" si="17"/>
        <v>226.6783730736779</v>
      </c>
      <c r="FT20" s="621">
        <f t="shared" si="17"/>
        <v>226</v>
      </c>
      <c r="FU20" s="621">
        <f>'yrP&amp;L'!AB47</f>
        <v>352</v>
      </c>
      <c r="FV20" s="621">
        <f>'yrP&amp;L'!AC47</f>
        <v>406</v>
      </c>
      <c r="FW20" s="621">
        <f>'yrP&amp;L'!AD47</f>
        <v>405</v>
      </c>
      <c r="FX20" s="621">
        <f>'yrP&amp;L'!AE47</f>
        <v>363</v>
      </c>
      <c r="FY20" s="621">
        <f>'yrP&amp;L'!AF47</f>
        <v>325</v>
      </c>
      <c r="FZ20" s="621">
        <f>'yrP&amp;L'!AG47</f>
        <v>300</v>
      </c>
      <c r="GA20" s="621">
        <f>'yrP&amp;L'!AH47</f>
        <v>280</v>
      </c>
      <c r="GB20" s="1266">
        <f>'yrP&amp;L'!AI47</f>
        <v>270</v>
      </c>
      <c r="GC20" s="621">
        <f>'yrP&amp;L'!AJ47</f>
        <v>260</v>
      </c>
      <c r="GD20" s="1489">
        <f>'yrP&amp;L'!AK47</f>
        <v>248</v>
      </c>
      <c r="GF20"/>
      <c r="GG20"/>
      <c r="GH20"/>
      <c r="GI20"/>
      <c r="GJ20"/>
      <c r="GK20"/>
      <c r="GL20" s="398"/>
      <c r="GM20" s="398"/>
      <c r="GN20" s="398"/>
      <c r="GO20" s="398"/>
      <c r="GP20" s="398"/>
      <c r="GQ20" s="398"/>
      <c r="GR20" s="398"/>
      <c r="GS20" s="398"/>
      <c r="GT20" s="398"/>
      <c r="GU20" s="398"/>
      <c r="GV20" s="398"/>
      <c r="GW20" s="398"/>
      <c r="GX20" s="398"/>
      <c r="GY20" s="398"/>
      <c r="GZ20" s="398"/>
      <c r="HA20" s="398"/>
      <c r="HB20" s="398"/>
      <c r="HC20" s="398"/>
      <c r="HD20" s="398"/>
      <c r="HE20" s="398"/>
      <c r="HF20" s="398"/>
      <c r="HG20" s="398"/>
      <c r="HH20" s="398"/>
      <c r="HI20" s="398"/>
      <c r="HJ20" s="398"/>
      <c r="HK20" s="398"/>
      <c r="HL20" s="398"/>
      <c r="HM20" s="398"/>
      <c r="HN20" s="398"/>
      <c r="HO20" s="398"/>
      <c r="HP20" s="398"/>
      <c r="HQ20" s="398"/>
      <c r="HR20" s="398"/>
      <c r="HS20" s="398"/>
      <c r="HT20" s="398"/>
      <c r="HU20" s="398"/>
      <c r="HV20" s="398"/>
      <c r="HW20" s="398"/>
      <c r="HX20" s="398"/>
      <c r="HY20" s="398"/>
      <c r="HZ20" s="398"/>
      <c r="IA20" s="398"/>
      <c r="IB20" s="398"/>
      <c r="IC20" s="398"/>
      <c r="ID20" s="398"/>
      <c r="IE20" s="398"/>
      <c r="IF20" s="398"/>
      <c r="IG20" s="398"/>
      <c r="IH20" s="398"/>
      <c r="II20" s="398"/>
      <c r="IJ20" s="398"/>
      <c r="IK20" s="398"/>
      <c r="IL20" s="398"/>
      <c r="IM20" s="398"/>
      <c r="IN20" s="398"/>
      <c r="IO20" s="398"/>
      <c r="IP20" s="398"/>
      <c r="IQ20" s="398"/>
      <c r="IR20" s="398"/>
      <c r="IS20" s="398"/>
      <c r="IT20" s="398"/>
      <c r="IU20" s="398"/>
      <c r="IV20" s="398"/>
      <c r="IW20" s="398"/>
      <c r="IX20" s="398"/>
      <c r="IY20" s="398"/>
      <c r="IZ20" s="398"/>
      <c r="JA20" s="398"/>
    </row>
    <row r="21" spans="1:261" s="590" customFormat="1" hidden="1" outlineLevel="1">
      <c r="A21" s="617" t="s">
        <v>444</v>
      </c>
      <c r="B21" s="618"/>
      <c r="C21" s="619">
        <f>INDEX('qtrP&amp;L'!$130:$130,MATCH(C$7,'qtrP&amp;L'!$6:$6,0))</f>
        <v>8</v>
      </c>
      <c r="D21" s="619">
        <f>INDEX('qtrP&amp;L'!$131:$131,MATCH(C$7,'qtrP&amp;L'!$6:$6,0))</f>
        <v>-10</v>
      </c>
      <c r="E21" s="619">
        <f>INDEX('qtrP&amp;L'!$132:$132,MATCH(C$7,'qtrP&amp;L'!$6:$6,0))</f>
        <v>-15</v>
      </c>
      <c r="F21" s="619">
        <f>INDEX('qtrP&amp;L'!$133:$133,MATCH(C$7,'qtrP&amp;L'!$6:$6,0))</f>
        <v>-57</v>
      </c>
      <c r="G21" s="619"/>
      <c r="H21" s="619">
        <f>INDEX('qtrP&amp;L'!$130:$130,MATCH(H$7,'qtrP&amp;L'!$6:$6,0))</f>
        <v>-10</v>
      </c>
      <c r="I21" s="619">
        <f>INDEX('qtrP&amp;L'!$131:$131,MATCH(H$7,'qtrP&amp;L'!$6:$6,0))</f>
        <v>-11</v>
      </c>
      <c r="J21" s="619">
        <f>INDEX('qtrP&amp;L'!$132:$132,MATCH(H$7,'qtrP&amp;L'!$6:$6,0))</f>
        <v>2</v>
      </c>
      <c r="K21" s="619">
        <f>INDEX('qtrP&amp;L'!$133:$133,MATCH(H$7,'qtrP&amp;L'!$6:$6,0))</f>
        <v>-3</v>
      </c>
      <c r="L21" s="619"/>
      <c r="M21" s="619">
        <f>INDEX('qtrP&amp;L'!$130:$130,MATCH(M$7,'qtrP&amp;L'!$6:$6,0))</f>
        <v>-11</v>
      </c>
      <c r="N21" s="619">
        <f>INDEX('qtrP&amp;L'!$131:$131,MATCH(M$7,'qtrP&amp;L'!$6:$6,0))</f>
        <v>-15</v>
      </c>
      <c r="O21" s="619">
        <f>INDEX('qtrP&amp;L'!$132:$132,MATCH(M$7,'qtrP&amp;L'!$6:$6,0))</f>
        <v>-14</v>
      </c>
      <c r="P21" s="619">
        <f>INDEX('qtrP&amp;L'!$133:$133,MATCH(M$7,'qtrP&amp;L'!$6:$6,0))</f>
        <v>-142</v>
      </c>
      <c r="Q21" s="619"/>
      <c r="R21" s="619">
        <f>INDEX('qtrP&amp;L'!$130:$130,MATCH(R$7,'qtrP&amp;L'!$6:$6,0))</f>
        <v>-29</v>
      </c>
      <c r="S21" s="619">
        <f>INDEX('qtrP&amp;L'!$131:$131,MATCH(R$7,'qtrP&amp;L'!$6:$6,0))</f>
        <v>-28</v>
      </c>
      <c r="T21" s="619">
        <f>INDEX('qtrP&amp;L'!$132:$132,MATCH(R$7,'qtrP&amp;L'!$6:$6,0))</f>
        <v>-33</v>
      </c>
      <c r="U21" s="619">
        <f>INDEX('qtrP&amp;L'!$133:$133,MATCH(R$7,'qtrP&amp;L'!$6:$6,0))</f>
        <v>-67</v>
      </c>
      <c r="V21" s="619"/>
      <c r="W21" s="619">
        <f>INDEX('qtrP&amp;L'!$130:$130,MATCH(W$7,'qtrP&amp;L'!$6:$6,0))</f>
        <v>-35</v>
      </c>
      <c r="X21" s="619">
        <f>INDEX('qtrP&amp;L'!$131:$131,MATCH(W$7,'qtrP&amp;L'!$6:$6,0))</f>
        <v>-39</v>
      </c>
      <c r="Y21" s="619">
        <f>INDEX('qtrP&amp;L'!$132:$132,MATCH(W$7,'qtrP&amp;L'!$6:$6,0))</f>
        <v>-38</v>
      </c>
      <c r="Z21" s="619">
        <f>INDEX('qtrP&amp;L'!$133:$133,MATCH(W$7,'qtrP&amp;L'!$6:$6,0))</f>
        <v>-73</v>
      </c>
      <c r="AA21" s="619"/>
      <c r="AB21" s="619">
        <f>INDEX('qtrP&amp;L'!$130:$130,MATCH(AB$7,'qtrP&amp;L'!$6:$6,0))</f>
        <v>-43</v>
      </c>
      <c r="AC21" s="619">
        <f>INDEX('qtrP&amp;L'!$131:$131,MATCH(AB$7,'qtrP&amp;L'!$6:$6,0))</f>
        <v>-38</v>
      </c>
      <c r="AD21" s="619">
        <f>INDEX('qtrP&amp;L'!$132:$132,MATCH(AB$7,'qtrP&amp;L'!$6:$6,0))</f>
        <v>-38</v>
      </c>
      <c r="AE21" s="619">
        <f>INDEX('qtrP&amp;L'!$133:$133,MATCH(AB$7,'qtrP&amp;L'!$6:$6,0))</f>
        <v>-45</v>
      </c>
      <c r="AF21" s="619"/>
      <c r="AG21" s="619">
        <f>INDEX('qtrP&amp;L'!$130:$130,MATCH(AG$7,'qtrP&amp;L'!$6:$6,0))</f>
        <v>-48</v>
      </c>
      <c r="AH21" s="619">
        <f>INDEX('qtrP&amp;L'!$131:$131,MATCH(AG$7,'qtrP&amp;L'!$6:$6,0))</f>
        <v>-49</v>
      </c>
      <c r="AI21" s="619">
        <f>INDEX('qtrP&amp;L'!$132:$132,MATCH(AG$7,'qtrP&amp;L'!$6:$6,0))</f>
        <v>-51</v>
      </c>
      <c r="AJ21" s="619">
        <f>INDEX('qtrP&amp;L'!$133:$133,MATCH(AG$7,'qtrP&amp;L'!$6:$6,0))</f>
        <v>-63</v>
      </c>
      <c r="AK21" s="619"/>
      <c r="AL21" s="619">
        <f>INDEX('qtrP&amp;L'!$130:$130,MATCH(AL$7,'qtrP&amp;L'!$6:$6,0))</f>
        <v>-64</v>
      </c>
      <c r="AM21" s="619">
        <f>INDEX('qtrP&amp;L'!$131:$131,MATCH(AL$7,'qtrP&amp;L'!$6:$6,0))</f>
        <v>-60</v>
      </c>
      <c r="AN21" s="619">
        <f>INDEX('qtrP&amp;L'!$132:$132,MATCH(AL$7,'qtrP&amp;L'!$6:$6,0))</f>
        <v>-54</v>
      </c>
      <c r="AO21" s="619">
        <f>INDEX('qtrP&amp;L'!$133:$133,MATCH(AL$7,'qtrP&amp;L'!$6:$6,0))</f>
        <v>-45</v>
      </c>
      <c r="AP21" s="619"/>
      <c r="AQ21" s="619">
        <f>INDEX('qtrP&amp;L'!$130:$130,MATCH(AQ$7,'qtrP&amp;L'!$6:$6,0))</f>
        <v>-19</v>
      </c>
      <c r="AR21" s="619">
        <f>INDEX('qtrP&amp;L'!$131:$131,MATCH(AQ$7,'qtrP&amp;L'!$6:$6,0))</f>
        <v>-49</v>
      </c>
      <c r="AS21" s="619">
        <f>INDEX('qtrP&amp;L'!$132:$132,MATCH(AQ$7,'qtrP&amp;L'!$6:$6,0))</f>
        <v>-35</v>
      </c>
      <c r="AT21" s="619">
        <f>INDEX('qtrP&amp;L'!$133:$133,MATCH(AQ$7,'qtrP&amp;L'!$6:$6,0))</f>
        <v>-20</v>
      </c>
      <c r="AU21" s="619"/>
      <c r="AV21" s="619">
        <f>INDEX('qtrP&amp;L'!$130:$130,MATCH(AV$7,'qtrP&amp;L'!$6:$6,0))</f>
        <v>-15.5</v>
      </c>
      <c r="AW21" s="619">
        <f>INDEX('qtrP&amp;L'!$131:$131,MATCH(AV$7,'qtrP&amp;L'!$6:$6,0))</f>
        <v>-27</v>
      </c>
      <c r="AX21" s="619">
        <f>INDEX('qtrP&amp;L'!$132:$132,MATCH(AV$7,'qtrP&amp;L'!$6:$6,0))</f>
        <v>-43</v>
      </c>
      <c r="AY21" s="619">
        <f>INDEX('qtrP&amp;L'!$133:$133,MATCH(AV$7,'qtrP&amp;L'!$6:$6,0))</f>
        <v>-48</v>
      </c>
      <c r="AZ21" s="619"/>
      <c r="BA21" s="619">
        <f>INDEX('qtrP&amp;L'!$130:$130,MATCH(BA$7,'qtrP&amp;L'!$6:$6,0))</f>
        <v>42</v>
      </c>
      <c r="BB21" s="619">
        <f>INDEX('qtrP&amp;L'!$131:$131,MATCH(BA$7,'qtrP&amp;L'!$6:$6,0))</f>
        <v>27</v>
      </c>
      <c r="BC21" s="619">
        <f>INDEX('qtrP&amp;L'!$132:$132,MATCH(BA$7,'qtrP&amp;L'!$6:$6,0))</f>
        <v>31</v>
      </c>
      <c r="BD21" s="619">
        <f>INDEX('qtrP&amp;L'!$133:$133,MATCH(BA$7,'qtrP&amp;L'!$6:$6,0))</f>
        <v>55</v>
      </c>
      <c r="BE21" s="619"/>
      <c r="BF21" s="619">
        <f>INDEX('qtrP&amp;L'!$130:$130,MATCH(BF$7,'qtrP&amp;L'!$6:$6,0))</f>
        <v>41</v>
      </c>
      <c r="BG21" s="619">
        <f>INDEX('qtrP&amp;L'!$131:$131,MATCH(BF$7,'qtrP&amp;L'!$6:$6,0))</f>
        <v>35</v>
      </c>
      <c r="BH21" s="619">
        <f>INDEX('qtrP&amp;L'!$132:$132,MATCH(BF$7,'qtrP&amp;L'!$6:$6,0))</f>
        <v>20</v>
      </c>
      <c r="BI21" s="619">
        <f>INDEX('qtrP&amp;L'!$133:$133,MATCH(BF$7,'qtrP&amp;L'!$6:$6,0))</f>
        <v>67</v>
      </c>
      <c r="BJ21" s="619"/>
      <c r="BK21" s="619">
        <f>INDEX('qtrP&amp;L'!$130:$130,MATCH(BK$7,'qtrP&amp;L'!$6:$6,0))</f>
        <v>0</v>
      </c>
      <c r="BL21" s="619">
        <f>INDEX('qtrP&amp;L'!$131:$131,MATCH(BK$7,'qtrP&amp;L'!$6:$6,0))</f>
        <v>0</v>
      </c>
      <c r="BM21" s="619">
        <f>INDEX('qtrP&amp;L'!$132:$132,MATCH(BK$7,'qtrP&amp;L'!$6:$6,0))</f>
        <v>0</v>
      </c>
      <c r="BN21" s="619">
        <f>INDEX('qtrP&amp;L'!$133:$133,MATCH(BK$7,'qtrP&amp;L'!$6:$6,0))</f>
        <v>0</v>
      </c>
      <c r="BO21" s="619"/>
      <c r="BP21" s="619">
        <f>INDEX('qtrP&amp;L'!$130:$130,MATCH(BP$7,'qtrP&amp;L'!$6:$6,0))</f>
        <v>0</v>
      </c>
      <c r="BQ21" s="619">
        <f>INDEX('qtrP&amp;L'!$131:$131,MATCH(BP$7,'qtrP&amp;L'!$6:$6,0))</f>
        <v>0</v>
      </c>
      <c r="BR21" s="619">
        <f>INDEX('qtrP&amp;L'!$132:$132,MATCH(BP$7,'qtrP&amp;L'!$6:$6,0))</f>
        <v>0</v>
      </c>
      <c r="BS21" s="619">
        <f>INDEX('qtrP&amp;L'!$133:$133,MATCH(BP$7,'qtrP&amp;L'!$6:$6,0))</f>
        <v>0</v>
      </c>
      <c r="BT21" s="619"/>
      <c r="BU21" s="619">
        <f>INDEX('qtrP&amp;L'!$130:$130,MATCH(BU$7,'qtrP&amp;L'!$6:$6,0))</f>
        <v>0</v>
      </c>
      <c r="BV21" s="619">
        <f>INDEX('qtrP&amp;L'!$131:$131,MATCH(BU$7,'qtrP&amp;L'!$6:$6,0))</f>
        <v>0</v>
      </c>
      <c r="BW21" s="619">
        <f>INDEX('qtrP&amp;L'!$132:$132,MATCH(BU$7,'qtrP&amp;L'!$6:$6,0))</f>
        <v>0</v>
      </c>
      <c r="BX21" s="619">
        <f>INDEX('qtrP&amp;L'!$133:$133,MATCH(BU$7,'qtrP&amp;L'!$6:$6,0))</f>
        <v>0</v>
      </c>
      <c r="BY21" s="619"/>
      <c r="BZ21" s="619">
        <f>INDEX('qtrP&amp;L'!$130:$130,MATCH(BZ$7,'qtrP&amp;L'!$6:$6,0))</f>
        <v>0</v>
      </c>
      <c r="CA21" s="619">
        <f>INDEX('qtrP&amp;L'!$131:$131,MATCH(BZ$7,'qtrP&amp;L'!$6:$6,0))</f>
        <v>0</v>
      </c>
      <c r="CB21" s="619">
        <f>INDEX('qtrP&amp;L'!$132:$132,MATCH(BZ$7,'qtrP&amp;L'!$6:$6,0))</f>
        <v>47</v>
      </c>
      <c r="CC21" s="619">
        <f>INDEX('qtrP&amp;L'!$133:$133,MATCH(BZ$7,'qtrP&amp;L'!$6:$6,0))</f>
        <v>-18</v>
      </c>
      <c r="CD21" s="619"/>
      <c r="CE21" s="619">
        <f>INDEX('qtrP&amp;L'!$130:$130,MATCH(CE$7,'qtrP&amp;L'!$6:$6,0))</f>
        <v>13</v>
      </c>
      <c r="CF21" s="619">
        <f>INDEX('qtrP&amp;L'!$131:$131,MATCH(CE$7,'qtrP&amp;L'!$6:$6,0))</f>
        <v>5</v>
      </c>
      <c r="CG21" s="619">
        <f>INDEX('qtrP&amp;L'!$132:$132,MATCH(CE$7,'qtrP&amp;L'!$6:$6,0))</f>
        <v>0</v>
      </c>
      <c r="CH21" s="619">
        <f>INDEX('qtrP&amp;L'!$133:$133,MATCH(CE$7,'qtrP&amp;L'!$6:$6,0))</f>
        <v>-1</v>
      </c>
      <c r="CI21" s="619"/>
      <c r="CJ21" s="619">
        <f>INDEX('qtrP&amp;L'!$130:$130,MATCH(CJ$7,'qtrP&amp;L'!$6:$6,0))</f>
        <v>0</v>
      </c>
      <c r="CK21" s="619">
        <f>INDEX('qtrP&amp;L'!$131:$131,MATCH(CJ$7,'qtrP&amp;L'!$6:$6,0))</f>
        <v>0</v>
      </c>
      <c r="CL21" s="619">
        <f>INDEX('qtrP&amp;L'!$132:$132,MATCH(CJ$7,'qtrP&amp;L'!$6:$6,0))</f>
        <v>0</v>
      </c>
      <c r="CM21" s="619">
        <f>INDEX('qtrP&amp;L'!$133:$133,MATCH(CJ$7,'qtrP&amp;L'!$6:$6,0))</f>
        <v>-16</v>
      </c>
      <c r="CN21" s="619"/>
      <c r="CO21" s="619">
        <f>INDEX('qtrP&amp;L'!$130:$130,MATCH(CO$7,'qtrP&amp;L'!$6:$6,0))</f>
        <v>0</v>
      </c>
      <c r="CP21" s="619">
        <f>INDEX('qtrP&amp;L'!$131:$131,MATCH(CO$7,'qtrP&amp;L'!$6:$6,0))</f>
        <v>12</v>
      </c>
      <c r="CQ21" s="619">
        <f>INDEX('qtrP&amp;L'!$132:$132,MATCH(CO$7,'qtrP&amp;L'!$6:$6,0))</f>
        <v>0</v>
      </c>
      <c r="CR21" s="619">
        <f>INDEX('qtrP&amp;L'!$133:$133,MATCH(CO$7,'qtrP&amp;L'!$6:$6,0))</f>
        <v>-7</v>
      </c>
      <c r="CS21" s="619"/>
      <c r="CT21" s="619">
        <f>INDEX('qtrP&amp;L'!$130:$130,MATCH(CT$7,'qtrP&amp;L'!$6:$6,0))</f>
        <v>0</v>
      </c>
      <c r="CU21" s="619">
        <f>INDEX('qtrP&amp;L'!$131:$131,MATCH(CT$7,'qtrP&amp;L'!$6:$6,0))</f>
        <v>0</v>
      </c>
      <c r="CV21" s="619">
        <f>INDEX('qtrP&amp;L'!$132:$132,MATCH(CT$7,'qtrP&amp;L'!$6:$6,0))</f>
        <v>0</v>
      </c>
      <c r="CW21" s="619">
        <f>INDEX('qtrP&amp;L'!$133:$133,MATCH(CT$7,'qtrP&amp;L'!$6:$6,0))</f>
        <v>1</v>
      </c>
      <c r="CX21" s="619"/>
      <c r="CY21" s="619">
        <f>INDEX('qtrP&amp;L'!$130:$130,MATCH(CY$7,'qtrP&amp;L'!$6:$6,0))</f>
        <v>0</v>
      </c>
      <c r="CZ21" s="619">
        <f>INDEX('qtrP&amp;L'!$131:$131,MATCH(CY$7,'qtrP&amp;L'!$6:$6,0))</f>
        <v>0</v>
      </c>
      <c r="DA21" s="619">
        <f>INDEX('qtrP&amp;L'!$132:$132,MATCH(CY$7,'qtrP&amp;L'!$6:$6,0))</f>
        <v>0</v>
      </c>
      <c r="DB21" s="619">
        <f>INDEX('qtrP&amp;L'!$133:$133,MATCH(CY$7,'qtrP&amp;L'!$6:$6,0))</f>
        <v>0</v>
      </c>
      <c r="DC21" s="619"/>
      <c r="DD21" s="619">
        <f>INDEX('qtrP&amp;L'!$130:$130,MATCH(DD$7,'qtrP&amp;L'!$6:$6,0))</f>
        <v>0</v>
      </c>
      <c r="DE21" s="619">
        <f>INDEX('qtrP&amp;L'!$131:$131,MATCH(DD$7,'qtrP&amp;L'!$6:$6,0))</f>
        <v>20</v>
      </c>
      <c r="DF21" s="619">
        <f>INDEX('qtrP&amp;L'!$132:$132,MATCH(DD$7,'qtrP&amp;L'!$6:$6,0))</f>
        <v>0</v>
      </c>
      <c r="DG21" s="619">
        <f>INDEX('qtrP&amp;L'!$133:$133,MATCH(DD$7,'qtrP&amp;L'!$6:$6,0))</f>
        <v>0</v>
      </c>
      <c r="DH21" s="619"/>
      <c r="DI21" s="619">
        <f>INDEX('qtrP&amp;L'!$130:$130,MATCH(DI$7,'qtrP&amp;L'!$6:$6,0))</f>
        <v>9</v>
      </c>
      <c r="DJ21" s="619">
        <f>INDEX('qtrP&amp;L'!$131:$131,MATCH(DI$7,'qtrP&amp;L'!$6:$6,0))</f>
        <v>23</v>
      </c>
      <c r="DK21" s="619">
        <f>INDEX('qtrP&amp;L'!$132:$132,MATCH(DI$7,'qtrP&amp;L'!$6:$6,0))</f>
        <v>265</v>
      </c>
      <c r="DL21" s="619">
        <f>INDEX('qtrP&amp;L'!$133:$133,MATCH(DI$7,'qtrP&amp;L'!$6:$6,0))</f>
        <v>361</v>
      </c>
      <c r="DM21" s="619"/>
      <c r="DN21" s="619">
        <f>INDEX('qtrP&amp;L'!$130:$130,MATCH(DN$7,'qtrP&amp;L'!$6:$6,0))</f>
        <v>129</v>
      </c>
      <c r="DO21" s="619">
        <f>INDEX('qtrP&amp;L'!$131:$131,MATCH(DN$7,'qtrP&amp;L'!$6:$6,0))</f>
        <v>-41</v>
      </c>
      <c r="DP21" s="619">
        <f>INDEX('qtrP&amp;L'!$132:$132,MATCH(DN$7,'qtrP&amp;L'!$6:$6,0))</f>
        <v>-163</v>
      </c>
      <c r="DQ21" s="619">
        <f>INDEX('qtrP&amp;L'!$133:$133,MATCH(DN$7,'qtrP&amp;L'!$6:$6,0))</f>
        <v>29</v>
      </c>
      <c r="DR21" s="619"/>
      <c r="DS21" s="619">
        <f>INDEX('qtrP&amp;L'!$130:$130,MATCH(DS$7,'qtrP&amp;L'!$6:$6,0))</f>
        <v>72</v>
      </c>
      <c r="DT21" s="619">
        <f>INDEX('qtrP&amp;L'!$131:$131,MATCH(DS$7,'qtrP&amp;L'!$6:$6,0))</f>
        <v>161</v>
      </c>
      <c r="DU21" s="619">
        <f>INDEX('qtrP&amp;L'!$132:$132,MATCH(DS$7,'qtrP&amp;L'!$6:$6,0))</f>
        <v>46</v>
      </c>
      <c r="DV21" s="619">
        <f>INDEX('qtrP&amp;L'!$133:$133,MATCH(DS$7,'qtrP&amp;L'!$6:$6,0))</f>
        <v>50</v>
      </c>
      <c r="DW21" s="619"/>
      <c r="DX21" s="619">
        <f>INDEX('qtrP&amp;L'!$130:$130,MATCH(DX$7,'qtrP&amp;L'!$6:$6,0))</f>
        <v>22</v>
      </c>
      <c r="DY21" s="619">
        <f>INDEX('qtrP&amp;L'!$131:$131,MATCH(DX$7,'qtrP&amp;L'!$6:$6,0))</f>
        <v>5</v>
      </c>
      <c r="DZ21" s="619">
        <f>INDEX('qtrP&amp;L'!$132:$132,MATCH(DX$7,'qtrP&amp;L'!$6:$6,0))</f>
        <v>46</v>
      </c>
      <c r="EA21" s="619">
        <f>INDEX('qtrP&amp;L'!$133:$133,MATCH(DX$7,'qtrP&amp;L'!$6:$6,0))</f>
        <v>48</v>
      </c>
      <c r="EB21" s="619"/>
      <c r="EC21" s="619">
        <f>INDEX('qtrP&amp;L'!$130:$130,MATCH(EC$7,'qtrP&amp;L'!$6:$6,0))</f>
        <v>0</v>
      </c>
      <c r="ED21" s="619">
        <f>INDEX('qtrP&amp;L'!$131:$131,MATCH(EC$7,'qtrP&amp;L'!$6:$6,0))</f>
        <v>0</v>
      </c>
      <c r="EE21" s="619">
        <f>INDEX('qtrP&amp;L'!$132:$132,MATCH(EC$7,'qtrP&amp;L'!$6:$6,0))</f>
        <v>0</v>
      </c>
      <c r="EF21" s="619">
        <f>INDEX('qtrP&amp;L'!$133:$133,MATCH(EC$7,'qtrP&amp;L'!$6:$6,0))</f>
        <v>41</v>
      </c>
      <c r="EG21" s="619"/>
      <c r="EH21" s="619">
        <f>INDEX('qtrP&amp;L'!$130:$130,MATCH(EH$7,'qtrP&amp;L'!$6:$6,0))</f>
        <v>-4</v>
      </c>
      <c r="EI21" s="619">
        <f>INDEX('qtrP&amp;L'!$131:$131,MATCH(EH$7,'qtrP&amp;L'!$6:$6,0))</f>
        <v>34</v>
      </c>
      <c r="EJ21" s="619">
        <f>INDEX('qtrP&amp;L'!$132:$132,MATCH(EH$7,'qtrP&amp;L'!$6:$6,0))</f>
        <v>0</v>
      </c>
      <c r="EK21" s="619">
        <f>INDEX('qtrP&amp;L'!$133:$133,MATCH(EH$7,'qtrP&amp;L'!$6:$6,0))</f>
        <v>9</v>
      </c>
      <c r="EL21" s="619"/>
      <c r="EM21" s="619">
        <f>INDEX('qtrP&amp;L'!$130:$130,MATCH(EM$7,'qtrP&amp;L'!$6:$6,0))</f>
        <v>0</v>
      </c>
      <c r="EN21" s="619">
        <f>INDEX('qtrP&amp;L'!$131:$131,MATCH(EM$7,'qtrP&amp;L'!$6:$6,0))</f>
        <v>35</v>
      </c>
      <c r="EO21" s="619">
        <f>INDEX('qtrP&amp;L'!$132:$132,MATCH(EM$7,'qtrP&amp;L'!$6:$6,0))</f>
        <v>0</v>
      </c>
      <c r="EP21" s="619">
        <f>INDEX('qtrP&amp;L'!$133:$133,MATCH(EM$7,'qtrP&amp;L'!$6:$6,0))</f>
        <v>6</v>
      </c>
      <c r="EQ21" s="619"/>
      <c r="ER21" s="1466">
        <f>INDEX('qtrP&amp;L'!$130:$130,MATCH(ER$7,'qtrP&amp;L'!$6:$6,0))</f>
        <v>0</v>
      </c>
      <c r="ES21" s="1466">
        <f>INDEX('qtrP&amp;L'!$131:$131,MATCH(ER$7,'qtrP&amp;L'!$6:$6,0))</f>
        <v>0</v>
      </c>
      <c r="ET21" s="1466">
        <f>INDEX('qtrP&amp;L'!$132:$132,MATCH(ER$7,'qtrP&amp;L'!$6:$6,0))</f>
        <v>0</v>
      </c>
      <c r="EU21" s="1466">
        <f>INDEX('qtrP&amp;L'!$133:$133,MATCH(ER$7,'qtrP&amp;L'!$6:$6,0))</f>
        <v>0</v>
      </c>
      <c r="EV21" s="507"/>
      <c r="EW21" s="620">
        <f t="shared" si="16"/>
        <v>-74</v>
      </c>
      <c r="EX21" s="621">
        <f t="shared" si="16"/>
        <v>-22</v>
      </c>
      <c r="EY21" s="621">
        <f t="shared" si="16"/>
        <v>-182</v>
      </c>
      <c r="EZ21" s="621">
        <f t="shared" si="16"/>
        <v>-157</v>
      </c>
      <c r="FA21" s="621">
        <f t="shared" si="16"/>
        <v>-185</v>
      </c>
      <c r="FB21" s="621">
        <f t="shared" si="16"/>
        <v>-164</v>
      </c>
      <c r="FC21" s="621">
        <f t="shared" si="16"/>
        <v>-211</v>
      </c>
      <c r="FD21" s="621">
        <f t="shared" si="16"/>
        <v>-223</v>
      </c>
      <c r="FE21" s="621">
        <f t="shared" si="16"/>
        <v>-123</v>
      </c>
      <c r="FF21" s="621">
        <f t="shared" si="16"/>
        <v>-133.5</v>
      </c>
      <c r="FG21" s="621">
        <f t="shared" si="17"/>
        <v>155</v>
      </c>
      <c r="FH21" s="621">
        <f t="shared" si="17"/>
        <v>163</v>
      </c>
      <c r="FI21" s="627">
        <f>-12</f>
        <v>-12</v>
      </c>
      <c r="FJ21" s="627">
        <f>-14</f>
        <v>-14</v>
      </c>
      <c r="FK21" s="621">
        <f t="shared" si="17"/>
        <v>0</v>
      </c>
      <c r="FL21" s="621">
        <f t="shared" si="17"/>
        <v>29</v>
      </c>
      <c r="FM21" s="620">
        <f t="shared" si="17"/>
        <v>17</v>
      </c>
      <c r="FN21" s="620">
        <f t="shared" si="17"/>
        <v>-16</v>
      </c>
      <c r="FO21" s="621">
        <f t="shared" si="17"/>
        <v>5</v>
      </c>
      <c r="FP21" s="621">
        <f t="shared" si="17"/>
        <v>1</v>
      </c>
      <c r="FQ21" s="620">
        <f t="shared" si="17"/>
        <v>0</v>
      </c>
      <c r="FR21" s="620">
        <f t="shared" si="17"/>
        <v>20</v>
      </c>
      <c r="FS21" s="621">
        <f t="shared" si="17"/>
        <v>658</v>
      </c>
      <c r="FT21" s="621">
        <f t="shared" si="17"/>
        <v>-46</v>
      </c>
      <c r="FU21" s="621">
        <f>'yrP&amp;L'!AB50</f>
        <v>329</v>
      </c>
      <c r="FV21" s="621">
        <f>'yrP&amp;L'!AC50</f>
        <v>121</v>
      </c>
      <c r="FW21" s="621">
        <f>'yrP&amp;L'!AD50</f>
        <v>41</v>
      </c>
      <c r="FX21" s="621">
        <f>'yrP&amp;L'!AE50</f>
        <v>39</v>
      </c>
      <c r="FY21" s="621">
        <f>'yrP&amp;L'!AF50</f>
        <v>41</v>
      </c>
      <c r="FZ21" s="621">
        <f>'yrP&amp;L'!AG50</f>
        <v>0</v>
      </c>
      <c r="GA21" s="621">
        <f>'yrP&amp;L'!AH50</f>
        <v>0</v>
      </c>
      <c r="GB21" s="1266">
        <f>'yrP&amp;L'!AI50</f>
        <v>0</v>
      </c>
      <c r="GC21" s="621">
        <f>'yrP&amp;L'!AJ50</f>
        <v>0</v>
      </c>
      <c r="GD21" s="1489">
        <f>'yrP&amp;L'!AL50</f>
        <v>0</v>
      </c>
      <c r="GF21"/>
      <c r="GG21"/>
      <c r="GH21"/>
      <c r="GI21"/>
      <c r="GJ21"/>
      <c r="GK21"/>
      <c r="GL21" s="398"/>
      <c r="GM21" s="398"/>
      <c r="GN21" s="398"/>
      <c r="GO21" s="398"/>
      <c r="GP21" s="398"/>
      <c r="GQ21" s="398"/>
      <c r="GR21" s="398"/>
      <c r="GS21" s="398"/>
      <c r="GT21" s="398"/>
      <c r="GU21" s="398"/>
      <c r="GV21" s="398"/>
      <c r="GW21" s="398"/>
      <c r="GX21" s="398"/>
      <c r="GY21" s="398"/>
      <c r="GZ21" s="398"/>
      <c r="HA21" s="398"/>
      <c r="HB21" s="398"/>
      <c r="HC21" s="398"/>
      <c r="HD21" s="398"/>
      <c r="HE21" s="398"/>
      <c r="HF21" s="398"/>
      <c r="HG21" s="398"/>
      <c r="HH21" s="398"/>
      <c r="HI21" s="398"/>
      <c r="HJ21" s="398"/>
      <c r="HK21" s="398"/>
      <c r="HL21" s="398"/>
      <c r="HM21" s="398"/>
      <c r="HN21" s="398"/>
      <c r="HO21" s="398"/>
      <c r="HP21" s="398"/>
      <c r="HQ21" s="398"/>
      <c r="HR21" s="398"/>
      <c r="HS21" s="398"/>
      <c r="HT21" s="398"/>
      <c r="HU21" s="398"/>
      <c r="HV21" s="398"/>
      <c r="HW21" s="398"/>
      <c r="HX21" s="398"/>
      <c r="HY21" s="398"/>
      <c r="HZ21" s="398"/>
      <c r="IA21" s="398"/>
      <c r="IB21" s="398"/>
      <c r="IC21" s="398"/>
      <c r="ID21" s="398"/>
      <c r="IE21" s="398"/>
      <c r="IF21" s="398"/>
      <c r="IG21" s="398"/>
      <c r="IH21" s="398"/>
      <c r="II21" s="398"/>
      <c r="IJ21" s="398"/>
      <c r="IK21" s="398"/>
      <c r="IL21" s="398"/>
      <c r="IM21" s="398"/>
      <c r="IN21" s="398"/>
      <c r="IO21" s="398"/>
      <c r="IP21" s="398"/>
      <c r="IQ21" s="398"/>
      <c r="IR21" s="398"/>
      <c r="IS21" s="398"/>
      <c r="IT21" s="398"/>
      <c r="IU21" s="398"/>
      <c r="IV21" s="398"/>
      <c r="IW21" s="398"/>
      <c r="IX21" s="398"/>
      <c r="IY21" s="398"/>
      <c r="IZ21" s="398"/>
      <c r="JA21" s="398"/>
    </row>
    <row r="22" spans="1:261" s="590" customFormat="1" collapsed="1">
      <c r="A22" s="626" t="s">
        <v>236</v>
      </c>
      <c r="B22" s="618"/>
      <c r="C22" s="619">
        <f>C18-C20-C21</f>
        <v>219</v>
      </c>
      <c r="D22" s="619">
        <f>D18-D20-D21</f>
        <v>142</v>
      </c>
      <c r="E22" s="619">
        <f>E18-E20-E21</f>
        <v>309</v>
      </c>
      <c r="F22" s="619">
        <f>F18-F20-F21</f>
        <v>532</v>
      </c>
      <c r="G22" s="619"/>
      <c r="H22" s="619">
        <f>H18-H20-H21</f>
        <v>230</v>
      </c>
      <c r="I22" s="619">
        <f>I18-I20-I21</f>
        <v>124</v>
      </c>
      <c r="J22" s="619">
        <f>J18-J20-J21</f>
        <v>188</v>
      </c>
      <c r="K22" s="619">
        <f>K18-K20-K21</f>
        <v>290</v>
      </c>
      <c r="L22" s="619"/>
      <c r="M22" s="619">
        <f>M18-M20-M21</f>
        <v>127</v>
      </c>
      <c r="N22" s="619">
        <f>N18-N20-N21</f>
        <v>49</v>
      </c>
      <c r="O22" s="619">
        <f>O18-O20-O21</f>
        <v>185</v>
      </c>
      <c r="P22" s="619">
        <f>P18-P20-P21</f>
        <v>502</v>
      </c>
      <c r="Q22" s="619"/>
      <c r="R22" s="619">
        <f>R18-R20-R21</f>
        <v>219</v>
      </c>
      <c r="S22" s="619">
        <f>S18-S20-S21</f>
        <v>131</v>
      </c>
      <c r="T22" s="619">
        <f>T18-T20-T21</f>
        <v>303</v>
      </c>
      <c r="U22" s="619">
        <f>U18-U20-U21</f>
        <v>606</v>
      </c>
      <c r="V22" s="619"/>
      <c r="W22" s="619">
        <f>W18-W20-W21</f>
        <v>276</v>
      </c>
      <c r="X22" s="619">
        <f>X18-X20-X21</f>
        <v>181</v>
      </c>
      <c r="Y22" s="619">
        <f>Y18-Y20-Y21</f>
        <v>394</v>
      </c>
      <c r="Z22" s="619">
        <f>Z18-Z20-Z21</f>
        <v>703</v>
      </c>
      <c r="AA22" s="619"/>
      <c r="AB22" s="619">
        <f>AB18-AB20-AB21</f>
        <v>363</v>
      </c>
      <c r="AC22" s="619">
        <f>AC18-AC20-AC21</f>
        <v>215</v>
      </c>
      <c r="AD22" s="619">
        <f>AD18-AD20-AD21</f>
        <v>447</v>
      </c>
      <c r="AE22" s="619">
        <f>AE18-AE20-AE21</f>
        <v>674</v>
      </c>
      <c r="AF22" s="619"/>
      <c r="AG22" s="619">
        <f>AG18-AG20-AG21</f>
        <v>253</v>
      </c>
      <c r="AH22" s="619">
        <f>AH18-AH20-AH21</f>
        <v>186</v>
      </c>
      <c r="AI22" s="619">
        <f>AI18-AI20-AI21</f>
        <v>384</v>
      </c>
      <c r="AJ22" s="619">
        <f>AJ18-AJ20-AJ21</f>
        <v>518.20000000000005</v>
      </c>
      <c r="AK22" s="619"/>
      <c r="AL22" s="619">
        <f>AL18-AL20-AL21</f>
        <v>227</v>
      </c>
      <c r="AM22" s="619">
        <f>AM18-AM20-AM21</f>
        <v>150</v>
      </c>
      <c r="AN22" s="619">
        <f>AN18-AN20-AN21</f>
        <v>411</v>
      </c>
      <c r="AO22" s="619">
        <f>AO18-AO20-AO21</f>
        <v>475</v>
      </c>
      <c r="AP22" s="619"/>
      <c r="AQ22" s="619">
        <f>AQ18-AQ20-AQ21</f>
        <v>226</v>
      </c>
      <c r="AR22" s="619">
        <f>AR18-AR20-AR21</f>
        <v>171</v>
      </c>
      <c r="AS22" s="619">
        <f>AS18-AS20-AS21</f>
        <v>372</v>
      </c>
      <c r="AT22" s="619">
        <f>AT18-AT20-AT21</f>
        <v>534</v>
      </c>
      <c r="AU22" s="619"/>
      <c r="AV22" s="619">
        <f>AV18-AV20-AV21</f>
        <v>284.54737665669109</v>
      </c>
      <c r="AW22" s="619">
        <f>AW18-AW20-AW21</f>
        <v>159</v>
      </c>
      <c r="AX22" s="619">
        <f>AX18-AX20-AX21</f>
        <v>304</v>
      </c>
      <c r="AY22" s="619">
        <f>AY18-AY20-AY21</f>
        <v>300</v>
      </c>
      <c r="AZ22" s="619"/>
      <c r="BA22" s="619">
        <f>BA18-BA20-BA21</f>
        <v>211</v>
      </c>
      <c r="BB22" s="619">
        <f>BB18-BB20-BB21</f>
        <v>118</v>
      </c>
      <c r="BC22" s="619">
        <f>BC18-BC20-BC21</f>
        <v>148</v>
      </c>
      <c r="BD22" s="619">
        <f>BD18-BD20-BD21</f>
        <v>109</v>
      </c>
      <c r="BE22" s="619"/>
      <c r="BF22" s="619">
        <f>BF18-BF20-BF21</f>
        <v>73</v>
      </c>
      <c r="BG22" s="619">
        <f>BG18-BG20-BG21</f>
        <v>-48</v>
      </c>
      <c r="BH22" s="619">
        <f>BH18-BH20-BH21</f>
        <v>-99</v>
      </c>
      <c r="BI22" s="619">
        <f>BI18-BI20-BI21</f>
        <v>-61</v>
      </c>
      <c r="BJ22" s="619"/>
      <c r="BK22" s="619">
        <f>BK18-BK20-BK21</f>
        <v>80</v>
      </c>
      <c r="BL22" s="619">
        <f>BL18-BL20-BL21</f>
        <v>-62</v>
      </c>
      <c r="BM22" s="619">
        <f>BM18-BM20-BM21</f>
        <v>78</v>
      </c>
      <c r="BN22" s="619">
        <f>BN18-BN20-BN21</f>
        <v>178</v>
      </c>
      <c r="BO22" s="619"/>
      <c r="BP22" s="619">
        <f>BP18-BP20-BP21</f>
        <v>95</v>
      </c>
      <c r="BQ22" s="619">
        <f>BQ18-BQ20-BQ21</f>
        <v>-32</v>
      </c>
      <c r="BR22" s="619">
        <f>BR18-BR20-BR21</f>
        <v>108</v>
      </c>
      <c r="BS22" s="619">
        <f>BS18-BS20-BS21</f>
        <v>244</v>
      </c>
      <c r="BT22" s="619"/>
      <c r="BU22" s="619">
        <f>BU18-BU20-BU21</f>
        <v>31</v>
      </c>
      <c r="BV22" s="619">
        <f>BV18-BV20-BV21</f>
        <v>-7</v>
      </c>
      <c r="BW22" s="619">
        <f>BW18-BW20-BW21</f>
        <v>140</v>
      </c>
      <c r="BX22" s="619">
        <f>BX18-BX20-BX21</f>
        <v>375</v>
      </c>
      <c r="BY22" s="619"/>
      <c r="BZ22" s="619">
        <f>BZ18-BZ20-BZ21</f>
        <v>178</v>
      </c>
      <c r="CA22" s="619">
        <f>CA18-CA20-CA21</f>
        <v>106</v>
      </c>
      <c r="CB22" s="619">
        <f>CB18-CB20-CB21</f>
        <v>227</v>
      </c>
      <c r="CC22" s="619">
        <f>CC18-CC20-CC21</f>
        <v>494</v>
      </c>
      <c r="CD22" s="619"/>
      <c r="CE22" s="619">
        <f>CE18-CE20-CE21</f>
        <v>268</v>
      </c>
      <c r="CF22" s="619">
        <f>CF18-CF20-CF21</f>
        <v>182</v>
      </c>
      <c r="CG22" s="619">
        <f>CG18-CG20-CG21</f>
        <v>365</v>
      </c>
      <c r="CH22" s="619">
        <f>CH18-CH20-CH21</f>
        <v>629.08399999999983</v>
      </c>
      <c r="CI22" s="619"/>
      <c r="CJ22" s="619">
        <f>CJ18-CJ20-CJ21</f>
        <v>347</v>
      </c>
      <c r="CK22" s="619">
        <f>CK18-CK20-CK21</f>
        <v>247</v>
      </c>
      <c r="CL22" s="619">
        <f>CL18-CL20-CL21</f>
        <v>468</v>
      </c>
      <c r="CM22" s="619">
        <f>CM18-CM20-CM21</f>
        <v>732</v>
      </c>
      <c r="CN22" s="619"/>
      <c r="CO22" s="619">
        <f>CO18-CO20-CO21</f>
        <v>386</v>
      </c>
      <c r="CP22" s="619">
        <f>CP18-CP20-CP21</f>
        <v>279.07000000000016</v>
      </c>
      <c r="CQ22" s="619">
        <f>CQ18-CQ20-CQ21</f>
        <v>369</v>
      </c>
      <c r="CR22" s="619">
        <f>CR18-CR20-CR21</f>
        <v>686</v>
      </c>
      <c r="CS22" s="619"/>
      <c r="CT22" s="619">
        <f>CT18-CT20-CT21</f>
        <v>195</v>
      </c>
      <c r="CU22" s="619">
        <f>CU18-CU20-CU21</f>
        <v>188.0595000000003</v>
      </c>
      <c r="CV22" s="619">
        <f>CV18-CV20-CV21</f>
        <v>191.80967741935393</v>
      </c>
      <c r="CW22" s="619">
        <f>CW18-CW20-CW21</f>
        <v>328</v>
      </c>
      <c r="CX22" s="619"/>
      <c r="CY22" s="619">
        <f>CY18-CY20-CY21</f>
        <v>43</v>
      </c>
      <c r="CZ22" s="619">
        <f>CZ18-CZ20-CZ21</f>
        <v>-1</v>
      </c>
      <c r="DA22" s="619">
        <f>DA18-DA20-DA21</f>
        <v>43</v>
      </c>
      <c r="DB22" s="619">
        <f>DB18-DB20-DB21</f>
        <v>318</v>
      </c>
      <c r="DC22" s="619"/>
      <c r="DD22" s="619">
        <f>DD18-DD20-DD21</f>
        <v>96</v>
      </c>
      <c r="DE22" s="619">
        <f>DE18-DE20-DE21</f>
        <v>18</v>
      </c>
      <c r="DF22" s="619">
        <f>DF18-DF20-DF21</f>
        <v>67</v>
      </c>
      <c r="DG22" s="619">
        <f>DG18-DG20-DG21</f>
        <v>432</v>
      </c>
      <c r="DH22" s="619"/>
      <c r="DI22" s="619">
        <f>DI18-DI20-DI21</f>
        <v>103</v>
      </c>
      <c r="DJ22" s="619">
        <f>DJ18-DJ20-DJ21</f>
        <v>24.321626926322097</v>
      </c>
      <c r="DK22" s="619">
        <f>DK18-DK20-DK21</f>
        <v>-226</v>
      </c>
      <c r="DL22" s="619">
        <f>DL18-DL20-DL21</f>
        <v>-130</v>
      </c>
      <c r="DM22" s="619"/>
      <c r="DN22" s="619">
        <f>DN18-DN20-DN21</f>
        <v>-282</v>
      </c>
      <c r="DO22" s="619">
        <f>DO18-DO20-DO21</f>
        <v>-241</v>
      </c>
      <c r="DP22" s="619">
        <f>DP18-DP20-DP21</f>
        <v>-211</v>
      </c>
      <c r="DQ22" s="619">
        <f>DQ18-DQ20-DQ21</f>
        <v>-802</v>
      </c>
      <c r="DR22" s="619"/>
      <c r="DS22" s="619">
        <f>DS18-DS20-DS21</f>
        <v>-547</v>
      </c>
      <c r="DT22" s="619">
        <f>DT18-DT20-DT21</f>
        <v>-604</v>
      </c>
      <c r="DU22" s="619">
        <f>DU18-DU20-DU21</f>
        <v>-500</v>
      </c>
      <c r="DV22" s="619">
        <f>DV18-DV20-DV21</f>
        <v>-235</v>
      </c>
      <c r="DW22" s="619"/>
      <c r="DX22" s="619">
        <f>DX18-DX20-DX21</f>
        <v>-344</v>
      </c>
      <c r="DY22" s="619">
        <f>DY18-DY20-DY21</f>
        <v>-176</v>
      </c>
      <c r="DZ22" s="619">
        <f>DZ18-DZ20-DZ21</f>
        <v>-191</v>
      </c>
      <c r="EA22" s="619">
        <f>EA18-EA20-EA21</f>
        <v>-37</v>
      </c>
      <c r="EB22" s="619"/>
      <c r="EC22" s="619">
        <f>EC18-EC20-EC21</f>
        <v>-146.75</v>
      </c>
      <c r="ED22" s="619">
        <f>ED18-ED20-ED21</f>
        <v>-141</v>
      </c>
      <c r="EE22" s="619">
        <f>EE18-EE20-EE21</f>
        <v>-147</v>
      </c>
      <c r="EF22" s="619">
        <f>EF18-EF20-EF21</f>
        <v>-130</v>
      </c>
      <c r="EG22" s="619"/>
      <c r="EH22" s="619">
        <f>EH18-EH20-EH21</f>
        <v>-69</v>
      </c>
      <c r="EI22" s="619">
        <f>EI18-EI20-EI21</f>
        <v>-51</v>
      </c>
      <c r="EJ22" s="619">
        <f>EJ18-EJ20-EJ21</f>
        <v>-64</v>
      </c>
      <c r="EK22" s="619">
        <f>EK18-EK20-EK21</f>
        <v>186</v>
      </c>
      <c r="EL22" s="619"/>
      <c r="EM22" s="619">
        <f>EM18-EM20-EM21</f>
        <v>27</v>
      </c>
      <c r="EN22" s="619">
        <f>EN18-EN20-EN21</f>
        <v>-52.999999999999545</v>
      </c>
      <c r="EO22" s="619">
        <f>EO18-EO20-EO21</f>
        <v>-155</v>
      </c>
      <c r="EP22" s="619">
        <f>EP18-EP20-EP21</f>
        <v>168</v>
      </c>
      <c r="EQ22" s="619"/>
      <c r="ER22" s="1466">
        <f>ER18-ER20-ER21</f>
        <v>-55.229263999999944</v>
      </c>
      <c r="ES22" s="1466">
        <f>ES18-ES20-ES21</f>
        <v>36.46926400000018</v>
      </c>
      <c r="ET22" s="1466">
        <f>ET18-ET20-ET21</f>
        <v>-43.332539999999995</v>
      </c>
      <c r="EU22" s="1466">
        <f>EU18-EU20-EU21</f>
        <v>101.41287599999987</v>
      </c>
      <c r="EV22" s="507"/>
      <c r="EW22" s="620">
        <f t="shared" ref="EW22:FY22" si="18">EW18-EW20-EW21</f>
        <v>1202</v>
      </c>
      <c r="EX22" s="621">
        <f t="shared" si="18"/>
        <v>832</v>
      </c>
      <c r="EY22" s="621">
        <f t="shared" si="18"/>
        <v>863</v>
      </c>
      <c r="EZ22" s="621">
        <f t="shared" si="18"/>
        <v>1259</v>
      </c>
      <c r="FA22" s="621">
        <f t="shared" si="18"/>
        <v>1554</v>
      </c>
      <c r="FB22" s="621">
        <f t="shared" si="18"/>
        <v>1699</v>
      </c>
      <c r="FC22" s="621">
        <f t="shared" si="18"/>
        <v>1341.2</v>
      </c>
      <c r="FD22" s="621">
        <f t="shared" si="18"/>
        <v>1263</v>
      </c>
      <c r="FE22" s="621">
        <f t="shared" si="18"/>
        <v>1303</v>
      </c>
      <c r="FF22" s="621">
        <f t="shared" si="18"/>
        <v>1047.5473766566911</v>
      </c>
      <c r="FG22" s="621">
        <f t="shared" si="18"/>
        <v>586</v>
      </c>
      <c r="FH22" s="621">
        <f t="shared" si="18"/>
        <v>-135</v>
      </c>
      <c r="FI22" s="621">
        <f t="shared" si="18"/>
        <v>275</v>
      </c>
      <c r="FJ22" s="621">
        <f t="shared" si="18"/>
        <v>412</v>
      </c>
      <c r="FK22" s="621">
        <f t="shared" si="18"/>
        <v>539</v>
      </c>
      <c r="FL22" s="621">
        <f t="shared" si="18"/>
        <v>1005</v>
      </c>
      <c r="FM22" s="620">
        <f t="shared" si="18"/>
        <v>1444.0839999999998</v>
      </c>
      <c r="FN22" s="620">
        <f t="shared" si="18"/>
        <v>1794</v>
      </c>
      <c r="FO22" s="621">
        <f t="shared" si="18"/>
        <v>1720.0700000000002</v>
      </c>
      <c r="FP22" s="621">
        <f t="shared" si="18"/>
        <v>902.86917741935417</v>
      </c>
      <c r="FQ22" s="620">
        <f t="shared" si="18"/>
        <v>403</v>
      </c>
      <c r="FR22" s="620">
        <f t="shared" si="18"/>
        <v>613</v>
      </c>
      <c r="FS22" s="621">
        <f t="shared" si="18"/>
        <v>-228.6783730736779</v>
      </c>
      <c r="FT22" s="621">
        <f t="shared" si="18"/>
        <v>-1536</v>
      </c>
      <c r="FU22" s="621">
        <f t="shared" si="18"/>
        <v>-1886</v>
      </c>
      <c r="FV22" s="621">
        <f t="shared" si="18"/>
        <v>-748</v>
      </c>
      <c r="FW22" s="621">
        <f t="shared" si="18"/>
        <v>-564.75</v>
      </c>
      <c r="FX22" s="621">
        <f t="shared" si="18"/>
        <v>2</v>
      </c>
      <c r="FY22" s="621">
        <f t="shared" si="18"/>
        <v>-13</v>
      </c>
      <c r="FZ22" s="621">
        <f>FZ18-FZ20-FZ21</f>
        <v>39.320335999998861</v>
      </c>
      <c r="GA22" s="621">
        <f>GA18-GA20-GA21</f>
        <v>-15.201141993255078</v>
      </c>
      <c r="GB22" s="1266">
        <f>GB18-GB20-GB21</f>
        <v>-30.961796747183598</v>
      </c>
      <c r="GC22" s="621">
        <f>GC18-GC20-GC21</f>
        <v>-126.52799288049573</v>
      </c>
      <c r="GD22" s="1489">
        <f>GD18-GD20-GD21</f>
        <v>-254.11425232284682</v>
      </c>
      <c r="GF22"/>
      <c r="GG22"/>
      <c r="GH22"/>
      <c r="GI22"/>
      <c r="GJ22"/>
      <c r="GK22"/>
      <c r="GL22" s="398"/>
      <c r="GM22" s="398"/>
      <c r="GN22" s="398"/>
      <c r="GO22" s="398"/>
      <c r="GP22" s="398"/>
      <c r="GQ22" s="398"/>
      <c r="GR22" s="398"/>
      <c r="GS22" s="398"/>
      <c r="GT22" s="398"/>
      <c r="GU22" s="398"/>
      <c r="GV22" s="398"/>
      <c r="GW22" s="398"/>
      <c r="GX22" s="398"/>
      <c r="GY22" s="398"/>
      <c r="GZ22" s="398"/>
      <c r="HA22" s="398"/>
      <c r="HB22" s="398"/>
      <c r="HC22" s="398"/>
      <c r="HD22" s="398"/>
      <c r="HE22" s="398"/>
      <c r="HF22" s="398"/>
      <c r="HG22" s="398"/>
      <c r="HH22" s="398"/>
      <c r="HI22" s="398"/>
      <c r="HJ22" s="398"/>
      <c r="HK22" s="398"/>
      <c r="HL22" s="398"/>
      <c r="HM22" s="398"/>
      <c r="HN22" s="398"/>
      <c r="HO22" s="398"/>
      <c r="HP22" s="398"/>
      <c r="HQ22" s="398"/>
      <c r="HR22" s="398"/>
      <c r="HS22" s="398"/>
      <c r="HT22" s="398"/>
      <c r="HU22" s="398"/>
      <c r="HV22" s="398"/>
      <c r="HW22" s="398"/>
      <c r="HX22" s="398"/>
      <c r="HY22" s="398"/>
      <c r="HZ22" s="398"/>
      <c r="IA22" s="398"/>
      <c r="IB22" s="398"/>
      <c r="IC22" s="398"/>
      <c r="ID22" s="398"/>
      <c r="IE22" s="398"/>
      <c r="IF22" s="398"/>
      <c r="IG22" s="398"/>
      <c r="IH22" s="398"/>
      <c r="II22" s="398"/>
      <c r="IJ22" s="398"/>
      <c r="IK22" s="398"/>
      <c r="IL22" s="398"/>
      <c r="IM22" s="398"/>
      <c r="IN22" s="398"/>
      <c r="IO22" s="398"/>
      <c r="IP22" s="398"/>
      <c r="IQ22" s="398"/>
      <c r="IR22" s="398"/>
      <c r="IS22" s="398"/>
      <c r="IT22" s="398"/>
      <c r="IU22" s="398"/>
      <c r="IV22" s="398"/>
      <c r="IW22" s="398"/>
      <c r="IX22" s="398"/>
      <c r="IY22" s="398"/>
      <c r="IZ22" s="398"/>
      <c r="JA22" s="398"/>
    </row>
    <row r="23" spans="1:261" ht="9" customHeight="1">
      <c r="A23" s="500"/>
      <c r="B23" s="507"/>
      <c r="C23" s="507"/>
      <c r="D23" s="507"/>
      <c r="E23" s="507"/>
      <c r="F23" s="507"/>
      <c r="G23" s="507"/>
      <c r="H23" s="507"/>
      <c r="I23" s="507"/>
      <c r="J23" s="507"/>
      <c r="K23" s="507"/>
      <c r="L23" s="507"/>
      <c r="M23" s="507"/>
      <c r="N23" s="507"/>
      <c r="O23" s="507"/>
      <c r="P23" s="507"/>
      <c r="Q23" s="507"/>
      <c r="R23" s="507"/>
      <c r="S23" s="507"/>
      <c r="T23" s="507"/>
      <c r="U23" s="507"/>
      <c r="V23" s="507"/>
      <c r="W23" s="507"/>
      <c r="X23" s="507"/>
      <c r="Y23" s="507"/>
      <c r="Z23" s="507"/>
      <c r="AA23" s="507"/>
      <c r="AB23" s="507"/>
      <c r="AC23" s="507"/>
      <c r="AD23" s="507"/>
      <c r="AE23" s="507"/>
      <c r="AF23" s="507"/>
      <c r="AG23" s="507"/>
      <c r="AH23" s="507"/>
      <c r="AI23" s="507"/>
      <c r="AJ23" s="507"/>
      <c r="AK23" s="507"/>
      <c r="AL23" s="507"/>
      <c r="AM23" s="507"/>
      <c r="AN23" s="507"/>
      <c r="AO23" s="507"/>
      <c r="AP23" s="507"/>
      <c r="AQ23" s="507"/>
      <c r="AR23" s="507"/>
      <c r="AS23" s="507"/>
      <c r="AT23" s="507"/>
      <c r="AU23" s="507"/>
      <c r="AV23" s="507"/>
      <c r="AW23" s="507"/>
      <c r="AX23" s="507"/>
      <c r="AY23" s="507"/>
      <c r="AZ23" s="507"/>
      <c r="BA23" s="507"/>
      <c r="BB23" s="507"/>
      <c r="BC23" s="507"/>
      <c r="BD23" s="507"/>
      <c r="BE23" s="507"/>
      <c r="BF23" s="507"/>
      <c r="BG23" s="507"/>
      <c r="BH23" s="507"/>
      <c r="BI23" s="507"/>
      <c r="BJ23" s="507"/>
      <c r="BK23" s="507"/>
      <c r="BL23" s="507"/>
      <c r="BM23" s="507"/>
      <c r="BN23" s="507"/>
      <c r="BO23" s="507"/>
      <c r="BP23" s="507"/>
      <c r="BQ23" s="507"/>
      <c r="BR23" s="507"/>
      <c r="BS23" s="507"/>
      <c r="BT23" s="507"/>
      <c r="BU23" s="507"/>
      <c r="BV23" s="507"/>
      <c r="BW23" s="507"/>
      <c r="BX23" s="507"/>
      <c r="BY23" s="507"/>
      <c r="BZ23" s="507"/>
      <c r="CA23" s="507"/>
      <c r="CB23" s="507"/>
      <c r="CC23" s="507"/>
      <c r="CD23" s="507"/>
      <c r="CE23" s="507"/>
      <c r="CF23" s="507"/>
      <c r="CG23" s="507"/>
      <c r="CH23" s="507"/>
      <c r="CI23" s="507"/>
      <c r="CJ23" s="507"/>
      <c r="CK23" s="507"/>
      <c r="CL23" s="507"/>
      <c r="CM23" s="507"/>
      <c r="CN23" s="507"/>
      <c r="CO23" s="507"/>
      <c r="CP23" s="507"/>
      <c r="CQ23" s="507"/>
      <c r="CR23" s="507"/>
      <c r="CS23" s="507"/>
      <c r="CT23" s="507"/>
      <c r="CU23" s="507"/>
      <c r="CV23" s="507"/>
      <c r="CW23" s="507"/>
      <c r="CX23" s="507"/>
      <c r="CY23" s="507"/>
      <c r="CZ23" s="507"/>
      <c r="DA23" s="507"/>
      <c r="DB23" s="507"/>
      <c r="DC23" s="507"/>
      <c r="DD23" s="507"/>
      <c r="DE23" s="507"/>
      <c r="DF23" s="507"/>
      <c r="DG23" s="507"/>
      <c r="DH23" s="507"/>
      <c r="DI23" s="507"/>
      <c r="DJ23" s="507"/>
      <c r="DK23" s="507"/>
      <c r="DL23" s="507"/>
      <c r="DM23" s="507"/>
      <c r="DN23" s="507"/>
      <c r="DO23" s="507"/>
      <c r="DP23" s="507"/>
      <c r="DR23" s="507"/>
      <c r="DS23" s="507"/>
      <c r="DT23" s="507"/>
      <c r="DU23" s="507"/>
      <c r="DV23" s="507"/>
      <c r="DW23" s="507"/>
      <c r="DX23" s="507"/>
      <c r="DY23" s="507"/>
      <c r="DZ23" s="507"/>
      <c r="EA23" s="507"/>
      <c r="EB23" s="507"/>
      <c r="EC23" s="507"/>
      <c r="ED23" s="507"/>
      <c r="EE23" s="507"/>
      <c r="EF23" s="507"/>
      <c r="EG23" s="507"/>
      <c r="EH23" s="507"/>
      <c r="EI23" s="507"/>
      <c r="EJ23" s="507"/>
      <c r="EK23" s="507"/>
      <c r="EL23" s="507"/>
      <c r="EM23" s="507"/>
      <c r="EN23" s="507"/>
      <c r="EO23" s="507"/>
      <c r="EP23" s="507"/>
      <c r="EQ23" s="507"/>
      <c r="ER23" s="1463"/>
      <c r="ES23" s="1463"/>
      <c r="ET23" s="1463"/>
      <c r="EU23" s="1463"/>
      <c r="EV23" s="507"/>
      <c r="EW23" s="500"/>
      <c r="EX23" s="507"/>
      <c r="EY23" s="507"/>
      <c r="EZ23" s="507"/>
      <c r="FA23" s="507"/>
      <c r="FB23" s="507"/>
      <c r="FC23" s="507"/>
      <c r="FD23" s="507"/>
      <c r="FE23" s="507"/>
      <c r="FF23" s="507"/>
      <c r="FG23" s="507"/>
      <c r="FH23" s="507"/>
      <c r="FI23" s="507"/>
      <c r="FJ23" s="507"/>
      <c r="FK23" s="507"/>
      <c r="FL23" s="507"/>
      <c r="FM23" s="500"/>
      <c r="FN23" s="500"/>
      <c r="FO23" s="507"/>
      <c r="FP23" s="507"/>
      <c r="FQ23" s="500"/>
      <c r="FR23" s="500"/>
      <c r="FS23" s="507"/>
      <c r="FT23" s="507"/>
      <c r="FU23" s="507"/>
      <c r="FV23" s="507"/>
      <c r="FW23" s="507"/>
      <c r="FX23" s="507"/>
      <c r="FY23" s="507"/>
      <c r="FZ23" s="507"/>
      <c r="GA23" s="507"/>
      <c r="GB23" s="961"/>
      <c r="GC23" s="507"/>
      <c r="GD23" s="1485"/>
    </row>
    <row r="24" spans="1:261" s="590" customFormat="1">
      <c r="A24" s="617" t="s">
        <v>237</v>
      </c>
      <c r="B24" s="618"/>
      <c r="C24" s="619">
        <f>INDEX('qtrP&amp;L'!$150:$150,MATCH(C$7,'qtrP&amp;L'!$6:$6,0))</f>
        <v>71</v>
      </c>
      <c r="D24" s="619">
        <f>INDEX('qtrP&amp;L'!$151:$151,MATCH(C$7,'qtrP&amp;L'!$6:$6,0))</f>
        <v>44</v>
      </c>
      <c r="E24" s="619">
        <f>INDEX('qtrP&amp;L'!$152:$152,MATCH(C$7,'qtrP&amp;L'!$6:$6,0))</f>
        <v>100</v>
      </c>
      <c r="F24" s="619">
        <f>INDEX('qtrP&amp;L'!$153:$153,MATCH(C$7,'qtrP&amp;L'!$6:$6,0))</f>
        <v>165</v>
      </c>
      <c r="G24" s="619"/>
      <c r="H24" s="619">
        <f>INDEX('qtrP&amp;L'!$150:$150,MATCH(H$7,'qtrP&amp;L'!$6:$6,0))</f>
        <v>76</v>
      </c>
      <c r="I24" s="619">
        <f>INDEX('qtrP&amp;L'!$151:$151,MATCH(H$7,'qtrP&amp;L'!$6:$6,0))</f>
        <v>41</v>
      </c>
      <c r="J24" s="619">
        <f>INDEX('qtrP&amp;L'!$152:$152,MATCH(H$7,'qtrP&amp;L'!$6:$6,0))</f>
        <v>54</v>
      </c>
      <c r="K24" s="619">
        <f>INDEX('qtrP&amp;L'!$153:$153,MATCH(H$7,'qtrP&amp;L'!$6:$6,0))</f>
        <v>84</v>
      </c>
      <c r="L24" s="619"/>
      <c r="M24" s="619">
        <f>INDEX('qtrP&amp;L'!$150:$150,MATCH(M$7,'qtrP&amp;L'!$6:$6,0))</f>
        <v>47</v>
      </c>
      <c r="N24" s="619">
        <f>INDEX('qtrP&amp;L'!$151:$151,MATCH(M$7,'qtrP&amp;L'!$6:$6,0))</f>
        <v>18</v>
      </c>
      <c r="O24" s="619">
        <f>INDEX('qtrP&amp;L'!$152:$152,MATCH(M$7,'qtrP&amp;L'!$6:$6,0))</f>
        <v>69</v>
      </c>
      <c r="P24" s="619">
        <f>INDEX('qtrP&amp;L'!$153:$153,MATCH(M$7,'qtrP&amp;L'!$6:$6,0))</f>
        <v>201</v>
      </c>
      <c r="Q24" s="619"/>
      <c r="R24" s="619">
        <f>INDEX('qtrP&amp;L'!$150:$150,MATCH(R$7,'qtrP&amp;L'!$6:$6,0))</f>
        <v>83</v>
      </c>
      <c r="S24" s="619">
        <f>INDEX('qtrP&amp;L'!$151:$151,MATCH(R$7,'qtrP&amp;L'!$6:$6,0))</f>
        <v>51</v>
      </c>
      <c r="T24" s="619">
        <f>INDEX('qtrP&amp;L'!$152:$152,MATCH(R$7,'qtrP&amp;L'!$6:$6,0))</f>
        <v>117</v>
      </c>
      <c r="U24" s="619">
        <f>INDEX('qtrP&amp;L'!$153:$153,MATCH(R$7,'qtrP&amp;L'!$6:$6,0))</f>
        <v>231</v>
      </c>
      <c r="V24" s="619"/>
      <c r="W24" s="619">
        <f>INDEX('qtrP&amp;L'!$150:$150,MATCH(W$7,'qtrP&amp;L'!$6:$6,0))</f>
        <v>104</v>
      </c>
      <c r="X24" s="619">
        <f>INDEX('qtrP&amp;L'!$151:$151,MATCH(W$7,'qtrP&amp;L'!$6:$6,0))</f>
        <v>69</v>
      </c>
      <c r="Y24" s="619">
        <f>INDEX('qtrP&amp;L'!$152:$152,MATCH(W$7,'qtrP&amp;L'!$6:$6,0))</f>
        <v>159</v>
      </c>
      <c r="Z24" s="619">
        <f>INDEX('qtrP&amp;L'!$153:$153,MATCH(W$7,'qtrP&amp;L'!$6:$6,0))</f>
        <v>264</v>
      </c>
      <c r="AA24" s="619"/>
      <c r="AB24" s="619">
        <f>INDEX('qtrP&amp;L'!$150:$150,MATCH(AB$7,'qtrP&amp;L'!$6:$6,0))</f>
        <v>140</v>
      </c>
      <c r="AC24" s="619">
        <f>INDEX('qtrP&amp;L'!$151:$151,MATCH(AB$7,'qtrP&amp;L'!$6:$6,0))</f>
        <v>83</v>
      </c>
      <c r="AD24" s="619">
        <f>INDEX('qtrP&amp;L'!$152:$152,MATCH(AB$7,'qtrP&amp;L'!$6:$6,0))</f>
        <v>173</v>
      </c>
      <c r="AE24" s="619">
        <f>INDEX('qtrP&amp;L'!$153:$153,MATCH(AB$7,'qtrP&amp;L'!$6:$6,0))</f>
        <v>246</v>
      </c>
      <c r="AF24" s="619"/>
      <c r="AG24" s="619">
        <f>INDEX('qtrP&amp;L'!$150:$150,MATCH(AG$7,'qtrP&amp;L'!$6:$6,0))</f>
        <v>97</v>
      </c>
      <c r="AH24" s="619">
        <f>INDEX('qtrP&amp;L'!$151:$151,MATCH(AG$7,'qtrP&amp;L'!$6:$6,0))</f>
        <v>70</v>
      </c>
      <c r="AI24" s="619">
        <f>INDEX('qtrP&amp;L'!$152:$152,MATCH(AG$7,'qtrP&amp;L'!$6:$6,0))</f>
        <v>144</v>
      </c>
      <c r="AJ24" s="619">
        <f>INDEX('qtrP&amp;L'!$153:$153,MATCH(AG$7,'qtrP&amp;L'!$6:$6,0))</f>
        <v>192</v>
      </c>
      <c r="AK24" s="619"/>
      <c r="AL24" s="619">
        <f>INDEX('qtrP&amp;L'!$150:$150,MATCH(AL$7,'qtrP&amp;L'!$6:$6,0))</f>
        <v>85</v>
      </c>
      <c r="AM24" s="619">
        <f>INDEX('qtrP&amp;L'!$151:$151,MATCH(AL$7,'qtrP&amp;L'!$6:$6,0))</f>
        <v>57</v>
      </c>
      <c r="AN24" s="619">
        <f>INDEX('qtrP&amp;L'!$152:$152,MATCH(AL$7,'qtrP&amp;L'!$6:$6,0))</f>
        <v>154</v>
      </c>
      <c r="AO24" s="619">
        <f>INDEX('qtrP&amp;L'!$153:$153,MATCH(AL$7,'qtrP&amp;L'!$6:$6,0))</f>
        <v>174</v>
      </c>
      <c r="AP24" s="619"/>
      <c r="AQ24" s="619">
        <f>INDEX('qtrP&amp;L'!$150:$150,MATCH(AQ$7,'qtrP&amp;L'!$6:$6,0))</f>
        <v>88.14</v>
      </c>
      <c r="AR24" s="619">
        <f>INDEX('qtrP&amp;L'!$151:$151,MATCH(AQ$7,'qtrP&amp;L'!$6:$6,0))</f>
        <v>69.25500000000001</v>
      </c>
      <c r="AS24" s="619">
        <f>INDEX('qtrP&amp;L'!$152:$152,MATCH(AQ$7,'qtrP&amp;L'!$6:$6,0))</f>
        <v>143.22</v>
      </c>
      <c r="AT24" s="619">
        <f>INDEX('qtrP&amp;L'!$153:$153,MATCH(AQ$7,'qtrP&amp;L'!$6:$6,0))</f>
        <v>206.65800000000002</v>
      </c>
      <c r="AU24" s="619"/>
      <c r="AV24" s="619">
        <f>INDEX('qtrP&amp;L'!$150:$150,MATCH(AV$7,'qtrP&amp;L'!$6:$6,0))</f>
        <v>110</v>
      </c>
      <c r="AW24" s="619">
        <f>INDEX('qtrP&amp;L'!$151:$151,MATCH(AV$7,'qtrP&amp;L'!$6:$6,0))</f>
        <v>62.3</v>
      </c>
      <c r="AX24" s="619">
        <f>INDEX('qtrP&amp;L'!$152:$152,MATCH(AV$7,'qtrP&amp;L'!$6:$6,0))</f>
        <v>118</v>
      </c>
      <c r="AY24" s="619">
        <f>INDEX('qtrP&amp;L'!$153:$153,MATCH(AV$7,'qtrP&amp;L'!$6:$6,0))</f>
        <v>107.69999999999999</v>
      </c>
      <c r="AZ24" s="619"/>
      <c r="BA24" s="619">
        <f>INDEX('qtrP&amp;L'!$150:$150,MATCH(BA$7,'qtrP&amp;L'!$6:$6,0))</f>
        <v>80</v>
      </c>
      <c r="BB24" s="619">
        <f>INDEX('qtrP&amp;L'!$151:$151,MATCH(BA$7,'qtrP&amp;L'!$6:$6,0))</f>
        <v>46.02</v>
      </c>
      <c r="BC24" s="619">
        <f>INDEX('qtrP&amp;L'!$152:$152,MATCH(BA$7,'qtrP&amp;L'!$6:$6,0))</f>
        <v>51</v>
      </c>
      <c r="BD24" s="619">
        <f>INDEX('qtrP&amp;L'!$153:$153,MATCH(BA$7,'qtrP&amp;L'!$6:$6,0))</f>
        <v>24.852</v>
      </c>
      <c r="BE24" s="619"/>
      <c r="BF24" s="619">
        <f>INDEX('qtrP&amp;L'!$150:$150,MATCH(BF$7,'qtrP&amp;L'!$6:$6,0))</f>
        <v>28.981000000000002</v>
      </c>
      <c r="BG24" s="619">
        <f>INDEX('qtrP&amp;L'!$151:$151,MATCH(BF$7,'qtrP&amp;L'!$6:$6,0))</f>
        <v>-16.991999999999997</v>
      </c>
      <c r="BH24" s="619">
        <f>INDEX('qtrP&amp;L'!$152:$152,MATCH(BF$7,'qtrP&amp;L'!$6:$6,0))</f>
        <v>-41.975999999999999</v>
      </c>
      <c r="BI24" s="619">
        <f>INDEX('qtrP&amp;L'!$153:$153,MATCH(BF$7,'qtrP&amp;L'!$6:$6,0))</f>
        <v>-22.021000000000001</v>
      </c>
      <c r="BJ24" s="619"/>
      <c r="BK24" s="619">
        <f>INDEX('qtrP&amp;L'!$150:$150,MATCH(BK$7,'qtrP&amp;L'!$6:$6,0))</f>
        <v>25</v>
      </c>
      <c r="BL24" s="619">
        <f>INDEX('qtrP&amp;L'!$151:$151,MATCH(BK$7,'qtrP&amp;L'!$6:$6,0))</f>
        <v>-32</v>
      </c>
      <c r="BM24" s="619">
        <f>INDEX('qtrP&amp;L'!$152:$152,MATCH(BK$7,'qtrP&amp;L'!$6:$6,0))</f>
        <v>23</v>
      </c>
      <c r="BN24" s="619">
        <f>INDEX('qtrP&amp;L'!$153:$153,MATCH(BK$7,'qtrP&amp;L'!$6:$6,0))</f>
        <v>75</v>
      </c>
      <c r="BO24" s="619"/>
      <c r="BP24" s="619">
        <f>INDEX('qtrP&amp;L'!$150:$150,MATCH(BP$7,'qtrP&amp;L'!$6:$6,0))</f>
        <v>33</v>
      </c>
      <c r="BQ24" s="619">
        <f>INDEX('qtrP&amp;L'!$151:$151,MATCH(BP$7,'qtrP&amp;L'!$6:$6,0))</f>
        <v>-12</v>
      </c>
      <c r="BR24" s="619">
        <f>INDEX('qtrP&amp;L'!$152:$152,MATCH(BP$7,'qtrP&amp;L'!$6:$6,0))</f>
        <v>39</v>
      </c>
      <c r="BS24" s="619">
        <f>INDEX('qtrP&amp;L'!$153:$153,MATCH(BP$7,'qtrP&amp;L'!$6:$6,0))</f>
        <v>70</v>
      </c>
      <c r="BT24" s="619"/>
      <c r="BU24" s="619">
        <f>INDEX('qtrP&amp;L'!$150:$150,MATCH(BU$7,'qtrP&amp;L'!$6:$6,0))</f>
        <v>9</v>
      </c>
      <c r="BV24" s="619">
        <f>INDEX('qtrP&amp;L'!$151:$151,MATCH(BU$7,'qtrP&amp;L'!$6:$6,0))</f>
        <v>-3</v>
      </c>
      <c r="BW24" s="619">
        <f>INDEX('qtrP&amp;L'!$152:$152,MATCH(BU$7,'qtrP&amp;L'!$6:$6,0))</f>
        <v>47</v>
      </c>
      <c r="BX24" s="619">
        <f>INDEX('qtrP&amp;L'!$153:$153,MATCH(BU$7,'qtrP&amp;L'!$6:$6,0))</f>
        <v>126</v>
      </c>
      <c r="BY24" s="619"/>
      <c r="BZ24" s="619">
        <f>INDEX('qtrP&amp;L'!$150:$150,MATCH(BZ$7,'qtrP&amp;L'!$6:$6,0))</f>
        <v>61</v>
      </c>
      <c r="CA24" s="619">
        <f>INDEX('qtrP&amp;L'!$151:$151,MATCH(BZ$7,'qtrP&amp;L'!$6:$6,0))</f>
        <v>37.629999999999995</v>
      </c>
      <c r="CB24" s="619">
        <f>INDEX('qtrP&amp;L'!$152:$152,MATCH(BZ$7,'qtrP&amp;L'!$6:$6,0))</f>
        <v>79</v>
      </c>
      <c r="CC24" s="619">
        <f>INDEX('qtrP&amp;L'!$153:$153,MATCH(BZ$7,'qtrP&amp;L'!$6:$6,0))</f>
        <v>170</v>
      </c>
      <c r="CD24" s="619"/>
      <c r="CE24" s="619">
        <f>INDEX('qtrP&amp;L'!$150:$150,MATCH(CE$7,'qtrP&amp;L'!$6:$6,0))</f>
        <v>96.639405204460971</v>
      </c>
      <c r="CF24" s="619">
        <f>INDEX('qtrP&amp;L'!$151:$151,MATCH(CE$7,'qtrP&amp;L'!$6:$6,0))</f>
        <v>60</v>
      </c>
      <c r="CG24" s="619">
        <f>INDEX('qtrP&amp;L'!$152:$152,MATCH(CE$7,'qtrP&amp;L'!$6:$6,0))</f>
        <v>131</v>
      </c>
      <c r="CH24" s="619">
        <f>INDEX('qtrP&amp;L'!$153:$153,MATCH(CE$7,'qtrP&amp;L'!$6:$6,0))</f>
        <v>228.32900000000001</v>
      </c>
      <c r="CI24" s="619"/>
      <c r="CJ24" s="619">
        <f>INDEX('qtrP&amp;L'!$150:$150,MATCH(CJ$7,'qtrP&amp;L'!$6:$6,0))</f>
        <v>134.61206896551724</v>
      </c>
      <c r="CK24" s="619">
        <f>INDEX('qtrP&amp;L'!$151:$151,MATCH(CJ$7,'qtrP&amp;L'!$6:$6,0))</f>
        <v>70</v>
      </c>
      <c r="CL24" s="619">
        <f>INDEX('qtrP&amp;L'!$152:$152,MATCH(CJ$7,'qtrP&amp;L'!$6:$6,0))</f>
        <v>182</v>
      </c>
      <c r="CM24" s="619">
        <f>INDEX('qtrP&amp;L'!$153:$153,MATCH(CJ$7,'qtrP&amp;L'!$6:$6,0))</f>
        <v>271</v>
      </c>
      <c r="CN24" s="619"/>
      <c r="CO24" s="619">
        <f>INDEX('qtrP&amp;L'!$150:$150,MATCH(CO$7,'qtrP&amp;L'!$6:$6,0))</f>
        <v>149</v>
      </c>
      <c r="CP24" s="619">
        <f>INDEX('qtrP&amp;L'!$151:$151,MATCH(CO$7,'qtrP&amp;L'!$6:$6,0))</f>
        <v>105</v>
      </c>
      <c r="CQ24" s="619">
        <f>INDEX('qtrP&amp;L'!$152:$152,MATCH(CO$7,'qtrP&amp;L'!$6:$6,0))</f>
        <v>141</v>
      </c>
      <c r="CR24" s="619">
        <f>INDEX('qtrP&amp;L'!$153:$153,MATCH(CO$7,'qtrP&amp;L'!$6:$6,0))</f>
        <v>255</v>
      </c>
      <c r="CS24" s="619"/>
      <c r="CT24" s="619">
        <f>INDEX('qtrP&amp;L'!$150:$150,MATCH(CT$7,'qtrP&amp;L'!$6:$6,0))</f>
        <v>75</v>
      </c>
      <c r="CU24" s="619">
        <f>INDEX('qtrP&amp;L'!$151:$151,MATCH(CT$7,'qtrP&amp;L'!$6:$6,0))</f>
        <v>72</v>
      </c>
      <c r="CV24" s="619">
        <f>INDEX('qtrP&amp;L'!$152:$152,MATCH(CT$7,'qtrP&amp;L'!$6:$6,0))</f>
        <v>73.271296774193203</v>
      </c>
      <c r="CW24" s="619">
        <f>INDEX('qtrP&amp;L'!$153:$153,MATCH(CT$7,'qtrP&amp;L'!$6:$6,0))</f>
        <v>120</v>
      </c>
      <c r="CX24" s="619"/>
      <c r="CY24" s="619">
        <f>INDEX('qtrP&amp;L'!$150:$150,MATCH(CY$7,'qtrP&amp;L'!$6:$6,0))</f>
        <v>18</v>
      </c>
      <c r="CZ24" s="619">
        <f>INDEX('qtrP&amp;L'!$151:$151,MATCH(CY$7,'qtrP&amp;L'!$6:$6,0))</f>
        <v>-0.38200000000000001</v>
      </c>
      <c r="DA24" s="619">
        <f>INDEX('qtrP&amp;L'!$152:$152,MATCH(CY$7,'qtrP&amp;L'!$6:$6,0))</f>
        <v>16</v>
      </c>
      <c r="DB24" s="619">
        <f>INDEX('qtrP&amp;L'!$153:$153,MATCH(CY$7,'qtrP&amp;L'!$6:$6,0))</f>
        <v>119.8</v>
      </c>
      <c r="DC24" s="619"/>
      <c r="DD24" s="619">
        <f>INDEX('qtrP&amp;L'!$150:$150,MATCH(DD$7,'qtrP&amp;L'!$6:$6,0))</f>
        <v>36</v>
      </c>
      <c r="DE24" s="619">
        <f>INDEX('qtrP&amp;L'!$151:$151,MATCH(DD$7,'qtrP&amp;L'!$6:$6,0))</f>
        <v>4</v>
      </c>
      <c r="DF24" s="619">
        <f>INDEX('qtrP&amp;L'!$152:$152,MATCH(DD$7,'qtrP&amp;L'!$6:$6,0))</f>
        <v>23</v>
      </c>
      <c r="DG24" s="619">
        <f>INDEX('qtrP&amp;L'!$153:$153,MATCH(DD$7,'qtrP&amp;L'!$6:$6,0))</f>
        <v>151.52000000000001</v>
      </c>
      <c r="DH24" s="619"/>
      <c r="DI24" s="619">
        <f>INDEX('qtrP&amp;L'!$150:$150,MATCH(DI$7,'qtrP&amp;L'!$6:$6,0))</f>
        <v>39</v>
      </c>
      <c r="DJ24" s="619">
        <f>INDEX('qtrP&amp;L'!$151:$151,MATCH(DI$7,'qtrP&amp;L'!$6:$6,0))</f>
        <v>10</v>
      </c>
      <c r="DK24" s="619">
        <f>INDEX('qtrP&amp;L'!$152:$152,MATCH(DI$7,'qtrP&amp;L'!$6:$6,0))</f>
        <v>-83</v>
      </c>
      <c r="DL24" s="619">
        <f>INDEX('qtrP&amp;L'!$153:$153,MATCH(DI$7,'qtrP&amp;L'!$6:$6,0))</f>
        <v>-43</v>
      </c>
      <c r="DM24" s="619"/>
      <c r="DN24" s="619">
        <f>INDEX('qtrP&amp;L'!$150:$150,MATCH(DN$7,'qtrP&amp;L'!$6:$6,0))</f>
        <v>-119</v>
      </c>
      <c r="DO24" s="619">
        <f>INDEX('qtrP&amp;L'!$151:$151,MATCH(DN$7,'qtrP&amp;L'!$6:$6,0))</f>
        <v>-94</v>
      </c>
      <c r="DP24" s="619">
        <f>INDEX('qtrP&amp;L'!$152:$152,MATCH(DN$7,'qtrP&amp;L'!$6:$6,0))</f>
        <v>-88</v>
      </c>
      <c r="DQ24" s="619">
        <f>INDEX('qtrP&amp;L'!$153:$153,MATCH(DN$7,'qtrP&amp;L'!$6:$6,0))</f>
        <v>-250</v>
      </c>
      <c r="DR24" s="619"/>
      <c r="DS24" s="619">
        <f>INDEX('qtrP&amp;L'!$150:$150,MATCH(DS$7,'qtrP&amp;L'!$6:$6,0))</f>
        <v>-199</v>
      </c>
      <c r="DT24" s="619">
        <f>INDEX('qtrP&amp;L'!$151:$151,MATCH(DS$7,'qtrP&amp;L'!$6:$6,0))</f>
        <v>-18</v>
      </c>
      <c r="DU24" s="619">
        <f>INDEX('qtrP&amp;L'!$152:$152,MATCH(DS$7,'qtrP&amp;L'!$6:$6,0))</f>
        <v>-11</v>
      </c>
      <c r="DV24" s="619">
        <f>INDEX('qtrP&amp;L'!$153:$153,MATCH(DS$7,'qtrP&amp;L'!$6:$6,0))</f>
        <v>-270</v>
      </c>
      <c r="DW24" s="619"/>
      <c r="DX24" s="619">
        <f>INDEX('qtrP&amp;L'!$150:$150,MATCH(DX$7,'qtrP&amp;L'!$6:$6,0))</f>
        <v>8</v>
      </c>
      <c r="DY24" s="619">
        <f>INDEX('qtrP&amp;L'!$151:$151,MATCH(DX$7,'qtrP&amp;L'!$6:$6,0))</f>
        <v>-4</v>
      </c>
      <c r="DZ24" s="619">
        <f>INDEX('qtrP&amp;L'!$152:$152,MATCH(DX$7,'qtrP&amp;L'!$6:$6,0))</f>
        <v>-3</v>
      </c>
      <c r="EA24" s="619">
        <f>INDEX('qtrP&amp;L'!$153:$153,MATCH(DX$7,'qtrP&amp;L'!$6:$6,0))</f>
        <v>22</v>
      </c>
      <c r="EB24" s="619"/>
      <c r="EC24" s="619">
        <f>INDEX('qtrP&amp;L'!$150:$150,MATCH(EC$7,'qtrP&amp;L'!$6:$6,0))</f>
        <v>-6</v>
      </c>
      <c r="ED24" s="619">
        <f>INDEX('qtrP&amp;L'!$151:$151,MATCH(EC$7,'qtrP&amp;L'!$6:$6,0))</f>
        <v>-3</v>
      </c>
      <c r="EE24" s="619">
        <f>INDEX('qtrP&amp;L'!$152:$152,MATCH(EC$7,'qtrP&amp;L'!$6:$6,0))</f>
        <v>-10</v>
      </c>
      <c r="EF24" s="619">
        <f>INDEX('qtrP&amp;L'!$153:$153,MATCH(EC$7,'qtrP&amp;L'!$6:$6,0))</f>
        <v>1</v>
      </c>
      <c r="EG24" s="619"/>
      <c r="EH24" s="619">
        <f>INDEX('qtrP&amp;L'!$150:$150,MATCH(EH$7,'qtrP&amp;L'!$6:$6,0))</f>
        <v>-1</v>
      </c>
      <c r="EI24" s="619">
        <f>INDEX('qtrP&amp;L'!$151:$151,MATCH(EH$7,'qtrP&amp;L'!$6:$6,0))</f>
        <v>5</v>
      </c>
      <c r="EJ24" s="619">
        <f>INDEX('qtrP&amp;L'!$152:$152,MATCH(EH$7,'qtrP&amp;L'!$6:$6,0))</f>
        <v>3</v>
      </c>
      <c r="EK24" s="619">
        <f>INDEX('qtrP&amp;L'!$153:$153,MATCH(EH$7,'qtrP&amp;L'!$6:$6,0))</f>
        <v>-6</v>
      </c>
      <c r="EL24" s="619"/>
      <c r="EM24" s="619">
        <f>INDEX('qtrP&amp;L'!$150:$150,MATCH(EM$7,'qtrP&amp;L'!$6:$6,0))</f>
        <v>8</v>
      </c>
      <c r="EN24" s="619">
        <f>INDEX('qtrP&amp;L'!$151:$151,MATCH(EM$7,'qtrP&amp;L'!$6:$6,0))</f>
        <v>-24.5</v>
      </c>
      <c r="EO24" s="619">
        <f>INDEX('qtrP&amp;L'!$152:$152,MATCH(EM$7,'qtrP&amp;L'!$6:$6,0))</f>
        <v>-53.18</v>
      </c>
      <c r="EP24" s="619">
        <f>INDEX('qtrP&amp;L'!$153:$153,MATCH(EM$7,'qtrP&amp;L'!$6:$6,0))</f>
        <v>-11</v>
      </c>
      <c r="EQ24" s="619"/>
      <c r="ER24" s="1466">
        <f>INDEX('qtrP&amp;L'!$150:$150,MATCH(ER$7,'qtrP&amp;L'!$6:$6,0))</f>
        <v>0</v>
      </c>
      <c r="ES24" s="1466">
        <f>INDEX('qtrP&amp;L'!$151:$151,MATCH(ER$7,'qtrP&amp;L'!$6:$6,0))</f>
        <v>5</v>
      </c>
      <c r="ET24" s="1466">
        <f>INDEX('qtrP&amp;L'!$152:$152,MATCH(ER$7,'qtrP&amp;L'!$6:$6,0))</f>
        <v>0</v>
      </c>
      <c r="EU24" s="1466">
        <f>INDEX('qtrP&amp;L'!$153:$153,MATCH(ER$7,'qtrP&amp;L'!$6:$6,0))</f>
        <v>12</v>
      </c>
      <c r="EV24" s="507"/>
      <c r="EW24" s="620">
        <f t="shared" ref="EW24:FG24" si="19">SUMIF($A$6:$DQ$6,EW$7,$A24:$DQ24)</f>
        <v>380</v>
      </c>
      <c r="EX24" s="621">
        <f t="shared" si="19"/>
        <v>255</v>
      </c>
      <c r="EY24" s="621">
        <f t="shared" si="19"/>
        <v>335</v>
      </c>
      <c r="EZ24" s="621">
        <f t="shared" si="19"/>
        <v>482</v>
      </c>
      <c r="FA24" s="621">
        <f t="shared" si="19"/>
        <v>596</v>
      </c>
      <c r="FB24" s="621">
        <f t="shared" si="19"/>
        <v>642</v>
      </c>
      <c r="FC24" s="621">
        <f t="shared" si="19"/>
        <v>503</v>
      </c>
      <c r="FD24" s="621">
        <f t="shared" si="19"/>
        <v>470</v>
      </c>
      <c r="FE24" s="621">
        <f t="shared" si="19"/>
        <v>507.27300000000002</v>
      </c>
      <c r="FF24" s="621">
        <f t="shared" si="19"/>
        <v>398</v>
      </c>
      <c r="FG24" s="621">
        <f t="shared" si="19"/>
        <v>201.87200000000001</v>
      </c>
      <c r="FH24" s="621">
        <f>'qtrP&amp;L'!AY154</f>
        <v>-46.44</v>
      </c>
      <c r="FI24" s="621">
        <f t="shared" ref="FI24:FT24" si="20">SUMIF($A$6:$DQ$6,FI$7,$A24:$DQ24)</f>
        <v>91</v>
      </c>
      <c r="FJ24" s="621">
        <f t="shared" si="20"/>
        <v>130</v>
      </c>
      <c r="FK24" s="621">
        <f t="shared" si="20"/>
        <v>179</v>
      </c>
      <c r="FL24" s="621">
        <f t="shared" si="20"/>
        <v>347.63</v>
      </c>
      <c r="FM24" s="620">
        <f t="shared" si="20"/>
        <v>515.96840520446096</v>
      </c>
      <c r="FN24" s="620">
        <f t="shared" si="20"/>
        <v>657.61206896551721</v>
      </c>
      <c r="FO24" s="621">
        <f t="shared" si="20"/>
        <v>650</v>
      </c>
      <c r="FP24" s="621">
        <f t="shared" si="20"/>
        <v>340.27129677419322</v>
      </c>
      <c r="FQ24" s="620">
        <f t="shared" si="20"/>
        <v>153.41800000000001</v>
      </c>
      <c r="FR24" s="620">
        <f t="shared" si="20"/>
        <v>214.52</v>
      </c>
      <c r="FS24" s="621">
        <f t="shared" si="20"/>
        <v>-77</v>
      </c>
      <c r="FT24" s="621">
        <f t="shared" si="20"/>
        <v>-551</v>
      </c>
      <c r="FU24" s="621">
        <f>'yrP&amp;L'!AB56</f>
        <v>-498</v>
      </c>
      <c r="FV24" s="621">
        <f>'yrP&amp;L'!AC56</f>
        <v>23</v>
      </c>
      <c r="FW24" s="621">
        <f>'yrP&amp;L'!AD56</f>
        <v>-18</v>
      </c>
      <c r="FX24" s="621">
        <f>'yrP&amp;L'!AE56</f>
        <v>1</v>
      </c>
      <c r="FY24" s="621">
        <f>'yrP&amp;L'!AF56</f>
        <v>-80.680000000000007</v>
      </c>
      <c r="FZ24" s="621">
        <f>'yrP&amp;L'!AG56</f>
        <v>17</v>
      </c>
      <c r="GA24" s="621">
        <f>'yrP&amp;L'!AH56</f>
        <v>0</v>
      </c>
      <c r="GB24" s="1266">
        <f>'yrP&amp;L'!AI56</f>
        <v>0</v>
      </c>
      <c r="GC24" s="621">
        <f>'yrP&amp;L'!AJ56</f>
        <v>0</v>
      </c>
      <c r="GD24" s="1489">
        <f>'yrP&amp;L'!AK56</f>
        <v>0</v>
      </c>
      <c r="GF24"/>
      <c r="GG24"/>
      <c r="GH24"/>
      <c r="GI24"/>
      <c r="GJ24"/>
      <c r="GK24"/>
      <c r="GL24" s="398"/>
      <c r="GM24" s="398"/>
      <c r="GN24" s="398"/>
      <c r="GO24" s="398"/>
      <c r="GP24" s="398"/>
      <c r="GQ24" s="398"/>
      <c r="GR24" s="398"/>
      <c r="GS24" s="398"/>
      <c r="GT24" s="398"/>
      <c r="GU24" s="398"/>
      <c r="GV24" s="398"/>
      <c r="GW24" s="398"/>
      <c r="GX24" s="398"/>
      <c r="GY24" s="398"/>
      <c r="GZ24" s="398"/>
      <c r="HA24" s="398"/>
      <c r="HB24" s="398"/>
      <c r="HC24" s="398"/>
      <c r="HD24" s="398"/>
      <c r="HE24" s="398"/>
      <c r="HF24" s="398"/>
      <c r="HG24" s="398"/>
      <c r="HH24" s="398"/>
      <c r="HI24" s="398"/>
      <c r="HJ24" s="398"/>
      <c r="HK24" s="398"/>
      <c r="HL24" s="398"/>
      <c r="HM24" s="398"/>
      <c r="HN24" s="398"/>
      <c r="HO24" s="398"/>
      <c r="HP24" s="398"/>
      <c r="HQ24" s="398"/>
      <c r="HR24" s="398"/>
      <c r="HS24" s="398"/>
      <c r="HT24" s="398"/>
      <c r="HU24" s="398"/>
      <c r="HV24" s="398"/>
      <c r="HW24" s="398"/>
      <c r="HX24" s="398"/>
      <c r="HY24" s="398"/>
      <c r="HZ24" s="398"/>
      <c r="IA24" s="398"/>
      <c r="IB24" s="398"/>
      <c r="IC24" s="398"/>
      <c r="ID24" s="398"/>
      <c r="IE24" s="398"/>
      <c r="IF24" s="398"/>
      <c r="IG24" s="398"/>
      <c r="IH24" s="398"/>
      <c r="II24" s="398"/>
      <c r="IJ24" s="398"/>
      <c r="IK24" s="398"/>
      <c r="IL24" s="398"/>
      <c r="IM24" s="398"/>
      <c r="IN24" s="398"/>
      <c r="IO24" s="398"/>
      <c r="IP24" s="398"/>
      <c r="IQ24" s="398"/>
      <c r="IR24" s="398"/>
      <c r="IS24" s="398"/>
      <c r="IT24" s="398"/>
      <c r="IU24" s="398"/>
      <c r="IV24" s="398"/>
      <c r="IW24" s="398"/>
      <c r="IX24" s="398"/>
      <c r="IY24" s="398"/>
      <c r="IZ24" s="398"/>
      <c r="JA24" s="398"/>
    </row>
    <row r="25" spans="1:261" ht="9" customHeight="1">
      <c r="A25" s="500"/>
      <c r="B25" s="507"/>
      <c r="C25" s="507"/>
      <c r="D25" s="507"/>
      <c r="E25" s="507"/>
      <c r="F25" s="507"/>
      <c r="G25" s="507"/>
      <c r="H25" s="507"/>
      <c r="I25" s="507"/>
      <c r="J25" s="507"/>
      <c r="K25" s="507"/>
      <c r="L25" s="507"/>
      <c r="M25" s="507"/>
      <c r="N25" s="507"/>
      <c r="O25" s="507"/>
      <c r="P25" s="507"/>
      <c r="Q25" s="507"/>
      <c r="R25" s="507"/>
      <c r="S25" s="507"/>
      <c r="T25" s="507"/>
      <c r="U25" s="507"/>
      <c r="V25" s="507"/>
      <c r="W25" s="507"/>
      <c r="X25" s="507"/>
      <c r="Y25" s="507"/>
      <c r="Z25" s="507"/>
      <c r="AA25" s="507"/>
      <c r="AB25" s="507"/>
      <c r="AC25" s="507"/>
      <c r="AD25" s="507"/>
      <c r="AE25" s="507"/>
      <c r="AF25" s="507"/>
      <c r="AG25" s="507"/>
      <c r="AH25" s="507"/>
      <c r="AI25" s="507"/>
      <c r="AJ25" s="507"/>
      <c r="AK25" s="507"/>
      <c r="AL25" s="507"/>
      <c r="AM25" s="507"/>
      <c r="AN25" s="507"/>
      <c r="AO25" s="507"/>
      <c r="AP25" s="507"/>
      <c r="AQ25" s="507"/>
      <c r="AR25" s="507"/>
      <c r="AS25" s="507"/>
      <c r="AT25" s="507"/>
      <c r="AU25" s="507"/>
      <c r="AV25" s="507"/>
      <c r="AW25" s="507"/>
      <c r="AX25" s="507"/>
      <c r="AY25" s="507"/>
      <c r="AZ25" s="507"/>
      <c r="BA25" s="507"/>
      <c r="BB25" s="507"/>
      <c r="BC25" s="507"/>
      <c r="BD25" s="507"/>
      <c r="BE25" s="507"/>
      <c r="BF25" s="507"/>
      <c r="BG25" s="507"/>
      <c r="BH25" s="507"/>
      <c r="BI25" s="507"/>
      <c r="BJ25" s="507"/>
      <c r="BK25" s="507"/>
      <c r="BL25" s="507"/>
      <c r="BM25" s="507"/>
      <c r="BN25" s="507"/>
      <c r="BO25" s="507"/>
      <c r="BP25" s="507"/>
      <c r="BQ25" s="507"/>
      <c r="BR25" s="507"/>
      <c r="BS25" s="507"/>
      <c r="BT25" s="507"/>
      <c r="BU25" s="507"/>
      <c r="BV25" s="507"/>
      <c r="BW25" s="507"/>
      <c r="BX25" s="507"/>
      <c r="BY25" s="507"/>
      <c r="BZ25" s="507"/>
      <c r="CA25" s="507"/>
      <c r="CB25" s="507"/>
      <c r="CC25" s="507"/>
      <c r="CD25" s="507"/>
      <c r="CE25" s="507"/>
      <c r="CF25" s="507"/>
      <c r="CG25" s="507"/>
      <c r="CH25" s="507"/>
      <c r="CI25" s="507"/>
      <c r="CJ25" s="507"/>
      <c r="CK25" s="507"/>
      <c r="CL25" s="507"/>
      <c r="CM25" s="507"/>
      <c r="CN25" s="507"/>
      <c r="CO25" s="507"/>
      <c r="CP25" s="507"/>
      <c r="CQ25" s="507"/>
      <c r="CR25" s="507"/>
      <c r="CS25" s="507"/>
      <c r="CT25" s="507"/>
      <c r="CU25" s="507"/>
      <c r="CV25" s="507"/>
      <c r="CW25" s="507"/>
      <c r="CX25" s="507"/>
      <c r="CY25" s="507"/>
      <c r="CZ25" s="507"/>
      <c r="DA25" s="507"/>
      <c r="DB25" s="507"/>
      <c r="DC25" s="507"/>
      <c r="DD25" s="507"/>
      <c r="DE25" s="507"/>
      <c r="DF25" s="507"/>
      <c r="DG25" s="507"/>
      <c r="DH25" s="507"/>
      <c r="DI25" s="507"/>
      <c r="DJ25" s="507"/>
      <c r="DK25" s="507"/>
      <c r="DL25" s="507"/>
      <c r="DM25" s="507"/>
      <c r="DN25" s="507"/>
      <c r="DO25" s="507"/>
      <c r="DP25" s="507"/>
      <c r="DR25" s="507"/>
      <c r="DS25" s="507"/>
      <c r="DT25" s="507"/>
      <c r="DU25" s="507"/>
      <c r="DV25" s="507"/>
      <c r="DW25" s="507"/>
      <c r="DX25" s="507"/>
      <c r="DY25" s="507"/>
      <c r="DZ25" s="507"/>
      <c r="EA25" s="507"/>
      <c r="EB25" s="507"/>
      <c r="EC25" s="507"/>
      <c r="ED25" s="507"/>
      <c r="EE25" s="507"/>
      <c r="EF25" s="507"/>
      <c r="EG25" s="507"/>
      <c r="EH25" s="507"/>
      <c r="EI25" s="507"/>
      <c r="EJ25" s="507"/>
      <c r="EK25" s="507"/>
      <c r="EL25" s="507"/>
      <c r="EM25" s="507"/>
      <c r="EN25" s="507"/>
      <c r="EO25" s="507"/>
      <c r="EP25" s="507"/>
      <c r="EQ25" s="507"/>
      <c r="ER25" s="1463"/>
      <c r="ES25" s="1463"/>
      <c r="ET25" s="1463"/>
      <c r="EU25" s="1463"/>
      <c r="EV25" s="507"/>
      <c r="EW25" s="613"/>
      <c r="EX25" s="614"/>
      <c r="EY25" s="614"/>
      <c r="EZ25" s="614"/>
      <c r="FA25" s="614"/>
      <c r="FB25" s="614"/>
      <c r="FC25" s="614"/>
      <c r="FD25" s="614"/>
      <c r="FE25" s="614"/>
      <c r="FF25" s="614"/>
      <c r="FG25" s="614"/>
      <c r="FH25" s="614"/>
      <c r="FI25" s="614"/>
      <c r="FJ25" s="614"/>
      <c r="FK25" s="614"/>
      <c r="FL25" s="614"/>
      <c r="FM25" s="613"/>
      <c r="FN25" s="613"/>
      <c r="FO25" s="614"/>
      <c r="FP25" s="614"/>
      <c r="FQ25" s="613"/>
      <c r="FR25" s="613"/>
      <c r="FS25" s="614"/>
      <c r="FT25" s="614"/>
      <c r="FU25" s="614"/>
      <c r="FV25" s="614"/>
      <c r="FW25" s="614"/>
      <c r="FX25" s="614"/>
      <c r="FY25" s="614"/>
      <c r="FZ25" s="614"/>
      <c r="GA25" s="614"/>
      <c r="GB25" s="1264"/>
      <c r="GC25" s="614"/>
      <c r="GD25" s="1487"/>
    </row>
    <row r="26" spans="1:261">
      <c r="A26" s="500" t="s">
        <v>238</v>
      </c>
      <c r="B26" s="507"/>
      <c r="C26" s="609">
        <f>C22-C24</f>
        <v>148</v>
      </c>
      <c r="D26" s="609">
        <f>D22-D24</f>
        <v>98</v>
      </c>
      <c r="E26" s="609">
        <f>E22-E24</f>
        <v>209</v>
      </c>
      <c r="F26" s="609">
        <f>F22-F24</f>
        <v>367</v>
      </c>
      <c r="G26" s="628"/>
      <c r="H26" s="609">
        <f>H22-H24</f>
        <v>154</v>
      </c>
      <c r="I26" s="609">
        <f>I22-I24</f>
        <v>83</v>
      </c>
      <c r="J26" s="609">
        <f>J22-J24</f>
        <v>134</v>
      </c>
      <c r="K26" s="609">
        <f>K22-K24</f>
        <v>206</v>
      </c>
      <c r="L26" s="628"/>
      <c r="M26" s="609">
        <f>M22-M24</f>
        <v>80</v>
      </c>
      <c r="N26" s="609">
        <f>N22-N24</f>
        <v>31</v>
      </c>
      <c r="O26" s="609">
        <f>O22-O24</f>
        <v>116</v>
      </c>
      <c r="P26" s="609">
        <f>P22-P24</f>
        <v>301</v>
      </c>
      <c r="Q26" s="628"/>
      <c r="R26" s="609">
        <f>R22-R24</f>
        <v>136</v>
      </c>
      <c r="S26" s="609">
        <f>S22-S24</f>
        <v>80</v>
      </c>
      <c r="T26" s="609">
        <f>T22-T24</f>
        <v>186</v>
      </c>
      <c r="U26" s="609">
        <f>U22-U24</f>
        <v>375</v>
      </c>
      <c r="V26" s="628"/>
      <c r="W26" s="609">
        <f>W22-W24</f>
        <v>172</v>
      </c>
      <c r="X26" s="609">
        <f>X22-X24</f>
        <v>112</v>
      </c>
      <c r="Y26" s="609">
        <f>Y22-Y24</f>
        <v>235</v>
      </c>
      <c r="Z26" s="609">
        <f>Z22-Z24</f>
        <v>439</v>
      </c>
      <c r="AA26" s="628"/>
      <c r="AB26" s="609">
        <f>AB22-AB24</f>
        <v>223</v>
      </c>
      <c r="AC26" s="609">
        <f>AC22-AC24</f>
        <v>132</v>
      </c>
      <c r="AD26" s="609">
        <f>AD22-AD24</f>
        <v>274</v>
      </c>
      <c r="AE26" s="609">
        <f>AE22-AE24</f>
        <v>428</v>
      </c>
      <c r="AF26" s="628"/>
      <c r="AG26" s="609">
        <f>AG22-AG24</f>
        <v>156</v>
      </c>
      <c r="AH26" s="609">
        <f>AH22-AH24</f>
        <v>116</v>
      </c>
      <c r="AI26" s="609">
        <f>AI22-AI24</f>
        <v>240</v>
      </c>
      <c r="AJ26" s="609">
        <f>AJ22-AJ24</f>
        <v>326.20000000000005</v>
      </c>
      <c r="AK26" s="628"/>
      <c r="AL26" s="609">
        <f>AL22-AL24</f>
        <v>142</v>
      </c>
      <c r="AM26" s="609">
        <f>AM22-AM24</f>
        <v>93</v>
      </c>
      <c r="AN26" s="609">
        <f>AN22-AN24</f>
        <v>257</v>
      </c>
      <c r="AO26" s="609">
        <f>AO22-AO24</f>
        <v>301</v>
      </c>
      <c r="AP26" s="628"/>
      <c r="AQ26" s="609">
        <f>AQ22-AQ24</f>
        <v>137.86000000000001</v>
      </c>
      <c r="AR26" s="609">
        <f>AR22-AR24</f>
        <v>101.74499999999999</v>
      </c>
      <c r="AS26" s="609">
        <f>AS22-AS24</f>
        <v>228.78</v>
      </c>
      <c r="AT26" s="609">
        <f>AT22-AT24</f>
        <v>327.34199999999998</v>
      </c>
      <c r="AU26" s="628"/>
      <c r="AV26" s="609">
        <f>AV22-AV24</f>
        <v>174.54737665669109</v>
      </c>
      <c r="AW26" s="609">
        <f>AW22-AW24</f>
        <v>96.7</v>
      </c>
      <c r="AX26" s="609">
        <f>AX22-AX24</f>
        <v>186</v>
      </c>
      <c r="AY26" s="609">
        <f>AY22-AY24</f>
        <v>192.3</v>
      </c>
      <c r="AZ26" s="628"/>
      <c r="BA26" s="609">
        <f>BA22-BA24</f>
        <v>131</v>
      </c>
      <c r="BB26" s="609">
        <f>BB22-BB24</f>
        <v>71.97999999999999</v>
      </c>
      <c r="BC26" s="609">
        <f>BC22-BC24</f>
        <v>97</v>
      </c>
      <c r="BD26" s="609">
        <f>BD22-BD24</f>
        <v>84.147999999999996</v>
      </c>
      <c r="BE26" s="628"/>
      <c r="BF26" s="609">
        <f>BF22-BF24</f>
        <v>44.018999999999998</v>
      </c>
      <c r="BG26" s="609">
        <f>BG22-BG24</f>
        <v>-31.008000000000003</v>
      </c>
      <c r="BH26" s="609">
        <f>BH22-BH24</f>
        <v>-57.024000000000001</v>
      </c>
      <c r="BI26" s="609">
        <f>BI22-BI24</f>
        <v>-38.978999999999999</v>
      </c>
      <c r="BJ26" s="628"/>
      <c r="BK26" s="609">
        <f>BK22-BK24</f>
        <v>55</v>
      </c>
      <c r="BL26" s="609">
        <f>BL22-BL24</f>
        <v>-30</v>
      </c>
      <c r="BM26" s="609">
        <f>BM22-BM24</f>
        <v>55</v>
      </c>
      <c r="BN26" s="609">
        <f>BN22-BN24</f>
        <v>103</v>
      </c>
      <c r="BO26" s="628"/>
      <c r="BP26" s="609">
        <f>BP22-BP24</f>
        <v>62</v>
      </c>
      <c r="BQ26" s="609">
        <f>BQ22-BQ24</f>
        <v>-20</v>
      </c>
      <c r="BR26" s="609">
        <f>BR22-BR24</f>
        <v>69</v>
      </c>
      <c r="BS26" s="609">
        <f>BS22-BS24</f>
        <v>174</v>
      </c>
      <c r="BT26" s="628"/>
      <c r="BU26" s="609">
        <f>BU22-BU24</f>
        <v>22</v>
      </c>
      <c r="BV26" s="609">
        <f>BV22-BV24</f>
        <v>-4</v>
      </c>
      <c r="BW26" s="609">
        <f>BW22-BW24</f>
        <v>93</v>
      </c>
      <c r="BX26" s="609">
        <f>BX22-BX24</f>
        <v>249</v>
      </c>
      <c r="BY26" s="628"/>
      <c r="BZ26" s="609">
        <f>BZ22-BZ24</f>
        <v>117</v>
      </c>
      <c r="CA26" s="609">
        <f>CA22-CA24</f>
        <v>68.37</v>
      </c>
      <c r="CB26" s="609">
        <f>CB22-CB24</f>
        <v>148</v>
      </c>
      <c r="CC26" s="609">
        <f>CC22-CC24</f>
        <v>324</v>
      </c>
      <c r="CD26" s="628"/>
      <c r="CE26" s="609">
        <f>CE22-CE24</f>
        <v>171.36059479553904</v>
      </c>
      <c r="CF26" s="609">
        <f>CF22-CF24</f>
        <v>122</v>
      </c>
      <c r="CG26" s="609">
        <f>CG22-CG24</f>
        <v>234</v>
      </c>
      <c r="CH26" s="609">
        <f>CH22-CH24</f>
        <v>400.75499999999982</v>
      </c>
      <c r="CI26" s="628"/>
      <c r="CJ26" s="609">
        <f>CJ22-CJ24</f>
        <v>212.38793103448276</v>
      </c>
      <c r="CK26" s="609">
        <f>CK22-CK24</f>
        <v>177</v>
      </c>
      <c r="CL26" s="609">
        <f>CL22-CL24</f>
        <v>286</v>
      </c>
      <c r="CM26" s="609">
        <f>CM22-CM24</f>
        <v>461</v>
      </c>
      <c r="CN26" s="628"/>
      <c r="CO26" s="609">
        <f>CO22-CO24</f>
        <v>237</v>
      </c>
      <c r="CP26" s="609">
        <f>CP22-CP24</f>
        <v>174.07000000000016</v>
      </c>
      <c r="CQ26" s="609">
        <f>CQ22-CQ24</f>
        <v>228</v>
      </c>
      <c r="CR26" s="609">
        <f>CR22-CR24</f>
        <v>431</v>
      </c>
      <c r="CS26" s="628"/>
      <c r="CT26" s="609">
        <f>CT22-CT24</f>
        <v>120</v>
      </c>
      <c r="CU26" s="609">
        <f>CU22-CU24</f>
        <v>116.0595000000003</v>
      </c>
      <c r="CV26" s="609">
        <f>CV22-CV24</f>
        <v>118.53838064516073</v>
      </c>
      <c r="CW26" s="609">
        <f>CW22-CW24</f>
        <v>208</v>
      </c>
      <c r="CX26" s="628"/>
      <c r="CY26" s="609">
        <f>CY22-CY24</f>
        <v>25</v>
      </c>
      <c r="CZ26" s="609">
        <f>CZ22-CZ24</f>
        <v>-0.61799999999999999</v>
      </c>
      <c r="DA26" s="609">
        <f>DA22-DA24</f>
        <v>27</v>
      </c>
      <c r="DB26" s="609">
        <f>DB22-DB24</f>
        <v>198.2</v>
      </c>
      <c r="DC26" s="628"/>
      <c r="DD26" s="609">
        <f>DD22-DD24</f>
        <v>60</v>
      </c>
      <c r="DE26" s="609">
        <f>DE22-DE24</f>
        <v>14</v>
      </c>
      <c r="DF26" s="609">
        <f>DF22-DF24</f>
        <v>44</v>
      </c>
      <c r="DG26" s="609">
        <f>DG22-DG24</f>
        <v>280.48</v>
      </c>
      <c r="DH26" s="628"/>
      <c r="DI26" s="609">
        <f>DI22-DI24</f>
        <v>64</v>
      </c>
      <c r="DJ26" s="609">
        <f>DJ22-DJ24</f>
        <v>14.321626926322097</v>
      </c>
      <c r="DK26" s="609">
        <f>DK22-DK24</f>
        <v>-143</v>
      </c>
      <c r="DL26" s="609">
        <f>DL22-DL24</f>
        <v>-87</v>
      </c>
      <c r="DM26" s="628"/>
      <c r="DN26" s="609">
        <f>DN22-DN24</f>
        <v>-163</v>
      </c>
      <c r="DO26" s="609">
        <f>DO22-DO24</f>
        <v>-147</v>
      </c>
      <c r="DP26" s="609">
        <f>DP22-DP24</f>
        <v>-123</v>
      </c>
      <c r="DQ26" s="609">
        <f>DQ22-DQ24</f>
        <v>-552</v>
      </c>
      <c r="DR26" s="628"/>
      <c r="DS26" s="609">
        <f>DS22-DS24</f>
        <v>-348</v>
      </c>
      <c r="DT26" s="609">
        <f>DT22-DT24</f>
        <v>-586</v>
      </c>
      <c r="DU26" s="609">
        <f>DU22-DU24</f>
        <v>-489</v>
      </c>
      <c r="DV26" s="609">
        <f>DV22-DV24</f>
        <v>35</v>
      </c>
      <c r="DW26" s="628"/>
      <c r="DX26" s="609">
        <f>DX22-DX24</f>
        <v>-352</v>
      </c>
      <c r="DY26" s="609">
        <f>DY22-DY24</f>
        <v>-172</v>
      </c>
      <c r="DZ26" s="609">
        <f>DZ22-DZ24</f>
        <v>-188</v>
      </c>
      <c r="EA26" s="609">
        <f>EA22-EA24</f>
        <v>-59</v>
      </c>
      <c r="EB26" s="628"/>
      <c r="EC26" s="609">
        <f>EC22-EC24</f>
        <v>-140.75</v>
      </c>
      <c r="ED26" s="609">
        <f>ED22-ED24</f>
        <v>-138</v>
      </c>
      <c r="EE26" s="609">
        <f>EE22-EE24</f>
        <v>-137</v>
      </c>
      <c r="EF26" s="609">
        <f>EF22-EF24</f>
        <v>-131</v>
      </c>
      <c r="EG26" s="628"/>
      <c r="EH26" s="609">
        <f>EH22-EH24</f>
        <v>-68</v>
      </c>
      <c r="EI26" s="609">
        <f>EI22-EI24</f>
        <v>-56</v>
      </c>
      <c r="EJ26" s="609">
        <f>EJ22-EJ24</f>
        <v>-67</v>
      </c>
      <c r="EK26" s="609">
        <f>EK22-EK24</f>
        <v>192</v>
      </c>
      <c r="EL26" s="628"/>
      <c r="EM26" s="609">
        <f>EM22-EM24</f>
        <v>19</v>
      </c>
      <c r="EN26" s="609">
        <f>EN22-EN24</f>
        <v>-28.499999999999545</v>
      </c>
      <c r="EO26" s="609">
        <f>EO22-EO24</f>
        <v>-101.82</v>
      </c>
      <c r="EP26" s="609">
        <f>EP22-EP24</f>
        <v>179</v>
      </c>
      <c r="EQ26" s="628"/>
      <c r="ER26" s="1464">
        <f>ER22-ER24</f>
        <v>-55.229263999999944</v>
      </c>
      <c r="ES26" s="1464">
        <f>ES22-ES24</f>
        <v>31.46926400000018</v>
      </c>
      <c r="ET26" s="1464">
        <f>ET22-ET24</f>
        <v>-43.332539999999995</v>
      </c>
      <c r="EU26" s="1464">
        <f>EU22-EU24</f>
        <v>89.412875999999869</v>
      </c>
      <c r="EV26" s="507"/>
      <c r="EW26" s="611">
        <f t="shared" ref="EW26:FH26" si="21">EW22-EW24</f>
        <v>822</v>
      </c>
      <c r="EX26" s="609">
        <f t="shared" si="21"/>
        <v>577</v>
      </c>
      <c r="EY26" s="609">
        <f t="shared" si="21"/>
        <v>528</v>
      </c>
      <c r="EZ26" s="609">
        <f t="shared" si="21"/>
        <v>777</v>
      </c>
      <c r="FA26" s="609">
        <f t="shared" si="21"/>
        <v>958</v>
      </c>
      <c r="FB26" s="609">
        <f t="shared" si="21"/>
        <v>1057</v>
      </c>
      <c r="FC26" s="609">
        <f t="shared" si="21"/>
        <v>838.2</v>
      </c>
      <c r="FD26" s="609">
        <f t="shared" si="21"/>
        <v>793</v>
      </c>
      <c r="FE26" s="609">
        <f t="shared" si="21"/>
        <v>795.72699999999998</v>
      </c>
      <c r="FF26" s="609">
        <f t="shared" si="21"/>
        <v>649.54737665669109</v>
      </c>
      <c r="FG26" s="609">
        <f t="shared" si="21"/>
        <v>384.12799999999999</v>
      </c>
      <c r="FH26" s="609">
        <f t="shared" si="21"/>
        <v>-88.56</v>
      </c>
      <c r="FI26" s="609">
        <f>'qtrP&amp;L'!BK164</f>
        <v>184</v>
      </c>
      <c r="FJ26" s="609">
        <f>'qtrP&amp;L'!BO164</f>
        <v>282</v>
      </c>
      <c r="FK26" s="609">
        <f t="shared" ref="FK26:FS26" si="22">FK22-FK24</f>
        <v>360</v>
      </c>
      <c r="FL26" s="609">
        <f t="shared" si="22"/>
        <v>657.37</v>
      </c>
      <c r="FM26" s="611">
        <f t="shared" si="22"/>
        <v>928.11559479553887</v>
      </c>
      <c r="FN26" s="611">
        <f t="shared" si="22"/>
        <v>1136.3879310344828</v>
      </c>
      <c r="FO26" s="609">
        <f t="shared" si="22"/>
        <v>1070.0700000000002</v>
      </c>
      <c r="FP26" s="609">
        <f t="shared" si="22"/>
        <v>562.59788064516101</v>
      </c>
      <c r="FQ26" s="611">
        <f t="shared" si="22"/>
        <v>249.58199999999999</v>
      </c>
      <c r="FR26" s="611">
        <f t="shared" si="22"/>
        <v>398.48</v>
      </c>
      <c r="FS26" s="609">
        <f t="shared" si="22"/>
        <v>-151.6783730736779</v>
      </c>
      <c r="FT26" s="609">
        <f t="shared" ref="FT26:FY26" si="23">FT22-FT24</f>
        <v>-985</v>
      </c>
      <c r="FU26" s="609">
        <f t="shared" si="23"/>
        <v>-1388</v>
      </c>
      <c r="FV26" s="609">
        <f t="shared" si="23"/>
        <v>-771</v>
      </c>
      <c r="FW26" s="609">
        <f t="shared" si="23"/>
        <v>-546.75</v>
      </c>
      <c r="FX26" s="609">
        <f t="shared" si="23"/>
        <v>1</v>
      </c>
      <c r="FY26" s="609">
        <f t="shared" si="23"/>
        <v>67.680000000000007</v>
      </c>
      <c r="FZ26" s="609">
        <f>FZ22-FZ24</f>
        <v>22.320335999998861</v>
      </c>
      <c r="GA26" s="609">
        <f>GA22-GA24</f>
        <v>-15.201141993255078</v>
      </c>
      <c r="GB26" s="1263">
        <f>GB22-GB24</f>
        <v>-30.961796747183598</v>
      </c>
      <c r="GC26" s="609">
        <f>GC22-GC24</f>
        <v>-126.52799288049573</v>
      </c>
      <c r="GD26" s="1486">
        <f>GD22-GD24</f>
        <v>-254.11425232284682</v>
      </c>
    </row>
    <row r="27" spans="1:261" ht="9" customHeight="1">
      <c r="A27" s="500"/>
      <c r="B27" s="507"/>
      <c r="C27" s="507"/>
      <c r="D27" s="507"/>
      <c r="E27" s="507"/>
      <c r="F27" s="507"/>
      <c r="G27" s="507"/>
      <c r="H27" s="507"/>
      <c r="I27" s="507"/>
      <c r="J27" s="507"/>
      <c r="K27" s="507"/>
      <c r="L27" s="507"/>
      <c r="M27" s="507"/>
      <c r="N27" s="507"/>
      <c r="O27" s="507"/>
      <c r="P27" s="507"/>
      <c r="Q27" s="507"/>
      <c r="R27" s="507"/>
      <c r="S27" s="507"/>
      <c r="T27" s="507"/>
      <c r="U27" s="507"/>
      <c r="V27" s="507"/>
      <c r="W27" s="507"/>
      <c r="X27" s="507"/>
      <c r="Y27" s="507"/>
      <c r="Z27" s="507"/>
      <c r="AA27" s="507"/>
      <c r="AB27" s="507"/>
      <c r="AC27" s="507"/>
      <c r="AD27" s="507"/>
      <c r="AE27" s="507"/>
      <c r="AF27" s="507"/>
      <c r="AG27" s="507"/>
      <c r="AH27" s="507"/>
      <c r="AI27" s="507"/>
      <c r="AJ27" s="507"/>
      <c r="AK27" s="507"/>
      <c r="AL27" s="507"/>
      <c r="AM27" s="507"/>
      <c r="AN27" s="507"/>
      <c r="AO27" s="507"/>
      <c r="AP27" s="507"/>
      <c r="AQ27" s="507"/>
      <c r="AR27" s="507"/>
      <c r="AS27" s="507"/>
      <c r="AT27" s="507"/>
      <c r="AU27" s="507"/>
      <c r="AV27" s="507"/>
      <c r="AW27" s="507"/>
      <c r="AX27" s="507"/>
      <c r="AY27" s="507"/>
      <c r="AZ27" s="507"/>
      <c r="BA27" s="507"/>
      <c r="BB27" s="507"/>
      <c r="BC27" s="507"/>
      <c r="BD27" s="507"/>
      <c r="BE27" s="507"/>
      <c r="BF27" s="507"/>
      <c r="BG27" s="507"/>
      <c r="BH27" s="507"/>
      <c r="BI27" s="507"/>
      <c r="BJ27" s="507"/>
      <c r="BK27" s="507"/>
      <c r="BL27" s="507"/>
      <c r="BM27" s="507"/>
      <c r="BN27" s="507"/>
      <c r="BO27" s="507"/>
      <c r="BP27" s="507"/>
      <c r="BQ27" s="507"/>
      <c r="BR27" s="507"/>
      <c r="BS27" s="507"/>
      <c r="BT27" s="507"/>
      <c r="BU27" s="507"/>
      <c r="BV27" s="507"/>
      <c r="BW27" s="507"/>
      <c r="BX27" s="507"/>
      <c r="BY27" s="507"/>
      <c r="BZ27" s="507"/>
      <c r="CA27" s="507"/>
      <c r="CB27" s="507"/>
      <c r="CC27" s="507"/>
      <c r="CD27" s="507"/>
      <c r="CE27" s="507"/>
      <c r="CF27" s="507"/>
      <c r="CG27" s="507"/>
      <c r="CH27" s="507"/>
      <c r="CI27" s="507"/>
      <c r="CJ27" s="507"/>
      <c r="CK27" s="507"/>
      <c r="CL27" s="507"/>
      <c r="CM27" s="507"/>
      <c r="CN27" s="507"/>
      <c r="CO27" s="507"/>
      <c r="CP27" s="507"/>
      <c r="CQ27" s="507"/>
      <c r="CR27" s="507"/>
      <c r="CS27" s="507"/>
      <c r="CT27" s="507"/>
      <c r="CU27" s="507"/>
      <c r="CV27" s="507"/>
      <c r="CW27" s="507"/>
      <c r="CX27" s="507"/>
      <c r="CY27" s="507"/>
      <c r="CZ27" s="507"/>
      <c r="DA27" s="507"/>
      <c r="DB27" s="507"/>
      <c r="DC27" s="507"/>
      <c r="DD27" s="507"/>
      <c r="DE27" s="507"/>
      <c r="DF27" s="507"/>
      <c r="DG27" s="507"/>
      <c r="DH27" s="507"/>
      <c r="DI27" s="507"/>
      <c r="DJ27" s="507"/>
      <c r="DK27" s="507"/>
      <c r="DL27" s="507"/>
      <c r="DM27" s="507"/>
      <c r="DN27" s="507"/>
      <c r="DO27" s="507"/>
      <c r="DP27" s="507"/>
      <c r="DR27" s="507"/>
      <c r="DS27" s="507"/>
      <c r="DT27" s="507"/>
      <c r="DU27" s="507"/>
      <c r="DV27" s="507"/>
      <c r="DW27" s="507"/>
      <c r="DX27" s="507"/>
      <c r="DY27" s="507"/>
      <c r="DZ27" s="507"/>
      <c r="EA27" s="507"/>
      <c r="EB27" s="507"/>
      <c r="EC27" s="507"/>
      <c r="ED27" s="507"/>
      <c r="EE27" s="507"/>
      <c r="EF27" s="507"/>
      <c r="EG27" s="507"/>
      <c r="EH27" s="507"/>
      <c r="EI27" s="507"/>
      <c r="EJ27" s="507"/>
      <c r="EK27" s="507"/>
      <c r="EL27" s="507"/>
      <c r="EM27" s="507"/>
      <c r="EN27" s="507"/>
      <c r="EO27" s="507"/>
      <c r="EP27" s="507"/>
      <c r="EQ27" s="507"/>
      <c r="ER27" s="1463"/>
      <c r="ES27" s="1463"/>
      <c r="ET27" s="1463"/>
      <c r="EU27" s="1463"/>
      <c r="EV27" s="507"/>
      <c r="EW27" s="613"/>
      <c r="EX27" s="614"/>
      <c r="EY27" s="614"/>
      <c r="EZ27" s="614"/>
      <c r="FA27" s="614"/>
      <c r="FB27" s="614"/>
      <c r="FC27" s="614"/>
      <c r="FD27" s="614"/>
      <c r="FE27" s="614"/>
      <c r="FF27" s="614"/>
      <c r="FG27" s="614"/>
      <c r="FH27" s="614"/>
      <c r="FI27" s="614"/>
      <c r="FJ27" s="614"/>
      <c r="FK27" s="614"/>
      <c r="FL27" s="614"/>
      <c r="FM27" s="613"/>
      <c r="FN27" s="613"/>
      <c r="FO27" s="614"/>
      <c r="FP27" s="614"/>
      <c r="FQ27" s="613"/>
      <c r="FR27" s="613"/>
      <c r="FS27" s="614"/>
      <c r="FT27" s="614"/>
      <c r="FU27" s="614"/>
      <c r="FV27" s="614"/>
      <c r="FW27" s="614"/>
      <c r="FX27" s="614"/>
      <c r="FY27" s="614"/>
      <c r="FZ27" s="614"/>
      <c r="GA27" s="614"/>
      <c r="GB27" s="1264"/>
      <c r="GC27" s="614"/>
      <c r="GD27" s="1487"/>
    </row>
    <row r="28" spans="1:261" s="590" customFormat="1" hidden="1" outlineLevel="1">
      <c r="A28" s="617" t="s">
        <v>685</v>
      </c>
      <c r="B28" s="618"/>
      <c r="C28" s="619"/>
      <c r="D28" s="619"/>
      <c r="E28" s="619"/>
      <c r="F28" s="619"/>
      <c r="G28" s="619"/>
      <c r="H28" s="619"/>
      <c r="I28" s="619"/>
      <c r="J28" s="619"/>
      <c r="K28" s="619"/>
      <c r="L28" s="619"/>
      <c r="M28" s="619"/>
      <c r="N28" s="619"/>
      <c r="O28" s="619"/>
      <c r="P28" s="619"/>
      <c r="Q28" s="619"/>
      <c r="R28" s="619"/>
      <c r="S28" s="619"/>
      <c r="T28" s="619"/>
      <c r="U28" s="619"/>
      <c r="V28" s="619"/>
      <c r="W28" s="619"/>
      <c r="X28" s="619"/>
      <c r="Y28" s="619"/>
      <c r="Z28" s="619"/>
      <c r="AA28" s="619"/>
      <c r="AB28" s="619"/>
      <c r="AC28" s="619"/>
      <c r="AD28" s="619"/>
      <c r="AE28" s="619"/>
      <c r="AF28" s="619"/>
      <c r="AG28" s="619"/>
      <c r="AH28" s="619"/>
      <c r="AI28" s="619"/>
      <c r="AJ28" s="619"/>
      <c r="AK28" s="619"/>
      <c r="AL28" s="619"/>
      <c r="AM28" s="619"/>
      <c r="AN28" s="619"/>
      <c r="AO28" s="619"/>
      <c r="AP28" s="619"/>
      <c r="AQ28" s="619"/>
      <c r="AR28" s="619"/>
      <c r="AS28" s="619"/>
      <c r="AT28" s="619"/>
      <c r="AU28" s="619"/>
      <c r="AV28" s="619"/>
      <c r="AW28" s="619"/>
      <c r="AX28" s="619"/>
      <c r="AY28" s="619"/>
      <c r="AZ28" s="619"/>
      <c r="BA28" s="619"/>
      <c r="BB28" s="619"/>
      <c r="BC28" s="619"/>
      <c r="BD28" s="619"/>
      <c r="BE28" s="619"/>
      <c r="BF28" s="619"/>
      <c r="BG28" s="619"/>
      <c r="BH28" s="619"/>
      <c r="BI28" s="619"/>
      <c r="BJ28" s="619"/>
      <c r="BK28" s="619"/>
      <c r="BL28" s="619"/>
      <c r="BM28" s="619"/>
      <c r="BN28" s="619"/>
      <c r="BO28" s="619"/>
      <c r="BP28" s="619"/>
      <c r="BQ28" s="619"/>
      <c r="BR28" s="619"/>
      <c r="BS28" s="619"/>
      <c r="BT28" s="619"/>
      <c r="BU28" s="619"/>
      <c r="BV28" s="619"/>
      <c r="BW28" s="619"/>
      <c r="BX28" s="619"/>
      <c r="BY28" s="619"/>
      <c r="BZ28" s="619"/>
      <c r="CA28" s="619"/>
      <c r="CB28" s="619"/>
      <c r="CC28" s="619"/>
      <c r="CD28" s="619"/>
      <c r="CE28" s="619"/>
      <c r="CF28" s="619"/>
      <c r="CG28" s="619"/>
      <c r="CH28" s="619"/>
      <c r="CI28" s="619"/>
      <c r="CJ28" s="619"/>
      <c r="CK28" s="619"/>
      <c r="CL28" s="619"/>
      <c r="CM28" s="619"/>
      <c r="CN28" s="619"/>
      <c r="CO28" s="619"/>
      <c r="CP28" s="619"/>
      <c r="CQ28" s="619"/>
      <c r="CR28" s="619"/>
      <c r="CS28" s="619"/>
      <c r="CT28" s="619"/>
      <c r="CU28" s="619"/>
      <c r="CV28" s="619"/>
      <c r="CW28" s="619"/>
      <c r="CX28" s="619"/>
      <c r="CY28" s="619"/>
      <c r="CZ28" s="619"/>
      <c r="DA28" s="619"/>
      <c r="DB28" s="619"/>
      <c r="DC28" s="619"/>
      <c r="DD28" s="619"/>
      <c r="DE28" s="619"/>
      <c r="DF28" s="619"/>
      <c r="DG28" s="619"/>
      <c r="DH28" s="619"/>
      <c r="DI28" s="619"/>
      <c r="DJ28" s="619"/>
      <c r="DK28" s="619"/>
      <c r="DL28" s="619"/>
      <c r="DM28" s="619"/>
      <c r="DN28" s="619"/>
      <c r="DO28" s="619"/>
      <c r="DP28" s="619"/>
      <c r="DQ28" s="619"/>
      <c r="DR28" s="619"/>
      <c r="DS28" s="619"/>
      <c r="DT28" s="619"/>
      <c r="DU28" s="619"/>
      <c r="DV28" s="619"/>
      <c r="DW28" s="619"/>
      <c r="DX28" s="619"/>
      <c r="DY28" s="619"/>
      <c r="DZ28" s="619"/>
      <c r="EA28" s="619"/>
      <c r="EB28" s="619"/>
      <c r="EC28" s="619"/>
      <c r="ED28" s="619"/>
      <c r="EE28" s="619"/>
      <c r="EF28" s="619"/>
      <c r="EG28" s="619"/>
      <c r="EH28" s="619"/>
      <c r="EI28" s="619"/>
      <c r="EJ28" s="619"/>
      <c r="EK28" s="619"/>
      <c r="EL28" s="619"/>
      <c r="EM28" s="619"/>
      <c r="EN28" s="619"/>
      <c r="EO28" s="619"/>
      <c r="EP28" s="619"/>
      <c r="EQ28" s="619"/>
      <c r="ER28" s="1466"/>
      <c r="ES28" s="1466"/>
      <c r="ET28" s="1466"/>
      <c r="EU28" s="1466"/>
      <c r="EV28" s="507"/>
      <c r="EW28" s="620">
        <f>'yrP&amp;L'!D64</f>
        <v>416.64889918887599</v>
      </c>
      <c r="EX28" s="621">
        <f>'yrP&amp;L'!E64</f>
        <v>680.10643367752186</v>
      </c>
      <c r="EY28" s="621">
        <f>'yrP&amp;L'!F64</f>
        <v>843.95238095238085</v>
      </c>
      <c r="EZ28" s="621">
        <f>'yrP&amp;L'!G64</f>
        <v>954.97057092407294</v>
      </c>
      <c r="FA28" s="621">
        <f>'yrP&amp;L'!H64</f>
        <v>706.33286609006871</v>
      </c>
      <c r="FB28" s="621">
        <f>'yrP&amp;L'!I64</f>
        <v>652.98495645288995</v>
      </c>
      <c r="FC28" s="621">
        <f>'yrP&amp;L'!J64</f>
        <v>720.61232540291633</v>
      </c>
      <c r="FD28" s="609">
        <f>'yrP&amp;L'!K64</f>
        <v>566.76871030135749</v>
      </c>
      <c r="FE28" s="609">
        <f>'yrP&amp;L'!L64</f>
        <v>485.73182252559724</v>
      </c>
      <c r="FF28" s="609">
        <f>'yrP&amp;L'!M64</f>
        <v>18.368000000000002</v>
      </c>
      <c r="FG28" s="609">
        <f>'yrP&amp;L'!N64</f>
        <v>248.02154867256638</v>
      </c>
      <c r="FH28" s="609">
        <f>'yrP&amp;L'!O64</f>
        <v>488.75074914383561</v>
      </c>
      <c r="FI28" s="609">
        <f>'yrP&amp;L'!P64</f>
        <v>197.71636363636364</v>
      </c>
      <c r="FJ28" s="609">
        <f>'yrP&amp;L'!Q64</f>
        <v>296.03155339805824</v>
      </c>
      <c r="FK28" s="609">
        <f>'yrP&amp;L'!R64</f>
        <v>373.69202226345084</v>
      </c>
      <c r="FL28" s="609">
        <f>'yrP&amp;L'!S64</f>
        <v>729.97504477611938</v>
      </c>
      <c r="FM28" s="611">
        <f>'yrP&amp;L'!T64</f>
        <v>983.3879620210015</v>
      </c>
      <c r="FN28" s="611">
        <f>'yrP&amp;L'!U64</f>
        <v>1131.953864413947</v>
      </c>
      <c r="FO28" s="609">
        <f>'yrP&amp;L'!V64</f>
        <v>1011.856250705323</v>
      </c>
      <c r="FP28" s="609">
        <f>'yrP&amp;L'!W64</f>
        <v>480.34574256971297</v>
      </c>
      <c r="FQ28" s="611">
        <f>'yrP&amp;L'!X64</f>
        <v>434.13643176178658</v>
      </c>
      <c r="FR28" s="611">
        <f>'yrP&amp;L'!Y64</f>
        <v>555.14179445350737</v>
      </c>
      <c r="FS28" s="609">
        <f>'yrP&amp;L'!Z64</f>
        <v>342.46712228316738</v>
      </c>
      <c r="FT28" s="609">
        <f>'yrP&amp;L'!AA64</f>
        <v>-766</v>
      </c>
      <c r="FU28" s="609">
        <f>'yrP&amp;L'!AB64</f>
        <v>-1431</v>
      </c>
      <c r="FV28" s="609">
        <f>'yrP&amp;L'!AC64</f>
        <v>-660.70989304812838</v>
      </c>
      <c r="FW28" s="609">
        <f>'yrP&amp;L'!AD64</f>
        <v>-310.52689243027891</v>
      </c>
      <c r="FX28" s="609">
        <f>'yrP&amp;L'!AE64</f>
        <v>24</v>
      </c>
      <c r="FY28" s="609">
        <f>'yrP&amp;L'!AF64</f>
        <v>67.680000000000007</v>
      </c>
      <c r="FZ28" s="609">
        <f>'yrP&amp;L'!AG64</f>
        <v>22.320335999998861</v>
      </c>
      <c r="GA28" s="609">
        <f>'yrP&amp;L'!AH64</f>
        <v>-15.201141993255078</v>
      </c>
      <c r="GB28" s="1263">
        <f>'yrP&amp;L'!AI64</f>
        <v>-30.961796747183598</v>
      </c>
      <c r="GC28" s="609">
        <f>'yrP&amp;L'!AJ64</f>
        <v>-126.52799288049573</v>
      </c>
      <c r="GD28" s="1486">
        <f>'yrP&amp;L'!AL64</f>
        <v>0</v>
      </c>
      <c r="GF28"/>
      <c r="GG28"/>
      <c r="GH28"/>
      <c r="GI28"/>
      <c r="GJ28"/>
      <c r="GK28"/>
      <c r="GL28" s="398"/>
      <c r="GM28" s="398"/>
      <c r="GN28" s="398"/>
      <c r="GO28" s="398"/>
      <c r="GP28" s="398"/>
      <c r="GQ28" s="398"/>
      <c r="GR28" s="398"/>
      <c r="GS28" s="398"/>
      <c r="GT28" s="398"/>
      <c r="GU28" s="398"/>
      <c r="GV28" s="398"/>
      <c r="GW28" s="398"/>
      <c r="GX28" s="398"/>
      <c r="GY28" s="398"/>
      <c r="GZ28" s="398"/>
      <c r="HA28" s="398"/>
      <c r="HB28" s="398"/>
      <c r="HC28" s="398"/>
      <c r="HD28" s="398"/>
      <c r="HE28" s="398"/>
      <c r="HF28" s="398"/>
      <c r="HG28" s="398"/>
      <c r="HH28" s="398"/>
      <c r="HI28" s="398"/>
      <c r="HJ28" s="398"/>
      <c r="HK28" s="398"/>
      <c r="HL28" s="398"/>
      <c r="HM28" s="398"/>
      <c r="HN28" s="398"/>
      <c r="HO28" s="398"/>
      <c r="HP28" s="398"/>
      <c r="HQ28" s="398"/>
      <c r="HR28" s="398"/>
      <c r="HS28" s="398"/>
      <c r="HT28" s="398"/>
      <c r="HU28" s="398"/>
      <c r="HV28" s="398"/>
      <c r="HW28" s="398"/>
      <c r="HX28" s="398"/>
      <c r="HY28" s="398"/>
      <c r="HZ28" s="398"/>
      <c r="IA28" s="398"/>
      <c r="IB28" s="398"/>
      <c r="IC28" s="398"/>
      <c r="ID28" s="398"/>
      <c r="IE28" s="398"/>
      <c r="IF28" s="398"/>
      <c r="IG28" s="398"/>
      <c r="IH28" s="398"/>
      <c r="II28" s="398"/>
      <c r="IJ28" s="398"/>
      <c r="IK28" s="398"/>
      <c r="IL28" s="398"/>
      <c r="IM28" s="398"/>
      <c r="IN28" s="398"/>
      <c r="IO28" s="398"/>
      <c r="IP28" s="398"/>
      <c r="IQ28" s="398"/>
      <c r="IR28" s="398"/>
      <c r="IS28" s="398"/>
      <c r="IT28" s="398"/>
      <c r="IU28" s="398"/>
      <c r="IV28" s="398"/>
      <c r="IW28" s="398"/>
      <c r="IX28" s="398"/>
      <c r="IY28" s="398"/>
      <c r="IZ28" s="398"/>
      <c r="JA28" s="398"/>
    </row>
    <row r="29" spans="1:261" ht="9" hidden="1" customHeight="1" outlineLevel="2">
      <c r="A29" s="500"/>
      <c r="B29" s="507"/>
      <c r="C29" s="507"/>
      <c r="D29" s="507"/>
      <c r="E29" s="507"/>
      <c r="F29" s="507"/>
      <c r="G29" s="507"/>
      <c r="H29" s="507"/>
      <c r="I29" s="507"/>
      <c r="J29" s="507"/>
      <c r="K29" s="507"/>
      <c r="L29" s="507"/>
      <c r="M29" s="507"/>
      <c r="N29" s="507"/>
      <c r="O29" s="507"/>
      <c r="P29" s="507"/>
      <c r="Q29" s="507"/>
      <c r="R29" s="507"/>
      <c r="S29" s="507"/>
      <c r="T29" s="507"/>
      <c r="U29" s="507"/>
      <c r="V29" s="507"/>
      <c r="W29" s="507"/>
      <c r="X29" s="507"/>
      <c r="Y29" s="507"/>
      <c r="Z29" s="507"/>
      <c r="AA29" s="507"/>
      <c r="AB29" s="507"/>
      <c r="AC29" s="507"/>
      <c r="AD29" s="507"/>
      <c r="AE29" s="507"/>
      <c r="AF29" s="507"/>
      <c r="AG29" s="507"/>
      <c r="AH29" s="507"/>
      <c r="AI29" s="507"/>
      <c r="AJ29" s="507"/>
      <c r="AK29" s="507"/>
      <c r="AL29" s="507"/>
      <c r="AM29" s="507"/>
      <c r="AN29" s="507"/>
      <c r="AO29" s="507"/>
      <c r="AP29" s="507"/>
      <c r="AQ29" s="507"/>
      <c r="AR29" s="507"/>
      <c r="AS29" s="507"/>
      <c r="AT29" s="507"/>
      <c r="AU29" s="507"/>
      <c r="AV29" s="507"/>
      <c r="AW29" s="507"/>
      <c r="AX29" s="507"/>
      <c r="AY29" s="507"/>
      <c r="AZ29" s="507"/>
      <c r="BA29" s="507"/>
      <c r="BB29" s="507"/>
      <c r="BC29" s="507"/>
      <c r="BD29" s="507"/>
      <c r="BE29" s="507"/>
      <c r="BF29" s="507"/>
      <c r="BG29" s="507"/>
      <c r="BH29" s="507"/>
      <c r="BI29" s="507"/>
      <c r="BJ29" s="507"/>
      <c r="BK29" s="507"/>
      <c r="BL29" s="507"/>
      <c r="BM29" s="507"/>
      <c r="BN29" s="507"/>
      <c r="BO29" s="507"/>
      <c r="BP29" s="507"/>
      <c r="BQ29" s="507"/>
      <c r="BR29" s="507"/>
      <c r="BS29" s="507"/>
      <c r="BT29" s="507"/>
      <c r="BU29" s="507"/>
      <c r="BV29" s="507"/>
      <c r="BW29" s="507"/>
      <c r="BX29" s="507"/>
      <c r="BY29" s="507"/>
      <c r="BZ29" s="507"/>
      <c r="CA29" s="507"/>
      <c r="CB29" s="507"/>
      <c r="CC29" s="507"/>
      <c r="CD29" s="507"/>
      <c r="CE29" s="507"/>
      <c r="CF29" s="507"/>
      <c r="CG29" s="507"/>
      <c r="CH29" s="507"/>
      <c r="CI29" s="507"/>
      <c r="CJ29" s="507"/>
      <c r="CK29" s="507"/>
      <c r="CL29" s="507"/>
      <c r="CM29" s="507"/>
      <c r="CN29" s="507"/>
      <c r="CO29" s="507"/>
      <c r="CP29" s="507"/>
      <c r="CQ29" s="507"/>
      <c r="CR29" s="507"/>
      <c r="CS29" s="507"/>
      <c r="CT29" s="507"/>
      <c r="CU29" s="507"/>
      <c r="CV29" s="507"/>
      <c r="CW29" s="507"/>
      <c r="CX29" s="507"/>
      <c r="CY29" s="507"/>
      <c r="CZ29" s="507"/>
      <c r="DA29" s="507"/>
      <c r="DB29" s="507"/>
      <c r="DC29" s="507"/>
      <c r="DD29" s="507"/>
      <c r="DE29" s="507"/>
      <c r="DF29" s="507"/>
      <c r="DG29" s="507"/>
      <c r="DH29" s="507"/>
      <c r="DI29" s="507"/>
      <c r="DJ29" s="507"/>
      <c r="DK29" s="507"/>
      <c r="DL29" s="507"/>
      <c r="DM29" s="507"/>
      <c r="DN29" s="507"/>
      <c r="DO29" s="507"/>
      <c r="DP29" s="507"/>
      <c r="DR29" s="507"/>
      <c r="DS29" s="507"/>
      <c r="DT29" s="507"/>
      <c r="DU29" s="507"/>
      <c r="DV29" s="507"/>
      <c r="DW29" s="507"/>
      <c r="DX29" s="507"/>
      <c r="DY29" s="507"/>
      <c r="DZ29" s="507"/>
      <c r="EA29" s="507"/>
      <c r="EB29" s="507"/>
      <c r="EC29" s="507"/>
      <c r="ED29" s="507"/>
      <c r="EE29" s="507"/>
      <c r="EF29" s="507"/>
      <c r="EG29" s="507"/>
      <c r="EH29" s="507"/>
      <c r="EI29" s="507"/>
      <c r="EJ29" s="507"/>
      <c r="EK29" s="507"/>
      <c r="EL29" s="507"/>
      <c r="EM29" s="507"/>
      <c r="EN29" s="507"/>
      <c r="EO29" s="507"/>
      <c r="EP29" s="507"/>
      <c r="EQ29" s="507"/>
      <c r="ER29" s="1463"/>
      <c r="ES29" s="1463"/>
      <c r="ET29" s="1463"/>
      <c r="EU29" s="1463"/>
      <c r="EV29" s="507"/>
      <c r="EW29" s="613"/>
      <c r="EX29" s="614"/>
      <c r="EY29" s="614"/>
      <c r="EZ29" s="614"/>
      <c r="FA29" s="614"/>
      <c r="FB29" s="614"/>
      <c r="FC29" s="614"/>
      <c r="FD29" s="614"/>
      <c r="FE29" s="614"/>
      <c r="FF29" s="614"/>
      <c r="FG29" s="614"/>
      <c r="FH29" s="614"/>
      <c r="FI29" s="614"/>
      <c r="FJ29" s="614"/>
      <c r="FK29" s="614"/>
      <c r="FL29" s="614"/>
      <c r="FM29" s="613"/>
      <c r="FN29" s="613"/>
      <c r="FO29" s="614"/>
      <c r="FP29" s="614"/>
      <c r="FQ29" s="613"/>
      <c r="FR29" s="613"/>
      <c r="FS29" s="614"/>
      <c r="FT29" s="614"/>
      <c r="FU29" s="614"/>
      <c r="FV29" s="614"/>
      <c r="FW29" s="614"/>
      <c r="FX29" s="614"/>
      <c r="FY29" s="614"/>
      <c r="FZ29" s="614"/>
      <c r="GA29" s="614"/>
      <c r="GB29" s="1264"/>
      <c r="GC29" s="614"/>
      <c r="GD29" s="1487"/>
    </row>
    <row r="30" spans="1:261" s="590" customFormat="1" hidden="1" outlineLevel="2">
      <c r="A30" s="617" t="s">
        <v>239</v>
      </c>
      <c r="B30" s="618"/>
      <c r="C30" s="619">
        <f>INDEX('qtrP&amp;L'!$170:$170,MATCH(C$7,'qtrP&amp;L'!$6:$6,0))</f>
        <v>0</v>
      </c>
      <c r="D30" s="619">
        <f>INDEX('qtrP&amp;L'!$171:$171,MATCH(C$7,'qtrP&amp;L'!$6:$6,0))</f>
        <v>0</v>
      </c>
      <c r="E30" s="619">
        <f>INDEX('qtrP&amp;L'!$172:$172,MATCH(C$7,'qtrP&amp;L'!$6:$6,0))</f>
        <v>0</v>
      </c>
      <c r="F30" s="619">
        <f>INDEX('qtrP&amp;L'!$173:$173,MATCH(C$7,'qtrP&amp;L'!$6:$6,0))</f>
        <v>0</v>
      </c>
      <c r="G30" s="619"/>
      <c r="H30" s="619">
        <f>INDEX('qtrP&amp;L'!$170:$170,MATCH(H$7,'qtrP&amp;L'!$6:$6,0))</f>
        <v>0</v>
      </c>
      <c r="I30" s="619">
        <f>INDEX('qtrP&amp;L'!$171:$171,MATCH(H$7,'qtrP&amp;L'!$6:$6,0))</f>
        <v>0</v>
      </c>
      <c r="J30" s="619">
        <f>INDEX('qtrP&amp;L'!$172:$172,MATCH(H$7,'qtrP&amp;L'!$6:$6,0))</f>
        <v>0</v>
      </c>
      <c r="K30" s="619">
        <f>INDEX('qtrP&amp;L'!$173:$173,MATCH(H$7,'qtrP&amp;L'!$6:$6,0))</f>
        <v>0</v>
      </c>
      <c r="L30" s="619"/>
      <c r="M30" s="619">
        <f>INDEX('qtrP&amp;L'!$170:$170,MATCH(M$7,'qtrP&amp;L'!$6:$6,0))</f>
        <v>-184</v>
      </c>
      <c r="N30" s="619">
        <f>INDEX('qtrP&amp;L'!$171:$171,MATCH(M$7,'qtrP&amp;L'!$6:$6,0))</f>
        <v>0</v>
      </c>
      <c r="O30" s="619">
        <f>INDEX('qtrP&amp;L'!$172:$172,MATCH(M$7,'qtrP&amp;L'!$6:$6,0))</f>
        <v>0</v>
      </c>
      <c r="P30" s="619">
        <f>INDEX('qtrP&amp;L'!$173:$173,MATCH(M$7,'qtrP&amp;L'!$6:$6,0))</f>
        <v>-264</v>
      </c>
      <c r="Q30" s="619"/>
      <c r="R30" s="619">
        <f>INDEX('qtrP&amp;L'!$170:$170,MATCH(R$7,'qtrP&amp;L'!$6:$6,0))</f>
        <v>0</v>
      </c>
      <c r="S30" s="619">
        <f>INDEX('qtrP&amp;L'!$171:$171,MATCH(R$7,'qtrP&amp;L'!$6:$6,0))</f>
        <v>0</v>
      </c>
      <c r="T30" s="619">
        <f>INDEX('qtrP&amp;L'!$172:$172,MATCH(R$7,'qtrP&amp;L'!$6:$6,0))</f>
        <v>0</v>
      </c>
      <c r="U30" s="619">
        <f>INDEX('qtrP&amp;L'!$173:$173,MATCH(R$7,'qtrP&amp;L'!$6:$6,0))</f>
        <v>0</v>
      </c>
      <c r="V30" s="619"/>
      <c r="W30" s="619">
        <f>INDEX('qtrP&amp;L'!$170:$170,MATCH(W$7,'qtrP&amp;L'!$6:$6,0))</f>
        <v>34</v>
      </c>
      <c r="X30" s="619">
        <f>INDEX('qtrP&amp;L'!$171:$171,MATCH(W$7,'qtrP&amp;L'!$6:$6,0))</f>
        <v>0</v>
      </c>
      <c r="Y30" s="619">
        <f>INDEX('qtrP&amp;L'!$172:$172,MATCH(W$7,'qtrP&amp;L'!$6:$6,0))</f>
        <v>-50</v>
      </c>
      <c r="Z30" s="619">
        <f>INDEX('qtrP&amp;L'!$173:$173,MATCH(W$7,'qtrP&amp;L'!$6:$6,0))</f>
        <v>-2</v>
      </c>
      <c r="AA30" s="619"/>
      <c r="AB30" s="619">
        <f>INDEX('qtrP&amp;L'!$170:$170,MATCH(AB$7,'qtrP&amp;L'!$6:$6,0))</f>
        <v>0</v>
      </c>
      <c r="AC30" s="619">
        <f>INDEX('qtrP&amp;L'!$171:$171,MATCH(AB$7,'qtrP&amp;L'!$6:$6,0))</f>
        <v>0</v>
      </c>
      <c r="AD30" s="619">
        <f>INDEX('qtrP&amp;L'!$172:$172,MATCH(AB$7,'qtrP&amp;L'!$6:$6,0))</f>
        <v>0</v>
      </c>
      <c r="AE30" s="619">
        <f>INDEX('qtrP&amp;L'!$173:$173,MATCH(AB$7,'qtrP&amp;L'!$6:$6,0))</f>
        <v>0</v>
      </c>
      <c r="AF30" s="619"/>
      <c r="AG30" s="619">
        <f>INDEX('qtrP&amp;L'!$170:$170,MATCH(AG$7,'qtrP&amp;L'!$6:$6,0))</f>
        <v>0</v>
      </c>
      <c r="AH30" s="619">
        <f>INDEX('qtrP&amp;L'!$171:$171,MATCH(AG$7,'qtrP&amp;L'!$6:$6,0))</f>
        <v>0</v>
      </c>
      <c r="AI30" s="619">
        <f>INDEX('qtrP&amp;L'!$172:$172,MATCH(AG$7,'qtrP&amp;L'!$6:$6,0))</f>
        <v>0</v>
      </c>
      <c r="AJ30" s="619">
        <f>INDEX('qtrP&amp;L'!$173:$173,MATCH(AG$7,'qtrP&amp;L'!$6:$6,0))</f>
        <v>0</v>
      </c>
      <c r="AK30" s="619"/>
      <c r="AL30" s="619">
        <f>INDEX('qtrP&amp;L'!$170:$170,MATCH(AL$7,'qtrP&amp;L'!$6:$6,0))</f>
        <v>0</v>
      </c>
      <c r="AM30" s="619">
        <f>INDEX('qtrP&amp;L'!$171:$171,MATCH(AL$7,'qtrP&amp;L'!$6:$6,0))</f>
        <v>0</v>
      </c>
      <c r="AN30" s="619">
        <f>INDEX('qtrP&amp;L'!$172:$172,MATCH(AL$7,'qtrP&amp;L'!$6:$6,0))</f>
        <v>-21</v>
      </c>
      <c r="AO30" s="619">
        <f>INDEX('qtrP&amp;L'!$173:$173,MATCH(AL$7,'qtrP&amp;L'!$6:$6,0))</f>
        <v>-207</v>
      </c>
      <c r="AP30" s="619"/>
      <c r="AQ30" s="619">
        <f>INDEX('qtrP&amp;L'!$170:$170,MATCH(AQ$7,'qtrP&amp;L'!$6:$6,0))</f>
        <v>0</v>
      </c>
      <c r="AR30" s="619">
        <f>INDEX('qtrP&amp;L'!$171:$171,MATCH(AQ$7,'qtrP&amp;L'!$6:$6,0))</f>
        <v>-14</v>
      </c>
      <c r="AS30" s="619">
        <f>INDEX('qtrP&amp;L'!$172:$172,MATCH(AQ$7,'qtrP&amp;L'!$6:$6,0))</f>
        <v>-96.6</v>
      </c>
      <c r="AT30" s="619">
        <f>INDEX('qtrP&amp;L'!$173:$173,MATCH(AQ$7,'qtrP&amp;L'!$6:$6,0))</f>
        <v>-126.91</v>
      </c>
      <c r="AU30" s="619"/>
      <c r="AV30" s="619">
        <f>INDEX('qtrP&amp;L'!$170:$170,MATCH(AV$7,'qtrP&amp;L'!$6:$6,0))</f>
        <v>0</v>
      </c>
      <c r="AW30" s="619">
        <f>INDEX('qtrP&amp;L'!$171:$171,MATCH(AV$7,'qtrP&amp;L'!$6:$6,0))</f>
        <v>-70</v>
      </c>
      <c r="AX30" s="619">
        <f>INDEX('qtrP&amp;L'!$172:$172,MATCH(AV$7,'qtrP&amp;L'!$6:$6,0))</f>
        <v>0</v>
      </c>
      <c r="AY30" s="619">
        <f>INDEX('qtrP&amp;L'!$173:$173,MATCH(AV$7,'qtrP&amp;L'!$6:$6,0))</f>
        <v>14.102</v>
      </c>
      <c r="AZ30" s="619"/>
      <c r="BA30" s="619">
        <f>INDEX('qtrP&amp;L'!$170:$170,MATCH(BA$7,'qtrP&amp;L'!$6:$6,0))</f>
        <v>0</v>
      </c>
      <c r="BB30" s="619">
        <f>INDEX('qtrP&amp;L'!$171:$171,MATCH(BA$7,'qtrP&amp;L'!$6:$6,0))</f>
        <v>-73</v>
      </c>
      <c r="BC30" s="619">
        <f>INDEX('qtrP&amp;L'!$172:$172,MATCH(BA$7,'qtrP&amp;L'!$6:$6,0))</f>
        <v>0</v>
      </c>
      <c r="BD30" s="619">
        <f>INDEX('qtrP&amp;L'!$173:$173,MATCH(BA$7,'qtrP&amp;L'!$6:$6,0))</f>
        <v>-147.6</v>
      </c>
      <c r="BE30" s="619"/>
      <c r="BF30" s="619">
        <f>INDEX('qtrP&amp;L'!$170:$170,MATCH(BF$7,'qtrP&amp;L'!$6:$6,0))</f>
        <v>-202.8</v>
      </c>
      <c r="BG30" s="619">
        <f>INDEX('qtrP&amp;L'!$171:$171,MATCH(BF$7,'qtrP&amp;L'!$6:$6,0))</f>
        <v>12</v>
      </c>
      <c r="BH30" s="619">
        <f>INDEX('qtrP&amp;L'!$172:$172,MATCH(BF$7,'qtrP&amp;L'!$6:$6,0))</f>
        <v>0</v>
      </c>
      <c r="BI30" s="619">
        <f>INDEX('qtrP&amp;L'!$173:$173,MATCH(BF$7,'qtrP&amp;L'!$6:$6,0))</f>
        <v>-302.39999999999998</v>
      </c>
      <c r="BJ30" s="619"/>
      <c r="BK30" s="619">
        <f>INDEX('qtrP&amp;L'!$170:$170,MATCH(BK$7,'qtrP&amp;L'!$6:$6,0))</f>
        <v>0</v>
      </c>
      <c r="BL30" s="619">
        <f>INDEX('qtrP&amp;L'!$171:$171,MATCH(BK$7,'qtrP&amp;L'!$6:$6,0))</f>
        <v>0</v>
      </c>
      <c r="BM30" s="619">
        <f>INDEX('qtrP&amp;L'!$172:$172,MATCH(BK$7,'qtrP&amp;L'!$6:$6,0))</f>
        <v>0</v>
      </c>
      <c r="BN30" s="619">
        <f>INDEX('qtrP&amp;L'!$173:$173,MATCH(BK$7,'qtrP&amp;L'!$6:$6,0))</f>
        <v>0</v>
      </c>
      <c r="BO30" s="619"/>
      <c r="BP30" s="619">
        <f>INDEX('qtrP&amp;L'!$170:$170,MATCH(BP$7,'qtrP&amp;L'!$6:$6,0))</f>
        <v>0</v>
      </c>
      <c r="BQ30" s="619">
        <f>INDEX('qtrP&amp;L'!$171:$171,MATCH(BP$7,'qtrP&amp;L'!$6:$6,0))</f>
        <v>0</v>
      </c>
      <c r="BR30" s="619">
        <f>INDEX('qtrP&amp;L'!$172:$172,MATCH(BP$7,'qtrP&amp;L'!$6:$6,0))</f>
        <v>0</v>
      </c>
      <c r="BS30" s="619">
        <f>INDEX('qtrP&amp;L'!$173:$173,MATCH(BP$7,'qtrP&amp;L'!$6:$6,0))</f>
        <v>0</v>
      </c>
      <c r="BT30" s="619"/>
      <c r="BU30" s="619">
        <f>INDEX('qtrP&amp;L'!$170:$170,MATCH(BU$7,'qtrP&amp;L'!$6:$6,0))</f>
        <v>0</v>
      </c>
      <c r="BV30" s="619">
        <f>INDEX('qtrP&amp;L'!$171:$171,MATCH(BU$7,'qtrP&amp;L'!$6:$6,0))</f>
        <v>0</v>
      </c>
      <c r="BW30" s="619">
        <f>INDEX('qtrP&amp;L'!$172:$172,MATCH(BU$7,'qtrP&amp;L'!$6:$6,0))</f>
        <v>0</v>
      </c>
      <c r="BX30" s="619">
        <f>INDEX('qtrP&amp;L'!$173:$173,MATCH(BU$7,'qtrP&amp;L'!$6:$6,0))</f>
        <v>-1288</v>
      </c>
      <c r="BY30" s="619"/>
      <c r="BZ30" s="619">
        <f>INDEX('qtrP&amp;L'!$170:$170,MATCH(BZ$7,'qtrP&amp;L'!$6:$6,0))</f>
        <v>-76</v>
      </c>
      <c r="CA30" s="619">
        <f>INDEX('qtrP&amp;L'!$171:$171,MATCH(BZ$7,'qtrP&amp;L'!$6:$6,0))</f>
        <v>-67</v>
      </c>
      <c r="CB30" s="619">
        <f>INDEX('qtrP&amp;L'!$172:$172,MATCH(BZ$7,'qtrP&amp;L'!$6:$6,0))</f>
        <v>1</v>
      </c>
      <c r="CC30" s="619">
        <f>INDEX('qtrP&amp;L'!$173:$173,MATCH(BZ$7,'qtrP&amp;L'!$6:$6,0))</f>
        <v>9</v>
      </c>
      <c r="CD30" s="619"/>
      <c r="CE30" s="619">
        <f>INDEX('qtrP&amp;L'!$170:$170,MATCH(CE$7,'qtrP&amp;L'!$6:$6,0))</f>
        <v>1</v>
      </c>
      <c r="CF30" s="619">
        <f>INDEX('qtrP&amp;L'!$171:$171,MATCH(CE$7,'qtrP&amp;L'!$6:$6,0))</f>
        <v>9.4</v>
      </c>
      <c r="CG30" s="619">
        <f>INDEX('qtrP&amp;L'!$172:$172,MATCH(CE$7,'qtrP&amp;L'!$6:$6,0))</f>
        <v>0</v>
      </c>
      <c r="CH30" s="619">
        <f>INDEX('qtrP&amp;L'!$173:$173,MATCH(CE$7,'qtrP&amp;L'!$6:$6,0))</f>
        <v>150.32900000000001</v>
      </c>
      <c r="CI30" s="619"/>
      <c r="CJ30" s="619">
        <f>INDEX('qtrP&amp;L'!$170:$170,MATCH(CJ$7,'qtrP&amp;L'!$6:$6,0))</f>
        <v>-3</v>
      </c>
      <c r="CK30" s="619">
        <f>INDEX('qtrP&amp;L'!$171:$171,MATCH(CJ$7,'qtrP&amp;L'!$6:$6,0))</f>
        <v>1</v>
      </c>
      <c r="CL30" s="619">
        <f>INDEX('qtrP&amp;L'!$172:$172,MATCH(CJ$7,'qtrP&amp;L'!$6:$6,0))</f>
        <v>1</v>
      </c>
      <c r="CM30" s="619">
        <f>INDEX('qtrP&amp;L'!$173:$173,MATCH(CJ$7,'qtrP&amp;L'!$6:$6,0))</f>
        <v>20</v>
      </c>
      <c r="CN30" s="619"/>
      <c r="CO30" s="619">
        <f>INDEX('qtrP&amp;L'!$170:$170,MATCH(CO$7,'qtrP&amp;L'!$6:$6,0))</f>
        <v>0</v>
      </c>
      <c r="CP30" s="619">
        <f>INDEX('qtrP&amp;L'!$171:$171,MATCH(CO$7,'qtrP&amp;L'!$6:$6,0))</f>
        <v>7</v>
      </c>
      <c r="CQ30" s="619">
        <f>INDEX('qtrP&amp;L'!$172:$172,MATCH(CO$7,'qtrP&amp;L'!$6:$6,0))</f>
        <v>32</v>
      </c>
      <c r="CR30" s="619">
        <f>INDEX('qtrP&amp;L'!$173:$173,MATCH(CO$7,'qtrP&amp;L'!$6:$6,0))</f>
        <v>-1</v>
      </c>
      <c r="CS30" s="619"/>
      <c r="CT30" s="619">
        <f>INDEX('qtrP&amp;L'!$170:$170,MATCH(CT$7,'qtrP&amp;L'!$6:$6,0))</f>
        <v>0</v>
      </c>
      <c r="CU30" s="619">
        <f>INDEX('qtrP&amp;L'!$171:$171,MATCH(CT$7,'qtrP&amp;L'!$6:$6,0))</f>
        <v>1</v>
      </c>
      <c r="CV30" s="619">
        <f>INDEX('qtrP&amp;L'!$172:$172,MATCH(CT$7,'qtrP&amp;L'!$6:$6,0))</f>
        <v>4.4580000000000002</v>
      </c>
      <c r="CW30" s="619">
        <f>INDEX('qtrP&amp;L'!$173:$173,MATCH(CT$7,'qtrP&amp;L'!$6:$6,0))</f>
        <v>3</v>
      </c>
      <c r="CX30" s="619"/>
      <c r="CY30" s="619">
        <f>INDEX('qtrP&amp;L'!$170:$170,MATCH(CY$7,'qtrP&amp;L'!$6:$6,0))</f>
        <v>0</v>
      </c>
      <c r="CZ30" s="619">
        <f>INDEX('qtrP&amp;L'!$171:$171,MATCH(CY$7,'qtrP&amp;L'!$6:$6,0))</f>
        <v>0</v>
      </c>
      <c r="DA30" s="619">
        <f>INDEX('qtrP&amp;L'!$172:$172,MATCH(CY$7,'qtrP&amp;L'!$6:$6,0))</f>
        <v>0</v>
      </c>
      <c r="DB30" s="619">
        <f>INDEX('qtrP&amp;L'!$173:$173,MATCH(CY$7,'qtrP&amp;L'!$6:$6,0))</f>
        <v>2</v>
      </c>
      <c r="DC30" s="619"/>
      <c r="DD30" s="619">
        <f>INDEX('qtrP&amp;L'!$170:$170,MATCH(DD$7,'qtrP&amp;L'!$6:$6,0))</f>
        <v>0</v>
      </c>
      <c r="DE30" s="619">
        <f>INDEX('qtrP&amp;L'!$171:$171,MATCH(DD$7,'qtrP&amp;L'!$6:$6,0))</f>
        <v>0</v>
      </c>
      <c r="DF30" s="619">
        <f>INDEX('qtrP&amp;L'!$172:$172,MATCH(DD$7,'qtrP&amp;L'!$6:$6,0))</f>
        <v>0</v>
      </c>
      <c r="DG30" s="619">
        <f>INDEX('qtrP&amp;L'!$173:$173,MATCH(DD$7,'qtrP&amp;L'!$6:$6,0))</f>
        <v>-9.48</v>
      </c>
      <c r="DH30" s="619"/>
      <c r="DI30" s="619">
        <f>INDEX('qtrP&amp;L'!$170:$170,MATCH(DI$7,'qtrP&amp;L'!$6:$6,0))</f>
        <v>0</v>
      </c>
      <c r="DJ30" s="619">
        <f>INDEX('qtrP&amp;L'!$171:$171,MATCH(DI$7,'qtrP&amp;L'!$6:$6,0))</f>
        <v>0</v>
      </c>
      <c r="DK30" s="619">
        <f>INDEX('qtrP&amp;L'!$172:$172,MATCH(DI$7,'qtrP&amp;L'!$6:$6,0))</f>
        <v>0</v>
      </c>
      <c r="DL30" s="619">
        <f>INDEX('qtrP&amp;L'!$173:$173,MATCH(DI$7,'qtrP&amp;L'!$6:$6,0))</f>
        <v>0</v>
      </c>
      <c r="DM30" s="619"/>
      <c r="DN30" s="619">
        <f>INDEX('qtrP&amp;L'!$170:$170,MATCH(DN$7,'qtrP&amp;L'!$6:$6,0))</f>
        <v>0</v>
      </c>
      <c r="DO30" s="619">
        <f>INDEX('qtrP&amp;L'!$171:$171,MATCH(DN$7,'qtrP&amp;L'!$6:$6,0))</f>
        <v>0</v>
      </c>
      <c r="DP30" s="619">
        <f>INDEX('qtrP&amp;L'!$172:$172,MATCH(DN$7,'qtrP&amp;L'!$6:$6,0))</f>
        <v>0</v>
      </c>
      <c r="DQ30" s="619">
        <f>INDEX('qtrP&amp;L'!$173:$173,MATCH(DN$7,'qtrP&amp;L'!$6:$6,0))</f>
        <v>0</v>
      </c>
      <c r="DR30" s="619"/>
      <c r="DS30" s="619">
        <f>INDEX('qtrP&amp;L'!$170:$170,MATCH(DS$7,'qtrP&amp;L'!$6:$6,0))</f>
        <v>0</v>
      </c>
      <c r="DT30" s="619">
        <f>INDEX('qtrP&amp;L'!$171:$171,MATCH(DS$7,'qtrP&amp;L'!$6:$6,0))</f>
        <v>0</v>
      </c>
      <c r="DU30" s="619">
        <f>INDEX('qtrP&amp;L'!$172:$172,MATCH(DS$7,'qtrP&amp;L'!$6:$6,0))</f>
        <v>0</v>
      </c>
      <c r="DV30" s="619">
        <f>INDEX('qtrP&amp;L'!$173:$173,MATCH(DS$7,'qtrP&amp;L'!$6:$6,0))</f>
        <v>0</v>
      </c>
      <c r="DW30" s="619"/>
      <c r="DX30" s="619">
        <f>INDEX('qtrP&amp;L'!$170:$170,MATCH(DX$7,'qtrP&amp;L'!$6:$6,0))</f>
        <v>0</v>
      </c>
      <c r="DY30" s="619">
        <f>INDEX('qtrP&amp;L'!$171:$171,MATCH(DX$7,'qtrP&amp;L'!$6:$6,0))</f>
        <v>0</v>
      </c>
      <c r="DZ30" s="619">
        <f>INDEX('qtrP&amp;L'!$172:$172,MATCH(DX$7,'qtrP&amp;L'!$6:$6,0))</f>
        <v>0</v>
      </c>
      <c r="EA30" s="619">
        <f>INDEX('qtrP&amp;L'!$173:$173,MATCH(DX$7,'qtrP&amp;L'!$6:$6,0))</f>
        <v>0</v>
      </c>
      <c r="EB30" s="619"/>
      <c r="EC30" s="619">
        <f>INDEX('qtrP&amp;L'!$170:$170,MATCH(EC$7,'qtrP&amp;L'!$6:$6,0))</f>
        <v>0</v>
      </c>
      <c r="ED30" s="619">
        <f>INDEX('qtrP&amp;L'!$171:$171,MATCH(EC$7,'qtrP&amp;L'!$6:$6,0))</f>
        <v>0</v>
      </c>
      <c r="EE30" s="619">
        <f>INDEX('qtrP&amp;L'!$172:$172,MATCH(EC$7,'qtrP&amp;L'!$6:$6,0))</f>
        <v>0</v>
      </c>
      <c r="EF30" s="619">
        <f>INDEX('qtrP&amp;L'!$173:$173,MATCH(EC$7,'qtrP&amp;L'!$6:$6,0))</f>
        <v>0</v>
      </c>
      <c r="EG30" s="619"/>
      <c r="EH30" s="619">
        <f>INDEX('qtrP&amp;L'!$170:$170,MATCH(EH$7,'qtrP&amp;L'!$6:$6,0))</f>
        <v>-29</v>
      </c>
      <c r="EI30" s="619">
        <f>INDEX('qtrP&amp;L'!$171:$171,MATCH(EH$7,'qtrP&amp;L'!$6:$6,0))</f>
        <v>40</v>
      </c>
      <c r="EJ30" s="619">
        <f>INDEX('qtrP&amp;L'!$172:$172,MATCH(EH$7,'qtrP&amp;L'!$6:$6,0))</f>
        <v>2</v>
      </c>
      <c r="EK30" s="619">
        <f>INDEX('qtrP&amp;L'!$173:$173,MATCH(EH$7,'qtrP&amp;L'!$6:$6,0))</f>
        <v>10</v>
      </c>
      <c r="EL30" s="619"/>
      <c r="EM30" s="619">
        <f>INDEX('qtrP&amp;L'!$170:$170,MATCH(EM$7,'qtrP&amp;L'!$6:$6,0))</f>
        <v>-199</v>
      </c>
      <c r="EN30" s="619">
        <f>INDEX('qtrP&amp;L'!$171:$171,MATCH(EM$7,'qtrP&amp;L'!$6:$6,0))</f>
        <v>-34</v>
      </c>
      <c r="EO30" s="619">
        <f>INDEX('qtrP&amp;L'!$172:$172,MATCH(EM$7,'qtrP&amp;L'!$6:$6,0))</f>
        <v>-26</v>
      </c>
      <c r="EP30" s="619">
        <f>INDEX('qtrP&amp;L'!$173:$173,MATCH(EM$7,'qtrP&amp;L'!$6:$6,0))</f>
        <v>75</v>
      </c>
      <c r="EQ30" s="619"/>
      <c r="ER30" s="1466">
        <f>INDEX('qtrP&amp;L'!$170:$170,MATCH(ER$7,'qtrP&amp;L'!$6:$6,0))</f>
        <v>0</v>
      </c>
      <c r="ES30" s="1466">
        <f>INDEX('qtrP&amp;L'!$171:$171,MATCH(ER$7,'qtrP&amp;L'!$6:$6,0))</f>
        <v>0</v>
      </c>
      <c r="ET30" s="1466">
        <f>INDEX('qtrP&amp;L'!$172:$172,MATCH(ER$7,'qtrP&amp;L'!$6:$6,0))</f>
        <v>0</v>
      </c>
      <c r="EU30" s="1466">
        <f>INDEX('qtrP&amp;L'!$173:$173,MATCH(ER$7,'qtrP&amp;L'!$6:$6,0))</f>
        <v>0</v>
      </c>
      <c r="EV30" s="507"/>
      <c r="EW30" s="620">
        <f>'qtrP&amp;L'!C174</f>
        <v>-20</v>
      </c>
      <c r="EX30" s="621">
        <f t="shared" ref="EX30:FT30" si="24">SUMIF($A$6:$DQ$6,EX$7,$A30:$DQ30)</f>
        <v>0</v>
      </c>
      <c r="EY30" s="621">
        <f t="shared" si="24"/>
        <v>-448</v>
      </c>
      <c r="EZ30" s="621">
        <f t="shared" si="24"/>
        <v>0</v>
      </c>
      <c r="FA30" s="621">
        <f t="shared" si="24"/>
        <v>-18</v>
      </c>
      <c r="FB30" s="621">
        <f t="shared" si="24"/>
        <v>0</v>
      </c>
      <c r="FC30" s="621">
        <f t="shared" si="24"/>
        <v>0</v>
      </c>
      <c r="FD30" s="621">
        <f t="shared" si="24"/>
        <v>-228</v>
      </c>
      <c r="FE30" s="621">
        <f t="shared" si="24"/>
        <v>-237.51</v>
      </c>
      <c r="FF30" s="621">
        <f t="shared" si="24"/>
        <v>-55.897999999999996</v>
      </c>
      <c r="FG30" s="621">
        <f t="shared" si="24"/>
        <v>-220.6</v>
      </c>
      <c r="FH30" s="621">
        <f t="shared" si="24"/>
        <v>-493.2</v>
      </c>
      <c r="FI30" s="621">
        <f t="shared" si="24"/>
        <v>0</v>
      </c>
      <c r="FJ30" s="621">
        <f t="shared" si="24"/>
        <v>0</v>
      </c>
      <c r="FK30" s="621">
        <f t="shared" si="24"/>
        <v>-1288</v>
      </c>
      <c r="FL30" s="621">
        <f t="shared" si="24"/>
        <v>-133</v>
      </c>
      <c r="FM30" s="620">
        <f t="shared" si="24"/>
        <v>160.72900000000001</v>
      </c>
      <c r="FN30" s="620">
        <f t="shared" si="24"/>
        <v>19</v>
      </c>
      <c r="FO30" s="621">
        <f t="shared" si="24"/>
        <v>38</v>
      </c>
      <c r="FP30" s="621">
        <f t="shared" si="24"/>
        <v>8.4580000000000002</v>
      </c>
      <c r="FQ30" s="620">
        <f t="shared" si="24"/>
        <v>2</v>
      </c>
      <c r="FR30" s="620">
        <f t="shared" si="24"/>
        <v>-9.48</v>
      </c>
      <c r="FS30" s="621">
        <f t="shared" si="24"/>
        <v>0</v>
      </c>
      <c r="FT30" s="621">
        <f t="shared" si="24"/>
        <v>0</v>
      </c>
      <c r="FU30" s="621">
        <f>'yrP&amp;L'!AB62</f>
        <v>0</v>
      </c>
      <c r="FV30" s="621">
        <f>'yrP&amp;L'!AC62</f>
        <v>0</v>
      </c>
      <c r="FW30" s="621">
        <f>'yrP&amp;L'!AD62</f>
        <v>0</v>
      </c>
      <c r="FX30" s="621">
        <f>'yrP&amp;L'!AE62</f>
        <v>23</v>
      </c>
      <c r="FY30" s="621">
        <f>'yrP&amp;L'!AF62</f>
        <v>-184</v>
      </c>
      <c r="FZ30" s="621">
        <f>'yrP&amp;L'!AG62</f>
        <v>0</v>
      </c>
      <c r="GA30" s="621">
        <f>'yrP&amp;L'!AH62</f>
        <v>0</v>
      </c>
      <c r="GB30" s="1266">
        <f>'yrP&amp;L'!AI62</f>
        <v>0</v>
      </c>
      <c r="GC30" s="621">
        <f>'yrP&amp;L'!AJ62</f>
        <v>0</v>
      </c>
      <c r="GD30" s="1489">
        <f>'yrP&amp;L'!AL62</f>
        <v>0</v>
      </c>
      <c r="GF30"/>
      <c r="GG30"/>
      <c r="GH30"/>
      <c r="GI30"/>
      <c r="GJ30"/>
      <c r="GK30"/>
      <c r="GL30" s="398"/>
      <c r="GM30" s="398"/>
      <c r="GN30" s="398"/>
      <c r="GO30" s="398"/>
      <c r="GP30" s="398"/>
      <c r="GQ30" s="398"/>
      <c r="GR30" s="398"/>
      <c r="GS30" s="398"/>
      <c r="GT30" s="398"/>
      <c r="GU30" s="398"/>
      <c r="GV30" s="398"/>
      <c r="GW30" s="398"/>
      <c r="GX30" s="398"/>
      <c r="GY30" s="398"/>
      <c r="GZ30" s="398"/>
      <c r="HA30" s="398"/>
      <c r="HB30" s="398"/>
      <c r="HC30" s="398"/>
      <c r="HD30" s="398"/>
      <c r="HE30" s="398"/>
      <c r="HF30" s="398"/>
      <c r="HG30" s="398"/>
      <c r="HH30" s="398"/>
      <c r="HI30" s="398"/>
      <c r="HJ30" s="398"/>
      <c r="HK30" s="398"/>
      <c r="HL30" s="398"/>
      <c r="HM30" s="398"/>
      <c r="HN30" s="398"/>
      <c r="HO30" s="398"/>
      <c r="HP30" s="398"/>
      <c r="HQ30" s="398"/>
      <c r="HR30" s="398"/>
      <c r="HS30" s="398"/>
      <c r="HT30" s="398"/>
      <c r="HU30" s="398"/>
      <c r="HV30" s="398"/>
      <c r="HW30" s="398"/>
      <c r="HX30" s="398"/>
      <c r="HY30" s="398"/>
      <c r="HZ30" s="398"/>
      <c r="IA30" s="398"/>
      <c r="IB30" s="398"/>
      <c r="IC30" s="398"/>
      <c r="ID30" s="398"/>
      <c r="IE30" s="398"/>
      <c r="IF30" s="398"/>
      <c r="IG30" s="398"/>
      <c r="IH30" s="398"/>
      <c r="II30" s="398"/>
      <c r="IJ30" s="398"/>
      <c r="IK30" s="398"/>
      <c r="IL30" s="398"/>
      <c r="IM30" s="398"/>
      <c r="IN30" s="398"/>
      <c r="IO30" s="398"/>
      <c r="IP30" s="398"/>
      <c r="IQ30" s="398"/>
      <c r="IR30" s="398"/>
      <c r="IS30" s="398"/>
      <c r="IT30" s="398"/>
      <c r="IU30" s="398"/>
      <c r="IV30" s="398"/>
      <c r="IW30" s="398"/>
      <c r="IX30" s="398"/>
      <c r="IY30" s="398"/>
      <c r="IZ30" s="398"/>
      <c r="JA30" s="398"/>
    </row>
    <row r="31" spans="1:261" ht="9" hidden="1" customHeight="1" outlineLevel="2">
      <c r="A31" s="500"/>
      <c r="B31" s="507"/>
      <c r="C31" s="507"/>
      <c r="D31" s="507"/>
      <c r="E31" s="507"/>
      <c r="F31" s="507"/>
      <c r="G31" s="507"/>
      <c r="H31" s="507"/>
      <c r="I31" s="507"/>
      <c r="J31" s="507"/>
      <c r="K31" s="507"/>
      <c r="L31" s="507"/>
      <c r="M31" s="507"/>
      <c r="N31" s="507"/>
      <c r="O31" s="507"/>
      <c r="P31" s="507"/>
      <c r="Q31" s="507"/>
      <c r="R31" s="507"/>
      <c r="S31" s="507"/>
      <c r="T31" s="507"/>
      <c r="U31" s="507"/>
      <c r="V31" s="507"/>
      <c r="W31" s="507"/>
      <c r="X31" s="507"/>
      <c r="Y31" s="507"/>
      <c r="Z31" s="507"/>
      <c r="AA31" s="507"/>
      <c r="AB31" s="507"/>
      <c r="AC31" s="507"/>
      <c r="AD31" s="507"/>
      <c r="AE31" s="507"/>
      <c r="AF31" s="507"/>
      <c r="AG31" s="507"/>
      <c r="AH31" s="507"/>
      <c r="AI31" s="507"/>
      <c r="AJ31" s="507"/>
      <c r="AK31" s="507"/>
      <c r="AL31" s="507"/>
      <c r="AM31" s="507"/>
      <c r="AN31" s="507"/>
      <c r="AO31" s="507"/>
      <c r="AP31" s="507"/>
      <c r="AQ31" s="507"/>
      <c r="AR31" s="507"/>
      <c r="AS31" s="507"/>
      <c r="AT31" s="507"/>
      <c r="AU31" s="507"/>
      <c r="AV31" s="507"/>
      <c r="AW31" s="507"/>
      <c r="AX31" s="507"/>
      <c r="AY31" s="507"/>
      <c r="AZ31" s="507"/>
      <c r="BA31" s="507"/>
      <c r="BB31" s="507"/>
      <c r="BC31" s="507"/>
      <c r="BD31" s="507"/>
      <c r="BE31" s="507"/>
      <c r="BF31" s="507"/>
      <c r="BG31" s="507"/>
      <c r="BH31" s="507"/>
      <c r="BI31" s="507"/>
      <c r="BJ31" s="507"/>
      <c r="BK31" s="507"/>
      <c r="BL31" s="507"/>
      <c r="BM31" s="507"/>
      <c r="BN31" s="507"/>
      <c r="BO31" s="507"/>
      <c r="BP31" s="507"/>
      <c r="BQ31" s="507"/>
      <c r="BR31" s="507"/>
      <c r="BS31" s="507"/>
      <c r="BT31" s="507"/>
      <c r="BU31" s="507"/>
      <c r="BV31" s="507"/>
      <c r="BW31" s="507"/>
      <c r="BX31" s="507"/>
      <c r="BY31" s="507"/>
      <c r="BZ31" s="507"/>
      <c r="CA31" s="507"/>
      <c r="CB31" s="507"/>
      <c r="CC31" s="507"/>
      <c r="CD31" s="507"/>
      <c r="CE31" s="507"/>
      <c r="CF31" s="507"/>
      <c r="CG31" s="507"/>
      <c r="CH31" s="507"/>
      <c r="CI31" s="507"/>
      <c r="CJ31" s="507"/>
      <c r="CK31" s="507"/>
      <c r="CL31" s="507"/>
      <c r="CM31" s="507"/>
      <c r="CN31" s="507"/>
      <c r="CO31" s="507"/>
      <c r="CP31" s="507"/>
      <c r="CQ31" s="507"/>
      <c r="CR31" s="507"/>
      <c r="CS31" s="507"/>
      <c r="CT31" s="507"/>
      <c r="CU31" s="507"/>
      <c r="CV31" s="507"/>
      <c r="CW31" s="507"/>
      <c r="CX31" s="507"/>
      <c r="CY31" s="507"/>
      <c r="CZ31" s="507"/>
      <c r="DA31" s="507"/>
      <c r="DB31" s="507"/>
      <c r="DC31" s="507"/>
      <c r="DD31" s="507"/>
      <c r="DE31" s="507"/>
      <c r="DF31" s="507"/>
      <c r="DG31" s="507"/>
      <c r="DH31" s="507"/>
      <c r="DI31" s="507"/>
      <c r="DJ31" s="507"/>
      <c r="DK31" s="507"/>
      <c r="DL31" s="507"/>
      <c r="DM31" s="507"/>
      <c r="DN31" s="507"/>
      <c r="DO31" s="507"/>
      <c r="DP31" s="507"/>
      <c r="DR31" s="507"/>
      <c r="DS31" s="507"/>
      <c r="DT31" s="507"/>
      <c r="DU31" s="507"/>
      <c r="DV31" s="507"/>
      <c r="DW31" s="507"/>
      <c r="DX31" s="507"/>
      <c r="DY31" s="507"/>
      <c r="DZ31" s="507"/>
      <c r="EA31" s="507"/>
      <c r="EB31" s="507"/>
      <c r="EC31" s="507"/>
      <c r="ED31" s="507"/>
      <c r="EE31" s="507"/>
      <c r="EF31" s="507"/>
      <c r="EG31" s="507"/>
      <c r="EH31" s="507"/>
      <c r="EI31" s="507"/>
      <c r="EJ31" s="507"/>
      <c r="EK31" s="507"/>
      <c r="EL31" s="507"/>
      <c r="EM31" s="507"/>
      <c r="EN31" s="507"/>
      <c r="EO31" s="507"/>
      <c r="EP31" s="507"/>
      <c r="EQ31" s="507"/>
      <c r="ER31" s="1463"/>
      <c r="ES31" s="1463"/>
      <c r="ET31" s="1463"/>
      <c r="EU31" s="1463"/>
      <c r="EV31" s="507"/>
      <c r="EW31" s="500"/>
      <c r="EX31" s="507"/>
      <c r="EY31" s="507"/>
      <c r="EZ31" s="507"/>
      <c r="FA31" s="507"/>
      <c r="FB31" s="507"/>
      <c r="FC31" s="507"/>
      <c r="FD31" s="507"/>
      <c r="FE31" s="507"/>
      <c r="FF31" s="507"/>
      <c r="FG31" s="507"/>
      <c r="FH31" s="507"/>
      <c r="FI31" s="507"/>
      <c r="FJ31" s="507"/>
      <c r="FK31" s="507"/>
      <c r="FL31" s="507"/>
      <c r="FM31" s="500"/>
      <c r="FN31" s="500"/>
      <c r="FO31" s="507"/>
      <c r="FP31" s="507"/>
      <c r="FQ31" s="500"/>
      <c r="FR31" s="500"/>
      <c r="FS31" s="507"/>
      <c r="FT31" s="507"/>
      <c r="FU31" s="507"/>
      <c r="FV31" s="507"/>
      <c r="FW31" s="507"/>
      <c r="FX31" s="507"/>
      <c r="FY31" s="507"/>
      <c r="FZ31" s="507"/>
      <c r="GA31" s="507"/>
      <c r="GB31" s="961"/>
      <c r="GC31" s="507"/>
      <c r="GD31" s="1485"/>
    </row>
    <row r="32" spans="1:261" hidden="1" outlineLevel="2">
      <c r="A32" s="500" t="s">
        <v>55</v>
      </c>
      <c r="B32" s="507"/>
      <c r="C32" s="609">
        <f>C30+C26</f>
        <v>148</v>
      </c>
      <c r="D32" s="609">
        <f>D30+D26</f>
        <v>98</v>
      </c>
      <c r="E32" s="609">
        <f>E30+E26</f>
        <v>209</v>
      </c>
      <c r="F32" s="609">
        <f>F30+F26</f>
        <v>367</v>
      </c>
      <c r="G32" s="507"/>
      <c r="H32" s="609">
        <f>H30+H26</f>
        <v>154</v>
      </c>
      <c r="I32" s="609">
        <f>I30+I26</f>
        <v>83</v>
      </c>
      <c r="J32" s="609">
        <f>J30+J26</f>
        <v>134</v>
      </c>
      <c r="K32" s="609">
        <f>K30+K26</f>
        <v>206</v>
      </c>
      <c r="L32" s="507"/>
      <c r="M32" s="609">
        <f>M30+M26</f>
        <v>-104</v>
      </c>
      <c r="N32" s="609">
        <f>N30+N26</f>
        <v>31</v>
      </c>
      <c r="O32" s="609">
        <f>O30+O26</f>
        <v>116</v>
      </c>
      <c r="P32" s="609">
        <f>P30+P26</f>
        <v>37</v>
      </c>
      <c r="Q32" s="507"/>
      <c r="R32" s="609">
        <f>R30+R26</f>
        <v>136</v>
      </c>
      <c r="S32" s="609">
        <f>S30+S26</f>
        <v>80</v>
      </c>
      <c r="T32" s="609">
        <f>T30+T26</f>
        <v>186</v>
      </c>
      <c r="U32" s="609">
        <f>U30+U26</f>
        <v>375</v>
      </c>
      <c r="V32" s="507"/>
      <c r="W32" s="609">
        <f>W30+W26</f>
        <v>206</v>
      </c>
      <c r="X32" s="609">
        <f>X30+X26</f>
        <v>112</v>
      </c>
      <c r="Y32" s="609">
        <f>Y30+Y26</f>
        <v>185</v>
      </c>
      <c r="Z32" s="609">
        <f>Z30+Z26</f>
        <v>437</v>
      </c>
      <c r="AA32" s="507"/>
      <c r="AB32" s="609">
        <f>AB30+AB26</f>
        <v>223</v>
      </c>
      <c r="AC32" s="609">
        <f>AC30+AC26</f>
        <v>132</v>
      </c>
      <c r="AD32" s="609">
        <f>AD30+AD26</f>
        <v>274</v>
      </c>
      <c r="AE32" s="609">
        <f>AE30+AE26</f>
        <v>428</v>
      </c>
      <c r="AF32" s="507"/>
      <c r="AG32" s="609">
        <f>AG30+AG26</f>
        <v>156</v>
      </c>
      <c r="AH32" s="609">
        <f>AH30+AH26</f>
        <v>116</v>
      </c>
      <c r="AI32" s="609">
        <f>AI30+AI26</f>
        <v>240</v>
      </c>
      <c r="AJ32" s="609">
        <f>AJ30+AJ26</f>
        <v>326.20000000000005</v>
      </c>
      <c r="AK32" s="507"/>
      <c r="AL32" s="609">
        <f>AL30+AL26</f>
        <v>142</v>
      </c>
      <c r="AM32" s="609">
        <f>AM30+AM26</f>
        <v>93</v>
      </c>
      <c r="AN32" s="609">
        <f>AN30+AN26</f>
        <v>236</v>
      </c>
      <c r="AO32" s="609">
        <f>AO30+AO26</f>
        <v>94</v>
      </c>
      <c r="AP32" s="507"/>
      <c r="AQ32" s="609">
        <f>AQ30+AQ26</f>
        <v>137.86000000000001</v>
      </c>
      <c r="AR32" s="609">
        <f>AR30+AR26</f>
        <v>87.74499999999999</v>
      </c>
      <c r="AS32" s="609">
        <f>AS30+AS26</f>
        <v>132.18</v>
      </c>
      <c r="AT32" s="609">
        <f>AT30+AT26</f>
        <v>200.43199999999999</v>
      </c>
      <c r="AU32" s="507"/>
      <c r="AV32" s="609">
        <f>AV30+AV26</f>
        <v>174.54737665669109</v>
      </c>
      <c r="AW32" s="609">
        <f>AW30+AW26</f>
        <v>26.700000000000003</v>
      </c>
      <c r="AX32" s="609">
        <f>AX30+AX26</f>
        <v>186</v>
      </c>
      <c r="AY32" s="609">
        <f>AY30+AY26</f>
        <v>206.40200000000002</v>
      </c>
      <c r="AZ32" s="507"/>
      <c r="BA32" s="609">
        <f>BA30+BA26</f>
        <v>131</v>
      </c>
      <c r="BB32" s="609">
        <f>BB30+BB26</f>
        <v>-1.0200000000000102</v>
      </c>
      <c r="BC32" s="609">
        <f>BC30+BC26</f>
        <v>97</v>
      </c>
      <c r="BD32" s="609">
        <f>BD30+BD26</f>
        <v>-63.451999999999998</v>
      </c>
      <c r="BE32" s="507"/>
      <c r="BF32" s="609">
        <f>BF30+BF26</f>
        <v>-158.78100000000001</v>
      </c>
      <c r="BG32" s="609">
        <f>BG30+BG26</f>
        <v>-19.008000000000003</v>
      </c>
      <c r="BH32" s="609">
        <f>BH30+BH26</f>
        <v>-57.024000000000001</v>
      </c>
      <c r="BI32" s="609">
        <f>BI30+BI26</f>
        <v>-341.37899999999996</v>
      </c>
      <c r="BJ32" s="507"/>
      <c r="BK32" s="609">
        <f>BK30+BK26</f>
        <v>55</v>
      </c>
      <c r="BL32" s="609">
        <f>BL30+BL26</f>
        <v>-30</v>
      </c>
      <c r="BM32" s="609">
        <f>BM30+BM26</f>
        <v>55</v>
      </c>
      <c r="BN32" s="609">
        <f>BN30+BN26</f>
        <v>103</v>
      </c>
      <c r="BO32" s="507"/>
      <c r="BP32" s="609">
        <f>BP30+BP26</f>
        <v>62</v>
      </c>
      <c r="BQ32" s="609">
        <f>BQ30+BQ26</f>
        <v>-20</v>
      </c>
      <c r="BR32" s="609">
        <f>BR30+BR26</f>
        <v>69</v>
      </c>
      <c r="BS32" s="609">
        <f>BS30+BS26</f>
        <v>174</v>
      </c>
      <c r="BT32" s="507"/>
      <c r="BU32" s="609">
        <f>BU30+BU26</f>
        <v>22</v>
      </c>
      <c r="BV32" s="609">
        <f>BV30+BV26</f>
        <v>-4</v>
      </c>
      <c r="BW32" s="609">
        <f>BW30+BW26</f>
        <v>93</v>
      </c>
      <c r="BX32" s="609">
        <f>BX30+BX26</f>
        <v>-1039</v>
      </c>
      <c r="BY32" s="507"/>
      <c r="BZ32" s="609">
        <f>BZ30+BZ26</f>
        <v>41</v>
      </c>
      <c r="CA32" s="609">
        <f>CA30+CA26</f>
        <v>1.3700000000000045</v>
      </c>
      <c r="CB32" s="609">
        <f>CB30+CB26</f>
        <v>149</v>
      </c>
      <c r="CC32" s="609">
        <f>CC30+CC26</f>
        <v>333</v>
      </c>
      <c r="CD32" s="507"/>
      <c r="CE32" s="609">
        <f>CE30+CE26</f>
        <v>172.36059479553904</v>
      </c>
      <c r="CF32" s="609">
        <f>CF30+CF26</f>
        <v>131.4</v>
      </c>
      <c r="CG32" s="609">
        <f>CG30+CG26</f>
        <v>234</v>
      </c>
      <c r="CH32" s="609">
        <f>CH30+CH26</f>
        <v>551.08399999999983</v>
      </c>
      <c r="CI32" s="507"/>
      <c r="CJ32" s="609">
        <f>CJ30+CJ26</f>
        <v>209.38793103448276</v>
      </c>
      <c r="CK32" s="609">
        <f>CK30+CK26</f>
        <v>178</v>
      </c>
      <c r="CL32" s="609">
        <f>CL30+CL26</f>
        <v>287</v>
      </c>
      <c r="CM32" s="609">
        <f>CM30+CM26</f>
        <v>481</v>
      </c>
      <c r="CN32" s="507"/>
      <c r="CO32" s="609">
        <f>CO30+CO26</f>
        <v>237</v>
      </c>
      <c r="CP32" s="609">
        <f>CP30+CP26</f>
        <v>181.07000000000016</v>
      </c>
      <c r="CQ32" s="609">
        <f>CQ30+CQ26</f>
        <v>260</v>
      </c>
      <c r="CR32" s="609">
        <f>CR30+CR26</f>
        <v>430</v>
      </c>
      <c r="CS32" s="507"/>
      <c r="CT32" s="609">
        <f>CT30+CT26</f>
        <v>120</v>
      </c>
      <c r="CU32" s="609">
        <f>CU30+CU26</f>
        <v>117.0595000000003</v>
      </c>
      <c r="CV32" s="609">
        <f>CV30+CV26</f>
        <v>122.99638064516073</v>
      </c>
      <c r="CW32" s="609">
        <f>CW30+CW26</f>
        <v>211</v>
      </c>
      <c r="CX32" s="507"/>
      <c r="CY32" s="609">
        <f>CY30+CY26</f>
        <v>25</v>
      </c>
      <c r="CZ32" s="609">
        <f>CZ30+CZ26</f>
        <v>-0.61799999999999999</v>
      </c>
      <c r="DA32" s="609">
        <f>DA30+DA26</f>
        <v>27</v>
      </c>
      <c r="DB32" s="609">
        <f>DB30+DB26</f>
        <v>200.2</v>
      </c>
      <c r="DC32" s="507"/>
      <c r="DD32" s="609">
        <f>DD30+DD26</f>
        <v>60</v>
      </c>
      <c r="DE32" s="609">
        <f>DE30+DE26</f>
        <v>14</v>
      </c>
      <c r="DF32" s="609">
        <f>DF30+DF26</f>
        <v>44</v>
      </c>
      <c r="DG32" s="609">
        <f>DG30+DG26</f>
        <v>271</v>
      </c>
      <c r="DH32" s="507"/>
      <c r="DI32" s="609">
        <f>DI30+DI26</f>
        <v>64</v>
      </c>
      <c r="DJ32" s="609">
        <f>DJ30+DJ26</f>
        <v>14.321626926322097</v>
      </c>
      <c r="DK32" s="609">
        <f>DK30+DK26</f>
        <v>-143</v>
      </c>
      <c r="DL32" s="609">
        <f>DL30+DL26</f>
        <v>-87</v>
      </c>
      <c r="DM32" s="507"/>
      <c r="DN32" s="609">
        <f>DN30+DN26</f>
        <v>-163</v>
      </c>
      <c r="DO32" s="609">
        <f>DO30+DO26</f>
        <v>-147</v>
      </c>
      <c r="DP32" s="609">
        <f>DP30+DP26</f>
        <v>-123</v>
      </c>
      <c r="DQ32" s="609">
        <f>DQ30+DQ26</f>
        <v>-552</v>
      </c>
      <c r="DR32" s="507"/>
      <c r="DS32" s="609">
        <f>DS30+DS26</f>
        <v>-348</v>
      </c>
      <c r="DT32" s="609">
        <f>DT30+DT26</f>
        <v>-586</v>
      </c>
      <c r="DU32" s="609">
        <f>DU30+DU26</f>
        <v>-489</v>
      </c>
      <c r="DV32" s="609">
        <f>DV30+DV26</f>
        <v>35</v>
      </c>
      <c r="DW32" s="507"/>
      <c r="DX32" s="609">
        <f>DX30+DX26</f>
        <v>-352</v>
      </c>
      <c r="DY32" s="609">
        <f>DY30+DY26</f>
        <v>-172</v>
      </c>
      <c r="DZ32" s="609">
        <f>DZ30+DZ26</f>
        <v>-188</v>
      </c>
      <c r="EA32" s="609">
        <f>EA30+EA26</f>
        <v>-59</v>
      </c>
      <c r="EB32" s="507"/>
      <c r="EC32" s="609">
        <f>EC30+EC26</f>
        <v>-140.75</v>
      </c>
      <c r="ED32" s="609">
        <f>ED30+ED26</f>
        <v>-138</v>
      </c>
      <c r="EE32" s="609">
        <f>EE30+EE26</f>
        <v>-137</v>
      </c>
      <c r="EF32" s="609">
        <f>EF30+EF26</f>
        <v>-131</v>
      </c>
      <c r="EG32" s="507"/>
      <c r="EH32" s="609">
        <f>EH30+EH26</f>
        <v>-97</v>
      </c>
      <c r="EI32" s="609">
        <f>EI30+EI26</f>
        <v>-16</v>
      </c>
      <c r="EJ32" s="609">
        <f>EJ30+EJ26</f>
        <v>-65</v>
      </c>
      <c r="EK32" s="609">
        <f>EK30+EK26</f>
        <v>202</v>
      </c>
      <c r="EL32" s="507"/>
      <c r="EM32" s="609">
        <f>EM30+EM26</f>
        <v>-180</v>
      </c>
      <c r="EN32" s="609">
        <f>EN30+EN26</f>
        <v>-62.499999999999545</v>
      </c>
      <c r="EO32" s="609">
        <f>EO30+EO26</f>
        <v>-127.82</v>
      </c>
      <c r="EP32" s="609">
        <f>EP30+EP26</f>
        <v>254</v>
      </c>
      <c r="EQ32" s="507"/>
      <c r="ER32" s="1464">
        <f>ER30+ER26</f>
        <v>-55.229263999999944</v>
      </c>
      <c r="ES32" s="1464">
        <f>ES30+ES26</f>
        <v>31.46926400000018</v>
      </c>
      <c r="ET32" s="1464">
        <f>ET30+ET26</f>
        <v>-43.332539999999995</v>
      </c>
      <c r="EU32" s="1464">
        <f>EU30+EU26</f>
        <v>89.412875999999869</v>
      </c>
      <c r="EV32" s="507"/>
      <c r="EW32" s="611">
        <f t="shared" ref="EW32:FW32" si="25">EW30+EW26</f>
        <v>802</v>
      </c>
      <c r="EX32" s="609">
        <f t="shared" si="25"/>
        <v>577</v>
      </c>
      <c r="EY32" s="609">
        <f t="shared" si="25"/>
        <v>80</v>
      </c>
      <c r="EZ32" s="609">
        <f t="shared" si="25"/>
        <v>777</v>
      </c>
      <c r="FA32" s="609">
        <f t="shared" si="25"/>
        <v>940</v>
      </c>
      <c r="FB32" s="609">
        <f t="shared" si="25"/>
        <v>1057</v>
      </c>
      <c r="FC32" s="609">
        <f t="shared" si="25"/>
        <v>838.2</v>
      </c>
      <c r="FD32" s="609">
        <f t="shared" si="25"/>
        <v>565</v>
      </c>
      <c r="FE32" s="609">
        <f t="shared" si="25"/>
        <v>558.21699999999998</v>
      </c>
      <c r="FF32" s="609">
        <f t="shared" si="25"/>
        <v>593.64937665669106</v>
      </c>
      <c r="FG32" s="609">
        <f t="shared" si="25"/>
        <v>163.52799999999999</v>
      </c>
      <c r="FH32" s="609">
        <f t="shared" si="25"/>
        <v>-581.76</v>
      </c>
      <c r="FI32" s="609">
        <f t="shared" si="25"/>
        <v>184</v>
      </c>
      <c r="FJ32" s="609">
        <f t="shared" si="25"/>
        <v>282</v>
      </c>
      <c r="FK32" s="609">
        <f t="shared" si="25"/>
        <v>-928</v>
      </c>
      <c r="FL32" s="609">
        <f t="shared" si="25"/>
        <v>524.37</v>
      </c>
      <c r="FM32" s="611">
        <f t="shared" si="25"/>
        <v>1088.8445947955388</v>
      </c>
      <c r="FN32" s="611">
        <f t="shared" si="25"/>
        <v>1155.3879310344828</v>
      </c>
      <c r="FO32" s="609">
        <f t="shared" si="25"/>
        <v>1108.0700000000002</v>
      </c>
      <c r="FP32" s="609">
        <f t="shared" si="25"/>
        <v>571.05588064516098</v>
      </c>
      <c r="FQ32" s="611">
        <f t="shared" si="25"/>
        <v>251.58199999999999</v>
      </c>
      <c r="FR32" s="611">
        <f t="shared" si="25"/>
        <v>389</v>
      </c>
      <c r="FS32" s="609">
        <f t="shared" si="25"/>
        <v>-151.6783730736779</v>
      </c>
      <c r="FT32" s="609">
        <f t="shared" si="25"/>
        <v>-985</v>
      </c>
      <c r="FU32" s="609">
        <f t="shared" si="25"/>
        <v>-1388</v>
      </c>
      <c r="FV32" s="609">
        <f t="shared" si="25"/>
        <v>-771</v>
      </c>
      <c r="FW32" s="609">
        <f t="shared" si="25"/>
        <v>-546.75</v>
      </c>
      <c r="FX32" s="609">
        <f t="shared" ref="FX32:GC32" si="26">FX30+FX26</f>
        <v>24</v>
      </c>
      <c r="FY32" s="609">
        <f t="shared" si="26"/>
        <v>-116.32</v>
      </c>
      <c r="FZ32" s="609">
        <f t="shared" si="26"/>
        <v>22.320335999998861</v>
      </c>
      <c r="GA32" s="609">
        <f t="shared" si="26"/>
        <v>-15.201141993255078</v>
      </c>
      <c r="GB32" s="1263">
        <f t="shared" si="26"/>
        <v>-30.961796747183598</v>
      </c>
      <c r="GC32" s="609">
        <f t="shared" si="26"/>
        <v>-126.52799288049573</v>
      </c>
      <c r="GD32" s="1486">
        <f t="shared" ref="GD32" si="27">GD30+GD26</f>
        <v>-254.11425232284682</v>
      </c>
    </row>
    <row r="33" spans="1:261" ht="9.75" customHeight="1" collapsed="1">
      <c r="A33" s="500"/>
      <c r="B33" s="507"/>
      <c r="C33" s="507"/>
      <c r="D33" s="507"/>
      <c r="E33" s="507"/>
      <c r="F33" s="507"/>
      <c r="G33" s="507"/>
      <c r="H33" s="507"/>
      <c r="I33" s="507"/>
      <c r="J33" s="507"/>
      <c r="K33" s="507"/>
      <c r="L33" s="507"/>
      <c r="M33" s="507"/>
      <c r="N33" s="507"/>
      <c r="O33" s="507"/>
      <c r="P33" s="507"/>
      <c r="Q33" s="507"/>
      <c r="R33" s="507"/>
      <c r="S33" s="507"/>
      <c r="T33" s="507"/>
      <c r="U33" s="507"/>
      <c r="V33" s="507"/>
      <c r="W33" s="507"/>
      <c r="X33" s="507"/>
      <c r="Y33" s="507"/>
      <c r="Z33" s="507"/>
      <c r="AA33" s="507"/>
      <c r="AB33" s="507"/>
      <c r="AC33" s="507"/>
      <c r="AD33" s="507"/>
      <c r="AE33" s="507"/>
      <c r="AF33" s="507"/>
      <c r="AG33" s="507"/>
      <c r="AH33" s="507"/>
      <c r="AI33" s="507"/>
      <c r="AJ33" s="507"/>
      <c r="AK33" s="507"/>
      <c r="AL33" s="507"/>
      <c r="AM33" s="507"/>
      <c r="AN33" s="507"/>
      <c r="AO33" s="507"/>
      <c r="AP33" s="507"/>
      <c r="AQ33" s="507"/>
      <c r="AR33" s="507"/>
      <c r="AS33" s="507"/>
      <c r="AT33" s="507"/>
      <c r="AU33" s="507"/>
      <c r="AV33" s="507"/>
      <c r="AW33" s="507"/>
      <c r="AX33" s="507"/>
      <c r="AY33" s="507"/>
      <c r="AZ33" s="507"/>
      <c r="BA33" s="507"/>
      <c r="BB33" s="507"/>
      <c r="BC33" s="507"/>
      <c r="BD33" s="507"/>
      <c r="BE33" s="507"/>
      <c r="BF33" s="507"/>
      <c r="BG33" s="507"/>
      <c r="BH33" s="507"/>
      <c r="BI33" s="507"/>
      <c r="BJ33" s="507"/>
      <c r="BK33" s="507"/>
      <c r="BL33" s="507"/>
      <c r="BM33" s="507"/>
      <c r="BN33" s="507"/>
      <c r="BO33" s="507"/>
      <c r="BP33" s="507"/>
      <c r="BQ33" s="507"/>
      <c r="BR33" s="507"/>
      <c r="BS33" s="507"/>
      <c r="BT33" s="507"/>
      <c r="BU33" s="507"/>
      <c r="BV33" s="507"/>
      <c r="BW33" s="507"/>
      <c r="BX33" s="507"/>
      <c r="BY33" s="507"/>
      <c r="BZ33" s="507"/>
      <c r="CA33" s="507"/>
      <c r="CB33" s="507"/>
      <c r="CC33" s="507"/>
      <c r="CD33" s="507"/>
      <c r="CE33" s="507"/>
      <c r="CF33" s="507"/>
      <c r="CG33" s="507"/>
      <c r="CH33" s="507"/>
      <c r="CI33" s="507"/>
      <c r="CJ33" s="507"/>
      <c r="CK33" s="507"/>
      <c r="CL33" s="507"/>
      <c r="CM33" s="507"/>
      <c r="CN33" s="507"/>
      <c r="CO33" s="507"/>
      <c r="CP33" s="507"/>
      <c r="CQ33" s="507"/>
      <c r="CR33" s="507"/>
      <c r="CS33" s="507"/>
      <c r="CT33" s="507"/>
      <c r="CU33" s="507"/>
      <c r="CV33" s="507"/>
      <c r="CW33" s="507"/>
      <c r="CX33" s="507"/>
      <c r="CY33" s="507"/>
      <c r="CZ33" s="507"/>
      <c r="DA33" s="507"/>
      <c r="DB33" s="507"/>
      <c r="DC33" s="507"/>
      <c r="DD33" s="507"/>
      <c r="DE33" s="507"/>
      <c r="DF33" s="507"/>
      <c r="DG33" s="507"/>
      <c r="DH33" s="507"/>
      <c r="DI33" s="507"/>
      <c r="DJ33" s="507"/>
      <c r="DK33" s="507"/>
      <c r="DL33" s="507"/>
      <c r="DM33" s="507"/>
      <c r="DN33" s="507"/>
      <c r="DO33" s="507"/>
      <c r="DP33" s="507"/>
      <c r="DR33" s="507"/>
      <c r="DS33" s="507"/>
      <c r="DT33" s="507"/>
      <c r="DU33" s="507"/>
      <c r="DV33" s="507"/>
      <c r="DW33" s="507"/>
      <c r="DX33" s="507"/>
      <c r="DY33" s="507"/>
      <c r="DZ33" s="507"/>
      <c r="EA33" s="507"/>
      <c r="EB33" s="507"/>
      <c r="EC33" s="507"/>
      <c r="ED33" s="507"/>
      <c r="EE33" s="507"/>
      <c r="EF33" s="507"/>
      <c r="EG33" s="507"/>
      <c r="EH33" s="507"/>
      <c r="EI33" s="507"/>
      <c r="EJ33" s="507"/>
      <c r="EK33" s="507"/>
      <c r="EL33" s="507"/>
      <c r="EM33" s="507"/>
      <c r="EN33" s="507"/>
      <c r="EO33" s="507"/>
      <c r="EP33" s="507"/>
      <c r="EQ33" s="507"/>
      <c r="ER33" s="1463"/>
      <c r="ES33" s="1463"/>
      <c r="ET33" s="1463"/>
      <c r="EU33" s="1463"/>
      <c r="EV33" s="507"/>
      <c r="EW33" s="629"/>
      <c r="EX33" s="614"/>
      <c r="EY33" s="614"/>
      <c r="EZ33" s="614"/>
      <c r="FA33" s="614"/>
      <c r="FB33" s="614"/>
      <c r="FC33" s="614"/>
      <c r="FD33" s="614"/>
      <c r="FE33" s="614"/>
      <c r="FF33" s="614"/>
      <c r="FG33" s="614"/>
      <c r="FH33" s="614"/>
      <c r="FI33" s="614"/>
      <c r="FJ33" s="614"/>
      <c r="FK33" s="614"/>
      <c r="FL33" s="614"/>
      <c r="FM33" s="613"/>
      <c r="FN33" s="613"/>
      <c r="FO33" s="614"/>
      <c r="FP33" s="614"/>
      <c r="FQ33" s="613"/>
      <c r="FR33" s="613"/>
      <c r="FS33" s="614"/>
      <c r="FT33" s="614"/>
      <c r="FU33" s="614"/>
      <c r="FV33" s="614"/>
      <c r="FW33" s="614"/>
      <c r="FX33" s="614"/>
      <c r="FY33" s="614"/>
      <c r="FZ33" s="614"/>
      <c r="GA33" s="614"/>
      <c r="GB33" s="1264"/>
      <c r="GC33" s="614"/>
      <c r="GD33" s="1487"/>
    </row>
    <row r="34" spans="1:261" ht="13.5" customHeight="1" outlineLevel="1">
      <c r="A34" s="630" t="s">
        <v>242</v>
      </c>
      <c r="B34" s="601"/>
      <c r="C34" s="631">
        <f>INDEX('qtrP&amp;L'!$190:$190,MATCH(C$7,'qtrP&amp;L'!$6:$6,0))</f>
        <v>0.54</v>
      </c>
      <c r="D34" s="631">
        <f>INDEX('qtrP&amp;L'!$191:$191,MATCH(C$7,'qtrP&amp;L'!$6:$6,0))</f>
        <v>0.36</v>
      </c>
      <c r="E34" s="631">
        <f>INDEX('qtrP&amp;L'!$192:$192,MATCH(C$7,'qtrP&amp;L'!$6:$6,0))</f>
        <v>0.76</v>
      </c>
      <c r="F34" s="631">
        <f>INDEX('qtrP&amp;L'!$193:$193,MATCH(C$7,'qtrP&amp;L'!$6:$6,0))</f>
        <v>1.34</v>
      </c>
      <c r="G34" s="601"/>
      <c r="H34" s="631">
        <f>INDEX('qtrP&amp;L'!$190:$190,MATCH(H$7,'qtrP&amp;L'!$6:$6,0))</f>
        <v>0.56999999999999995</v>
      </c>
      <c r="I34" s="631">
        <f>INDEX('qtrP&amp;L'!$191:$191,MATCH(H$7,'qtrP&amp;L'!$6:$6,0))</f>
        <v>0.31</v>
      </c>
      <c r="J34" s="631">
        <f>INDEX('qtrP&amp;L'!$192:$192,MATCH(H$7,'qtrP&amp;L'!$6:$6,0))</f>
        <v>0.51</v>
      </c>
      <c r="K34" s="631">
        <f>INDEX('qtrP&amp;L'!$193:$193,MATCH(H$7,'qtrP&amp;L'!$6:$6,0))</f>
        <v>0.77</v>
      </c>
      <c r="L34" s="601"/>
      <c r="M34" s="631">
        <f>INDEX('qtrP&amp;L'!$190:$190,MATCH(M$7,'qtrP&amp;L'!$6:$6,0))</f>
        <v>0.31</v>
      </c>
      <c r="N34" s="631">
        <f>INDEX('qtrP&amp;L'!$191:$191,MATCH(M$7,'qtrP&amp;L'!$6:$6,0))</f>
        <v>0.1</v>
      </c>
      <c r="O34" s="631">
        <f>INDEX('qtrP&amp;L'!$192:$192,MATCH(M$7,'qtrP&amp;L'!$6:$6,0))</f>
        <v>0.46</v>
      </c>
      <c r="P34" s="631">
        <f>INDEX('qtrP&amp;L'!$193:$193,MATCH(M$7,'qtrP&amp;L'!$6:$6,0))</f>
        <v>1.1499999999999999</v>
      </c>
      <c r="Q34" s="601"/>
      <c r="R34" s="631">
        <f>INDEX('qtrP&amp;L'!$190:$190,MATCH(R$7,'qtrP&amp;L'!$6:$6,0))</f>
        <v>0.52</v>
      </c>
      <c r="S34" s="631">
        <f>INDEX('qtrP&amp;L'!$191:$191,MATCH(R$7,'qtrP&amp;L'!$6:$6,0))</f>
        <v>0.31</v>
      </c>
      <c r="T34" s="631">
        <f>INDEX('qtrP&amp;L'!$192:$192,MATCH(R$7,'qtrP&amp;L'!$6:$6,0))</f>
        <v>0.7</v>
      </c>
      <c r="U34" s="631">
        <f>INDEX('qtrP&amp;L'!$193:$193,MATCH(R$7,'qtrP&amp;L'!$6:$6,0))</f>
        <v>1.42</v>
      </c>
      <c r="V34" s="601"/>
      <c r="W34" s="631">
        <f>INDEX('qtrP&amp;L'!$190:$190,MATCH(W$7,'qtrP&amp;L'!$6:$6,0))</f>
        <v>0.65</v>
      </c>
      <c r="X34" s="631">
        <f>INDEX('qtrP&amp;L'!$191:$191,MATCH(W$7,'qtrP&amp;L'!$6:$6,0))</f>
        <v>0.42</v>
      </c>
      <c r="Y34" s="631">
        <f>INDEX('qtrP&amp;L'!$192:$192,MATCH(W$7,'qtrP&amp;L'!$6:$6,0))</f>
        <v>0.88</v>
      </c>
      <c r="Z34" s="631">
        <f>INDEX('qtrP&amp;L'!$193:$193,MATCH(W$7,'qtrP&amp;L'!$6:$6,0))</f>
        <v>1.65</v>
      </c>
      <c r="AA34" s="601"/>
      <c r="AB34" s="631">
        <f>INDEX('qtrP&amp;L'!$190:$190,MATCH(AB$7,'qtrP&amp;L'!$6:$6,0))</f>
        <v>0.84</v>
      </c>
      <c r="AC34" s="631">
        <f>INDEX('qtrP&amp;L'!$191:$191,MATCH(AB$7,'qtrP&amp;L'!$6:$6,0))</f>
        <v>0.51</v>
      </c>
      <c r="AD34" s="631">
        <f>INDEX('qtrP&amp;L'!$192:$192,MATCH(AB$7,'qtrP&amp;L'!$6:$6,0))</f>
        <v>1.04</v>
      </c>
      <c r="AE34" s="631">
        <f>INDEX('qtrP&amp;L'!$193:$193,MATCH(AB$7,'qtrP&amp;L'!$6:$6,0))</f>
        <v>1.66</v>
      </c>
      <c r="AF34" s="601"/>
      <c r="AG34" s="631">
        <f>INDEX('qtrP&amp;L'!$190:$190,MATCH(AG$7,'qtrP&amp;L'!$6:$6,0))</f>
        <v>0.61</v>
      </c>
      <c r="AH34" s="631">
        <f>INDEX('qtrP&amp;L'!$191:$191,MATCH(AG$7,'qtrP&amp;L'!$6:$6,0))</f>
        <v>0.46</v>
      </c>
      <c r="AI34" s="631">
        <f>INDEX('qtrP&amp;L'!$192:$192,MATCH(AG$7,'qtrP&amp;L'!$6:$6,0))</f>
        <v>0.95</v>
      </c>
      <c r="AJ34" s="631">
        <f>INDEX('qtrP&amp;L'!$193:$193,MATCH(AG$7,'qtrP&amp;L'!$6:$6,0))</f>
        <v>1.31</v>
      </c>
      <c r="AK34" s="601"/>
      <c r="AL34" s="631">
        <f>INDEX('qtrP&amp;L'!$190:$190,MATCH(AL$7,'qtrP&amp;L'!$6:$6,0))</f>
        <v>0.56999999999999995</v>
      </c>
      <c r="AM34" s="631">
        <f>INDEX('qtrP&amp;L'!$191:$191,MATCH(AL$7,'qtrP&amp;L'!$6:$6,0))</f>
        <v>0.37</v>
      </c>
      <c r="AN34" s="631">
        <f>INDEX('qtrP&amp;L'!$192:$192,MATCH(AL$7,'qtrP&amp;L'!$6:$6,0))</f>
        <v>1.03</v>
      </c>
      <c r="AO34" s="631">
        <f>INDEX('qtrP&amp;L'!$193:$193,MATCH(AL$7,'qtrP&amp;L'!$6:$6,0))</f>
        <v>1.2</v>
      </c>
      <c r="AP34" s="601"/>
      <c r="AQ34" s="631">
        <f>INDEX('qtrP&amp;L'!$190:$190,MATCH(AQ$7,'qtrP&amp;L'!$6:$6,0))</f>
        <v>0.53</v>
      </c>
      <c r="AR34" s="631">
        <f>INDEX('qtrP&amp;L'!$191:$191,MATCH(AQ$7,'qtrP&amp;L'!$6:$6,0))</f>
        <v>0.38</v>
      </c>
      <c r="AS34" s="631">
        <f>INDEX('qtrP&amp;L'!$192:$192,MATCH(AQ$7,'qtrP&amp;L'!$6:$6,0))</f>
        <v>0.85</v>
      </c>
      <c r="AT34" s="631">
        <f>INDEX('qtrP&amp;L'!$193:$193,MATCH(AQ$7,'qtrP&amp;L'!$6:$6,0))</f>
        <v>1.21</v>
      </c>
      <c r="AU34" s="601"/>
      <c r="AV34" s="631">
        <f>INDEX('qtrP&amp;L'!$190:$190,MATCH(AV$7,'qtrP&amp;L'!$6:$6,0))</f>
        <v>0.64</v>
      </c>
      <c r="AW34" s="631">
        <f>INDEX('qtrP&amp;L'!$191:$191,MATCH(AV$7,'qtrP&amp;L'!$6:$6,0))</f>
        <v>0.35</v>
      </c>
      <c r="AX34" s="631">
        <f>INDEX('qtrP&amp;L'!$192:$192,MATCH(AV$7,'qtrP&amp;L'!$6:$6,0))</f>
        <v>0.68</v>
      </c>
      <c r="AY34" s="631">
        <f>INDEX('qtrP&amp;L'!$193:$193,MATCH(AV$7,'qtrP&amp;L'!$6:$6,0))</f>
        <v>0.72</v>
      </c>
      <c r="AZ34" s="601"/>
      <c r="BA34" s="631">
        <f>INDEX('qtrP&amp;L'!$190:$190,MATCH(BA$7,'qtrP&amp;L'!$6:$6,0))</f>
        <v>0.48</v>
      </c>
      <c r="BB34" s="631">
        <f>INDEX('qtrP&amp;L'!$191:$191,MATCH(BA$7,'qtrP&amp;L'!$6:$6,0))</f>
        <v>0.24</v>
      </c>
      <c r="BC34" s="631">
        <f>INDEX('qtrP&amp;L'!$192:$192,MATCH(BA$7,'qtrP&amp;L'!$6:$6,0))</f>
        <v>0.34</v>
      </c>
      <c r="BD34" s="631">
        <f>INDEX('qtrP&amp;L'!$193:$193,MATCH(BA$7,'qtrP&amp;L'!$6:$6,0))</f>
        <v>0.3</v>
      </c>
      <c r="BE34" s="601"/>
      <c r="BF34" s="631">
        <f>INDEX('qtrP&amp;L'!$190:$190,MATCH(BF$7,'qtrP&amp;L'!$6:$6,0))</f>
        <v>0.13</v>
      </c>
      <c r="BG34" s="631">
        <f>INDEX('qtrP&amp;L'!$191:$191,MATCH(BF$7,'qtrP&amp;L'!$6:$6,0))</f>
        <v>-0.14000000000000001</v>
      </c>
      <c r="BH34" s="631">
        <f>INDEX('qtrP&amp;L'!$192:$192,MATCH(BF$7,'qtrP&amp;L'!$6:$6,0))</f>
        <v>-0.23</v>
      </c>
      <c r="BI34" s="631">
        <f>INDEX('qtrP&amp;L'!$193:$193,MATCH(BF$7,'qtrP&amp;L'!$6:$6,0))</f>
        <v>-0.17</v>
      </c>
      <c r="BJ34" s="601"/>
      <c r="BK34" s="631">
        <f>INDEX('qtrP&amp;L'!$190:$190,MATCH(BK$7,'qtrP&amp;L'!$6:$6,0))</f>
        <v>0.18</v>
      </c>
      <c r="BL34" s="631">
        <f>INDEX('qtrP&amp;L'!$191:$191,MATCH(BK$7,'qtrP&amp;L'!$6:$6,0))</f>
        <v>-0.14000000000000001</v>
      </c>
      <c r="BM34" s="631">
        <f>INDEX('qtrP&amp;L'!$192:$192,MATCH(BK$7,'qtrP&amp;L'!$6:$6,0))</f>
        <v>0.18</v>
      </c>
      <c r="BN34" s="631">
        <f>INDEX('qtrP&amp;L'!$193:$193,MATCH(BK$7,'qtrP&amp;L'!$6:$6,0))</f>
        <v>0.34</v>
      </c>
      <c r="BO34" s="601"/>
      <c r="BP34" s="631">
        <f>INDEX('qtrP&amp;L'!$190:$190,MATCH(BP$7,'qtrP&amp;L'!$6:$6,0))</f>
        <v>0.2</v>
      </c>
      <c r="BQ34" s="631">
        <f>INDEX('qtrP&amp;L'!$191:$191,MATCH(BP$7,'qtrP&amp;L'!$6:$6,0))</f>
        <v>-0.1</v>
      </c>
      <c r="BR34" s="631">
        <f>INDEX('qtrP&amp;L'!$192:$192,MATCH(BP$7,'qtrP&amp;L'!$6:$6,0))</f>
        <v>0.23</v>
      </c>
      <c r="BS34" s="631">
        <f>INDEX('qtrP&amp;L'!$193:$193,MATCH(BP$7,'qtrP&amp;L'!$6:$6,0))</f>
        <v>0.57999999999999996</v>
      </c>
      <c r="BT34" s="601"/>
      <c r="BU34" s="631">
        <f>INDEX('qtrP&amp;L'!$190:$190,MATCH(BU$7,'qtrP&amp;L'!$6:$6,0))</f>
        <v>0.06</v>
      </c>
      <c r="BV34" s="631">
        <f>INDEX('qtrP&amp;L'!$191:$191,MATCH(BU$7,'qtrP&amp;L'!$6:$6,0))</f>
        <v>-0.04</v>
      </c>
      <c r="BW34" s="631">
        <f>INDEX('qtrP&amp;L'!$192:$192,MATCH(BU$7,'qtrP&amp;L'!$6:$6,0))</f>
        <v>0.32</v>
      </c>
      <c r="BX34" s="631">
        <f>INDEX('qtrP&amp;L'!$193:$193,MATCH(BU$7,'qtrP&amp;L'!$6:$6,0))</f>
        <v>0.81</v>
      </c>
      <c r="BY34" s="601"/>
      <c r="BZ34" s="631">
        <f>INDEX('qtrP&amp;L'!$190:$190,MATCH(BZ$7,'qtrP&amp;L'!$6:$6,0))</f>
        <v>0.38</v>
      </c>
      <c r="CA34" s="631">
        <f>INDEX('qtrP&amp;L'!$191:$191,MATCH(BZ$7,'qtrP&amp;L'!$6:$6,0))</f>
        <v>0.22</v>
      </c>
      <c r="CB34" s="631">
        <f>INDEX('qtrP&amp;L'!$192:$192,MATCH(BZ$7,'qtrP&amp;L'!$6:$6,0))</f>
        <v>0.5</v>
      </c>
      <c r="CC34" s="631">
        <f>INDEX('qtrP&amp;L'!$193:$193,MATCH(BZ$7,'qtrP&amp;L'!$6:$6,0))</f>
        <v>1.1399999999999999</v>
      </c>
      <c r="CD34" s="601"/>
      <c r="CE34" s="631">
        <f>INDEX('qtrP&amp;L'!$190:$190,MATCH(CE$7,'qtrP&amp;L'!$6:$6,0))</f>
        <v>0.62540363064065341</v>
      </c>
      <c r="CF34" s="631">
        <f>INDEX('qtrP&amp;L'!$191:$191,MATCH(CE$7,'qtrP&amp;L'!$6:$6,0))</f>
        <v>0.46124763705103972</v>
      </c>
      <c r="CG34" s="631">
        <f>INDEX('qtrP&amp;L'!$192:$192,MATCH(CE$7,'qtrP&amp;L'!$6:$6,0))</f>
        <v>0.94127111826226872</v>
      </c>
      <c r="CH34" s="631">
        <f>INDEX('qtrP&amp;L'!$193:$193,MATCH(CE$7,'qtrP&amp;L'!$6:$6,0))</f>
        <v>1.7060664112388242</v>
      </c>
      <c r="CI34" s="601"/>
      <c r="CJ34" s="631">
        <f>INDEX('qtrP&amp;L'!$190:$190,MATCH(CJ$7,'qtrP&amp;L'!$6:$6,0))</f>
        <v>0.89880630992163668</v>
      </c>
      <c r="CK34" s="631">
        <f>INDEX('qtrP&amp;L'!$191:$191,MATCH(CJ$7,'qtrP&amp;L'!$6:$6,0))</f>
        <v>0.74991163976210706</v>
      </c>
      <c r="CL34" s="631">
        <f>INDEX('qtrP&amp;L'!$192:$192,MATCH(CJ$7,'qtrP&amp;L'!$6:$6,0))</f>
        <v>1.2565905096660808</v>
      </c>
      <c r="CM34" s="631">
        <f>INDEX('qtrP&amp;L'!$193:$193,MATCH(CJ$7,'qtrP&amp;L'!$6:$6,0))</f>
        <v>2.0183887915936953</v>
      </c>
      <c r="CN34" s="632"/>
      <c r="CO34" s="631">
        <f>INDEX('qtrP&amp;L'!$190:$190,MATCH(CO$7,'qtrP&amp;L'!$6:$6,0))</f>
        <v>1.0358391608391608</v>
      </c>
      <c r="CP34" s="631">
        <f>INDEX('qtrP&amp;L'!$191:$191,MATCH(CO$7,'qtrP&amp;L'!$6:$6,0))</f>
        <v>0.7726142920550384</v>
      </c>
      <c r="CQ34" s="631">
        <f>INDEX('qtrP&amp;L'!$192:$192,MATCH(CO$7,'qtrP&amp;L'!$6:$6,0))</f>
        <v>1.0212221725525257</v>
      </c>
      <c r="CR34" s="631">
        <f>INDEX('qtrP&amp;L'!$193:$193,MATCH(CO$7,'qtrP&amp;L'!$6:$6,0))</f>
        <v>1.933602512337371</v>
      </c>
      <c r="CS34" s="632"/>
      <c r="CT34" s="631">
        <f>INDEX('qtrP&amp;L'!$190:$190,MATCH(CT$7,'qtrP&amp;L'!$6:$6,0))</f>
        <v>0.53811659192825112</v>
      </c>
      <c r="CU34" s="631">
        <f>INDEX('qtrP&amp;L'!$191:$191,MATCH(CT$7,'qtrP&amp;L'!$6:$6,0))</f>
        <v>0.52044618834080847</v>
      </c>
      <c r="CV34" s="631">
        <f>INDEX('qtrP&amp;L'!$192:$192,MATCH(CT$7,'qtrP&amp;L'!$6:$6,0))</f>
        <v>0.53180072070507278</v>
      </c>
      <c r="CW34" s="631">
        <f>INDEX('qtrP&amp;L'!$193:$193,MATCH(CT$7,'qtrP&amp;L'!$6:$6,0))</f>
        <v>0.93441150044923638</v>
      </c>
      <c r="CX34" s="632"/>
      <c r="CY34" s="631">
        <f>INDEX('qtrP&amp;L'!$190:$190,MATCH(CY$7,'qtrP&amp;L'!$6:$6,0))</f>
        <v>0.1122586439155815</v>
      </c>
      <c r="CZ34" s="631">
        <f>INDEX('qtrP&amp;L'!$191:$191,MATCH(CY$7,'qtrP&amp;L'!$6:$6,0))</f>
        <v>-2.6432848588537209E-3</v>
      </c>
      <c r="DA34" s="631">
        <f>INDEX('qtrP&amp;L'!$192:$192,MATCH(CY$7,'qtrP&amp;L'!$6:$6,0))</f>
        <v>0.11363636363636363</v>
      </c>
      <c r="DB34" s="631">
        <f>INDEX('qtrP&amp;L'!$193:$193,MATCH(CY$7,'qtrP&amp;L'!$6:$6,0))</f>
        <v>0.83522966708807411</v>
      </c>
      <c r="DC34" s="632"/>
      <c r="DD34" s="631">
        <f>INDEX('qtrP&amp;L'!$190:$190,MATCH(DD$7,'qtrP&amp;L'!$6:$6,0))</f>
        <v>0.25252525252525254</v>
      </c>
      <c r="DE34" s="631">
        <f>INDEX('qtrP&amp;L'!$191:$191,MATCH(DD$7,'qtrP&amp;L'!$6:$6,0))</f>
        <v>5.8922558922558925E-2</v>
      </c>
      <c r="DF34" s="631">
        <f>INDEX('qtrP&amp;L'!$192:$192,MATCH(DD$7,'qtrP&amp;L'!$6:$6,0))</f>
        <v>0.18502943650126155</v>
      </c>
      <c r="DG34" s="631">
        <f>INDEX('qtrP&amp;L'!$193:$193,MATCH(DD$7,'qtrP&amp;L'!$6:$6,0))</f>
        <v>1.1735564853556486</v>
      </c>
      <c r="DH34" s="632"/>
      <c r="DI34" s="631">
        <f>INDEX('qtrP&amp;L'!$190:$190,MATCH(DI$7,'qtrP&amp;L'!$6:$6,0))</f>
        <v>0.3003021148036254</v>
      </c>
      <c r="DJ34" s="631">
        <f>INDEX('qtrP&amp;L'!$191:$191,MATCH(DI$7,'qtrP&amp;L'!$6:$6,0))</f>
        <v>0.1277569688598639</v>
      </c>
      <c r="DK34" s="631">
        <f>INDEX('qtrP&amp;L'!$192:$192,MATCH(DI$7,'qtrP&amp;L'!$6:$6,0))</f>
        <v>0.11251758087201125</v>
      </c>
      <c r="DL34" s="631">
        <f>INDEX('qtrP&amp;L'!$193:$193,MATCH(DI$7,'qtrP&amp;L'!$6:$6,0))</f>
        <v>0.74061768834815145</v>
      </c>
      <c r="DM34" s="632"/>
      <c r="DN34" s="631">
        <f>INDEX('qtrP&amp;L'!$190:$190,MATCH(DN$7,'qtrP&amp;L'!$6:$6,0))</f>
        <v>-0.3893724232707283</v>
      </c>
      <c r="DO34" s="631">
        <f>INDEX('qtrP&amp;L'!$191:$191,MATCH(DN$7,'qtrP&amp;L'!$6:$6,0))</f>
        <v>-0.78614396140396114</v>
      </c>
      <c r="DP34" s="631">
        <f>INDEX('qtrP&amp;L'!$192:$192,MATCH(DN$7,'qtrP&amp;L'!$6:$6,0))</f>
        <v>-0.99370536620770988</v>
      </c>
      <c r="DQ34" s="631">
        <f>INDEX('qtrP&amp;L'!$193:$193,MATCH(DN$7,'qtrP&amp;L'!$6:$6,0))</f>
        <v>-2.4373576309794989</v>
      </c>
      <c r="DR34" s="632"/>
      <c r="DS34" s="631">
        <f>INDEX('qtrP&amp;L'!$190:$190,MATCH(DS$7,'qtrP&amp;L'!$6:$6,0))</f>
        <v>-1.3142337426102773</v>
      </c>
      <c r="DT34" s="631">
        <f>INDEX('qtrP&amp;L'!$191:$191,MATCH(DS$7,'qtrP&amp;L'!$6:$6,0))</f>
        <v>-2.164246823956443</v>
      </c>
      <c r="DU34" s="631">
        <f>INDEX('qtrP&amp;L'!$192:$192,MATCH(DS$7,'qtrP&amp;L'!$6:$6,0))</f>
        <v>-1.8149324861000795</v>
      </c>
      <c r="DV34" s="633">
        <f>INDEX('qtrP&amp;L'!$193:$193,MATCH(DS$7,'qtrP&amp;L'!$6:$6,0))</f>
        <v>-0.67563135454247303</v>
      </c>
      <c r="DW34" s="632"/>
      <c r="DX34" s="631">
        <f>INDEX('qtrP&amp;L'!$190:$190,MATCH(DX$7,'qtrP&amp;L'!$6:$6,0))</f>
        <v>-2.3573770491803279</v>
      </c>
      <c r="DY34" s="631">
        <f>INDEX('qtrP&amp;L'!$191:$191,MATCH(DX$7,'qtrP&amp;L'!$6:$6,0))</f>
        <v>-0.74803149606299213</v>
      </c>
      <c r="DZ34" s="631">
        <f>INDEX('qtrP&amp;L'!$192:$192,MATCH(DX$7,'qtrP&amp;L'!$6:$6,0))</f>
        <v>-0.76973468719292493</v>
      </c>
      <c r="EA34" s="633">
        <f>INDEX('qtrP&amp;L'!$193:$193,MATCH(DX$7,'qtrP&amp;L'!$6:$6,0))</f>
        <v>-0.39305601048149358</v>
      </c>
      <c r="EB34" s="632"/>
      <c r="EC34" s="631">
        <f>INDEX('qtrP&amp;L'!$190:$190,MATCH(EC$7,'qtrP&amp;L'!$6:$6,0))</f>
        <v>-0.46072013093289688</v>
      </c>
      <c r="ED34" s="631">
        <f>INDEX('qtrP&amp;L'!$191:$191,MATCH(EC$7,'qtrP&amp;L'!$6:$6,0))</f>
        <v>-0.45112781954887221</v>
      </c>
      <c r="EE34" s="631">
        <f>INDEX('qtrP&amp;L'!$192:$192,MATCH(EC$7,'qtrP&amp;L'!$6:$6,0))</f>
        <v>-0.44771241830065361</v>
      </c>
      <c r="EF34" s="633">
        <f>INDEX('qtrP&amp;L'!$193:$193,MATCH(EC$7,'qtrP&amp;L'!$6:$6,0))</f>
        <v>-0.29270435830488051</v>
      </c>
      <c r="EG34" s="632"/>
      <c r="EH34" s="631">
        <f>INDEX('qtrP&amp;L'!$190:$190,MATCH(EH$7,'qtrP&amp;L'!$6:$6,0))</f>
        <v>-0.22135416666666669</v>
      </c>
      <c r="EI34" s="631">
        <f>INDEX('qtrP&amp;L'!$191:$191,MATCH(EH$7,'qtrP&amp;L'!$6:$6,0))</f>
        <v>-0.18181818181818182</v>
      </c>
      <c r="EJ34" s="631">
        <f>INDEX('qtrP&amp;L'!$192:$192,MATCH(EH$7,'qtrP&amp;L'!$6:$6,0))</f>
        <v>-0.2173207914369121</v>
      </c>
      <c r="EK34" s="633">
        <f>INDEX('qtrP&amp;L'!$193:$193,MATCH(EH$7,'qtrP&amp;L'!$6:$6,0))</f>
        <v>0.6118546845124283</v>
      </c>
      <c r="EL34" s="632"/>
      <c r="EM34" s="631">
        <f>INDEX('qtrP&amp;L'!$190:$190,MATCH(EM$7,'qtrP&amp;L'!$6:$6,0))</f>
        <v>6.1369509043927642E-2</v>
      </c>
      <c r="EN34" s="631">
        <f>INDEX('qtrP&amp;L'!$191:$191,MATCH(EM$7,'qtrP&amp;L'!$6:$6,0))</f>
        <v>-9.1698841698840239E-2</v>
      </c>
      <c r="EO34" s="631">
        <f>INDEX('qtrP&amp;L'!$192:$192,MATCH(EM$7,'qtrP&amp;L'!$6:$6,0))</f>
        <v>-0.32676508344030802</v>
      </c>
      <c r="EP34" s="633">
        <f>INDEX('qtrP&amp;L'!$193:$193,MATCH(EM$7,'qtrP&amp;L'!$6:$6,0))</f>
        <v>0.56897647806738716</v>
      </c>
      <c r="EQ34" s="632"/>
      <c r="ER34" s="1468">
        <f>INDEX('qtrP&amp;L'!$190:$190,MATCH(ER$7,'qtrP&amp;L'!$6:$6,0))</f>
        <v>-0.17555392244119497</v>
      </c>
      <c r="ES34" s="1468">
        <f>INDEX('qtrP&amp;L'!$191:$191,MATCH(ER$7,'qtrP&amp;L'!$6:$6,0))</f>
        <v>0.10002944691672021</v>
      </c>
      <c r="ET34" s="1468">
        <f>INDEX('qtrP&amp;L'!$192:$192,MATCH(ER$7,'qtrP&amp;L'!$6:$6,0))</f>
        <v>-0.13773852511125237</v>
      </c>
      <c r="EU34" s="1469">
        <f>INDEX('qtrP&amp;L'!$193:$193,MATCH(ER$7,'qtrP&amp;L'!$6:$6,0))</f>
        <v>0.28421130324221189</v>
      </c>
      <c r="EV34" s="507"/>
      <c r="EW34" s="634">
        <f>INDEX('qtrP&amp;L'!$194:$194,MATCH(EW$7,'qtrP&amp;L'!$6:$6,0))</f>
        <v>3</v>
      </c>
      <c r="EX34" s="631">
        <f>INDEX('qtrP&amp;L'!$194:$194,MATCH(EX$7,'qtrP&amp;L'!$6:$6,0))</f>
        <v>2.16</v>
      </c>
      <c r="EY34" s="631">
        <f>INDEX('qtrP&amp;L'!$194:$194,MATCH(EY$7,'qtrP&amp;L'!$6:$6,0))</f>
        <v>2.02</v>
      </c>
      <c r="EZ34" s="631">
        <f>INDEX('qtrP&amp;L'!$194:$194,MATCH(EZ$7,'qtrP&amp;L'!$6:$6,0))</f>
        <v>2.95</v>
      </c>
      <c r="FA34" s="631">
        <f>INDEX('qtrP&amp;L'!$194:$194,MATCH(FA$7,'qtrP&amp;L'!$6:$6,0))</f>
        <v>3.6</v>
      </c>
      <c r="FB34" s="631">
        <f>INDEX('qtrP&amp;L'!$194:$194,MATCH(FB$7,'qtrP&amp;L'!$6:$6,0))</f>
        <v>4.05</v>
      </c>
      <c r="FC34" s="631">
        <f>INDEX('qtrP&amp;L'!$194:$194,MATCH(FC$7,'qtrP&amp;L'!$6:$6,0))</f>
        <v>3.33</v>
      </c>
      <c r="FD34" s="631">
        <f>INDEX('qtrP&amp;L'!$194:$194,MATCH(FD$7,'qtrP&amp;L'!$6:$6,0))</f>
        <v>3.17</v>
      </c>
      <c r="FE34" s="631">
        <f>INDEX('qtrP&amp;L'!$194:$194,MATCH(FE$7,'qtrP&amp;L'!$6:$6,0))</f>
        <v>2.97</v>
      </c>
      <c r="FF34" s="631">
        <f>INDEX('qtrP&amp;L'!$194:$194,MATCH(FF$7,'qtrP&amp;L'!$6:$6,0))</f>
        <v>2.39</v>
      </c>
      <c r="FG34" s="631">
        <f>INDEX('qtrP&amp;L'!$194:$194,MATCH(FG$7,'qtrP&amp;L'!$6:$6,0))</f>
        <v>1.36</v>
      </c>
      <c r="FH34" s="631">
        <f>INDEX('qtrP&amp;L'!$194:$194,MATCH(FH$7,'qtrP&amp;L'!$6:$6,0))</f>
        <v>-0.44</v>
      </c>
      <c r="FI34" s="631">
        <f>INDEX('qtrP&amp;L'!$194:$194,MATCH(FI$7,'qtrP&amp;L'!$6:$6,0))</f>
        <v>0.57999999999999996</v>
      </c>
      <c r="FJ34" s="631">
        <f>INDEX('qtrP&amp;L'!$194:$194,MATCH(FJ$7,'qtrP&amp;L'!$6:$6,0))</f>
        <v>0.94</v>
      </c>
      <c r="FK34" s="631">
        <f>INDEX('qtrP&amp;L'!$194:$194,MATCH(FK$7,'qtrP&amp;L'!$6:$6,0))</f>
        <v>1.2</v>
      </c>
      <c r="FL34" s="631">
        <f>INDEX('qtrP&amp;L'!$194:$194,MATCH(FL$7,'qtrP&amp;L'!$6:$6,0))</f>
        <v>2.2599999999999998</v>
      </c>
      <c r="FM34" s="634">
        <f>INDEX('qtrP&amp;L'!$194:$194,MATCH(FM$7,'qtrP&amp;L'!$6:$6,0))</f>
        <v>3.6339686562080575</v>
      </c>
      <c r="FN34" s="634">
        <f>INDEX('qtrP&amp;L'!$194:$194,MATCH(FN$7,'qtrP&amp;L'!$6:$6,0))</f>
        <v>4.894004870949539</v>
      </c>
      <c r="FO34" s="631">
        <f>INDEX('qtrP&amp;L'!$194:$194,MATCH(FO$7,'qtrP&amp;L'!$6:$6,0))</f>
        <v>4.752170534029089</v>
      </c>
      <c r="FP34" s="631">
        <f>INDEX('qtrP&amp;L'!$194:$194,MATCH(FP$7,'qtrP&amp;L'!$6:$6,0))</f>
        <v>2.5242754039042556</v>
      </c>
      <c r="FQ34" s="634">
        <f>INDEX('qtrP&amp;L'!$194:$194,MATCH(FQ$7,'qtrP&amp;L'!$6:$6,0))</f>
        <v>1.0718574189392314</v>
      </c>
      <c r="FR34" s="634">
        <f>INDEX('qtrP&amp;L'!$194:$194,MATCH(FR$7,'qtrP&amp;L'!$6:$6,0))</f>
        <v>1.6742857142857144</v>
      </c>
      <c r="FS34" s="631">
        <f>INDEX('qtrP&amp;L'!$194:$194,MATCH(FS$7,'qtrP&amp;L'!$6:$6,0))</f>
        <v>1.2899338865056216</v>
      </c>
      <c r="FT34" s="631">
        <f>'yrP&amp;L'!AA75</f>
        <v>-4.5942844724020757</v>
      </c>
      <c r="FU34" s="634">
        <f>'yrP&amp;L'!AB75</f>
        <v>-5.5675892498997186</v>
      </c>
      <c r="FV34" s="631">
        <f>'yrP&amp;L'!AC75</f>
        <v>-2.5262123197903015</v>
      </c>
      <c r="FW34" s="631">
        <f>'yrP&amp;L'!AD75</f>
        <v>-1.7873488067996079</v>
      </c>
      <c r="FX34" s="631">
        <f>'yrP&amp;L'!AE75</f>
        <v>3.1948881789137379E-3</v>
      </c>
      <c r="FY34" s="631">
        <f>'yrP&amp;L'!AF75</f>
        <v>-0.37389906782385079</v>
      </c>
      <c r="FZ34" s="631">
        <f>'yrP&amp;L'!AG75</f>
        <v>7.0948302606480801E-2</v>
      </c>
      <c r="GA34" s="631">
        <f>'yrP&amp;L'!AH75</f>
        <v>-4.8318951027511367E-2</v>
      </c>
      <c r="GB34" s="633">
        <f>'yrP&amp;L'!AI75</f>
        <v>-9.8416391440507303E-2</v>
      </c>
      <c r="GC34" s="631">
        <f>'yrP&amp;L'!AJ75</f>
        <v>-0.40218688137474801</v>
      </c>
      <c r="GD34" s="1469">
        <f>'yrP&amp;L'!AK75</f>
        <v>-0.80773761068927785</v>
      </c>
    </row>
    <row r="35" spans="1:261" s="400" customFormat="1" ht="12.75" customHeight="1" outlineLevel="1">
      <c r="A35" s="688" t="s">
        <v>445</v>
      </c>
      <c r="B35" s="689"/>
      <c r="C35" s="690" t="s">
        <v>147</v>
      </c>
      <c r="D35" s="690" t="s">
        <v>147</v>
      </c>
      <c r="E35" s="690" t="s">
        <v>147</v>
      </c>
      <c r="F35" s="690" t="s">
        <v>147</v>
      </c>
      <c r="G35" s="689"/>
      <c r="H35" s="690" t="s">
        <v>147</v>
      </c>
      <c r="I35" s="690" t="s">
        <v>147</v>
      </c>
      <c r="J35" s="690" t="s">
        <v>147</v>
      </c>
      <c r="K35" s="690" t="s">
        <v>147</v>
      </c>
      <c r="L35" s="689"/>
      <c r="M35" s="690" t="s">
        <v>147</v>
      </c>
      <c r="N35" s="690" t="s">
        <v>147</v>
      </c>
      <c r="O35" s="690" t="s">
        <v>147</v>
      </c>
      <c r="P35" s="690" t="s">
        <v>147</v>
      </c>
      <c r="Q35" s="689"/>
      <c r="R35" s="690" t="s">
        <v>147</v>
      </c>
      <c r="S35" s="690" t="s">
        <v>147</v>
      </c>
      <c r="T35" s="690" t="s">
        <v>147</v>
      </c>
      <c r="U35" s="690" t="s">
        <v>147</v>
      </c>
      <c r="V35" s="689"/>
      <c r="W35" s="690" t="s">
        <v>147</v>
      </c>
      <c r="X35" s="690" t="s">
        <v>147</v>
      </c>
      <c r="Y35" s="690" t="s">
        <v>147</v>
      </c>
      <c r="Z35" s="690" t="s">
        <v>147</v>
      </c>
      <c r="AA35" s="689"/>
      <c r="AB35" s="690" t="s">
        <v>147</v>
      </c>
      <c r="AC35" s="690" t="s">
        <v>147</v>
      </c>
      <c r="AD35" s="690" t="s">
        <v>147</v>
      </c>
      <c r="AE35" s="690" t="s">
        <v>147</v>
      </c>
      <c r="AF35" s="689"/>
      <c r="AG35" s="690" t="s">
        <v>147</v>
      </c>
      <c r="AH35" s="690" t="s">
        <v>147</v>
      </c>
      <c r="AI35" s="690" t="s">
        <v>147</v>
      </c>
      <c r="AJ35" s="690" t="s">
        <v>147</v>
      </c>
      <c r="AK35" s="689"/>
      <c r="AL35" s="690" t="s">
        <v>147</v>
      </c>
      <c r="AM35" s="690" t="s">
        <v>147</v>
      </c>
      <c r="AN35" s="690" t="s">
        <v>147</v>
      </c>
      <c r="AO35" s="690" t="s">
        <v>147</v>
      </c>
      <c r="AP35" s="689"/>
      <c r="AQ35" s="690" t="s">
        <v>147</v>
      </c>
      <c r="AR35" s="690" t="s">
        <v>147</v>
      </c>
      <c r="AS35" s="690" t="s">
        <v>147</v>
      </c>
      <c r="AT35" s="690" t="s">
        <v>147</v>
      </c>
      <c r="AU35" s="689"/>
      <c r="AV35" s="690" t="s">
        <v>147</v>
      </c>
      <c r="AW35" s="690" t="s">
        <v>147</v>
      </c>
      <c r="AX35" s="690" t="s">
        <v>147</v>
      </c>
      <c r="AY35" s="690" t="s">
        <v>147</v>
      </c>
      <c r="AZ35" s="689"/>
      <c r="BA35" s="690" t="s">
        <v>147</v>
      </c>
      <c r="BB35" s="690" t="s">
        <v>147</v>
      </c>
      <c r="BC35" s="690" t="s">
        <v>147</v>
      </c>
      <c r="BD35" s="690" t="s">
        <v>147</v>
      </c>
      <c r="BE35" s="689"/>
      <c r="BF35" s="690" t="s">
        <v>147</v>
      </c>
      <c r="BG35" s="690" t="s">
        <v>147</v>
      </c>
      <c r="BH35" s="690" t="s">
        <v>147</v>
      </c>
      <c r="BI35" s="690" t="s">
        <v>147</v>
      </c>
      <c r="BJ35" s="689"/>
      <c r="BK35" s="690" t="s">
        <v>147</v>
      </c>
      <c r="BL35" s="690" t="s">
        <v>147</v>
      </c>
      <c r="BM35" s="690" t="s">
        <v>147</v>
      </c>
      <c r="BN35" s="690" t="s">
        <v>147</v>
      </c>
      <c r="BO35" s="689"/>
      <c r="BP35" s="690" t="s">
        <v>147</v>
      </c>
      <c r="BQ35" s="690" t="s">
        <v>147</v>
      </c>
      <c r="BR35" s="690" t="s">
        <v>147</v>
      </c>
      <c r="BS35" s="690" t="s">
        <v>147</v>
      </c>
      <c r="BT35" s="689"/>
      <c r="BU35" s="690" t="s">
        <v>147</v>
      </c>
      <c r="BV35" s="690" t="s">
        <v>147</v>
      </c>
      <c r="BW35" s="690" t="s">
        <v>147</v>
      </c>
      <c r="BX35" s="690" t="s">
        <v>147</v>
      </c>
      <c r="BY35" s="689"/>
      <c r="BZ35" s="690">
        <f>INDEX('qtrP&amp;L'!$200:$200,MATCH(BZ$7,'qtrP&amp;L'!$6:$6,0))</f>
        <v>0.42666683813317063</v>
      </c>
      <c r="CA35" s="690">
        <f>INDEX('qtrP&amp;L'!$201:$201,MATCH(BZ$7,'qtrP&amp;L'!$6:$6,0))</f>
        <v>0.28389874739039667</v>
      </c>
      <c r="CB35" s="690">
        <f>INDEX('qtrP&amp;L'!$202:$202,MATCH(BZ$7,'qtrP&amp;L'!$6:$6,0))</f>
        <v>0.52221889568453017</v>
      </c>
      <c r="CC35" s="690">
        <f>INDEX('qtrP&amp;L'!$203:$203,MATCH(BZ$7,'qtrP&amp;L'!$6:$6,0))</f>
        <v>1.1844343423290793</v>
      </c>
      <c r="CD35" s="689"/>
      <c r="CE35" s="690">
        <f>INDEX('qtrP&amp;L'!$200:$200,MATCH(CE$7,'qtrP&amp;L'!$6:$6,0))</f>
        <v>0.66565815537405371</v>
      </c>
      <c r="CF35" s="690">
        <f>INDEX('qtrP&amp;L'!$201:$201,MATCH(CE$7,'qtrP&amp;L'!$6:$6,0))</f>
        <v>0.50496478946384438</v>
      </c>
      <c r="CG35" s="690">
        <f>INDEX('qtrP&amp;L'!$202:$202,MATCH(CE$7,'qtrP&amp;L'!$6:$6,0))</f>
        <v>0.98575584919384185</v>
      </c>
      <c r="CH35" s="690">
        <f>INDEX('qtrP&amp;L'!$203:$203,MATCH(CE$7,'qtrP&amp;L'!$6:$6,0))</f>
        <v>1.7528481535719147</v>
      </c>
      <c r="CI35" s="689"/>
      <c r="CJ35" s="690">
        <f>INDEX('qtrP&amp;L'!$200:$200,MATCH(CJ$7,'qtrP&amp;L'!$6:$6,0))</f>
        <v>0.90916718957491205</v>
      </c>
      <c r="CK35" s="690">
        <f>INDEX('qtrP&amp;L'!$201:$201,MATCH(CJ$7,'qtrP&amp;L'!$6:$6,0))</f>
        <v>0.75495581644130583</v>
      </c>
      <c r="CL35" s="690">
        <f>INDEX('qtrP&amp;L'!$202:$202,MATCH(CJ$7,'qtrP&amp;L'!$6:$6,0))</f>
        <v>1.2619605545791837</v>
      </c>
      <c r="CM35" s="690">
        <f>INDEX('qtrP&amp;L'!$203:$203,MATCH(CJ$7,'qtrP&amp;L'!$6:$6,0))</f>
        <v>2.0239035150679952</v>
      </c>
      <c r="CN35" s="691"/>
      <c r="CO35" s="690">
        <f>INDEX('qtrP&amp;L'!$200:$200,MATCH(CO$7,'qtrP&amp;L'!$6:$6,0))</f>
        <v>0.97143465342947211</v>
      </c>
      <c r="CP35" s="690">
        <f>INDEX('qtrP&amp;L'!$201:$201,MATCH(CO$7,'qtrP&amp;L'!$6:$6,0))</f>
        <v>0.70616951830894992</v>
      </c>
      <c r="CQ35" s="690">
        <f>INDEX('qtrP&amp;L'!$202:$202,MATCH(CO$7,'qtrP&amp;L'!$6:$6,0))</f>
        <v>0.95016917983216498</v>
      </c>
      <c r="CR35" s="690">
        <f>INDEX('qtrP&amp;L'!$203:$203,MATCH(CO$7,'qtrP&amp;L'!$6:$6,0))</f>
        <v>1.8659546110311074</v>
      </c>
      <c r="CS35" s="691"/>
      <c r="CT35" s="690">
        <f>INDEX('qtrP&amp;L'!$200:$200,MATCH(CT$7,'qtrP&amp;L'!$6:$6,0))</f>
        <v>0.44705070714039319</v>
      </c>
      <c r="CU35" s="690">
        <f>INDEX('qtrP&amp;L'!$201:$201,MATCH(CT$7,'qtrP&amp;L'!$6:$6,0))</f>
        <v>0.42912017601361069</v>
      </c>
      <c r="CV35" s="690">
        <f>INDEX('qtrP&amp;L'!$202:$202,MATCH(CT$7,'qtrP&amp;L'!$6:$6,0))</f>
        <v>0.44030677723266359</v>
      </c>
      <c r="CW35" s="690">
        <f>INDEX('qtrP&amp;L'!$203:$203,MATCH(CT$7,'qtrP&amp;L'!$6:$6,0))</f>
        <v>0.83755177174413253</v>
      </c>
      <c r="CX35" s="691"/>
      <c r="CY35" s="690">
        <f>INDEX('qtrP&amp;L'!$200:$200,MATCH(CY$7,'qtrP&amp;L'!$6:$6,0))</f>
        <v>0.32372260105888617</v>
      </c>
      <c r="CZ35" s="690">
        <f>INDEX('qtrP&amp;L'!$201:$201,MATCH(CY$7,'qtrP&amp;L'!$6:$6,0))</f>
        <v>0.19031650983746792</v>
      </c>
      <c r="DA35" s="690">
        <f>INDEX('qtrP&amp;L'!$202:$202,MATCH(CY$7,'qtrP&amp;L'!$6:$6,0))</f>
        <v>0.30655391120507397</v>
      </c>
      <c r="DB35" s="690">
        <f>INDEX('qtrP&amp;L'!$203:$203,MATCH(CY$7,'qtrP&amp;L'!$6:$6,0))</f>
        <v>1.0217117625700025</v>
      </c>
      <c r="DC35" s="691"/>
      <c r="DD35" s="690">
        <f>INDEX('qtrP&amp;L'!$200:$200,MATCH(DD$7,'qtrP&amp;L'!$6:$6,0))</f>
        <v>0.39720117845117847</v>
      </c>
      <c r="DE35" s="690">
        <f>INDEX('qtrP&amp;L'!$201:$201,MATCH(DD$7,'qtrP&amp;L'!$6:$6,0))</f>
        <v>0.23896371118593343</v>
      </c>
      <c r="DF35" s="690">
        <f>INDEX('qtrP&amp;L'!$202:$202,MATCH(DD$7,'qtrP&amp;L'!$6:$6,0))</f>
        <v>0.33968090581574883</v>
      </c>
      <c r="DG35" s="690">
        <f>INDEX('qtrP&amp;L'!$203:$203,MATCH(DD$7,'qtrP&amp;L'!$6:$6,0))</f>
        <v>1.3229676119634277</v>
      </c>
      <c r="DH35" s="691"/>
      <c r="DI35" s="690">
        <f>INDEX('qtrP&amp;L'!$200:$200,MATCH(DI$7,'qtrP&amp;L'!$6:$6,0))</f>
        <v>0.36072507552870092</v>
      </c>
      <c r="DJ35" s="690">
        <f>INDEX('qtrP&amp;L'!$201:$201,MATCH(DI$7,'qtrP&amp;L'!$6:$6,0))</f>
        <v>0.19224053132834995</v>
      </c>
      <c r="DK35" s="690">
        <f>INDEX('qtrP&amp;L'!$202:$202,MATCH(DI$7,'qtrP&amp;L'!$6:$6,0))</f>
        <v>0.17633410672853828</v>
      </c>
      <c r="DL35" s="690">
        <f>INDEX('qtrP&amp;L'!$203:$203,MATCH(DI$7,'qtrP&amp;L'!$6:$6,0))</f>
        <v>0.80145063172671971</v>
      </c>
      <c r="DM35" s="691"/>
      <c r="DN35" s="690">
        <f>INDEX('qtrP&amp;L'!$200:$200,MATCH(DN$7,'qtrP&amp;L'!$6:$6,0))</f>
        <v>-0.25194686211635364</v>
      </c>
      <c r="DO35" s="690">
        <f>INDEX('qtrP&amp;L'!$201:$201,MATCH(DN$7,'qtrP&amp;L'!$6:$6,0))</f>
        <v>-0.36798227980610954</v>
      </c>
      <c r="DP35" s="690">
        <f>INDEX('qtrP&amp;L'!$202:$202,MATCH(DN$7,'qtrP&amp;L'!$6:$6,0))</f>
        <v>-0.92525068368277119</v>
      </c>
      <c r="DQ35" s="690">
        <f>INDEX('qtrP&amp;L'!$203:$203,MATCH(DN$7,'qtrP&amp;L'!$6:$6,0))</f>
        <v>-1.9453302961275627</v>
      </c>
      <c r="DR35" s="691"/>
      <c r="DS35" s="690">
        <f>INDEX('qtrP&amp;L'!$200:$200,MATCH(DS$7,'qtrP&amp;L'!$6:$6,0))</f>
        <v>-1.3142337426102773</v>
      </c>
      <c r="DT35" s="690">
        <f>INDEX('qtrP&amp;L'!$201:$201,MATCH(DS$7,'qtrP&amp;L'!$6:$6,0))</f>
        <v>-1.1751361161524501</v>
      </c>
      <c r="DU35" s="690">
        <f>INDEX('qtrP&amp;L'!$202:$202,MATCH(DS$7,'qtrP&amp;L'!$6:$6,0))</f>
        <v>-1.8149324861000793</v>
      </c>
      <c r="DV35" s="692">
        <f>INDEX('qtrP&amp;L'!$203:$203,MATCH(DS$7,'qtrP&amp;L'!$6:$6,0))</f>
        <v>-0.67563135454247303</v>
      </c>
      <c r="DW35" s="691"/>
      <c r="DX35" s="690">
        <f>INDEX('qtrP&amp;L'!$200:$200,MATCH(DX$7,'qtrP&amp;L'!$6:$6,0))</f>
        <v>-1.1573770491803279</v>
      </c>
      <c r="DY35" s="690">
        <f>INDEX('qtrP&amp;L'!$201:$201,MATCH(DX$7,'qtrP&amp;L'!$6:$6,0))</f>
        <v>-0.74803149606299213</v>
      </c>
      <c r="DZ35" s="690">
        <f>INDEX('qtrP&amp;L'!$202:$202,MATCH(DX$7,'qtrP&amp;L'!$6:$6,0))</f>
        <v>-0.76973468719292493</v>
      </c>
      <c r="EA35" s="692">
        <f>INDEX('qtrP&amp;L'!$203:$203,MATCH(DX$7,'qtrP&amp;L'!$6:$6,0))</f>
        <v>-0.11464133639043564</v>
      </c>
      <c r="EB35" s="691"/>
      <c r="EC35" s="690">
        <f>INDEX('qtrP&amp;L'!$200:$200,MATCH(EC$7,'qtrP&amp;L'!$6:$6,0))</f>
        <v>-0.57060227459662016</v>
      </c>
      <c r="ED35" s="690">
        <f>INDEX('qtrP&amp;L'!$201:$201,MATCH(EC$7,'qtrP&amp;L'!$6:$6,0))</f>
        <v>-0.40953447448408259</v>
      </c>
      <c r="EE35" s="690">
        <f>INDEX('qtrP&amp;L'!$202:$202,MATCH(EC$7,'qtrP&amp;L'!$6:$6,0))</f>
        <v>-0.46598639455782315</v>
      </c>
      <c r="EF35" s="692">
        <f>INDEX('qtrP&amp;L'!$203:$203,MATCH(EC$7,'qtrP&amp;L'!$6:$6,0))</f>
        <v>0.39465756175938943</v>
      </c>
      <c r="EG35" s="691"/>
      <c r="EH35" s="690">
        <f>INDEX('qtrP&amp;L'!$200:$200,MATCH(EH$7,'qtrP&amp;L'!$6:$6,0))</f>
        <v>-0.31575520833333337</v>
      </c>
      <c r="EI35" s="690">
        <f>INDEX('qtrP&amp;L'!$201:$201,MATCH(EH$7,'qtrP&amp;L'!$6:$6,0))</f>
        <v>-5.1948051948051951E-2</v>
      </c>
      <c r="EJ35" s="690">
        <f>INDEX('qtrP&amp;L'!$202:$202,MATCH(EH$7,'qtrP&amp;L'!$6:$6,0))</f>
        <v>-0.21083360363282516</v>
      </c>
      <c r="EK35" s="692">
        <f>INDEX('qtrP&amp;L'!$203:$203,MATCH(EH$7,'qtrP&amp;L'!$6:$6,0))</f>
        <v>0.64372211599745055</v>
      </c>
      <c r="EL35" s="691"/>
      <c r="EM35" s="690">
        <f>INDEX('qtrP&amp;L'!$200:$200,MATCH(EM$7,'qtrP&amp;L'!$6:$6,0))</f>
        <v>6.1369509043927642E-2</v>
      </c>
      <c r="EN35" s="690">
        <f>INDEX('qtrP&amp;L'!$201:$201,MATCH(EM$7,'qtrP&amp;L'!$6:$6,0))</f>
        <v>-9.1698841698840239E-2</v>
      </c>
      <c r="EO35" s="690">
        <f>INDEX('qtrP&amp;L'!$202:$202,MATCH(EM$7,'qtrP&amp;L'!$6:$6,0))</f>
        <v>-0.32676508344030802</v>
      </c>
      <c r="EP35" s="692">
        <f>INDEX('qtrP&amp;L'!$203:$203,MATCH(EM$7,'qtrP&amp;L'!$6:$6,0))</f>
        <v>0.56897647806738716</v>
      </c>
      <c r="EQ35" s="691"/>
      <c r="ER35" s="690">
        <f>INDEX('qtrP&amp;L'!$200:$200,MATCH(ER$7,'qtrP&amp;L'!$6:$6,0))</f>
        <v>-0.17555392244119497</v>
      </c>
      <c r="ES35" s="690">
        <f>INDEX('qtrP&amp;L'!$201:$201,MATCH(ER$7,'qtrP&amp;L'!$6:$6,0))</f>
        <v>0.10002944691672021</v>
      </c>
      <c r="ET35" s="690">
        <f>INDEX('qtrP&amp;L'!$202:$202,MATCH(ER$7,'qtrP&amp;L'!$6:$6,0))</f>
        <v>-0.13773852511125237</v>
      </c>
      <c r="EU35" s="692">
        <f>INDEX('qtrP&amp;L'!$203:$203,MATCH(ER$7,'qtrP&amp;L'!$6:$6,0))</f>
        <v>0.28421130324221189</v>
      </c>
      <c r="EV35" s="1556"/>
      <c r="EW35" s="693" t="s">
        <v>446</v>
      </c>
      <c r="EX35" s="690" t="s">
        <v>446</v>
      </c>
      <c r="EY35" s="690" t="s">
        <v>446</v>
      </c>
      <c r="EZ35" s="690" t="s">
        <v>446</v>
      </c>
      <c r="FA35" s="690" t="s">
        <v>446</v>
      </c>
      <c r="FB35" s="690" t="s">
        <v>446</v>
      </c>
      <c r="FC35" s="690" t="s">
        <v>446</v>
      </c>
      <c r="FD35" s="690" t="s">
        <v>446</v>
      </c>
      <c r="FE35" s="690" t="s">
        <v>446</v>
      </c>
      <c r="FF35" s="690" t="s">
        <v>446</v>
      </c>
      <c r="FG35" s="690" t="s">
        <v>446</v>
      </c>
      <c r="FH35" s="690" t="s">
        <v>446</v>
      </c>
      <c r="FI35" s="690" t="s">
        <v>446</v>
      </c>
      <c r="FJ35" s="690" t="s">
        <v>446</v>
      </c>
      <c r="FK35" s="690" t="s">
        <v>446</v>
      </c>
      <c r="FL35" s="690">
        <f>INDEX('qtrP&amp;L'!$204:$204,MATCH(FL$7,'qtrP&amp;L'!$6:$6,0))</f>
        <v>2.3510164807935192</v>
      </c>
      <c r="FM35" s="693">
        <f>INDEX('qtrP&amp;L'!$204:$204,MATCH(FM$7,'qtrP&amp;L'!$6:$6,0))</f>
        <v>3.8076038722192846</v>
      </c>
      <c r="FN35" s="693">
        <f>INDEX('qtrP&amp;L'!$204:$204,MATCH(FN$7,'qtrP&amp;L'!$6:$6,0))</f>
        <v>4.9185567348506236</v>
      </c>
      <c r="FO35" s="690">
        <f>INDEX('qtrP&amp;L'!$204:$204,MATCH(FO$7,'qtrP&amp;L'!$6:$6,0))</f>
        <v>4.4841811255743043</v>
      </c>
      <c r="FP35" s="690">
        <f>INDEX('qtrP&amp;L'!$204:$204,MATCH(FP$7,'qtrP&amp;L'!$6:$6,0))</f>
        <v>2.1524290311231211</v>
      </c>
      <c r="FQ35" s="693">
        <f>INDEX('qtrP&amp;L'!$204:$204,MATCH(FQ$7,'qtrP&amp;L'!$6:$6,0))</f>
        <v>1.8644467758719636</v>
      </c>
      <c r="FR35" s="693">
        <f>INDEX('qtrP&amp;L'!$204:$204,MATCH(FR$7,'qtrP&amp;L'!$6:$6,0))</f>
        <v>2.2779025868096014</v>
      </c>
      <c r="FS35" s="690">
        <f>INDEX('qtrP&amp;L'!$204:$204,MATCH(FS$7,'qtrP&amp;L'!$6:$6,0))</f>
        <v>1.5535033437273325</v>
      </c>
      <c r="FT35" s="690">
        <f>'yrP&amp;L'!AA72</f>
        <v>-3.4945255474452557</v>
      </c>
      <c r="FU35" s="690">
        <f>'yrP&amp;L'!AB72</f>
        <v>-5.7400722021660648</v>
      </c>
      <c r="FV35" s="690">
        <f>'yrP&amp;L'!AC72</f>
        <v>-2.1648423756491755</v>
      </c>
      <c r="FW35" s="690">
        <f>'yrP&amp;L'!AD72</f>
        <v>-1.0246200552481153</v>
      </c>
      <c r="FX35" s="690">
        <f>'yrP&amp;L'!AE72</f>
        <v>7.6677316293929709E-2</v>
      </c>
      <c r="FY35" s="690">
        <f>'yrP&amp;L'!AF72</f>
        <v>0.21755062680810031</v>
      </c>
      <c r="FZ35" s="690">
        <f>'yrP&amp;L'!AG72</f>
        <v>7.0948302606480801E-2</v>
      </c>
      <c r="GA35" s="690">
        <f>'yrP&amp;L'!AH72</f>
        <v>-4.8318951027511367E-2</v>
      </c>
      <c r="GB35" s="692">
        <f>'yrP&amp;L'!AI72</f>
        <v>-9.8416391440507303E-2</v>
      </c>
      <c r="GC35" s="690">
        <f>'yrP&amp;L'!AJ72</f>
        <v>-0.40218688137474801</v>
      </c>
      <c r="GD35" s="1470">
        <f>'yrP&amp;L'!AK72</f>
        <v>-0.80773761068927785</v>
      </c>
      <c r="GF35"/>
      <c r="GG35"/>
      <c r="GH35"/>
      <c r="GI35"/>
      <c r="GJ35"/>
      <c r="GK35"/>
      <c r="GL35" s="582"/>
      <c r="GM35" s="398"/>
      <c r="GN35" s="582"/>
      <c r="GO35" s="582"/>
      <c r="GP35" s="582"/>
      <c r="GQ35" s="582"/>
      <c r="GR35" s="582"/>
      <c r="GS35" s="582"/>
      <c r="GT35" s="582"/>
      <c r="GU35" s="582"/>
      <c r="GV35" s="582"/>
      <c r="GW35" s="582"/>
      <c r="GX35" s="582"/>
      <c r="GY35" s="582"/>
      <c r="GZ35" s="582"/>
      <c r="HA35" s="582"/>
      <c r="HB35" s="582"/>
      <c r="HC35" s="582"/>
      <c r="HD35" s="582"/>
      <c r="HE35" s="582"/>
      <c r="HF35" s="582"/>
      <c r="HG35" s="582"/>
      <c r="HH35" s="582"/>
      <c r="HI35" s="582"/>
      <c r="HJ35" s="582"/>
      <c r="HK35" s="582"/>
      <c r="HL35" s="582"/>
      <c r="HM35" s="582"/>
      <c r="HN35" s="582"/>
      <c r="HO35" s="582"/>
      <c r="HP35" s="582"/>
      <c r="HQ35" s="582"/>
      <c r="HR35" s="582"/>
      <c r="HS35" s="582"/>
      <c r="HT35" s="582"/>
      <c r="HU35" s="582"/>
      <c r="HV35" s="582"/>
      <c r="HW35" s="582"/>
      <c r="HX35" s="582"/>
      <c r="HY35" s="582"/>
      <c r="HZ35" s="582"/>
      <c r="IA35" s="582"/>
      <c r="IB35" s="582"/>
      <c r="IC35" s="582"/>
      <c r="ID35" s="582"/>
      <c r="IE35" s="582"/>
      <c r="IF35" s="582"/>
      <c r="IG35" s="582"/>
      <c r="IH35" s="582"/>
      <c r="II35" s="582"/>
      <c r="IJ35" s="582"/>
      <c r="IK35" s="582"/>
      <c r="IL35" s="582"/>
      <c r="IM35" s="582"/>
      <c r="IN35" s="582"/>
      <c r="IO35" s="582"/>
      <c r="IP35" s="582"/>
      <c r="IQ35" s="582"/>
      <c r="IR35" s="582"/>
      <c r="IS35" s="582"/>
      <c r="IT35" s="582"/>
      <c r="IU35" s="582"/>
      <c r="IV35" s="582"/>
      <c r="IW35" s="582"/>
      <c r="IX35" s="582"/>
      <c r="IY35" s="582"/>
      <c r="IZ35" s="582"/>
      <c r="JA35" s="582"/>
    </row>
    <row r="36" spans="1:261" hidden="1" outlineLevel="1">
      <c r="A36" s="635" t="s">
        <v>243</v>
      </c>
      <c r="B36" s="584"/>
      <c r="C36" s="636">
        <f>INDEX('qtrP&amp;L'!$210:$210,MATCH(C$7,'qtrP&amp;L'!$6:$6,0))</f>
        <v>0.54</v>
      </c>
      <c r="D36" s="636">
        <f>INDEX('qtrP&amp;L'!$211:$211,MATCH(C$7,'qtrP&amp;L'!$6:$6,0))</f>
        <v>0.36</v>
      </c>
      <c r="E36" s="636">
        <f>INDEX('qtrP&amp;L'!$212:$212,MATCH(C$7,'qtrP&amp;L'!$6:$6,0))</f>
        <v>0.76</v>
      </c>
      <c r="F36" s="636">
        <f>INDEX('qtrP&amp;L'!$213:$213,MATCH(C$7,'qtrP&amp;L'!$6:$6,0))</f>
        <v>1.34</v>
      </c>
      <c r="G36" s="584"/>
      <c r="H36" s="636">
        <f>INDEX('qtrP&amp;L'!$210:$210,MATCH(H$7,'qtrP&amp;L'!$6:$6,0))</f>
        <v>0.56999999999999995</v>
      </c>
      <c r="I36" s="636">
        <f>INDEX('qtrP&amp;L'!$211:$211,MATCH(H$7,'qtrP&amp;L'!$6:$6,0))</f>
        <v>0.31</v>
      </c>
      <c r="J36" s="636">
        <f>INDEX('qtrP&amp;L'!$212:$212,MATCH(H$7,'qtrP&amp;L'!$6:$6,0))</f>
        <v>0.51</v>
      </c>
      <c r="K36" s="636">
        <f>INDEX('qtrP&amp;L'!$213:$213,MATCH(H$7,'qtrP&amp;L'!$6:$6,0))</f>
        <v>0.77</v>
      </c>
      <c r="L36" s="584"/>
      <c r="M36" s="636">
        <f>INDEX('qtrP&amp;L'!$210:$210,MATCH(M$7,'qtrP&amp;L'!$6:$6,0))</f>
        <v>-0.41</v>
      </c>
      <c r="N36" s="636">
        <f>INDEX('qtrP&amp;L'!$211:$211,MATCH(M$7,'qtrP&amp;L'!$6:$6,0))</f>
        <v>0.1</v>
      </c>
      <c r="O36" s="636">
        <f>INDEX('qtrP&amp;L'!$212:$212,MATCH(M$7,'qtrP&amp;L'!$6:$6,0))</f>
        <v>0.46</v>
      </c>
      <c r="P36" s="636">
        <f>INDEX('qtrP&amp;L'!$213:$213,MATCH(M$7,'qtrP&amp;L'!$6:$6,0))</f>
        <v>0.12</v>
      </c>
      <c r="Q36" s="584"/>
      <c r="R36" s="636">
        <f>INDEX('qtrP&amp;L'!$210:$210,MATCH(R$7,'qtrP&amp;L'!$6:$6,0))</f>
        <v>0.52</v>
      </c>
      <c r="S36" s="636">
        <f>INDEX('qtrP&amp;L'!$211:$211,MATCH(R$7,'qtrP&amp;L'!$6:$6,0))</f>
        <v>0.31</v>
      </c>
      <c r="T36" s="636">
        <f>INDEX('qtrP&amp;L'!$212:$212,MATCH(R$7,'qtrP&amp;L'!$6:$6,0))</f>
        <v>0.7</v>
      </c>
      <c r="U36" s="636">
        <f>INDEX('qtrP&amp;L'!$213:$213,MATCH(R$7,'qtrP&amp;L'!$6:$6,0))</f>
        <v>1.42</v>
      </c>
      <c r="V36" s="584"/>
      <c r="W36" s="636">
        <f>INDEX('qtrP&amp;L'!$210:$210,MATCH(W$7,'qtrP&amp;L'!$6:$6,0))</f>
        <v>0.78</v>
      </c>
      <c r="X36" s="636">
        <f>INDEX('qtrP&amp;L'!$211:$211,MATCH(W$7,'qtrP&amp;L'!$6:$6,0))</f>
        <v>0.42</v>
      </c>
      <c r="Y36" s="636">
        <f>INDEX('qtrP&amp;L'!$212:$212,MATCH(W$7,'qtrP&amp;L'!$6:$6,0))</f>
        <v>0.69</v>
      </c>
      <c r="Z36" s="636">
        <f>INDEX('qtrP&amp;L'!$213:$213,MATCH(W$7,'qtrP&amp;L'!$6:$6,0))</f>
        <v>1.64</v>
      </c>
      <c r="AA36" s="584"/>
      <c r="AB36" s="636">
        <f>INDEX('qtrP&amp;L'!$210:$210,MATCH(AB$7,'qtrP&amp;L'!$6:$6,0))</f>
        <v>0.84</v>
      </c>
      <c r="AC36" s="636">
        <f>INDEX('qtrP&amp;L'!$211:$211,MATCH(AB$7,'qtrP&amp;L'!$6:$6,0))</f>
        <v>0.51</v>
      </c>
      <c r="AD36" s="636">
        <f>INDEX('qtrP&amp;L'!$212:$212,MATCH(AB$7,'qtrP&amp;L'!$6:$6,0))</f>
        <v>1.04</v>
      </c>
      <c r="AE36" s="636">
        <f>INDEX('qtrP&amp;L'!$213:$213,MATCH(AB$7,'qtrP&amp;L'!$6:$6,0))</f>
        <v>1.66</v>
      </c>
      <c r="AF36" s="584"/>
      <c r="AG36" s="636">
        <f>INDEX('qtrP&amp;L'!$210:$210,MATCH(AG$7,'qtrP&amp;L'!$6:$6,0))</f>
        <v>0.61</v>
      </c>
      <c r="AH36" s="636">
        <f>INDEX('qtrP&amp;L'!$211:$211,MATCH(AG$7,'qtrP&amp;L'!$6:$6,0))</f>
        <v>0.46</v>
      </c>
      <c r="AI36" s="636">
        <f>INDEX('qtrP&amp;L'!$212:$212,MATCH(AG$7,'qtrP&amp;L'!$6:$6,0))</f>
        <v>0.95</v>
      </c>
      <c r="AJ36" s="636">
        <f>INDEX('qtrP&amp;L'!$213:$213,MATCH(AG$7,'qtrP&amp;L'!$6:$6,0))</f>
        <v>1.31</v>
      </c>
      <c r="AK36" s="584"/>
      <c r="AL36" s="636">
        <f>INDEX('qtrP&amp;L'!$210:$210,MATCH(AL$7,'qtrP&amp;L'!$6:$6,0))</f>
        <v>0.56999999999999995</v>
      </c>
      <c r="AM36" s="636">
        <f>INDEX('qtrP&amp;L'!$211:$211,MATCH(AL$7,'qtrP&amp;L'!$6:$6,0))</f>
        <v>0.37</v>
      </c>
      <c r="AN36" s="636">
        <f>INDEX('qtrP&amp;L'!$212:$212,MATCH(AL$7,'qtrP&amp;L'!$6:$6,0))</f>
        <v>0.94855305466237938</v>
      </c>
      <c r="AO36" s="636">
        <f>INDEX('qtrP&amp;L'!$213:$213,MATCH(AL$7,'qtrP&amp;L'!$6:$6,0))</f>
        <v>0.37465125548027101</v>
      </c>
      <c r="AP36" s="584"/>
      <c r="AQ36" s="636">
        <f>INDEX('qtrP&amp;L'!$210:$210,MATCH(AQ$7,'qtrP&amp;L'!$6:$6,0))</f>
        <v>0.53</v>
      </c>
      <c r="AR36" s="636">
        <f>INDEX('qtrP&amp;L'!$211:$211,MATCH(AQ$7,'qtrP&amp;L'!$6:$6,0))</f>
        <v>0.33</v>
      </c>
      <c r="AS36" s="636">
        <f>INDEX('qtrP&amp;L'!$212:$212,MATCH(AQ$7,'qtrP&amp;L'!$6:$6,0))</f>
        <v>0.49</v>
      </c>
      <c r="AT36" s="636">
        <f>INDEX('qtrP&amp;L'!$213:$213,MATCH(AQ$7,'qtrP&amp;L'!$6:$6,0))</f>
        <v>0.74</v>
      </c>
      <c r="AU36" s="584"/>
      <c r="AV36" s="636">
        <f>INDEX('qtrP&amp;L'!$210:$210,MATCH(AV$7,'qtrP&amp;L'!$6:$6,0))</f>
        <v>0.64</v>
      </c>
      <c r="AW36" s="636">
        <f>INDEX('qtrP&amp;L'!$211:$211,MATCH(AV$7,'qtrP&amp;L'!$6:$6,0))</f>
        <v>0.1</v>
      </c>
      <c r="AX36" s="636">
        <f>INDEX('qtrP&amp;L'!$212:$212,MATCH(AV$7,'qtrP&amp;L'!$6:$6,0))</f>
        <v>0.68</v>
      </c>
      <c r="AY36" s="636">
        <f>INDEX('qtrP&amp;L'!$213:$213,MATCH(AV$7,'qtrP&amp;L'!$6:$6,0))</f>
        <v>0.77</v>
      </c>
      <c r="AZ36" s="584"/>
      <c r="BA36" s="636">
        <f>INDEX('qtrP&amp;L'!$210:$210,MATCH(BA$7,'qtrP&amp;L'!$6:$6,0))</f>
        <v>0.48</v>
      </c>
      <c r="BB36" s="636">
        <f>INDEX('qtrP&amp;L'!$211:$211,MATCH(BA$7,'qtrP&amp;L'!$6:$6,0))</f>
        <v>-0.03</v>
      </c>
      <c r="BC36" s="636">
        <f>INDEX('qtrP&amp;L'!$212:$212,MATCH(BA$7,'qtrP&amp;L'!$6:$6,0))</f>
        <v>0.34</v>
      </c>
      <c r="BD36" s="636">
        <f>INDEX('qtrP&amp;L'!$213:$213,MATCH(BA$7,'qtrP&amp;L'!$6:$6,0))</f>
        <v>-0.23</v>
      </c>
      <c r="BE36" s="584"/>
      <c r="BF36" s="636">
        <f>INDEX('qtrP&amp;L'!$210:$210,MATCH(BF$7,'qtrP&amp;L'!$6:$6,0))</f>
        <v>-0.6</v>
      </c>
      <c r="BG36" s="636">
        <f>INDEX('qtrP&amp;L'!$211:$211,MATCH(BF$7,'qtrP&amp;L'!$6:$6,0))</f>
        <v>-0.09</v>
      </c>
      <c r="BH36" s="636">
        <f>INDEX('qtrP&amp;L'!$212:$212,MATCH(BF$7,'qtrP&amp;L'!$6:$6,0))</f>
        <v>-0.23</v>
      </c>
      <c r="BI36" s="636">
        <f>INDEX('qtrP&amp;L'!$213:$213,MATCH(BF$7,'qtrP&amp;L'!$6:$6,0))</f>
        <v>-1.26</v>
      </c>
      <c r="BJ36" s="584"/>
      <c r="BK36" s="636">
        <f>INDEX('qtrP&amp;L'!$210:$210,MATCH(BK$7,'qtrP&amp;L'!$6:$6,0))</f>
        <v>0.18</v>
      </c>
      <c r="BL36" s="636">
        <f>INDEX('qtrP&amp;L'!$211:$211,MATCH(BK$7,'qtrP&amp;L'!$6:$6,0))</f>
        <v>-0.14000000000000001</v>
      </c>
      <c r="BM36" s="636">
        <f>INDEX('qtrP&amp;L'!$212:$212,MATCH(BK$7,'qtrP&amp;L'!$6:$6,0))</f>
        <v>0.18</v>
      </c>
      <c r="BN36" s="636">
        <f>INDEX('qtrP&amp;L'!$213:$213,MATCH(BK$7,'qtrP&amp;L'!$6:$6,0))</f>
        <v>0.34</v>
      </c>
      <c r="BO36" s="584"/>
      <c r="BP36" s="636">
        <f>INDEX('qtrP&amp;L'!$210:$210,MATCH(BP$7,'qtrP&amp;L'!$6:$6,0))</f>
        <v>0.2</v>
      </c>
      <c r="BQ36" s="636">
        <f>INDEX('qtrP&amp;L'!$211:$211,MATCH(BP$7,'qtrP&amp;L'!$6:$6,0))</f>
        <v>-0.1</v>
      </c>
      <c r="BR36" s="636">
        <f>INDEX('qtrP&amp;L'!$212:$212,MATCH(BP$7,'qtrP&amp;L'!$6:$6,0))</f>
        <v>0.23</v>
      </c>
      <c r="BS36" s="636">
        <f>INDEX('qtrP&amp;L'!$213:$213,MATCH(BP$7,'qtrP&amp;L'!$6:$6,0))</f>
        <v>0.57999999999999996</v>
      </c>
      <c r="BT36" s="584"/>
      <c r="BU36" s="636">
        <f>INDEX('qtrP&amp;L'!$210:$210,MATCH(BU$7,'qtrP&amp;L'!$6:$6,0))</f>
        <v>0.06</v>
      </c>
      <c r="BV36" s="636">
        <f>INDEX('qtrP&amp;L'!$211:$211,MATCH(BU$7,'qtrP&amp;L'!$6:$6,0))</f>
        <v>-0.04</v>
      </c>
      <c r="BW36" s="636">
        <f>INDEX('qtrP&amp;L'!$212:$212,MATCH(BU$7,'qtrP&amp;L'!$6:$6,0))</f>
        <v>0.32</v>
      </c>
      <c r="BX36" s="636">
        <f>INDEX('qtrP&amp;L'!$213:$213,MATCH(BU$7,'qtrP&amp;L'!$6:$6,0))</f>
        <v>-3.33</v>
      </c>
      <c r="BY36" s="584"/>
      <c r="BZ36" s="636">
        <f>INDEX('qtrP&amp;L'!$210:$210,MATCH(BZ$7,'qtrP&amp;L'!$6:$6,0))</f>
        <v>0.13</v>
      </c>
      <c r="CA36" s="636">
        <f>INDEX('qtrP&amp;L'!$211:$211,MATCH(BZ$7,'qtrP&amp;L'!$6:$6,0))</f>
        <v>-0.01</v>
      </c>
      <c r="CB36" s="636">
        <f>INDEX('qtrP&amp;L'!$212:$212,MATCH(BZ$7,'qtrP&amp;L'!$6:$6,0))</f>
        <v>0.5</v>
      </c>
      <c r="CC36" s="636">
        <f>INDEX('qtrP&amp;L'!$213:$213,MATCH(BZ$7,'qtrP&amp;L'!$6:$6,0))</f>
        <v>1.17</v>
      </c>
      <c r="CD36" s="584"/>
      <c r="CE36" s="636">
        <f>INDEX('qtrP&amp;L'!$210:$210,MATCH(CE$7,'qtrP&amp;L'!$6:$6,0))</f>
        <v>0.62905326567714981</v>
      </c>
      <c r="CF36" s="636">
        <f>INDEX('qtrP&amp;L'!$211:$211,MATCH(CE$7,'qtrP&amp;L'!$6:$6,0))</f>
        <v>0.49678638941398867</v>
      </c>
      <c r="CG36" s="636">
        <f>INDEX('qtrP&amp;L'!$212:$212,MATCH(CE$7,'qtrP&amp;L'!$6:$6,0))</f>
        <v>0.94127111826226872</v>
      </c>
      <c r="CH36" s="636">
        <f>INDEX('qtrP&amp;L'!$213:$213,MATCH(CE$7,'qtrP&amp;L'!$6:$6,0))</f>
        <v>2.3460366113239668</v>
      </c>
      <c r="CI36" s="584"/>
      <c r="CJ36" s="636">
        <f>INDEX('qtrP&amp;L'!$210:$210,MATCH(CJ$7,'qtrP&amp;L'!$6:$6,0))</f>
        <v>0.88611058414931343</v>
      </c>
      <c r="CK36" s="636">
        <f>INDEX('qtrP&amp;L'!$211:$211,MATCH(CJ$7,'qtrP&amp;L'!$6:$6,0))</f>
        <v>0.75615972812234489</v>
      </c>
      <c r="CL36" s="636">
        <f>INDEX('qtrP&amp;L'!$212:$212,MATCH(CJ$7,'qtrP&amp;L'!$6:$6,0))</f>
        <v>1.2609841827768014</v>
      </c>
      <c r="CM36" s="636">
        <f>INDEX('qtrP&amp;L'!$213:$213,MATCH(CJ$7,'qtrP&amp;L'!$6:$6,0))</f>
        <v>2.1059544658493872</v>
      </c>
      <c r="CN36" s="637"/>
      <c r="CO36" s="636">
        <f>INDEX('qtrP&amp;L'!$210:$210,MATCH(CO$7,'qtrP&amp;L'!$6:$6,0))</f>
        <v>1.0358391608391608</v>
      </c>
      <c r="CP36" s="636">
        <f>INDEX('qtrP&amp;L'!$211:$211,MATCH(CO$7,'qtrP&amp;L'!$6:$6,0))</f>
        <v>0.80368397691966331</v>
      </c>
      <c r="CQ36" s="636">
        <f>INDEX('qtrP&amp;L'!$212:$212,MATCH(CO$7,'qtrP&amp;L'!$6:$6,0))</f>
        <v>1.16227089852481</v>
      </c>
      <c r="CR36" s="636">
        <f>INDEX('qtrP&amp;L'!$213:$213,MATCH(CO$7,'qtrP&amp;L'!$6:$6,0))</f>
        <v>1.9291161956034095</v>
      </c>
      <c r="CS36" s="637"/>
      <c r="CT36" s="636">
        <f>INDEX('qtrP&amp;L'!$210:$210,MATCH(CT$7,'qtrP&amp;L'!$6:$6,0))</f>
        <v>0.53811659192825112</v>
      </c>
      <c r="CU36" s="636">
        <f>INDEX('qtrP&amp;L'!$211:$211,MATCH(CT$7,'qtrP&amp;L'!$6:$6,0))</f>
        <v>0.52493049327354391</v>
      </c>
      <c r="CV36" s="636">
        <f>INDEX('qtrP&amp;L'!$212:$212,MATCH(CT$7,'qtrP&amp;L'!$6:$6,0))</f>
        <v>0.5518007207050728</v>
      </c>
      <c r="CW36" s="636">
        <f>INDEX('qtrP&amp;L'!$213:$213,MATCH(CT$7,'qtrP&amp;L'!$6:$6,0))</f>
        <v>0.94788858939802334</v>
      </c>
      <c r="CX36" s="637"/>
      <c r="CY36" s="636">
        <f>INDEX('qtrP&amp;L'!$210:$210,MATCH(CY$7,'qtrP&amp;L'!$6:$6,0))</f>
        <v>0.1122586439155815</v>
      </c>
      <c r="CZ36" s="636">
        <f>INDEX('qtrP&amp;L'!$211:$211,MATCH(CY$7,'qtrP&amp;L'!$6:$6,0))</f>
        <v>-2.6432848588537209E-3</v>
      </c>
      <c r="DA36" s="636">
        <f>INDEX('qtrP&amp;L'!$212:$212,MATCH(CY$7,'qtrP&amp;L'!$6:$6,0))</f>
        <v>0.11363636363636363</v>
      </c>
      <c r="DB36" s="636">
        <f>INDEX('qtrP&amp;L'!$213:$213,MATCH(CY$7,'qtrP&amp;L'!$6:$6,0))</f>
        <v>0.84365781710914445</v>
      </c>
      <c r="DC36" s="637"/>
      <c r="DD36" s="636">
        <f>INDEX('qtrP&amp;L'!$210:$210,MATCH(DD$7,'qtrP&amp;L'!$6:$6,0))</f>
        <v>0.25252525252525254</v>
      </c>
      <c r="DE36" s="636">
        <f>INDEX('qtrP&amp;L'!$211:$211,MATCH(DD$7,'qtrP&amp;L'!$6:$6,0))</f>
        <v>5.8922558922558925E-2</v>
      </c>
      <c r="DF36" s="636">
        <f>INDEX('qtrP&amp;L'!$212:$212,MATCH(DD$7,'qtrP&amp;L'!$6:$6,0))</f>
        <v>0.18502943650126155</v>
      </c>
      <c r="DG36" s="636">
        <f>INDEX('qtrP&amp;L'!$213:$213,MATCH(DD$7,'qtrP&amp;L'!$6:$6,0))</f>
        <v>1.1338912133891212</v>
      </c>
      <c r="DH36" s="637"/>
      <c r="DI36" s="636">
        <f>INDEX('qtrP&amp;L'!$210:$210,MATCH(DI$7,'qtrP&amp;L'!$6:$6,0))</f>
        <v>0.2762192490289167</v>
      </c>
      <c r="DJ36" s="636">
        <f>INDEX('qtrP&amp;L'!$211:$211,MATCH(DI$7,'qtrP&amp;L'!$6:$6,0))</f>
        <v>6.621186743560839E-2</v>
      </c>
      <c r="DK36" s="636">
        <f>INDEX('qtrP&amp;L'!$212:$212,MATCH(DI$7,'qtrP&amp;L'!$6:$6,0))</f>
        <v>-0.67041725269573371</v>
      </c>
      <c r="DL36" s="636">
        <f>INDEX('qtrP&amp;L'!$213:$213,MATCH(DI$7,'qtrP&amp;L'!$6:$6,0))</f>
        <v>-0.40787623066104078</v>
      </c>
      <c r="DM36" s="637"/>
      <c r="DN36" s="636">
        <f>INDEX('qtrP&amp;L'!$210:$210,MATCH(DN$7,'qtrP&amp;L'!$6:$6,0))</f>
        <v>-0.74667888227210255</v>
      </c>
      <c r="DO36" s="636">
        <f>INDEX('qtrP&amp;L'!$211:$211,MATCH(DN$7,'qtrP&amp;L'!$6:$6,0))</f>
        <v>-0.67184643510054842</v>
      </c>
      <c r="DP36" s="636">
        <f>INDEX('qtrP&amp;L'!$212:$212,MATCH(DN$7,'qtrP&amp;L'!$6:$6,0))</f>
        <v>-0.56061987237921607</v>
      </c>
      <c r="DQ36" s="636">
        <f>INDEX('qtrP&amp;L'!$213:$213,MATCH(DN$7,'qtrP&amp;L'!$6:$6,0))</f>
        <v>-2.5148063781321186</v>
      </c>
      <c r="DR36" s="637"/>
      <c r="DS36" s="636">
        <f>INDEX('qtrP&amp;L'!$210:$210,MATCH(DS$7,'qtrP&amp;L'!$6:$6,0))</f>
        <v>-1.5825375170532059</v>
      </c>
      <c r="DT36" s="636">
        <f>INDEX('qtrP&amp;L'!$211:$211,MATCH(DS$7,'qtrP&amp;L'!$6:$6,0))</f>
        <v>-2.6588021778584392</v>
      </c>
      <c r="DU36" s="636">
        <f>INDEX('qtrP&amp;L'!$212:$212,MATCH(DS$7,'qtrP&amp;L'!$6:$6,0))</f>
        <v>-1.9420174741858618</v>
      </c>
      <c r="DV36" s="638">
        <f>INDEX('qtrP&amp;L'!$213:$213,MATCH(DS$7,'qtrP&amp;L'!$6:$6,0))</f>
        <v>0.11479173499508036</v>
      </c>
      <c r="DW36" s="637"/>
      <c r="DX36" s="636">
        <f>INDEX('qtrP&amp;L'!$210:$210,MATCH(DX$7,'qtrP&amp;L'!$6:$6,0))</f>
        <v>-1.1540983606557378</v>
      </c>
      <c r="DY36" s="636">
        <f>INDEX('qtrP&amp;L'!$211:$211,MATCH(DX$7,'qtrP&amp;L'!$6:$6,0))</f>
        <v>-0.56430446194225725</v>
      </c>
      <c r="DZ36" s="636">
        <f>INDEX('qtrP&amp;L'!$212:$212,MATCH(DX$7,'qtrP&amp;L'!$6:$6,0))</f>
        <v>-0.61578774975433992</v>
      </c>
      <c r="EA36" s="638">
        <f>INDEX('qtrP&amp;L'!$213:$213,MATCH(DX$7,'qtrP&amp;L'!$6:$6,0))</f>
        <v>-0.19325253848673435</v>
      </c>
      <c r="EB36" s="637"/>
      <c r="EC36" s="636">
        <f>INDEX('qtrP&amp;L'!$210:$210,MATCH(EC$7,'qtrP&amp;L'!$6:$6,0))</f>
        <v>-0.46072013093289688</v>
      </c>
      <c r="ED36" s="636">
        <f>INDEX('qtrP&amp;L'!$211:$211,MATCH(EC$7,'qtrP&amp;L'!$6:$6,0))</f>
        <v>-0.45112781954887221</v>
      </c>
      <c r="EE36" s="636">
        <f>INDEX('qtrP&amp;L'!$212:$212,MATCH(EC$7,'qtrP&amp;L'!$6:$6,0))</f>
        <v>-0.44771241830065361</v>
      </c>
      <c r="EF36" s="638">
        <f>INDEX('qtrP&amp;L'!$213:$213,MATCH(EC$7,'qtrP&amp;L'!$6:$6,0))</f>
        <v>-0.42754569190600528</v>
      </c>
      <c r="EG36" s="637"/>
      <c r="EH36" s="636">
        <f>INDEX('qtrP&amp;L'!$210:$210,MATCH(EH$7,'qtrP&amp;L'!$6:$6,0))</f>
        <v>-0.31575520833333337</v>
      </c>
      <c r="EI36" s="636">
        <f>INDEX('qtrP&amp;L'!$211:$211,MATCH(EH$7,'qtrP&amp;L'!$6:$6,0))</f>
        <v>-5.1948051948051951E-2</v>
      </c>
      <c r="EJ36" s="636">
        <f>INDEX('qtrP&amp;L'!$212:$212,MATCH(EH$7,'qtrP&amp;L'!$6:$6,0))</f>
        <v>-0.21083360363282516</v>
      </c>
      <c r="EK36" s="638">
        <f>INDEX('qtrP&amp;L'!$213:$213,MATCH(EH$7,'qtrP&amp;L'!$6:$6,0))</f>
        <v>0.6118546845124283</v>
      </c>
      <c r="EL36" s="637"/>
      <c r="EM36" s="636">
        <f>INDEX('qtrP&amp;L'!$210:$210,MATCH(EM$7,'qtrP&amp;L'!$6:$6,0))</f>
        <v>-0.58139534883720922</v>
      </c>
      <c r="EN36" s="636">
        <f>INDEX('qtrP&amp;L'!$211:$211,MATCH(EM$7,'qtrP&amp;L'!$6:$6,0))</f>
        <v>-0.20109395109394962</v>
      </c>
      <c r="EO36" s="636">
        <f>INDEX('qtrP&amp;L'!$212:$212,MATCH(EM$7,'qtrP&amp;L'!$6:$6,0))</f>
        <v>-0.41020539152759944</v>
      </c>
      <c r="EP36" s="638">
        <f>INDEX('qtrP&amp;L'!$213:$213,MATCH(EM$7,'qtrP&amp;L'!$6:$6,0))</f>
        <v>0.80737444373808009</v>
      </c>
      <c r="EQ36" s="637"/>
      <c r="ER36" s="1471">
        <f>INDEX('qtrP&amp;L'!$210:$210,MATCH(ER$7,'qtrP&amp;L'!$6:$6,0))</f>
        <v>-0.17555392244119497</v>
      </c>
      <c r="ES36" s="1471">
        <f>INDEX('qtrP&amp;L'!$211:$211,MATCH(ER$7,'qtrP&amp;L'!$6:$6,0))</f>
        <v>0.10002944691672021</v>
      </c>
      <c r="ET36" s="1471">
        <f>INDEX('qtrP&amp;L'!$212:$212,MATCH(ER$7,'qtrP&amp;L'!$6:$6,0))</f>
        <v>-0.13773852511125237</v>
      </c>
      <c r="EU36" s="1472">
        <f>INDEX('qtrP&amp;L'!$213:$213,MATCH(ER$7,'qtrP&amp;L'!$6:$6,0))</f>
        <v>0.28421130324221189</v>
      </c>
      <c r="EV36" s="507"/>
      <c r="EW36" s="639">
        <f>INDEX('qtrP&amp;L'!$214:$214,MATCH(EW$7,'qtrP&amp;L'!$6:$6,0))</f>
        <v>2.9281974569932689</v>
      </c>
      <c r="EX36" s="636">
        <f>INDEX('qtrP&amp;L'!$214:$214,MATCH(EX$7,'qtrP&amp;L'!$6:$6,0))</f>
        <v>2.16</v>
      </c>
      <c r="EY36" s="636">
        <f>INDEX('qtrP&amp;L'!$214:$214,MATCH(EY$7,'qtrP&amp;L'!$6:$6,0))</f>
        <v>0.27</v>
      </c>
      <c r="EZ36" s="636">
        <f>INDEX('qtrP&amp;L'!$214:$214,MATCH(EZ$7,'qtrP&amp;L'!$6:$6,0))</f>
        <v>2.95</v>
      </c>
      <c r="FA36" s="636">
        <f>INDEX('qtrP&amp;L'!$214:$214,MATCH(FA$7,'qtrP&amp;L'!$6:$6,0))</f>
        <v>3.54</v>
      </c>
      <c r="FB36" s="636">
        <f>INDEX('qtrP&amp;L'!$214:$214,MATCH(FB$7,'qtrP&amp;L'!$6:$6,0))</f>
        <v>4.05</v>
      </c>
      <c r="FC36" s="636">
        <f>INDEX('qtrP&amp;L'!$214:$214,MATCH(FC$7,'qtrP&amp;L'!$6:$6,0))</f>
        <v>3.33</v>
      </c>
      <c r="FD36" s="636">
        <f>INDEX('qtrP&amp;L'!$214:$214,MATCH(FD$7,'qtrP&amp;L'!$6:$6,0))</f>
        <v>2.25</v>
      </c>
      <c r="FE36" s="636">
        <f>INDEX('qtrP&amp;L'!$214:$214,MATCH(FE$7,'qtrP&amp;L'!$6:$6,0))</f>
        <v>2.08</v>
      </c>
      <c r="FF36" s="636">
        <f>INDEX('qtrP&amp;L'!$214:$214,MATCH(FF$7,'qtrP&amp;L'!$6:$6,0))</f>
        <v>2.19</v>
      </c>
      <c r="FG36" s="636">
        <f>INDEX('qtrP&amp;L'!$214:$214,MATCH(FG$7,'qtrP&amp;L'!$6:$6,0))</f>
        <v>0.56000000000000005</v>
      </c>
      <c r="FH36" s="636">
        <f>INDEX('qtrP&amp;L'!$214:$214,MATCH(FH$7,'qtrP&amp;L'!$6:$6,0))</f>
        <v>-2.23</v>
      </c>
      <c r="FI36" s="636">
        <f>INDEX('qtrP&amp;L'!$214:$214,MATCH(FI$7,'qtrP&amp;L'!$6:$6,0))</f>
        <v>0.57999999999999996</v>
      </c>
      <c r="FJ36" s="636">
        <f>INDEX('qtrP&amp;L'!$214:$214,MATCH(FJ$7,'qtrP&amp;L'!$6:$6,0))</f>
        <v>0.94</v>
      </c>
      <c r="FK36" s="636">
        <f>INDEX('qtrP&amp;L'!$214:$214,MATCH(FK$7,'qtrP&amp;L'!$6:$6,0))</f>
        <v>-2.94</v>
      </c>
      <c r="FL36" s="636">
        <f>INDEX('qtrP&amp;L'!$214:$214,MATCH(FL$7,'qtrP&amp;L'!$6:$6,0))</f>
        <v>1.65</v>
      </c>
      <c r="FM36" s="639">
        <f>INDEX('qtrP&amp;L'!$214:$214,MATCH(FM$7,'qtrP&amp;L'!$6:$6,0))</f>
        <v>4.2632912873748543</v>
      </c>
      <c r="FN36" s="639">
        <f>INDEX('qtrP&amp;L'!$214:$214,MATCH(FN$7,'qtrP&amp;L'!$6:$6,0))</f>
        <v>4.9758308830081086</v>
      </c>
      <c r="FO36" s="636">
        <f>INDEX('qtrP&amp;L'!$214:$214,MATCH(FO$7,'qtrP&amp;L'!$6:$6,0))</f>
        <v>4.9209281669812377</v>
      </c>
      <c r="FP36" s="636">
        <f>INDEX('qtrP&amp;L'!$214:$214,MATCH(FP$7,'qtrP&amp;L'!$6:$6,0))</f>
        <v>2.5622249271796345</v>
      </c>
      <c r="FQ36" s="639">
        <f>INDEX('qtrP&amp;L'!$214:$214,MATCH(FQ$7,'qtrP&amp;L'!$6:$6,0))</f>
        <v>1.0804466394674683</v>
      </c>
      <c r="FR36" s="639">
        <f>INDEX('qtrP&amp;L'!$214:$214,MATCH(FR$7,'qtrP&amp;L'!$6:$6,0))</f>
        <v>1.634453781512605</v>
      </c>
      <c r="FS36" s="636">
        <f>INDEX('qtrP&amp;L'!$214:$214,MATCH(FS$7,'qtrP&amp;L'!$6:$6,0))</f>
        <v>-0.69769260843458092</v>
      </c>
      <c r="FT36" s="636">
        <f>'yrP&amp;L'!AA69</f>
        <v>-4.4936131386861318</v>
      </c>
      <c r="FU36" s="636">
        <f>'yrP&amp;L'!AB69</f>
        <v>-5.5675892498997186</v>
      </c>
      <c r="FV36" s="636">
        <f>'yrP&amp;L'!AC69</f>
        <v>-2.5262123197903015</v>
      </c>
      <c r="FW36" s="636">
        <f>'yrP&amp;L'!AD69</f>
        <v>-1.7873488067996079</v>
      </c>
      <c r="FX36" s="636">
        <f>'yrP&amp;L'!AE69</f>
        <v>3.1948881789137379E-3</v>
      </c>
      <c r="FY36" s="636">
        <f>'yrP&amp;L'!AF69</f>
        <v>-0.37389906782385079</v>
      </c>
      <c r="FZ36" s="636">
        <f>'yrP&amp;L'!AG69</f>
        <v>7.0948302606480801E-2</v>
      </c>
      <c r="GA36" s="636">
        <f>'yrP&amp;L'!AH69</f>
        <v>-4.8318951027511367E-2</v>
      </c>
      <c r="GB36" s="638">
        <f>'yrP&amp;L'!AI69</f>
        <v>-9.8416391440507303E-2</v>
      </c>
      <c r="GC36" s="636">
        <f>'yrP&amp;L'!AJ69</f>
        <v>-0.40218688137474801</v>
      </c>
      <c r="GD36" s="1472">
        <f>'yrP&amp;L'!AL69</f>
        <v>0</v>
      </c>
    </row>
    <row r="37" spans="1:261" hidden="1" outlineLevel="1">
      <c r="A37" s="640" t="s">
        <v>460</v>
      </c>
      <c r="B37" s="507"/>
      <c r="C37" s="641">
        <f>C34</f>
        <v>0.54</v>
      </c>
      <c r="D37" s="641">
        <f t="shared" ref="D37:BO37" si="28">D34</f>
        <v>0.36</v>
      </c>
      <c r="E37" s="641">
        <f t="shared" si="28"/>
        <v>0.76</v>
      </c>
      <c r="F37" s="641">
        <f t="shared" si="28"/>
        <v>1.34</v>
      </c>
      <c r="G37" s="641">
        <f t="shared" si="28"/>
        <v>0</v>
      </c>
      <c r="H37" s="641">
        <f t="shared" si="28"/>
        <v>0.56999999999999995</v>
      </c>
      <c r="I37" s="641">
        <f t="shared" si="28"/>
        <v>0.31</v>
      </c>
      <c r="J37" s="641">
        <f t="shared" si="28"/>
        <v>0.51</v>
      </c>
      <c r="K37" s="641">
        <f t="shared" si="28"/>
        <v>0.77</v>
      </c>
      <c r="L37" s="641">
        <f t="shared" si="28"/>
        <v>0</v>
      </c>
      <c r="M37" s="641">
        <f t="shared" si="28"/>
        <v>0.31</v>
      </c>
      <c r="N37" s="641">
        <f t="shared" si="28"/>
        <v>0.1</v>
      </c>
      <c r="O37" s="641">
        <f t="shared" si="28"/>
        <v>0.46</v>
      </c>
      <c r="P37" s="641">
        <f t="shared" si="28"/>
        <v>1.1499999999999999</v>
      </c>
      <c r="Q37" s="641">
        <f t="shared" si="28"/>
        <v>0</v>
      </c>
      <c r="R37" s="641">
        <f t="shared" si="28"/>
        <v>0.52</v>
      </c>
      <c r="S37" s="641">
        <f t="shared" si="28"/>
        <v>0.31</v>
      </c>
      <c r="T37" s="641">
        <f t="shared" si="28"/>
        <v>0.7</v>
      </c>
      <c r="U37" s="641">
        <f t="shared" si="28"/>
        <v>1.42</v>
      </c>
      <c r="V37" s="641">
        <f t="shared" si="28"/>
        <v>0</v>
      </c>
      <c r="W37" s="641">
        <f t="shared" si="28"/>
        <v>0.65</v>
      </c>
      <c r="X37" s="641">
        <f t="shared" si="28"/>
        <v>0.42</v>
      </c>
      <c r="Y37" s="641">
        <f t="shared" si="28"/>
        <v>0.88</v>
      </c>
      <c r="Z37" s="641">
        <f t="shared" si="28"/>
        <v>1.65</v>
      </c>
      <c r="AA37" s="641">
        <f t="shared" si="28"/>
        <v>0</v>
      </c>
      <c r="AB37" s="641">
        <f t="shared" si="28"/>
        <v>0.84</v>
      </c>
      <c r="AC37" s="641">
        <f t="shared" si="28"/>
        <v>0.51</v>
      </c>
      <c r="AD37" s="641">
        <f t="shared" si="28"/>
        <v>1.04</v>
      </c>
      <c r="AE37" s="641">
        <f t="shared" si="28"/>
        <v>1.66</v>
      </c>
      <c r="AF37" s="641">
        <f t="shared" si="28"/>
        <v>0</v>
      </c>
      <c r="AG37" s="641">
        <f t="shared" si="28"/>
        <v>0.61</v>
      </c>
      <c r="AH37" s="641">
        <f t="shared" si="28"/>
        <v>0.46</v>
      </c>
      <c r="AI37" s="641">
        <f t="shared" si="28"/>
        <v>0.95</v>
      </c>
      <c r="AJ37" s="641">
        <f t="shared" si="28"/>
        <v>1.31</v>
      </c>
      <c r="AK37" s="641">
        <f t="shared" si="28"/>
        <v>0</v>
      </c>
      <c r="AL37" s="641">
        <f t="shared" si="28"/>
        <v>0.56999999999999995</v>
      </c>
      <c r="AM37" s="641">
        <f t="shared" si="28"/>
        <v>0.37</v>
      </c>
      <c r="AN37" s="641">
        <f t="shared" si="28"/>
        <v>1.03</v>
      </c>
      <c r="AO37" s="641">
        <f t="shared" si="28"/>
        <v>1.2</v>
      </c>
      <c r="AP37" s="641">
        <f t="shared" si="28"/>
        <v>0</v>
      </c>
      <c r="AQ37" s="641">
        <f t="shared" si="28"/>
        <v>0.53</v>
      </c>
      <c r="AR37" s="641">
        <f t="shared" si="28"/>
        <v>0.38</v>
      </c>
      <c r="AS37" s="641">
        <f t="shared" si="28"/>
        <v>0.85</v>
      </c>
      <c r="AT37" s="641">
        <f t="shared" si="28"/>
        <v>1.21</v>
      </c>
      <c r="AU37" s="641">
        <f t="shared" si="28"/>
        <v>0</v>
      </c>
      <c r="AV37" s="641">
        <f t="shared" si="28"/>
        <v>0.64</v>
      </c>
      <c r="AW37" s="641">
        <f t="shared" si="28"/>
        <v>0.35</v>
      </c>
      <c r="AX37" s="641">
        <f t="shared" si="28"/>
        <v>0.68</v>
      </c>
      <c r="AY37" s="641">
        <f t="shared" si="28"/>
        <v>0.72</v>
      </c>
      <c r="AZ37" s="641">
        <f t="shared" si="28"/>
        <v>0</v>
      </c>
      <c r="BA37" s="641">
        <f t="shared" si="28"/>
        <v>0.48</v>
      </c>
      <c r="BB37" s="641">
        <f t="shared" si="28"/>
        <v>0.24</v>
      </c>
      <c r="BC37" s="641">
        <f t="shared" si="28"/>
        <v>0.34</v>
      </c>
      <c r="BD37" s="641">
        <f t="shared" si="28"/>
        <v>0.3</v>
      </c>
      <c r="BE37" s="641">
        <f t="shared" si="28"/>
        <v>0</v>
      </c>
      <c r="BF37" s="641">
        <f t="shared" si="28"/>
        <v>0.13</v>
      </c>
      <c r="BG37" s="641">
        <f t="shared" si="28"/>
        <v>-0.14000000000000001</v>
      </c>
      <c r="BH37" s="641">
        <f t="shared" si="28"/>
        <v>-0.23</v>
      </c>
      <c r="BI37" s="641">
        <f t="shared" si="28"/>
        <v>-0.17</v>
      </c>
      <c r="BJ37" s="641">
        <f t="shared" si="28"/>
        <v>0</v>
      </c>
      <c r="BK37" s="641">
        <f t="shared" si="28"/>
        <v>0.18</v>
      </c>
      <c r="BL37" s="641">
        <f t="shared" si="28"/>
        <v>-0.14000000000000001</v>
      </c>
      <c r="BM37" s="641">
        <f t="shared" si="28"/>
        <v>0.18</v>
      </c>
      <c r="BN37" s="641">
        <f t="shared" si="28"/>
        <v>0.34</v>
      </c>
      <c r="BO37" s="641">
        <f t="shared" si="28"/>
        <v>0</v>
      </c>
      <c r="BP37" s="641">
        <f t="shared" ref="BP37:DH37" si="29">BP34</f>
        <v>0.2</v>
      </c>
      <c r="BQ37" s="641">
        <f t="shared" si="29"/>
        <v>-0.1</v>
      </c>
      <c r="BR37" s="641">
        <f t="shared" si="29"/>
        <v>0.23</v>
      </c>
      <c r="BS37" s="641">
        <f t="shared" si="29"/>
        <v>0.57999999999999996</v>
      </c>
      <c r="BT37" s="641">
        <f t="shared" si="29"/>
        <v>0</v>
      </c>
      <c r="BU37" s="641">
        <f t="shared" si="29"/>
        <v>0.06</v>
      </c>
      <c r="BV37" s="641">
        <f t="shared" si="29"/>
        <v>-0.04</v>
      </c>
      <c r="BW37" s="641">
        <f t="shared" si="29"/>
        <v>0.32</v>
      </c>
      <c r="BX37" s="641">
        <f t="shared" si="29"/>
        <v>0.81</v>
      </c>
      <c r="BY37" s="641">
        <f t="shared" si="29"/>
        <v>0</v>
      </c>
      <c r="BZ37" s="641">
        <f t="shared" si="29"/>
        <v>0.38</v>
      </c>
      <c r="CA37" s="641">
        <f t="shared" si="29"/>
        <v>0.22</v>
      </c>
      <c r="CB37" s="641">
        <f t="shared" si="29"/>
        <v>0.5</v>
      </c>
      <c r="CC37" s="641">
        <f t="shared" si="29"/>
        <v>1.1399999999999999</v>
      </c>
      <c r="CD37" s="641">
        <f t="shared" si="29"/>
        <v>0</v>
      </c>
      <c r="CE37" s="641">
        <f t="shared" si="29"/>
        <v>0.62540363064065341</v>
      </c>
      <c r="CF37" s="641">
        <f t="shared" si="29"/>
        <v>0.46124763705103972</v>
      </c>
      <c r="CG37" s="641">
        <f t="shared" si="29"/>
        <v>0.94127111826226872</v>
      </c>
      <c r="CH37" s="641">
        <f t="shared" si="29"/>
        <v>1.7060664112388242</v>
      </c>
      <c r="CI37" s="641">
        <f t="shared" si="29"/>
        <v>0</v>
      </c>
      <c r="CJ37" s="641">
        <f t="shared" si="29"/>
        <v>0.89880630992163668</v>
      </c>
      <c r="CK37" s="641">
        <f t="shared" si="29"/>
        <v>0.74991163976210706</v>
      </c>
      <c r="CL37" s="641">
        <f t="shared" si="29"/>
        <v>1.2565905096660808</v>
      </c>
      <c r="CM37" s="641">
        <f t="shared" si="29"/>
        <v>2.0183887915936953</v>
      </c>
      <c r="CN37" s="641">
        <f t="shared" si="29"/>
        <v>0</v>
      </c>
      <c r="CO37" s="641">
        <f t="shared" si="29"/>
        <v>1.0358391608391608</v>
      </c>
      <c r="CP37" s="641">
        <f t="shared" si="29"/>
        <v>0.7726142920550384</v>
      </c>
      <c r="CQ37" s="641">
        <f t="shared" si="29"/>
        <v>1.0212221725525257</v>
      </c>
      <c r="CR37" s="641">
        <f t="shared" si="29"/>
        <v>1.933602512337371</v>
      </c>
      <c r="CS37" s="641">
        <f t="shared" si="29"/>
        <v>0</v>
      </c>
      <c r="CT37" s="641">
        <f t="shared" si="29"/>
        <v>0.53811659192825112</v>
      </c>
      <c r="CU37" s="641">
        <f t="shared" si="29"/>
        <v>0.52044618834080847</v>
      </c>
      <c r="CV37" s="641">
        <f t="shared" si="29"/>
        <v>0.53180072070507278</v>
      </c>
      <c r="CW37" s="641">
        <f t="shared" si="29"/>
        <v>0.93441150044923638</v>
      </c>
      <c r="CX37" s="641">
        <f t="shared" si="29"/>
        <v>0</v>
      </c>
      <c r="CY37" s="641">
        <f t="shared" si="29"/>
        <v>0.1122586439155815</v>
      </c>
      <c r="CZ37" s="641">
        <f t="shared" si="29"/>
        <v>-2.6432848588537209E-3</v>
      </c>
      <c r="DA37" s="641">
        <f t="shared" si="29"/>
        <v>0.11363636363636363</v>
      </c>
      <c r="DB37" s="641">
        <f t="shared" si="29"/>
        <v>0.83522966708807411</v>
      </c>
      <c r="DC37" s="641">
        <f t="shared" si="29"/>
        <v>0</v>
      </c>
      <c r="DD37" s="641">
        <f t="shared" si="29"/>
        <v>0.25252525252525254</v>
      </c>
      <c r="DE37" s="641">
        <f t="shared" si="29"/>
        <v>5.8922558922558925E-2</v>
      </c>
      <c r="DF37" s="641">
        <f t="shared" si="29"/>
        <v>0.18502943650126155</v>
      </c>
      <c r="DG37" s="641">
        <f t="shared" si="29"/>
        <v>1.1735564853556486</v>
      </c>
      <c r="DH37" s="641">
        <f t="shared" si="29"/>
        <v>0</v>
      </c>
      <c r="DI37" s="641">
        <f>DI36</f>
        <v>0.2762192490289167</v>
      </c>
      <c r="DJ37" s="641">
        <f>DJ36</f>
        <v>6.621186743560839E-2</v>
      </c>
      <c r="DK37" s="641">
        <f>DK36</f>
        <v>-0.67041725269573371</v>
      </c>
      <c r="DL37" s="641">
        <f>DL36</f>
        <v>-0.40787623066104078</v>
      </c>
      <c r="DM37" s="642"/>
      <c r="DN37" s="641">
        <f>DN36</f>
        <v>-0.74667888227210255</v>
      </c>
      <c r="DO37" s="641">
        <f>DO36</f>
        <v>-0.67184643510054842</v>
      </c>
      <c r="DP37" s="641">
        <f>DP36</f>
        <v>-0.56061987237921607</v>
      </c>
      <c r="DQ37" s="641">
        <f>DQ36</f>
        <v>-2.5148063781321186</v>
      </c>
      <c r="DR37" s="642"/>
      <c r="DS37" s="641">
        <f>DS36</f>
        <v>-1.5825375170532059</v>
      </c>
      <c r="DT37" s="641">
        <f>DT36</f>
        <v>-2.6588021778584392</v>
      </c>
      <c r="DU37" s="641">
        <f>DU36</f>
        <v>-1.9420174741858618</v>
      </c>
      <c r="DV37" s="641">
        <f>DV36</f>
        <v>0.11479173499508036</v>
      </c>
      <c r="DW37" s="642"/>
      <c r="DX37" s="641">
        <f>DX36</f>
        <v>-1.1540983606557378</v>
      </c>
      <c r="DY37" s="641">
        <f>DY36</f>
        <v>-0.56430446194225725</v>
      </c>
      <c r="DZ37" s="641">
        <f>DZ36</f>
        <v>-0.61578774975433992</v>
      </c>
      <c r="EA37" s="641">
        <f>EA36</f>
        <v>-0.19325253848673435</v>
      </c>
      <c r="EB37" s="642"/>
      <c r="EC37" s="641">
        <f>EC36</f>
        <v>-0.46072013093289688</v>
      </c>
      <c r="ED37" s="641">
        <f>ED36</f>
        <v>-0.45112781954887221</v>
      </c>
      <c r="EE37" s="641">
        <f>EE36</f>
        <v>-0.44771241830065361</v>
      </c>
      <c r="EF37" s="641">
        <f>EF36</f>
        <v>-0.42754569190600528</v>
      </c>
      <c r="EG37" s="642"/>
      <c r="EH37" s="641">
        <f>EH36</f>
        <v>-0.31575520833333337</v>
      </c>
      <c r="EI37" s="641">
        <f>EI36</f>
        <v>-5.1948051948051951E-2</v>
      </c>
      <c r="EJ37" s="641">
        <f>EJ36</f>
        <v>-0.21083360363282516</v>
      </c>
      <c r="EK37" s="641">
        <f>EK36</f>
        <v>0.6118546845124283</v>
      </c>
      <c r="EL37" s="642"/>
      <c r="EM37" s="641">
        <f>EM36</f>
        <v>-0.58139534883720922</v>
      </c>
      <c r="EN37" s="641">
        <f>EN36</f>
        <v>-0.20109395109394962</v>
      </c>
      <c r="EO37" s="641">
        <f>EO36</f>
        <v>-0.41020539152759944</v>
      </c>
      <c r="EP37" s="641">
        <f>EP36</f>
        <v>0.80737444373808009</v>
      </c>
      <c r="EQ37" s="642"/>
      <c r="ER37" s="1473">
        <f>ER36</f>
        <v>-0.17555392244119497</v>
      </c>
      <c r="ES37" s="1473">
        <f>ES36</f>
        <v>0.10002944691672021</v>
      </c>
      <c r="ET37" s="1473">
        <f>ET36</f>
        <v>-0.13773852511125237</v>
      </c>
      <c r="EU37" s="1473">
        <f>EU36</f>
        <v>0.28421130324221189</v>
      </c>
      <c r="EV37" s="507"/>
      <c r="EW37" s="643">
        <f t="shared" ref="EW37:FR37" si="30">EW34</f>
        <v>3</v>
      </c>
      <c r="EX37" s="641">
        <f t="shared" si="30"/>
        <v>2.16</v>
      </c>
      <c r="EY37" s="641">
        <f t="shared" si="30"/>
        <v>2.02</v>
      </c>
      <c r="EZ37" s="641">
        <f t="shared" si="30"/>
        <v>2.95</v>
      </c>
      <c r="FA37" s="641">
        <f t="shared" si="30"/>
        <v>3.6</v>
      </c>
      <c r="FB37" s="641">
        <f t="shared" si="30"/>
        <v>4.05</v>
      </c>
      <c r="FC37" s="641">
        <f t="shared" si="30"/>
        <v>3.33</v>
      </c>
      <c r="FD37" s="641">
        <f t="shared" si="30"/>
        <v>3.17</v>
      </c>
      <c r="FE37" s="641">
        <f t="shared" si="30"/>
        <v>2.97</v>
      </c>
      <c r="FF37" s="641">
        <f t="shared" si="30"/>
        <v>2.39</v>
      </c>
      <c r="FG37" s="641">
        <f t="shared" si="30"/>
        <v>1.36</v>
      </c>
      <c r="FH37" s="641">
        <f t="shared" si="30"/>
        <v>-0.44</v>
      </c>
      <c r="FI37" s="641">
        <f t="shared" si="30"/>
        <v>0.57999999999999996</v>
      </c>
      <c r="FJ37" s="641">
        <f t="shared" si="30"/>
        <v>0.94</v>
      </c>
      <c r="FK37" s="641">
        <f t="shared" si="30"/>
        <v>1.2</v>
      </c>
      <c r="FL37" s="641">
        <f t="shared" si="30"/>
        <v>2.2599999999999998</v>
      </c>
      <c r="FM37" s="643">
        <f t="shared" si="30"/>
        <v>3.6339686562080575</v>
      </c>
      <c r="FN37" s="643">
        <f t="shared" si="30"/>
        <v>4.894004870949539</v>
      </c>
      <c r="FO37" s="641">
        <f t="shared" si="30"/>
        <v>4.752170534029089</v>
      </c>
      <c r="FP37" s="641">
        <f t="shared" si="30"/>
        <v>2.5242754039042556</v>
      </c>
      <c r="FQ37" s="643">
        <f t="shared" si="30"/>
        <v>1.0718574189392314</v>
      </c>
      <c r="FR37" s="643">
        <f t="shared" si="30"/>
        <v>1.6742857142857144</v>
      </c>
      <c r="FS37" s="641">
        <f t="shared" ref="FS37:FY37" si="31">FS36</f>
        <v>-0.69769260843458092</v>
      </c>
      <c r="FT37" s="641">
        <f t="shared" si="31"/>
        <v>-4.4936131386861318</v>
      </c>
      <c r="FU37" s="641">
        <f t="shared" si="31"/>
        <v>-5.5675892498997186</v>
      </c>
      <c r="FV37" s="641">
        <f t="shared" si="31"/>
        <v>-2.5262123197903015</v>
      </c>
      <c r="FW37" s="641">
        <f t="shared" si="31"/>
        <v>-1.7873488067996079</v>
      </c>
      <c r="FX37" s="641">
        <f t="shared" si="31"/>
        <v>3.1948881789137379E-3</v>
      </c>
      <c r="FY37" s="641">
        <f t="shared" si="31"/>
        <v>-0.37389906782385079</v>
      </c>
      <c r="FZ37" s="641">
        <f>FZ36</f>
        <v>7.0948302606480801E-2</v>
      </c>
      <c r="GA37" s="641">
        <f>GA36</f>
        <v>-4.8318951027511367E-2</v>
      </c>
      <c r="GB37" s="1267">
        <f>GB36</f>
        <v>-9.8416391440507303E-2</v>
      </c>
      <c r="GC37" s="641">
        <f>GC36</f>
        <v>-0.40218688137474801</v>
      </c>
      <c r="GD37" s="1490">
        <f>GD36</f>
        <v>0</v>
      </c>
    </row>
    <row r="38" spans="1:261" hidden="1" outlineLevel="1">
      <c r="A38" s="640"/>
      <c r="B38" s="507"/>
      <c r="C38" s="641"/>
      <c r="D38" s="641"/>
      <c r="E38" s="641"/>
      <c r="F38" s="641"/>
      <c r="G38" s="507"/>
      <c r="H38" s="641"/>
      <c r="I38" s="641"/>
      <c r="J38" s="641"/>
      <c r="K38" s="641"/>
      <c r="L38" s="507"/>
      <c r="M38" s="641"/>
      <c r="N38" s="641"/>
      <c r="O38" s="641"/>
      <c r="P38" s="641"/>
      <c r="Q38" s="507"/>
      <c r="R38" s="641"/>
      <c r="S38" s="641"/>
      <c r="T38" s="641"/>
      <c r="U38" s="641"/>
      <c r="V38" s="507"/>
      <c r="W38" s="641"/>
      <c r="X38" s="641"/>
      <c r="Y38" s="641"/>
      <c r="Z38" s="641"/>
      <c r="AA38" s="507"/>
      <c r="AB38" s="641"/>
      <c r="AC38" s="641"/>
      <c r="AD38" s="641"/>
      <c r="AE38" s="641"/>
      <c r="AF38" s="507"/>
      <c r="AG38" s="641"/>
      <c r="AH38" s="641"/>
      <c r="AI38" s="641"/>
      <c r="AJ38" s="641"/>
      <c r="AK38" s="507"/>
      <c r="AL38" s="641"/>
      <c r="AM38" s="641"/>
      <c r="AN38" s="641"/>
      <c r="AO38" s="641"/>
      <c r="AP38" s="507"/>
      <c r="AQ38" s="641"/>
      <c r="AR38" s="641"/>
      <c r="AS38" s="641"/>
      <c r="AT38" s="641"/>
      <c r="AU38" s="507"/>
      <c r="AV38" s="641"/>
      <c r="AW38" s="641"/>
      <c r="AX38" s="641"/>
      <c r="AY38" s="641"/>
      <c r="AZ38" s="507"/>
      <c r="BA38" s="641"/>
      <c r="BB38" s="641"/>
      <c r="BC38" s="641"/>
      <c r="BD38" s="641"/>
      <c r="BE38" s="507"/>
      <c r="BF38" s="641"/>
      <c r="BG38" s="641"/>
      <c r="BH38" s="641"/>
      <c r="BI38" s="641"/>
      <c r="BJ38" s="507"/>
      <c r="BK38" s="641"/>
      <c r="BL38" s="641"/>
      <c r="BM38" s="641"/>
      <c r="BN38" s="641"/>
      <c r="BO38" s="507"/>
      <c r="BP38" s="641"/>
      <c r="BQ38" s="641"/>
      <c r="BR38" s="641"/>
      <c r="BS38" s="641"/>
      <c r="BT38" s="507"/>
      <c r="BU38" s="641"/>
      <c r="BV38" s="641"/>
      <c r="BW38" s="641"/>
      <c r="BX38" s="641"/>
      <c r="BY38" s="507"/>
      <c r="BZ38" s="641"/>
      <c r="CA38" s="641"/>
      <c r="CB38" s="641"/>
      <c r="CC38" s="641"/>
      <c r="CD38" s="507"/>
      <c r="CE38" s="641"/>
      <c r="CF38" s="641"/>
      <c r="CG38" s="641"/>
      <c r="CH38" s="641"/>
      <c r="CI38" s="507"/>
      <c r="CJ38" s="641"/>
      <c r="CK38" s="641"/>
      <c r="CL38" s="641"/>
      <c r="CM38" s="641"/>
      <c r="CN38" s="642"/>
      <c r="CO38" s="641"/>
      <c r="CP38" s="641"/>
      <c r="CQ38" s="641"/>
      <c r="CR38" s="641"/>
      <c r="CS38" s="642"/>
      <c r="CT38" s="641"/>
      <c r="CU38" s="641"/>
      <c r="CV38" s="641"/>
      <c r="CW38" s="641"/>
      <c r="CX38" s="642"/>
      <c r="CY38" s="641"/>
      <c r="CZ38" s="641"/>
      <c r="DA38" s="641"/>
      <c r="DB38" s="641"/>
      <c r="DC38" s="642"/>
      <c r="DD38" s="641"/>
      <c r="DE38" s="641"/>
      <c r="DF38" s="641"/>
      <c r="DG38" s="641"/>
      <c r="DH38" s="642"/>
      <c r="DI38" s="641"/>
      <c r="DJ38" s="641"/>
      <c r="DK38" s="641"/>
      <c r="DL38" s="641"/>
      <c r="DM38" s="642"/>
      <c r="DN38" s="641"/>
      <c r="DO38" s="641"/>
      <c r="DP38" s="641"/>
      <c r="DQ38" s="641"/>
      <c r="DR38" s="642"/>
      <c r="DS38" s="641"/>
      <c r="DT38" s="641"/>
      <c r="DU38" s="641"/>
      <c r="DV38" s="641"/>
      <c r="DW38" s="642"/>
      <c r="DX38" s="641"/>
      <c r="DY38" s="641"/>
      <c r="DZ38" s="641"/>
      <c r="EA38" s="641"/>
      <c r="EB38" s="642"/>
      <c r="EC38" s="641"/>
      <c r="ED38" s="641"/>
      <c r="EE38" s="641"/>
      <c r="EF38" s="641"/>
      <c r="EG38" s="642"/>
      <c r="EH38" s="641"/>
      <c r="EI38" s="641"/>
      <c r="EJ38" s="641"/>
      <c r="EK38" s="641"/>
      <c r="EL38" s="642"/>
      <c r="EM38" s="641"/>
      <c r="EN38" s="641"/>
      <c r="EO38" s="641"/>
      <c r="EP38" s="641"/>
      <c r="EQ38" s="642"/>
      <c r="ER38" s="1473"/>
      <c r="ES38" s="1473"/>
      <c r="ET38" s="1473"/>
      <c r="EU38" s="1473"/>
      <c r="EV38" s="507"/>
      <c r="EW38" s="643"/>
      <c r="EX38" s="641"/>
      <c r="EY38" s="641"/>
      <c r="EZ38" s="641"/>
      <c r="FA38" s="641"/>
      <c r="FB38" s="641"/>
      <c r="FC38" s="641"/>
      <c r="FD38" s="641"/>
      <c r="FE38" s="641"/>
      <c r="FF38" s="641"/>
      <c r="FG38" s="641"/>
      <c r="FH38" s="641"/>
      <c r="FI38" s="641"/>
      <c r="FJ38" s="641"/>
      <c r="FK38" s="641"/>
      <c r="FL38" s="641"/>
      <c r="FM38" s="643"/>
      <c r="FN38" s="643"/>
      <c r="FO38" s="641"/>
      <c r="FP38" s="641"/>
      <c r="FQ38" s="643"/>
      <c r="FR38" s="643"/>
      <c r="FS38" s="641"/>
      <c r="FT38" s="641"/>
      <c r="FU38" s="641"/>
      <c r="FV38" s="641"/>
      <c r="FW38" s="641"/>
      <c r="FX38" s="641"/>
      <c r="FY38" s="641"/>
      <c r="FZ38" s="641"/>
      <c r="GA38" s="641"/>
      <c r="GB38" s="1267"/>
      <c r="GC38" s="641"/>
      <c r="GD38" s="1490"/>
    </row>
    <row r="39" spans="1:261" collapsed="1">
      <c r="A39" s="640"/>
      <c r="B39" s="507"/>
      <c r="C39" s="641"/>
      <c r="D39" s="641"/>
      <c r="E39" s="641"/>
      <c r="F39" s="641"/>
      <c r="G39" s="507"/>
      <c r="H39" s="641"/>
      <c r="I39" s="641"/>
      <c r="J39" s="641"/>
      <c r="K39" s="641"/>
      <c r="L39" s="507"/>
      <c r="M39" s="641"/>
      <c r="N39" s="641"/>
      <c r="O39" s="641"/>
      <c r="P39" s="641"/>
      <c r="Q39" s="507"/>
      <c r="R39" s="641"/>
      <c r="S39" s="641"/>
      <c r="T39" s="641"/>
      <c r="U39" s="641"/>
      <c r="V39" s="507"/>
      <c r="W39" s="641"/>
      <c r="X39" s="641"/>
      <c r="Y39" s="641"/>
      <c r="Z39" s="641"/>
      <c r="AA39" s="507"/>
      <c r="AB39" s="641"/>
      <c r="AC39" s="641"/>
      <c r="AD39" s="641"/>
      <c r="AE39" s="641"/>
      <c r="AF39" s="507"/>
      <c r="AG39" s="641"/>
      <c r="AH39" s="641"/>
      <c r="AI39" s="641"/>
      <c r="AJ39" s="641"/>
      <c r="AK39" s="507"/>
      <c r="AL39" s="641"/>
      <c r="AM39" s="641"/>
      <c r="AN39" s="641"/>
      <c r="AO39" s="641"/>
      <c r="AP39" s="507"/>
      <c r="AQ39" s="641"/>
      <c r="AR39" s="641"/>
      <c r="AS39" s="641"/>
      <c r="AT39" s="641"/>
      <c r="AU39" s="507"/>
      <c r="AV39" s="641"/>
      <c r="AW39" s="641"/>
      <c r="AX39" s="641"/>
      <c r="AY39" s="641"/>
      <c r="AZ39" s="507"/>
      <c r="BA39" s="641"/>
      <c r="BB39" s="641"/>
      <c r="BC39" s="641"/>
      <c r="BD39" s="641"/>
      <c r="BE39" s="507"/>
      <c r="BF39" s="641"/>
      <c r="BG39" s="641"/>
      <c r="BH39" s="641"/>
      <c r="BI39" s="641"/>
      <c r="BJ39" s="507"/>
      <c r="BK39" s="641"/>
      <c r="BL39" s="641"/>
      <c r="BM39" s="641"/>
      <c r="BN39" s="641"/>
      <c r="BO39" s="507"/>
      <c r="BP39" s="641"/>
      <c r="BQ39" s="641"/>
      <c r="BR39" s="641"/>
      <c r="BS39" s="641"/>
      <c r="BT39" s="507"/>
      <c r="BU39" s="641"/>
      <c r="BV39" s="641"/>
      <c r="BW39" s="641"/>
      <c r="BX39" s="641"/>
      <c r="BY39" s="507"/>
      <c r="BZ39" s="641"/>
      <c r="CA39" s="641"/>
      <c r="CB39" s="641"/>
      <c r="CC39" s="641"/>
      <c r="CD39" s="507"/>
      <c r="CE39" s="641"/>
      <c r="CF39" s="641"/>
      <c r="CG39" s="641"/>
      <c r="CH39" s="641"/>
      <c r="CI39" s="507"/>
      <c r="CJ39" s="641"/>
      <c r="CK39" s="641"/>
      <c r="CL39" s="641"/>
      <c r="CM39" s="641"/>
      <c r="CN39" s="642"/>
      <c r="CO39" s="641"/>
      <c r="CP39" s="641"/>
      <c r="CQ39" s="641"/>
      <c r="CR39" s="641"/>
      <c r="CS39" s="642"/>
      <c r="CT39" s="641"/>
      <c r="CU39" s="641"/>
      <c r="CV39" s="641"/>
      <c r="CW39" s="641"/>
      <c r="CX39" s="642"/>
      <c r="CY39" s="641"/>
      <c r="CZ39" s="641"/>
      <c r="DA39" s="641"/>
      <c r="DB39" s="641"/>
      <c r="DC39" s="642"/>
      <c r="DD39" s="641"/>
      <c r="DE39" s="641"/>
      <c r="DF39" s="641"/>
      <c r="DG39" s="641"/>
      <c r="DH39" s="642"/>
      <c r="DI39" s="641"/>
      <c r="DJ39" s="641"/>
      <c r="DK39" s="641"/>
      <c r="DL39" s="641"/>
      <c r="DM39" s="642"/>
      <c r="DN39" s="641"/>
      <c r="DO39" s="641"/>
      <c r="DP39" s="641"/>
      <c r="DQ39" s="641"/>
      <c r="DR39" s="642"/>
      <c r="DS39" s="641"/>
      <c r="DT39" s="641"/>
      <c r="DU39" s="641"/>
      <c r="DV39" s="641"/>
      <c r="DW39" s="642"/>
      <c r="DX39" s="641"/>
      <c r="DY39" s="641"/>
      <c r="DZ39" s="641"/>
      <c r="EA39" s="641"/>
      <c r="EB39" s="642"/>
      <c r="EC39" s="641"/>
      <c r="ED39" s="641"/>
      <c r="EE39" s="641"/>
      <c r="EF39" s="641"/>
      <c r="EG39" s="642"/>
      <c r="EH39" s="641"/>
      <c r="EI39" s="641"/>
      <c r="EJ39" s="641"/>
      <c r="EK39" s="579"/>
      <c r="EL39" s="642"/>
      <c r="EM39" s="641"/>
      <c r="EN39" s="641"/>
      <c r="EO39" s="641"/>
      <c r="EP39" s="579"/>
      <c r="EQ39" s="642"/>
      <c r="ER39" s="1473"/>
      <c r="ES39" s="1473"/>
      <c r="ET39" s="1473"/>
      <c r="EU39" s="1474"/>
      <c r="EV39" s="507"/>
      <c r="EW39" s="643"/>
      <c r="EX39" s="641"/>
      <c r="EY39" s="641"/>
      <c r="EZ39" s="641"/>
      <c r="FA39" s="641"/>
      <c r="FB39" s="641"/>
      <c r="FC39" s="641"/>
      <c r="FD39" s="641"/>
      <c r="FE39" s="641"/>
      <c r="FF39" s="641"/>
      <c r="FG39" s="641"/>
      <c r="FH39" s="641"/>
      <c r="FI39" s="641"/>
      <c r="FJ39" s="641"/>
      <c r="FK39" s="641"/>
      <c r="FL39" s="641"/>
      <c r="FM39" s="643"/>
      <c r="FN39" s="643"/>
      <c r="FO39" s="641"/>
      <c r="FP39" s="641"/>
      <c r="FQ39" s="643"/>
      <c r="FR39" s="643"/>
      <c r="FS39" s="641"/>
      <c r="FT39" s="641"/>
      <c r="FU39" s="641"/>
      <c r="FV39" s="641"/>
      <c r="FW39" s="641"/>
      <c r="FX39" s="641"/>
      <c r="FY39" s="641"/>
      <c r="FZ39" s="641"/>
      <c r="GA39" s="641"/>
      <c r="GB39" s="1267"/>
      <c r="GC39" s="641"/>
      <c r="GD39" s="1490"/>
    </row>
    <row r="40" spans="1:261" ht="9" customHeight="1">
      <c r="A40" s="500"/>
      <c r="B40" s="507"/>
      <c r="C40" s="507"/>
      <c r="D40" s="507"/>
      <c r="E40" s="507"/>
      <c r="F40" s="507"/>
      <c r="G40" s="507"/>
      <c r="H40" s="507"/>
      <c r="I40" s="507"/>
      <c r="J40" s="507"/>
      <c r="K40" s="507"/>
      <c r="L40" s="507"/>
      <c r="M40" s="507"/>
      <c r="N40" s="507"/>
      <c r="O40" s="507"/>
      <c r="P40" s="507"/>
      <c r="Q40" s="507"/>
      <c r="R40" s="507"/>
      <c r="S40" s="507"/>
      <c r="T40" s="507"/>
      <c r="U40" s="507"/>
      <c r="V40" s="507"/>
      <c r="W40" s="507"/>
      <c r="X40" s="507"/>
      <c r="Y40" s="507"/>
      <c r="Z40" s="507"/>
      <c r="AA40" s="507"/>
      <c r="AB40" s="507"/>
      <c r="AC40" s="507"/>
      <c r="AD40" s="507"/>
      <c r="AE40" s="507"/>
      <c r="AF40" s="507"/>
      <c r="AG40" s="507"/>
      <c r="AH40" s="507"/>
      <c r="AI40" s="507"/>
      <c r="AJ40" s="507"/>
      <c r="AK40" s="507"/>
      <c r="AL40" s="507"/>
      <c r="AM40" s="507"/>
      <c r="AN40" s="507"/>
      <c r="AO40" s="507"/>
      <c r="AP40" s="507"/>
      <c r="AQ40" s="507"/>
      <c r="AR40" s="507"/>
      <c r="AS40" s="507"/>
      <c r="AT40" s="507"/>
      <c r="AU40" s="507"/>
      <c r="AV40" s="507"/>
      <c r="AW40" s="507"/>
      <c r="AX40" s="507"/>
      <c r="AY40" s="507"/>
      <c r="AZ40" s="507"/>
      <c r="BA40" s="507"/>
      <c r="BB40" s="507"/>
      <c r="BC40" s="507"/>
      <c r="BD40" s="507"/>
      <c r="BE40" s="507"/>
      <c r="BF40" s="507"/>
      <c r="BG40" s="507"/>
      <c r="BH40" s="507"/>
      <c r="BI40" s="507"/>
      <c r="BJ40" s="507"/>
      <c r="BK40" s="507"/>
      <c r="BL40" s="507"/>
      <c r="BM40" s="507"/>
      <c r="BN40" s="507"/>
      <c r="BO40" s="507"/>
      <c r="BP40" s="507"/>
      <c r="BQ40" s="507"/>
      <c r="BR40" s="507"/>
      <c r="BS40" s="507"/>
      <c r="BT40" s="507"/>
      <c r="BU40" s="507"/>
      <c r="BV40" s="507"/>
      <c r="BW40" s="507"/>
      <c r="BX40" s="507"/>
      <c r="BY40" s="507"/>
      <c r="BZ40" s="507"/>
      <c r="CA40" s="507"/>
      <c r="CB40" s="507"/>
      <c r="CC40" s="507"/>
      <c r="CD40" s="507"/>
      <c r="CE40" s="507"/>
      <c r="CF40" s="507"/>
      <c r="CG40" s="507"/>
      <c r="CH40" s="507"/>
      <c r="CI40" s="507"/>
      <c r="CJ40" s="507"/>
      <c r="CK40" s="507"/>
      <c r="CL40" s="507"/>
      <c r="CM40" s="507"/>
      <c r="CN40" s="507"/>
      <c r="CO40" s="507"/>
      <c r="CP40" s="507"/>
      <c r="CQ40" s="507"/>
      <c r="CR40" s="507"/>
      <c r="CS40" s="507"/>
      <c r="CT40" s="507"/>
      <c r="CU40" s="507"/>
      <c r="CV40" s="507"/>
      <c r="CW40" s="507"/>
      <c r="CX40" s="507"/>
      <c r="CY40" s="507"/>
      <c r="CZ40" s="507"/>
      <c r="DA40" s="507"/>
      <c r="DB40" s="507"/>
      <c r="DC40" s="507"/>
      <c r="DD40" s="507"/>
      <c r="DE40" s="507"/>
      <c r="DF40" s="507"/>
      <c r="DG40" s="507"/>
      <c r="DH40" s="507"/>
      <c r="DI40" s="507"/>
      <c r="DJ40" s="507"/>
      <c r="DK40" s="507"/>
      <c r="DL40" s="507"/>
      <c r="DM40" s="507"/>
      <c r="DN40" s="507"/>
      <c r="DO40" s="507"/>
      <c r="DP40" s="507"/>
      <c r="DR40" s="507"/>
      <c r="DS40" s="507"/>
      <c r="DT40" s="507"/>
      <c r="DU40" s="507"/>
      <c r="DV40" s="507"/>
      <c r="DW40" s="507"/>
      <c r="DX40" s="507"/>
      <c r="DY40" s="507"/>
      <c r="DZ40" s="507"/>
      <c r="EA40" s="507"/>
      <c r="EB40" s="507"/>
      <c r="EC40" s="507"/>
      <c r="ED40" s="507"/>
      <c r="EE40" s="507"/>
      <c r="EF40" s="507"/>
      <c r="EG40" s="507"/>
      <c r="EH40" s="507"/>
      <c r="EI40" s="507"/>
      <c r="EJ40" s="507"/>
      <c r="EK40" s="579"/>
      <c r="EL40" s="507"/>
      <c r="EM40" s="507"/>
      <c r="EN40" s="507"/>
      <c r="EO40" s="507"/>
      <c r="EP40" s="579"/>
      <c r="EQ40" s="507"/>
      <c r="ER40" s="1463"/>
      <c r="ES40" s="1463"/>
      <c r="ET40" s="1463"/>
      <c r="EU40" s="1474"/>
      <c r="EV40" s="507"/>
      <c r="EW40" s="500"/>
      <c r="EX40" s="507"/>
      <c r="EY40" s="507"/>
      <c r="EZ40" s="507"/>
      <c r="FA40" s="507"/>
      <c r="FB40" s="507"/>
      <c r="FC40" s="507"/>
      <c r="FD40" s="507"/>
      <c r="FE40" s="507"/>
      <c r="FF40" s="507"/>
      <c r="FG40" s="507"/>
      <c r="FH40" s="507"/>
      <c r="FI40" s="507"/>
      <c r="FJ40" s="507"/>
      <c r="FK40" s="507"/>
      <c r="FL40" s="507"/>
      <c r="FM40" s="500"/>
      <c r="FN40" s="500"/>
      <c r="FO40" s="507"/>
      <c r="FP40" s="507"/>
      <c r="FQ40" s="644"/>
      <c r="FR40" s="644"/>
      <c r="FS40" s="507"/>
      <c r="FT40" s="507"/>
      <c r="FU40" s="507"/>
      <c r="FV40" s="507"/>
      <c r="FW40" s="507"/>
      <c r="FX40" s="507"/>
      <c r="FY40" s="507"/>
      <c r="FZ40" s="507"/>
      <c r="GA40" s="507"/>
      <c r="GB40" s="961"/>
      <c r="GC40" s="507"/>
      <c r="GD40" s="1485"/>
      <c r="GM40" s="590"/>
      <c r="GN40" s="590"/>
    </row>
    <row r="41" spans="1:261" ht="14.25">
      <c r="A41" s="500" t="s">
        <v>240</v>
      </c>
      <c r="B41" s="507"/>
      <c r="C41" s="615">
        <f>INDEX('qtrP&amp;L'!$220:$220,MATCH(C$7,'qtrP&amp;L'!$6:$6,0))</f>
        <v>269.39999999999998</v>
      </c>
      <c r="D41" s="615">
        <f>INDEX('qtrP&amp;L'!$221:$221,MATCH(C$7,'qtrP&amp;L'!$6:$6,0))</f>
        <v>266.60000000000002</v>
      </c>
      <c r="E41" s="615">
        <f>INDEX('qtrP&amp;L'!$222:$222,MATCH(C$7,'qtrP&amp;L'!$6:$6,0))</f>
        <v>267.2</v>
      </c>
      <c r="F41" s="615">
        <f>INDEX('qtrP&amp;L'!$223:$223,MATCH(C$7,'qtrP&amp;L'!$6:$6,0))</f>
        <v>266.2</v>
      </c>
      <c r="G41" s="615"/>
      <c r="H41" s="615">
        <f>INDEX('qtrP&amp;L'!$220:$220,MATCH(H$7,'qtrP&amp;L'!$6:$6,0))</f>
        <v>265.2</v>
      </c>
      <c r="I41" s="615">
        <f>INDEX('qtrP&amp;L'!$221:$221,MATCH(H$7,'qtrP&amp;L'!$6:$6,0))</f>
        <v>260</v>
      </c>
      <c r="J41" s="615">
        <f>INDEX('qtrP&amp;L'!$222:$222,MATCH(H$7,'qtrP&amp;L'!$6:$6,0))</f>
        <v>257.2</v>
      </c>
      <c r="K41" s="615">
        <f>INDEX('qtrP&amp;L'!$223:$223,MATCH(H$7,'qtrP&amp;L'!$6:$6,0))</f>
        <v>256.8</v>
      </c>
      <c r="L41" s="615"/>
      <c r="M41" s="615">
        <f>INDEX('qtrP&amp;L'!$220:$220,MATCH(M$7,'qtrP&amp;L'!$6:$6,0))</f>
        <v>256.8</v>
      </c>
      <c r="N41" s="615">
        <f>INDEX('qtrP&amp;L'!$221:$221,MATCH(M$7,'qtrP&amp;L'!$6:$6,0))</f>
        <v>256.8</v>
      </c>
      <c r="O41" s="615">
        <f>INDEX('qtrP&amp;L'!$222:$222,MATCH(M$7,'qtrP&amp;L'!$6:$6,0))</f>
        <v>256.60000000000002</v>
      </c>
      <c r="P41" s="615">
        <f>INDEX('qtrP&amp;L'!$223:$223,MATCH(M$7,'qtrP&amp;L'!$6:$6,0))</f>
        <v>256.8</v>
      </c>
      <c r="Q41" s="615"/>
      <c r="R41" s="615">
        <f>INDEX('qtrP&amp;L'!$220:$220,MATCH(R$7,'qtrP&amp;L'!$6:$6,0))</f>
        <v>258</v>
      </c>
      <c r="S41" s="615">
        <f>INDEX('qtrP&amp;L'!$221:$221,MATCH(R$7,'qtrP&amp;L'!$6:$6,0))</f>
        <v>258.8</v>
      </c>
      <c r="T41" s="615">
        <f>INDEX('qtrP&amp;L'!$222:$222,MATCH(R$7,'qtrP&amp;L'!$6:$6,0))</f>
        <v>259.2</v>
      </c>
      <c r="U41" s="615">
        <f>INDEX('qtrP&amp;L'!$223:$223,MATCH(R$7,'qtrP&amp;L'!$6:$6,0))</f>
        <v>258.39999999999998</v>
      </c>
      <c r="V41" s="615"/>
      <c r="W41" s="615">
        <f>INDEX('qtrP&amp;L'!$220:$220,MATCH(W$7,'qtrP&amp;L'!$6:$6,0))</f>
        <v>260.3</v>
      </c>
      <c r="X41" s="615">
        <f>INDEX('qtrP&amp;L'!$221:$221,MATCH(W$7,'qtrP&amp;L'!$6:$6,0))</f>
        <v>261.3</v>
      </c>
      <c r="Y41" s="615">
        <f>INDEX('qtrP&amp;L'!$222:$222,MATCH(W$7,'qtrP&amp;L'!$6:$6,0))</f>
        <v>262.7</v>
      </c>
      <c r="Z41" s="615">
        <f>INDEX('qtrP&amp;L'!$223:$223,MATCH(W$7,'qtrP&amp;L'!$6:$6,0))</f>
        <v>261.5</v>
      </c>
      <c r="AA41" s="615"/>
      <c r="AB41" s="615">
        <f>INDEX('qtrP&amp;L'!$220:$220,MATCH(AB$7,'qtrP&amp;L'!$6:$6,0))</f>
        <v>261.8</v>
      </c>
      <c r="AC41" s="615">
        <f>INDEX('qtrP&amp;L'!$221:$221,MATCH(AB$7,'qtrP&amp;L'!$6:$6,0))</f>
        <v>259.39999999999998</v>
      </c>
      <c r="AD41" s="615">
        <f>INDEX('qtrP&amp;L'!$222:$222,MATCH(AB$7,'qtrP&amp;L'!$6:$6,0))</f>
        <v>258.10000000000002</v>
      </c>
      <c r="AE41" s="615">
        <f>INDEX('qtrP&amp;L'!$223:$223,MATCH(AB$7,'qtrP&amp;L'!$6:$6,0))</f>
        <v>255.2</v>
      </c>
      <c r="AF41" s="615"/>
      <c r="AG41" s="615">
        <f>INDEX('qtrP&amp;L'!$220:$220,MATCH(AG$7,'qtrP&amp;L'!$6:$6,0))</f>
        <v>252.7</v>
      </c>
      <c r="AH41" s="615">
        <f>INDEX('qtrP&amp;L'!$221:$221,MATCH(AG$7,'qtrP&amp;L'!$6:$6,0))</f>
        <v>251.4</v>
      </c>
      <c r="AI41" s="615">
        <f>INDEX('qtrP&amp;L'!$222:$222,MATCH(AG$7,'qtrP&amp;L'!$6:$6,0))</f>
        <v>249</v>
      </c>
      <c r="AJ41" s="615">
        <f>INDEX('qtrP&amp;L'!$223:$223,MATCH(AG$7,'qtrP&amp;L'!$6:$6,0))</f>
        <v>247.6</v>
      </c>
      <c r="AK41" s="615"/>
      <c r="AL41" s="615">
        <f>INDEX('qtrP&amp;L'!$220:$220,MATCH(AL$7,'qtrP&amp;L'!$6:$6,0))</f>
        <v>247.2</v>
      </c>
      <c r="AM41" s="615">
        <f>INDEX('qtrP&amp;L'!$221:$221,MATCH(AL$7,'qtrP&amp;L'!$6:$6,0))</f>
        <v>247.6</v>
      </c>
      <c r="AN41" s="615">
        <f>INDEX('qtrP&amp;L'!$222:$222,MATCH(AL$7,'qtrP&amp;L'!$6:$6,0))</f>
        <v>248.8</v>
      </c>
      <c r="AO41" s="615">
        <f>INDEX('qtrP&amp;L'!$223:$223,MATCH(AL$7,'qtrP&amp;L'!$6:$6,0))</f>
        <v>250.9</v>
      </c>
      <c r="AP41" s="615"/>
      <c r="AQ41" s="615">
        <f>INDEX('qtrP&amp;L'!$220:$220,MATCH(AQ$7,'qtrP&amp;L'!$6:$6,0))</f>
        <v>261.2</v>
      </c>
      <c r="AR41" s="615">
        <f>INDEX('qtrP&amp;L'!$221:$221,MATCH(AQ$7,'qtrP&amp;L'!$6:$6,0))</f>
        <v>269.7</v>
      </c>
      <c r="AS41" s="615">
        <f>INDEX('qtrP&amp;L'!$222:$222,MATCH(AQ$7,'qtrP&amp;L'!$6:$6,0))</f>
        <v>270.7</v>
      </c>
      <c r="AT41" s="615">
        <f>INDEX('qtrP&amp;L'!$223:$223,MATCH(AQ$7,'qtrP&amp;L'!$6:$6,0))</f>
        <v>269.7</v>
      </c>
      <c r="AU41" s="615"/>
      <c r="AV41" s="615">
        <f>INDEX('qtrP&amp;L'!$220:$220,MATCH(AV$7,'qtrP&amp;L'!$6:$6,0))</f>
        <v>273</v>
      </c>
      <c r="AW41" s="615">
        <f>INDEX('qtrP&amp;L'!$221:$221,MATCH(AV$7,'qtrP&amp;L'!$6:$6,0))</f>
        <v>272.39999999999998</v>
      </c>
      <c r="AX41" s="615">
        <f>INDEX('qtrP&amp;L'!$222:$222,MATCH(AV$7,'qtrP&amp;L'!$6:$6,0))</f>
        <v>272.3</v>
      </c>
      <c r="AY41" s="615">
        <f>INDEX('qtrP&amp;L'!$223:$223,MATCH(AV$7,'qtrP&amp;L'!$6:$6,0))</f>
        <v>268.89999999999998</v>
      </c>
      <c r="AZ41" s="615"/>
      <c r="BA41" s="615">
        <f>INDEX('qtrP&amp;L'!$220:$220,MATCH(BA$7,'qtrP&amp;L'!$6:$6,0))</f>
        <v>272.3</v>
      </c>
      <c r="BB41" s="615">
        <f>INDEX('qtrP&amp;L'!$221:$221,MATCH(BA$7,'qtrP&amp;L'!$6:$6,0))</f>
        <v>276.10000000000002</v>
      </c>
      <c r="BC41" s="615">
        <f>INDEX('qtrP&amp;L'!$222:$222,MATCH(BA$7,'qtrP&amp;L'!$6:$6,0))</f>
        <v>276.2</v>
      </c>
      <c r="BD41" s="615">
        <f>INDEX('qtrP&amp;L'!$223:$223,MATCH(BA$7,'qtrP&amp;L'!$6:$6,0))</f>
        <v>276</v>
      </c>
      <c r="BE41" s="615"/>
      <c r="BF41" s="615">
        <f>INDEX('qtrP&amp;L'!$220:$220,MATCH(BF$7,'qtrP&amp;L'!$6:$6,0))</f>
        <v>275.7</v>
      </c>
      <c r="BG41" s="615">
        <f>INDEX('qtrP&amp;L'!$221:$221,MATCH(BF$7,'qtrP&amp;L'!$6:$6,0))</f>
        <v>275.8</v>
      </c>
      <c r="BH41" s="615">
        <f>INDEX('qtrP&amp;L'!$222:$222,MATCH(BF$7,'qtrP&amp;L'!$6:$6,0))</f>
        <v>275.8</v>
      </c>
      <c r="BI41" s="615">
        <f>INDEX('qtrP&amp;L'!$223:$223,MATCH(BF$7,'qtrP&amp;L'!$6:$6,0))</f>
        <v>277.10000000000002</v>
      </c>
      <c r="BJ41" s="615"/>
      <c r="BK41" s="615">
        <f>INDEX('qtrP&amp;L'!$220:$220,MATCH(BK$7,'qtrP&amp;L'!$6:$6,0))</f>
        <v>264</v>
      </c>
      <c r="BL41" s="615">
        <f>INDEX('qtrP&amp;L'!$221:$221,MATCH(BK$7,'qtrP&amp;L'!$6:$6,0))</f>
        <v>263</v>
      </c>
      <c r="BM41" s="615">
        <f>INDEX('qtrP&amp;L'!$222:$222,MATCH(BK$7,'qtrP&amp;L'!$6:$6,0))</f>
        <v>268</v>
      </c>
      <c r="BN41" s="615">
        <f>INDEX('qtrP&amp;L'!$223:$223,MATCH(BK$7,'qtrP&amp;L'!$6:$6,0))</f>
        <v>291.2</v>
      </c>
      <c r="BO41" s="615"/>
      <c r="BP41" s="615">
        <f>INDEX('qtrP&amp;L'!$220:$220,MATCH(BP$7,'qtrP&amp;L'!$6:$6,0))</f>
        <v>269</v>
      </c>
      <c r="BQ41" s="615">
        <f>INDEX('qtrP&amp;L'!$221:$221,MATCH(BP$7,'qtrP&amp;L'!$6:$6,0))</f>
        <v>268</v>
      </c>
      <c r="BR41" s="615">
        <f>INDEX('qtrP&amp;L'!$222:$222,MATCH(BP$7,'qtrP&amp;L'!$6:$6,0))</f>
        <v>269</v>
      </c>
      <c r="BS41" s="615">
        <f>INDEX('qtrP&amp;L'!$223:$223,MATCH(BP$7,'qtrP&amp;L'!$6:$6,0))</f>
        <v>294</v>
      </c>
      <c r="BT41" s="615"/>
      <c r="BU41" s="615">
        <f>INDEX('qtrP&amp;L'!$220:$220,MATCH(BU$7,'qtrP&amp;L'!$6:$6,0))</f>
        <v>272.7</v>
      </c>
      <c r="BV41" s="615">
        <f>INDEX('qtrP&amp;L'!$221:$221,MATCH(BU$7,'qtrP&amp;L'!$6:$6,0))</f>
        <v>272</v>
      </c>
      <c r="BW41" s="615">
        <f>INDEX('qtrP&amp;L'!$222:$222,MATCH(BU$7,'qtrP&amp;L'!$6:$6,0))</f>
        <v>298</v>
      </c>
      <c r="BX41" s="615">
        <f>INDEX('qtrP&amp;L'!$223:$223,MATCH(BU$7,'qtrP&amp;L'!$6:$6,0))</f>
        <v>311</v>
      </c>
      <c r="BY41" s="615"/>
      <c r="BZ41" s="615">
        <f>INDEX('qtrP&amp;L'!$220:$220,MATCH(BZ$7,'qtrP&amp;L'!$6:$6,0))</f>
        <v>305.8</v>
      </c>
      <c r="CA41" s="615">
        <f>INDEX('qtrP&amp;L'!$221:$221,MATCH(BZ$7,'qtrP&amp;L'!$6:$6,0))</f>
        <v>287.39999999999998</v>
      </c>
      <c r="CB41" s="615">
        <f>INDEX('qtrP&amp;L'!$222:$222,MATCH(BZ$7,'qtrP&amp;L'!$6:$6,0))</f>
        <v>309</v>
      </c>
      <c r="CC41" s="615">
        <f>INDEX('qtrP&amp;L'!$223:$223,MATCH(BZ$7,'qtrP&amp;L'!$6:$6,0))</f>
        <v>284.89999999999998</v>
      </c>
      <c r="CD41" s="615"/>
      <c r="CE41" s="615">
        <f>INDEX('qtrP&amp;L'!$220:$220,MATCH(CE$7,'qtrP&amp;L'!$6:$6,0))</f>
        <v>274</v>
      </c>
      <c r="CF41" s="615">
        <f>INDEX('qtrP&amp;L'!$221:$221,MATCH(CE$7,'qtrP&amp;L'!$6:$6,0))</f>
        <v>264.5</v>
      </c>
      <c r="CG41" s="615">
        <f>INDEX('qtrP&amp;L'!$222:$222,MATCH(CE$7,'qtrP&amp;L'!$6:$6,0))</f>
        <v>248.6</v>
      </c>
      <c r="CH41" s="615">
        <f>INDEX('qtrP&amp;L'!$223:$223,MATCH(CE$7,'qtrP&amp;L'!$6:$6,0))</f>
        <v>234.9</v>
      </c>
      <c r="CI41" s="615"/>
      <c r="CJ41" s="615">
        <f>INDEX('qtrP&amp;L'!$220:$220,MATCH(CJ$7,'qtrP&amp;L'!$6:$6,0))</f>
        <v>236.3</v>
      </c>
      <c r="CK41" s="615">
        <f>INDEX('qtrP&amp;L'!$221:$221,MATCH(CJ$7,'qtrP&amp;L'!$6:$6,0))</f>
        <v>235.4</v>
      </c>
      <c r="CL41" s="615">
        <f>INDEX('qtrP&amp;L'!$222:$222,MATCH(CJ$7,'qtrP&amp;L'!$6:$6,0))</f>
        <v>227.6</v>
      </c>
      <c r="CM41" s="615">
        <f>INDEX('qtrP&amp;L'!$223:$223,MATCH(CJ$7,'qtrP&amp;L'!$6:$6,0))</f>
        <v>228.4</v>
      </c>
      <c r="CN41" s="615"/>
      <c r="CO41" s="615">
        <f>INDEX('qtrP&amp;L'!$220:$220,MATCH(CO$7,'qtrP&amp;L'!$6:$6,0))</f>
        <v>228.8</v>
      </c>
      <c r="CP41" s="615">
        <f>INDEX('qtrP&amp;L'!$221:$221,MATCH(CO$7,'qtrP&amp;L'!$6:$6,0))</f>
        <v>225.3</v>
      </c>
      <c r="CQ41" s="615">
        <f>INDEX('qtrP&amp;L'!$222:$222,MATCH(CO$7,'qtrP&amp;L'!$6:$6,0))</f>
        <v>223.7</v>
      </c>
      <c r="CR41" s="615">
        <f>INDEX('qtrP&amp;L'!$223:$223,MATCH(CO$7,'qtrP&amp;L'!$6:$6,0))</f>
        <v>222.9</v>
      </c>
      <c r="CS41" s="615"/>
      <c r="CT41" s="615">
        <f>INDEX('qtrP&amp;L'!$220:$220,MATCH(CT$7,'qtrP&amp;L'!$6:$6,0))</f>
        <v>223</v>
      </c>
      <c r="CU41" s="615">
        <f>INDEX('qtrP&amp;L'!$221:$221,MATCH(CT$7,'qtrP&amp;L'!$6:$6,0))</f>
        <v>223</v>
      </c>
      <c r="CV41" s="615">
        <f>INDEX('qtrP&amp;L'!$222:$222,MATCH(CT$7,'qtrP&amp;L'!$6:$6,0))</f>
        <v>222.9</v>
      </c>
      <c r="CW41" s="615">
        <f>INDEX('qtrP&amp;L'!$223:$223,MATCH(CT$7,'qtrP&amp;L'!$6:$6,0))</f>
        <v>222.6</v>
      </c>
      <c r="CX41" s="615"/>
      <c r="CY41" s="615">
        <f>INDEX('qtrP&amp;L'!$220:$220,MATCH(CY$7,'qtrP&amp;L'!$6:$6,0))</f>
        <v>222.7</v>
      </c>
      <c r="CZ41" s="615">
        <f>INDEX('qtrP&amp;L'!$221:$221,MATCH(CY$7,'qtrP&amp;L'!$6:$6,0))</f>
        <v>233.8</v>
      </c>
      <c r="DA41" s="615">
        <f>INDEX('qtrP&amp;L'!$222:$222,MATCH(CY$7,'qtrP&amp;L'!$6:$6,0))</f>
        <v>237.6</v>
      </c>
      <c r="DB41" s="615">
        <f>INDEX('qtrP&amp;L'!$223:$223,MATCH(CY$7,'qtrP&amp;L'!$6:$6,0))</f>
        <v>237.3</v>
      </c>
      <c r="DC41" s="615"/>
      <c r="DD41" s="645">
        <f>INDEX('qtrP&amp;L'!$220:$220,MATCH(DD$7,'qtrP&amp;L'!$6:$6,0))</f>
        <v>237.6</v>
      </c>
      <c r="DE41" s="645">
        <f>INDEX('qtrP&amp;L'!$221:$221,MATCH(DD$7,'qtrP&amp;L'!$6:$6,0))</f>
        <v>237.6</v>
      </c>
      <c r="DF41" s="645">
        <f>INDEX('qtrP&amp;L'!$222:$222,MATCH(DD$7,'qtrP&amp;L'!$6:$6,0))</f>
        <v>237.8</v>
      </c>
      <c r="DG41" s="645">
        <f>INDEX('qtrP&amp;L'!$223:$223,MATCH(DD$7,'qtrP&amp;L'!$6:$6,0))</f>
        <v>239</v>
      </c>
      <c r="DH41" s="645"/>
      <c r="DI41" s="645">
        <f>INDEX('qtrP&amp;L'!$220:$220,MATCH(DI$7,'qtrP&amp;L'!$6:$6,0))</f>
        <v>231.7</v>
      </c>
      <c r="DJ41" s="645">
        <f>INDEX('qtrP&amp;L'!$221:$221,MATCH(DI$7,'qtrP&amp;L'!$6:$6,0))</f>
        <v>216.3</v>
      </c>
      <c r="DK41" s="645">
        <f>INDEX('qtrP&amp;L'!$222:$222,MATCH(DI$7,'qtrP&amp;L'!$6:$6,0))</f>
        <v>215.5</v>
      </c>
      <c r="DL41" s="645">
        <f>INDEX('qtrP&amp;L'!$223:$223,MATCH(DI$7,'qtrP&amp;L'!$6:$6,0))</f>
        <v>213.7</v>
      </c>
      <c r="DM41" s="645"/>
      <c r="DN41" s="645">
        <f>INDEX('qtrP&amp;L'!$220:$220,MATCH(DN$7,'qtrP&amp;L'!$6:$6,0))</f>
        <v>218.3</v>
      </c>
      <c r="DO41" s="645">
        <f>INDEX('qtrP&amp;L'!$221:$221,MATCH(DN$7,'qtrP&amp;L'!$6:$6,0))</f>
        <v>218.8</v>
      </c>
      <c r="DP41" s="645">
        <f>INDEX('qtrP&amp;L'!$222:$222,MATCH(DN$7,'qtrP&amp;L'!$6:$6,0))</f>
        <v>219.4</v>
      </c>
      <c r="DQ41" s="645">
        <f>INDEX('qtrP&amp;L'!$223:$223,MATCH(DN$7,'qtrP&amp;L'!$6:$6,0))</f>
        <v>219.5</v>
      </c>
      <c r="DR41" s="645"/>
      <c r="DS41" s="645">
        <f>INDEX('qtrP&amp;L'!$220:$220,MATCH(DS$7,'qtrP&amp;L'!$6:$6,0))</f>
        <v>219.9</v>
      </c>
      <c r="DT41" s="645">
        <f>INDEX('qtrP&amp;L'!$221:$221,MATCH(DS$7,'qtrP&amp;L'!$6:$6,0))</f>
        <v>220.4</v>
      </c>
      <c r="DU41" s="645">
        <f>INDEX('qtrP&amp;L'!$222:$222,MATCH(DS$7,'qtrP&amp;L'!$6:$6,0))</f>
        <v>251.8</v>
      </c>
      <c r="DV41" s="645">
        <f>INDEX('qtrP&amp;L'!$223:$223,MATCH(DS$7,'qtrP&amp;L'!$6:$6,0))</f>
        <v>304.89999999999998</v>
      </c>
      <c r="DW41" s="645"/>
      <c r="DX41" s="645">
        <f>INDEX('qtrP&amp;L'!$220:$220,MATCH(DX$7,'qtrP&amp;L'!$6:$6,0))</f>
        <v>305</v>
      </c>
      <c r="DY41" s="645">
        <f>INDEX('qtrP&amp;L'!$221:$221,MATCH(DX$7,'qtrP&amp;L'!$6:$6,0))</f>
        <v>304.8</v>
      </c>
      <c r="DZ41" s="645">
        <f>INDEX('qtrP&amp;L'!$222:$222,MATCH(DX$7,'qtrP&amp;L'!$6:$6,0))</f>
        <v>305.3</v>
      </c>
      <c r="EA41" s="645">
        <f>INDEX('qtrP&amp;L'!$223:$223,MATCH(DX$7,'qtrP&amp;L'!$6:$6,0))</f>
        <v>305.3</v>
      </c>
      <c r="EB41" s="645"/>
      <c r="EC41" s="645">
        <f>INDEX('qtrP&amp;L'!$220:$220,MATCH(EC$7,'qtrP&amp;L'!$6:$6,0))</f>
        <v>305.5</v>
      </c>
      <c r="ED41" s="645">
        <f>INDEX('qtrP&amp;L'!$221:$221,MATCH(EC$7,'qtrP&amp;L'!$6:$6,0))</f>
        <v>305.89999999999998</v>
      </c>
      <c r="EE41" s="645">
        <f>INDEX('qtrP&amp;L'!$222:$222,MATCH(EC$7,'qtrP&amp;L'!$6:$6,0))</f>
        <v>306</v>
      </c>
      <c r="EF41" s="645">
        <f>INDEX('qtrP&amp;L'!$223:$223,MATCH(EC$7,'qtrP&amp;L'!$6:$6,0))</f>
        <v>306.39999999999998</v>
      </c>
      <c r="EG41" s="645"/>
      <c r="EH41" s="645">
        <f>INDEX('qtrP&amp;L'!$220:$220,MATCH(EH$7,'qtrP&amp;L'!$6:$6,0))</f>
        <v>307.2</v>
      </c>
      <c r="EI41" s="645">
        <f>INDEX('qtrP&amp;L'!$221:$221,MATCH(EH$7,'qtrP&amp;L'!$6:$6,0))</f>
        <v>308</v>
      </c>
      <c r="EJ41" s="645">
        <f>INDEX('qtrP&amp;L'!$222:$222,MATCH(EH$7,'qtrP&amp;L'!$6:$6,0))</f>
        <v>308.3</v>
      </c>
      <c r="EK41" s="645">
        <f>INDEX('qtrP&amp;L'!$223:$223,MATCH(EH$7,'qtrP&amp;L'!$6:$6,0))</f>
        <v>313.8</v>
      </c>
      <c r="EL41" s="645"/>
      <c r="EM41" s="645">
        <f>INDEX('qtrP&amp;L'!$220:$220,MATCH(EM$7,'qtrP&amp;L'!$6:$6,0))</f>
        <v>309.60000000000002</v>
      </c>
      <c r="EN41" s="645">
        <f>INDEX('qtrP&amp;L'!$221:$221,MATCH(EM$7,'qtrP&amp;L'!$6:$6,0))</f>
        <v>310.8</v>
      </c>
      <c r="EO41" s="645">
        <f>INDEX('qtrP&amp;L'!$222:$222,MATCH(EM$7,'qtrP&amp;L'!$6:$6,0))</f>
        <v>311.60000000000002</v>
      </c>
      <c r="EP41" s="645">
        <f>INDEX('qtrP&amp;L'!$223:$223,MATCH(EM$7,'qtrP&amp;L'!$6:$6,0))</f>
        <v>314.60000000000002</v>
      </c>
      <c r="EQ41" s="645"/>
      <c r="ER41" s="1475">
        <f>INDEX('qtrP&amp;L'!$220:$220,MATCH(ER$7,'qtrP&amp;L'!$6:$6,0))</f>
        <v>314.60000000000002</v>
      </c>
      <c r="ES41" s="1475">
        <f>INDEX('qtrP&amp;L'!$221:$221,MATCH(ER$7,'qtrP&amp;L'!$6:$6,0))</f>
        <v>314.60000000000002</v>
      </c>
      <c r="ET41" s="1475">
        <f>INDEX('qtrP&amp;L'!$222:$222,MATCH(ER$7,'qtrP&amp;L'!$6:$6,0))</f>
        <v>314.60000000000002</v>
      </c>
      <c r="EU41" s="1475">
        <f>INDEX('qtrP&amp;L'!$223:$223,MATCH(ER$7,'qtrP&amp;L'!$6:$6,0))</f>
        <v>314.60000000000002</v>
      </c>
      <c r="EV41" s="507"/>
      <c r="EW41" s="646">
        <f>INDEX('qtrP&amp;L'!$224:$224,MATCH(EW$7,'qtrP&amp;L'!$6:$6,0))</f>
        <v>267.39999999999998</v>
      </c>
      <c r="EX41" s="645">
        <f>INDEX('qtrP&amp;L'!$224:$224,MATCH(EX$7,'qtrP&amp;L'!$6:$6,0))</f>
        <v>259.8</v>
      </c>
      <c r="EY41" s="645">
        <f>INDEX('qtrP&amp;L'!$224:$224,MATCH(EY$7,'qtrP&amp;L'!$6:$6,0))</f>
        <v>256.8</v>
      </c>
      <c r="EZ41" s="645">
        <f>INDEX('qtrP&amp;L'!$224:$224,MATCH(EZ$7,'qtrP&amp;L'!$6:$6,0))</f>
        <v>258.60000000000002</v>
      </c>
      <c r="FA41" s="645">
        <f>INDEX('qtrP&amp;L'!$224:$224,MATCH(FA$7,'qtrP&amp;L'!$6:$6,0))</f>
        <v>261.5</v>
      </c>
      <c r="FB41" s="645">
        <f>INDEX('qtrP&amp;L'!$224:$224,MATCH(FB$7,'qtrP&amp;L'!$6:$6,0))</f>
        <v>258.39999999999998</v>
      </c>
      <c r="FC41" s="645">
        <f>INDEX('qtrP&amp;L'!$224:$224,MATCH(FC$7,'qtrP&amp;L'!$6:$6,0))</f>
        <v>249.5</v>
      </c>
      <c r="FD41" s="645">
        <f>INDEX('qtrP&amp;L'!$224:$224,MATCH(FD$7,'qtrP&amp;L'!$6:$6,0))</f>
        <v>248.5</v>
      </c>
      <c r="FE41" s="645">
        <f>INDEX('qtrP&amp;L'!$224:$224,MATCH(FE$7,'qtrP&amp;L'!$6:$6,0))</f>
        <v>267.82499999999999</v>
      </c>
      <c r="FF41" s="645">
        <f>INDEX('qtrP&amp;L'!$224:$224,MATCH(FF$7,'qtrP&amp;L'!$6:$6,0))</f>
        <v>271.64999999999998</v>
      </c>
      <c r="FG41" s="645">
        <f>INDEX('qtrP&amp;L'!$224:$224,MATCH(FG$7,'qtrP&amp;L'!$6:$6,0))</f>
        <v>275.10000000000002</v>
      </c>
      <c r="FH41" s="645">
        <f>INDEX('qtrP&amp;L'!$224:$224,MATCH(FH$7,'qtrP&amp;L'!$6:$6,0))</f>
        <v>276.2</v>
      </c>
      <c r="FI41" s="645">
        <f>INDEX('qtrP&amp;L'!$224:$224,MATCH(FI$7,'qtrP&amp;L'!$6:$6,0))</f>
        <v>267</v>
      </c>
      <c r="FJ41" s="645">
        <f>INDEX('qtrP&amp;L'!$224:$224,MATCH(FJ$7,'qtrP&amp;L'!$6:$6,0))</f>
        <v>293</v>
      </c>
      <c r="FK41" s="645">
        <f>INDEX('qtrP&amp;L'!$224:$224,MATCH(FK$7,'qtrP&amp;L'!$6:$6,0))</f>
        <v>297</v>
      </c>
      <c r="FL41" s="645">
        <f>INDEX('qtrP&amp;L'!$224:$224,MATCH(FL$7,'qtrP&amp;L'!$6:$6,0))</f>
        <v>302.42500000000001</v>
      </c>
      <c r="FM41" s="646">
        <f>INDEX('qtrP&amp;L'!$224:$224,MATCH(FM$7,'qtrP&amp;L'!$6:$6,0))</f>
        <v>255.4</v>
      </c>
      <c r="FN41" s="646">
        <f>INDEX('qtrP&amp;L'!$224:$224,MATCH(FN$7,'qtrP&amp;L'!$6:$6,0))</f>
        <v>232.2</v>
      </c>
      <c r="FO41" s="645">
        <f>INDEX('qtrP&amp;L'!$224:$224,MATCH(FO$7,'qtrP&amp;L'!$6:$6,0))</f>
        <v>225.17500000000001</v>
      </c>
      <c r="FP41" s="645">
        <f>INDEX('qtrP&amp;L'!$224:$224,MATCH(FP$7,'qtrP&amp;L'!$6:$6,0))</f>
        <v>222.875</v>
      </c>
      <c r="FQ41" s="646">
        <f>INDEX('qtrP&amp;L'!$224:$224,MATCH(FQ$7,'qtrP&amp;L'!$6:$6,0))</f>
        <v>232.85</v>
      </c>
      <c r="FR41" s="646">
        <f>INDEX('qtrP&amp;L'!$224:$224,MATCH(FR$7,'qtrP&amp;L'!$6:$6,0))</f>
        <v>238</v>
      </c>
      <c r="FS41" s="645">
        <f>INDEX('qtrP&amp;L'!$224:$224,MATCH(FS$7,'qtrP&amp;L'!$6:$6,0))</f>
        <v>217.4</v>
      </c>
      <c r="FT41" s="645">
        <f>'yrP&amp;L'!AA78</f>
        <v>219.2</v>
      </c>
      <c r="FU41" s="645">
        <f>'yrP&amp;L'!AB78</f>
        <v>249.3</v>
      </c>
      <c r="FV41" s="645">
        <f>'yrP&amp;L'!AC78</f>
        <v>305.2</v>
      </c>
      <c r="FW41" s="645">
        <f>'yrP&amp;L'!AD78</f>
        <v>305.89999999999998</v>
      </c>
      <c r="FX41" s="645">
        <f>'yrP&amp;L'!AE78</f>
        <v>313</v>
      </c>
      <c r="FY41" s="645">
        <f>'yrP&amp;L'!AF78</f>
        <v>311.10000000000002</v>
      </c>
      <c r="FZ41" s="645">
        <f>'yrP&amp;L'!AG78</f>
        <v>314.60000000000002</v>
      </c>
      <c r="GA41" s="645">
        <f>'yrP&amp;L'!AH78</f>
        <v>314.60000000000002</v>
      </c>
      <c r="GB41" s="1268">
        <f>'yrP&amp;L'!AI78</f>
        <v>314.60000000000002</v>
      </c>
      <c r="GC41" s="645">
        <f>'yrP&amp;L'!AJ78</f>
        <v>314.60000000000002</v>
      </c>
      <c r="GD41" s="1491">
        <f>'yrP&amp;L'!AK78</f>
        <v>314.60000000000002</v>
      </c>
      <c r="GE41" s="578"/>
    </row>
    <row r="42" spans="1:261" hidden="1" outlineLevel="1">
      <c r="A42" s="500" t="s">
        <v>241</v>
      </c>
      <c r="B42" s="507"/>
      <c r="C42" s="615">
        <f>INDEX('qtrP&amp;L'!$240:$240,MATCH(C$7,'qtrP&amp;L'!$6:$6,0))</f>
        <v>245.8</v>
      </c>
      <c r="D42" s="615">
        <f>INDEX('qtrP&amp;L'!$241:$241,MATCH(C$7,'qtrP&amp;L'!$6:$6,0))</f>
        <v>243</v>
      </c>
      <c r="E42" s="615">
        <f>INDEX('qtrP&amp;L'!$242:$242,MATCH(C$7,'qtrP&amp;L'!$6:$6,0))</f>
        <v>242.4</v>
      </c>
      <c r="F42" s="615">
        <f>INDEX('qtrP&amp;L'!$243:$243,MATCH(C$7,'qtrP&amp;L'!$6:$6,0))</f>
        <v>242.4</v>
      </c>
      <c r="G42" s="615"/>
      <c r="H42" s="615">
        <f>INDEX('qtrP&amp;L'!$240:$240,MATCH(H$7,'qtrP&amp;L'!$6:$6,0))</f>
        <v>241.8</v>
      </c>
      <c r="I42" s="615">
        <f>INDEX('qtrP&amp;L'!$241:$241,MATCH(H$7,'qtrP&amp;L'!$6:$6,0))</f>
        <v>236.6</v>
      </c>
      <c r="J42" s="615">
        <f>INDEX('qtrP&amp;L'!$242:$242,MATCH(H$7,'qtrP&amp;L'!$6:$6,0))</f>
        <v>233.8</v>
      </c>
      <c r="K42" s="615">
        <f>INDEX('qtrP&amp;L'!$243:$243,MATCH(H$7,'qtrP&amp;L'!$6:$6,0))</f>
        <v>233.6</v>
      </c>
      <c r="L42" s="615"/>
      <c r="M42" s="615">
        <f>INDEX('qtrP&amp;L'!$240:$240,MATCH(M$7,'qtrP&amp;L'!$6:$6,0))</f>
        <v>233.6</v>
      </c>
      <c r="N42" s="615">
        <f>INDEX('qtrP&amp;L'!$241:$241,MATCH(M$7,'qtrP&amp;L'!$6:$6,0))</f>
        <v>233.6</v>
      </c>
      <c r="O42" s="615">
        <f>INDEX('qtrP&amp;L'!$242:$242,MATCH(M$7,'qtrP&amp;L'!$6:$6,0))</f>
        <v>233.6</v>
      </c>
      <c r="P42" s="615">
        <f>INDEX('qtrP&amp;L'!$243:$243,MATCH(M$7,'qtrP&amp;L'!$6:$6,0))</f>
        <v>233.6</v>
      </c>
      <c r="Q42" s="615"/>
      <c r="R42" s="615">
        <f>INDEX('qtrP&amp;L'!$240:$240,MATCH(R$7,'qtrP&amp;L'!$6:$6,0))</f>
        <v>234</v>
      </c>
      <c r="S42" s="615">
        <f>INDEX('qtrP&amp;L'!$241:$241,MATCH(R$7,'qtrP&amp;L'!$6:$6,0))</f>
        <v>236</v>
      </c>
      <c r="T42" s="615">
        <f>INDEX('qtrP&amp;L'!$242:$242,MATCH(R$7,'qtrP&amp;L'!$6:$6,0))</f>
        <v>235.8</v>
      </c>
      <c r="U42" s="615">
        <f>INDEX('qtrP&amp;L'!$243:$243,MATCH(R$7,'qtrP&amp;L'!$6:$6,0))</f>
        <v>236.2</v>
      </c>
      <c r="V42" s="615"/>
      <c r="W42" s="615">
        <f>INDEX('qtrP&amp;L'!$240:$240,MATCH(W$7,'qtrP&amp;L'!$6:$6,0))</f>
        <v>237.9</v>
      </c>
      <c r="X42" s="615">
        <f>INDEX('qtrP&amp;L'!$241:$241,MATCH(W$7,'qtrP&amp;L'!$6:$6,0))</f>
        <v>239.1</v>
      </c>
      <c r="Y42" s="615">
        <f>INDEX('qtrP&amp;L'!$242:$242,MATCH(W$7,'qtrP&amp;L'!$6:$6,0))</f>
        <v>239</v>
      </c>
      <c r="Z42" s="615">
        <f>INDEX('qtrP&amp;L'!$243:$243,MATCH(W$7,'qtrP&amp;L'!$6:$6,0))</f>
        <v>240</v>
      </c>
      <c r="AA42" s="615"/>
      <c r="AB42" s="615">
        <f>INDEX('qtrP&amp;L'!$240:$240,MATCH(AB$7,'qtrP&amp;L'!$6:$6,0))</f>
        <v>240.3</v>
      </c>
      <c r="AC42" s="615">
        <f>INDEX('qtrP&amp;L'!$241:$241,MATCH(AB$7,'qtrP&amp;L'!$6:$6,0))</f>
        <v>240.3</v>
      </c>
      <c r="AD42" s="615">
        <f>INDEX('qtrP&amp;L'!$242:$242,MATCH(AB$7,'qtrP&amp;L'!$6:$6,0))</f>
        <v>240.3</v>
      </c>
      <c r="AE42" s="615">
        <f>INDEX('qtrP&amp;L'!$243:$243,MATCH(AB$7,'qtrP&amp;L'!$6:$6,0))</f>
        <v>234</v>
      </c>
      <c r="AF42" s="615"/>
      <c r="AG42" s="615">
        <f>INDEX('qtrP&amp;L'!$240:$240,MATCH(AG$7,'qtrP&amp;L'!$6:$6,0))</f>
        <v>231.5</v>
      </c>
      <c r="AH42" s="615">
        <f>INDEX('qtrP&amp;L'!$241:$241,MATCH(AG$7,'qtrP&amp;L'!$6:$6,0))</f>
        <v>229</v>
      </c>
      <c r="AI42" s="615">
        <f>INDEX('qtrP&amp;L'!$242:$242,MATCH(AG$7,'qtrP&amp;L'!$6:$6,0))</f>
        <v>226.5</v>
      </c>
      <c r="AJ42" s="615">
        <f>INDEX('qtrP&amp;L'!$243:$243,MATCH(AG$7,'qtrP&amp;L'!$6:$6,0))</f>
        <v>227</v>
      </c>
      <c r="AK42" s="615"/>
      <c r="AL42" s="615">
        <f>INDEX('qtrP&amp;L'!$240:$240,MATCH(AL$7,'qtrP&amp;L'!$6:$6,0))</f>
        <v>227.2</v>
      </c>
      <c r="AM42" s="615">
        <f>INDEX('qtrP&amp;L'!$241:$241,MATCH(AL$7,'qtrP&amp;L'!$6:$6,0))</f>
        <v>227.8</v>
      </c>
      <c r="AN42" s="615">
        <f>INDEX('qtrP&amp;L'!$242:$242,MATCH(AL$7,'qtrP&amp;L'!$6:$6,0))</f>
        <v>229</v>
      </c>
      <c r="AO42" s="615">
        <f>INDEX('qtrP&amp;L'!$243:$243,MATCH(AL$7,'qtrP&amp;L'!$6:$6,0))</f>
        <v>233</v>
      </c>
      <c r="AP42" s="615"/>
      <c r="AQ42" s="615">
        <f>INDEX('qtrP&amp;L'!$240:$240,MATCH(AQ$7,'qtrP&amp;L'!$6:$6,0))</f>
        <v>244</v>
      </c>
      <c r="AR42" s="615">
        <f>INDEX('qtrP&amp;L'!$241:$241,MATCH(AQ$7,'qtrP&amp;L'!$6:$6,0))</f>
        <v>244</v>
      </c>
      <c r="AS42" s="615">
        <f>INDEX('qtrP&amp;L'!$242:$242,MATCH(AQ$7,'qtrP&amp;L'!$6:$6,0))</f>
        <v>244</v>
      </c>
      <c r="AT42" s="615">
        <f>INDEX('qtrP&amp;L'!$243:$243,MATCH(AQ$7,'qtrP&amp;L'!$6:$6,0))</f>
        <v>244</v>
      </c>
      <c r="AU42" s="615"/>
      <c r="AV42" s="615">
        <f>INDEX('qtrP&amp;L'!$240:$240,MATCH(AV$7,'qtrP&amp;L'!$6:$6,0))</f>
        <v>244</v>
      </c>
      <c r="AW42" s="615">
        <f>INDEX('qtrP&amp;L'!$241:$241,MATCH(AV$7,'qtrP&amp;L'!$6:$6,0))</f>
        <v>244</v>
      </c>
      <c r="AX42" s="615">
        <f>INDEX('qtrP&amp;L'!$242:$242,MATCH(AV$7,'qtrP&amp;L'!$6:$6,0))</f>
        <v>244</v>
      </c>
      <c r="AY42" s="615">
        <f>INDEX('qtrP&amp;L'!$243:$243,MATCH(AV$7,'qtrP&amp;L'!$6:$6,0))</f>
        <v>244</v>
      </c>
      <c r="AZ42" s="615"/>
      <c r="BA42" s="615">
        <f>INDEX('qtrP&amp;L'!$240:$240,MATCH(BA$7,'qtrP&amp;L'!$6:$6,0))</f>
        <v>244</v>
      </c>
      <c r="BB42" s="615">
        <f>INDEX('qtrP&amp;L'!$241:$241,MATCH(BA$7,'qtrP&amp;L'!$6:$6,0))</f>
        <v>244</v>
      </c>
      <c r="BC42" s="615">
        <f>INDEX('qtrP&amp;L'!$242:$242,MATCH(BA$7,'qtrP&amp;L'!$6:$6,0))</f>
        <v>244</v>
      </c>
      <c r="BD42" s="615">
        <f>INDEX('qtrP&amp;L'!$243:$243,MATCH(BA$7,'qtrP&amp;L'!$6:$6,0))</f>
        <v>244</v>
      </c>
      <c r="BE42" s="615"/>
      <c r="BF42" s="615">
        <f>INDEX('qtrP&amp;L'!$240:$240,MATCH(BF$7,'qtrP&amp;L'!$6:$6,0))</f>
        <v>244</v>
      </c>
      <c r="BG42" s="615">
        <f>INDEX('qtrP&amp;L'!$241:$241,MATCH(BF$7,'qtrP&amp;L'!$6:$6,0))</f>
        <v>244</v>
      </c>
      <c r="BH42" s="615">
        <f>INDEX('qtrP&amp;L'!$242:$242,MATCH(BF$7,'qtrP&amp;L'!$6:$6,0))</f>
        <v>244</v>
      </c>
      <c r="BI42" s="615">
        <f>INDEX('qtrP&amp;L'!$243:$243,MATCH(BF$7,'qtrP&amp;L'!$6:$6,0))</f>
        <v>244</v>
      </c>
      <c r="BJ42" s="615"/>
      <c r="BK42" s="615">
        <f>INDEX('qtrP&amp;L'!$240:$240,MATCH(BK$7,'qtrP&amp;L'!$6:$6,0))</f>
        <v>244</v>
      </c>
      <c r="BL42" s="615">
        <f>INDEX('qtrP&amp;L'!$241:$241,MATCH(BK$7,'qtrP&amp;L'!$6:$6,0))</f>
        <v>244</v>
      </c>
      <c r="BM42" s="615">
        <f>INDEX('qtrP&amp;L'!$242:$242,MATCH(BK$7,'qtrP&amp;L'!$6:$6,0))</f>
        <v>244</v>
      </c>
      <c r="BN42" s="615">
        <f>INDEX('qtrP&amp;L'!$243:$243,MATCH(BK$7,'qtrP&amp;L'!$6:$6,0))</f>
        <v>244</v>
      </c>
      <c r="BO42" s="615"/>
      <c r="BP42" s="615">
        <f>INDEX('qtrP&amp;L'!$240:$240,MATCH(BP$7,'qtrP&amp;L'!$6:$6,0))</f>
        <v>244</v>
      </c>
      <c r="BQ42" s="615">
        <f>INDEX('qtrP&amp;L'!$241:$241,MATCH(BP$7,'qtrP&amp;L'!$6:$6,0))</f>
        <v>244</v>
      </c>
      <c r="BR42" s="615">
        <f>INDEX('qtrP&amp;L'!$242:$242,MATCH(BP$7,'qtrP&amp;L'!$6:$6,0))</f>
        <v>244</v>
      </c>
      <c r="BS42" s="615">
        <f>INDEX('qtrP&amp;L'!$243:$243,MATCH(BP$7,'qtrP&amp;L'!$6:$6,0))</f>
        <v>244</v>
      </c>
      <c r="BT42" s="615"/>
      <c r="BU42" s="615">
        <f>INDEX('qtrP&amp;L'!$240:$240,MATCH(BU$7,'qtrP&amp;L'!$6:$6,0))</f>
        <v>244</v>
      </c>
      <c r="BV42" s="615">
        <f>INDEX('qtrP&amp;L'!$241:$241,MATCH(BU$7,'qtrP&amp;L'!$6:$6,0))</f>
        <v>244</v>
      </c>
      <c r="BW42" s="615">
        <f>INDEX('qtrP&amp;L'!$242:$242,MATCH(BU$7,'qtrP&amp;L'!$6:$6,0))</f>
        <v>272</v>
      </c>
      <c r="BX42" s="615">
        <f>INDEX('qtrP&amp;L'!$243:$243,MATCH(BU$7,'qtrP&amp;L'!$6:$6,0))</f>
        <v>272</v>
      </c>
      <c r="BY42" s="615"/>
      <c r="BZ42" s="615">
        <f>INDEX('qtrP&amp;L'!$240:$240,MATCH(BZ$7,'qtrP&amp;L'!$6:$6,0))</f>
        <v>277.7</v>
      </c>
      <c r="CA42" s="615">
        <f>INDEX('qtrP&amp;L'!$241:$241,MATCH(BZ$7,'qtrP&amp;L'!$6:$6,0))</f>
        <v>282.60000000000002</v>
      </c>
      <c r="CB42" s="615">
        <f>INDEX('qtrP&amp;L'!$242:$242,MATCH(BZ$7,'qtrP&amp;L'!$6:$6,0))</f>
        <v>279.2</v>
      </c>
      <c r="CC42" s="615">
        <f>INDEX('qtrP&amp;L'!$243:$243,MATCH(BZ$7,'qtrP&amp;L'!$6:$6,0))</f>
        <v>278.2</v>
      </c>
      <c r="CD42" s="615"/>
      <c r="CE42" s="615">
        <f>INDEX('qtrP&amp;L'!$240:$240,MATCH(CE$7,'qtrP&amp;L'!$6:$6,0))</f>
        <v>271.3</v>
      </c>
      <c r="CF42" s="615">
        <f>INDEX('qtrP&amp;L'!$241:$241,MATCH(CE$7,'qtrP&amp;L'!$6:$6,0))</f>
        <v>261.8</v>
      </c>
      <c r="CG42" s="615">
        <f>INDEX('qtrP&amp;L'!$242:$242,MATCH(CE$7,'qtrP&amp;L'!$6:$6,0))</f>
        <v>246.3</v>
      </c>
      <c r="CH42" s="615">
        <f>INDEX('qtrP&amp;L'!$243:$243,MATCH(CE$7,'qtrP&amp;L'!$6:$6,0))</f>
        <v>232.4</v>
      </c>
      <c r="CI42" s="615"/>
      <c r="CJ42" s="615">
        <f>INDEX('qtrP&amp;L'!$240:$240,MATCH(CJ$7,'qtrP&amp;L'!$6:$6,0))</f>
        <v>233.7</v>
      </c>
      <c r="CK42" s="615">
        <f>INDEX('qtrP&amp;L'!$241:$241,MATCH(CJ$7,'qtrP&amp;L'!$6:$6,0))</f>
        <v>232.9</v>
      </c>
      <c r="CL42" s="615">
        <f>INDEX('qtrP&amp;L'!$242:$242,MATCH(CJ$7,'qtrP&amp;L'!$6:$6,0))</f>
        <v>225.1</v>
      </c>
      <c r="CM42" s="615">
        <f>INDEX('qtrP&amp;L'!$243:$243,MATCH(CJ$7,'qtrP&amp;L'!$6:$6,0))</f>
        <v>225</v>
      </c>
      <c r="CN42" s="615"/>
      <c r="CO42" s="615">
        <f>INDEX('qtrP&amp;L'!$240:$240,MATCH(CO$7,'qtrP&amp;L'!$6:$6,0))</f>
        <v>225.8</v>
      </c>
      <c r="CP42" s="615">
        <f>INDEX('qtrP&amp;L'!$241:$241,MATCH(CO$7,'qtrP&amp;L'!$6:$6,0))</f>
        <v>222.6</v>
      </c>
      <c r="CQ42" s="615">
        <f>INDEX('qtrP&amp;L'!$242:$242,MATCH(CO$7,'qtrP&amp;L'!$6:$6,0))</f>
        <v>221.5</v>
      </c>
      <c r="CR42" s="615">
        <f>INDEX('qtrP&amp;L'!$243:$243,MATCH(CO$7,'qtrP&amp;L'!$6:$6,0))</f>
        <v>221.6</v>
      </c>
      <c r="CS42" s="615"/>
      <c r="CT42" s="615">
        <f>INDEX('qtrP&amp;L'!$240:$240,MATCH(CT$7,'qtrP&amp;L'!$6:$6,0))</f>
        <v>221.8</v>
      </c>
      <c r="CU42" s="615">
        <f>INDEX('qtrP&amp;L'!$241:$241,MATCH(CT$7,'qtrP&amp;L'!$6:$6,0))</f>
        <v>222</v>
      </c>
      <c r="CV42" s="615">
        <f>INDEX('qtrP&amp;L'!$242:$242,MATCH(CT$7,'qtrP&amp;L'!$6:$6,0))</f>
        <v>222</v>
      </c>
      <c r="CW42" s="615">
        <f>INDEX('qtrP&amp;L'!$243:$243,MATCH(CT$7,'qtrP&amp;L'!$6:$6,0))</f>
        <v>222.1</v>
      </c>
      <c r="CX42" s="615"/>
      <c r="CY42" s="615">
        <f>INDEX('qtrP&amp;L'!$240:$240,MATCH(CY$7,'qtrP&amp;L'!$6:$6,0))</f>
        <v>222.3</v>
      </c>
      <c r="CZ42" s="615">
        <f>INDEX('qtrP&amp;L'!$241:$241,MATCH(CY$7,'qtrP&amp;L'!$6:$6,0))</f>
        <v>233.8</v>
      </c>
      <c r="DA42" s="615">
        <f>INDEX('qtrP&amp;L'!$242:$242,MATCH(CY$7,'qtrP&amp;L'!$6:$6,0))</f>
        <v>235.9</v>
      </c>
      <c r="DB42" s="615">
        <f>INDEX('qtrP&amp;L'!$243:$243,MATCH(CY$7,'qtrP&amp;L'!$6:$6,0))</f>
        <v>236</v>
      </c>
      <c r="DC42" s="615"/>
      <c r="DD42" s="645">
        <f>INDEX('qtrP&amp;L'!$240:$240,MATCH(DD$7,'qtrP&amp;L'!$6:$6,0))</f>
        <v>236.6</v>
      </c>
      <c r="DE42" s="645">
        <f>INDEX('qtrP&amp;L'!$241:$241,MATCH(DD$7,'qtrP&amp;L'!$6:$6,0))</f>
        <v>236.4</v>
      </c>
      <c r="DF42" s="645">
        <f>INDEX('qtrP&amp;L'!$242:$242,MATCH(DD$7,'qtrP&amp;L'!$6:$6,0))</f>
        <v>236.4</v>
      </c>
      <c r="DG42" s="645">
        <f>INDEX('qtrP&amp;L'!$243:$243,MATCH(DD$7,'qtrP&amp;L'!$6:$6,0))</f>
        <v>236.6</v>
      </c>
      <c r="DH42" s="645"/>
      <c r="DI42" s="645">
        <f>INDEX('qtrP&amp;L'!$240:$240,MATCH(DI$7,'qtrP&amp;L'!$6:$6,0))</f>
        <v>229.2</v>
      </c>
      <c r="DJ42" s="645">
        <f>INDEX('qtrP&amp;L'!$241:$241,MATCH(DI$7,'qtrP&amp;L'!$6:$6,0))</f>
        <v>213.3</v>
      </c>
      <c r="DK42" s="645">
        <f>INDEX('qtrP&amp;L'!$242:$242,MATCH(DI$7,'qtrP&amp;L'!$6:$6,0))</f>
        <v>213.3</v>
      </c>
      <c r="DL42" s="645">
        <f>INDEX('qtrP&amp;L'!$243:$243,MATCH(DI$7,'qtrP&amp;L'!$6:$6,0))</f>
        <v>213.7</v>
      </c>
      <c r="DM42" s="645"/>
      <c r="DN42" s="645">
        <f>INDEX('qtrP&amp;L'!$240:$240,MATCH(DN$7,'qtrP&amp;L'!$6:$6,0))</f>
        <v>218.3</v>
      </c>
      <c r="DO42" s="645">
        <f>INDEX('qtrP&amp;L'!$241:$241,MATCH(DN$7,'qtrP&amp;L'!$6:$6,0))</f>
        <v>219.3</v>
      </c>
      <c r="DP42" s="645">
        <f>INDEX('qtrP&amp;L'!$242:$242,MATCH(DN$7,'qtrP&amp;L'!$6:$6,0))</f>
        <v>219.4</v>
      </c>
      <c r="DQ42" s="645">
        <f>INDEX('qtrP&amp;L'!$243:$243,MATCH(DN$7,'qtrP&amp;L'!$6:$6,0))</f>
        <v>219.5</v>
      </c>
      <c r="DR42" s="645"/>
      <c r="DS42" s="645">
        <f>INDEX('qtrP&amp;L'!$240:$240,MATCH(DS$7,'qtrP&amp;L'!$6:$6,0))</f>
        <v>219.60000000000002</v>
      </c>
      <c r="DT42" s="645">
        <f>INDEX('qtrP&amp;L'!$241:$241,MATCH(DS$7,'qtrP&amp;L'!$6:$6,0))</f>
        <v>220.25</v>
      </c>
      <c r="DU42" s="645">
        <f>INDEX('qtrP&amp;L'!$242:$242,MATCH(DS$7,'qtrP&amp;L'!$6:$6,0))</f>
        <v>248.60000000000002</v>
      </c>
      <c r="DV42" s="645">
        <f>INDEX('qtrP&amp;L'!$243:$243,MATCH(DS$7,'qtrP&amp;L'!$6:$6,0))</f>
        <v>304.60000000000002</v>
      </c>
      <c r="DW42" s="645"/>
      <c r="DX42" s="645">
        <f>INDEX('qtrP&amp;L'!$240:$240,MATCH(DX$7,'qtrP&amp;L'!$6:$6,0))</f>
        <v>304.70000000000005</v>
      </c>
      <c r="DY42" s="645">
        <f>INDEX('qtrP&amp;L'!$241:$241,MATCH(DX$7,'qtrP&amp;L'!$6:$6,0))</f>
        <v>305</v>
      </c>
      <c r="DZ42" s="645">
        <f>INDEX('qtrP&amp;L'!$242:$242,MATCH(DX$7,'qtrP&amp;L'!$6:$6,0))</f>
        <v>305</v>
      </c>
      <c r="EA42" s="645">
        <f>INDEX('qtrP&amp;L'!$243:$243,MATCH(DX$7,'qtrP&amp;L'!$6:$6,0))</f>
        <v>305.05</v>
      </c>
      <c r="EB42" s="645"/>
      <c r="EC42" s="645">
        <f>INDEX('qtrP&amp;L'!$240:$240,MATCH(EC$7,'qtrP&amp;L'!$6:$6,0))</f>
        <v>305.3</v>
      </c>
      <c r="ED42" s="645">
        <f>INDEX('qtrP&amp;L'!$241:$241,MATCH(EC$7,'qtrP&amp;L'!$6:$6,0))</f>
        <v>305.60000000000002</v>
      </c>
      <c r="EE42" s="645">
        <f>INDEX('qtrP&amp;L'!$242:$242,MATCH(EC$7,'qtrP&amp;L'!$6:$6,0))</f>
        <v>306.14999999999998</v>
      </c>
      <c r="EF42" s="645">
        <f>INDEX('qtrP&amp;L'!$243:$243,MATCH(EC$7,'qtrP&amp;L'!$6:$6,0))</f>
        <v>306.39999999999998</v>
      </c>
      <c r="EG42" s="645"/>
      <c r="EH42" s="645">
        <f>INDEX('qtrP&amp;L'!$240:$240,MATCH(EH$7,'qtrP&amp;L'!$6:$6,0))</f>
        <v>306.85000000000002</v>
      </c>
      <c r="EI42" s="645">
        <f>INDEX('qtrP&amp;L'!$241:$241,MATCH(EH$7,'qtrP&amp;L'!$6:$6,0))</f>
        <v>307.64999999999998</v>
      </c>
      <c r="EJ42" s="645">
        <f>INDEX('qtrP&amp;L'!$242:$242,MATCH(EH$7,'qtrP&amp;L'!$6:$6,0))</f>
        <v>308.14999999999998</v>
      </c>
      <c r="EK42" s="645">
        <f>INDEX('qtrP&amp;L'!$243:$243,MATCH(EH$7,'qtrP&amp;L'!$6:$6,0))</f>
        <v>308.55</v>
      </c>
      <c r="EL42" s="645"/>
      <c r="EM42" s="645">
        <f>INDEX('qtrP&amp;L'!$240:$240,MATCH(EM$7,'qtrP&amp;L'!$6:$6,0))</f>
        <v>309.20000000000005</v>
      </c>
      <c r="EN42" s="645">
        <f>INDEX('qtrP&amp;L'!$241:$241,MATCH(EM$7,'qtrP&amp;L'!$6:$6,0))</f>
        <v>310.20000000000005</v>
      </c>
      <c r="EO42" s="645">
        <f>INDEX('qtrP&amp;L'!$242:$242,MATCH(EM$7,'qtrP&amp;L'!$6:$6,0))</f>
        <v>311.20000000000005</v>
      </c>
      <c r="EP42" s="645">
        <f>INDEX('qtrP&amp;L'!$243:$243,MATCH(EM$7,'qtrP&amp;L'!$6:$6,0))</f>
        <v>312</v>
      </c>
      <c r="EQ42" s="645"/>
      <c r="ER42" s="1475">
        <f>INDEX('qtrP&amp;L'!$240:$240,MATCH(ER$7,'qtrP&amp;L'!$6:$6,0))</f>
        <v>312.39999999999998</v>
      </c>
      <c r="ES42" s="1475">
        <f>INDEX('qtrP&amp;L'!$241:$241,MATCH(ER$7,'qtrP&amp;L'!$6:$6,0))</f>
        <v>312.39999999999998</v>
      </c>
      <c r="ET42" s="1475">
        <f>INDEX('qtrP&amp;L'!$242:$242,MATCH(ER$7,'qtrP&amp;L'!$6:$6,0))</f>
        <v>312.39999999999998</v>
      </c>
      <c r="EU42" s="1475">
        <f>INDEX('qtrP&amp;L'!$243:$243,MATCH(ER$7,'qtrP&amp;L'!$6:$6,0))</f>
        <v>312.39999999999998</v>
      </c>
      <c r="EV42" s="507"/>
      <c r="EW42" s="646">
        <f>INDEX('qtrP&amp;L'!$244:$244,MATCH(EW$7,'qtrP&amp;L'!$6:$6,0))</f>
        <v>243.4</v>
      </c>
      <c r="EX42" s="647">
        <f>INDEX('qtrP&amp;L'!$244:$244,MATCH(EX$7,'qtrP&amp;L'!$6:$6,0))</f>
        <v>236.4</v>
      </c>
      <c r="EY42" s="647">
        <f>INDEX('qtrP&amp;L'!$244:$244,MATCH(EY$7,'qtrP&amp;L'!$6:$6,0))</f>
        <v>233.6</v>
      </c>
      <c r="EZ42" s="647">
        <f>INDEX('qtrP&amp;L'!$244:$244,MATCH(EZ$7,'qtrP&amp;L'!$6:$6,0))</f>
        <v>236</v>
      </c>
      <c r="FA42" s="647">
        <f>INDEX('qtrP&amp;L'!$244:$244,MATCH(FA$7,'qtrP&amp;L'!$6:$6,0))</f>
        <v>239</v>
      </c>
      <c r="FB42" s="647">
        <f>INDEX('qtrP&amp;L'!$244:$244,MATCH(FB$7,'qtrP&amp;L'!$6:$6,0))</f>
        <v>237.1</v>
      </c>
      <c r="FC42" s="647">
        <f>INDEX('qtrP&amp;L'!$244:$244,MATCH(FC$7,'qtrP&amp;L'!$6:$6,0))</f>
        <v>228.7</v>
      </c>
      <c r="FD42" s="647">
        <f>INDEX('qtrP&amp;L'!$244:$244,MATCH(FD$7,'qtrP&amp;L'!$6:$6,0))</f>
        <v>229.25</v>
      </c>
      <c r="FE42" s="647">
        <f>INDEX('qtrP&amp;L'!$244:$244,MATCH(FE$7,'qtrP&amp;L'!$6:$6,0))</f>
        <v>244</v>
      </c>
      <c r="FF42" s="647">
        <f>INDEX('qtrP&amp;L'!$244:$244,MATCH(FF$7,'qtrP&amp;L'!$6:$6,0))</f>
        <v>244</v>
      </c>
      <c r="FG42" s="647">
        <f>INDEX('qtrP&amp;L'!$244:$244,MATCH(FG$7,'qtrP&amp;L'!$6:$6,0))</f>
        <v>244</v>
      </c>
      <c r="FH42" s="647">
        <f>INDEX('qtrP&amp;L'!$244:$244,MATCH(FH$7,'qtrP&amp;L'!$6:$6,0))</f>
        <v>244</v>
      </c>
      <c r="FI42" s="647">
        <f>INDEX('qtrP&amp;L'!$244:$244,MATCH(FI$7,'qtrP&amp;L'!$6:$6,0))</f>
        <v>244</v>
      </c>
      <c r="FJ42" s="647">
        <f>INDEX('qtrP&amp;L'!$244:$244,MATCH(FJ$7,'qtrP&amp;L'!$6:$6,0))</f>
        <v>244</v>
      </c>
      <c r="FK42" s="645">
        <f>INDEX('qtrP&amp;L'!$244:$244,MATCH(FK$7,'qtrP&amp;L'!$6:$6,0))</f>
        <v>272</v>
      </c>
      <c r="FL42" s="645">
        <f>INDEX('qtrP&amp;L'!$244:$244,MATCH(FL$7,'qtrP&amp;L'!$6:$6,0))</f>
        <v>279.42500000000001</v>
      </c>
      <c r="FM42" s="646">
        <f>INDEX('qtrP&amp;L'!$244:$244,MATCH(FM$7,'qtrP&amp;L'!$6:$6,0))</f>
        <v>252.8</v>
      </c>
      <c r="FN42" s="646">
        <f>INDEX('qtrP&amp;L'!$244:$244,MATCH(FN$7,'qtrP&amp;L'!$6:$6,0))</f>
        <v>229.1</v>
      </c>
      <c r="FO42" s="645">
        <f>INDEX('qtrP&amp;L'!$244:$244,MATCH(FO$7,'qtrP&amp;L'!$6:$6,0))</f>
        <v>222.875</v>
      </c>
      <c r="FP42" s="645">
        <f>INDEX('qtrP&amp;L'!$244:$244,MATCH(FP$7,'qtrP&amp;L'!$6:$6,0))</f>
        <v>221.97499999999999</v>
      </c>
      <c r="FQ42" s="646">
        <f>INDEX('qtrP&amp;L'!$244:$244,MATCH(FQ$7,'qtrP&amp;L'!$6:$6,0))</f>
        <v>232</v>
      </c>
      <c r="FR42" s="646">
        <f>INDEX('qtrP&amp;L'!$244:$244,MATCH(FR$7,'qtrP&amp;L'!$6:$6,0))</f>
        <v>236.5</v>
      </c>
      <c r="FS42" s="645">
        <f>INDEX('qtrP&amp;L'!$244:$244,MATCH(FS$7,'qtrP&amp;L'!$6:$6,0))</f>
        <v>217.4</v>
      </c>
      <c r="FT42" s="648">
        <v>200</v>
      </c>
      <c r="FU42" s="648">
        <v>200</v>
      </c>
      <c r="FV42" s="648">
        <v>200</v>
      </c>
      <c r="FW42" s="648">
        <v>200</v>
      </c>
      <c r="FX42" s="648">
        <v>200</v>
      </c>
      <c r="FY42" s="648">
        <v>200</v>
      </c>
      <c r="FZ42" s="648">
        <v>200</v>
      </c>
      <c r="GA42" s="648">
        <v>200</v>
      </c>
      <c r="GB42" s="1269">
        <v>200</v>
      </c>
      <c r="GC42" s="648">
        <v>200</v>
      </c>
      <c r="GD42" s="1492">
        <v>200</v>
      </c>
    </row>
    <row r="43" spans="1:261" hidden="1" outlineLevel="1">
      <c r="A43" s="500" t="s">
        <v>244</v>
      </c>
      <c r="B43" s="507"/>
      <c r="C43" s="649" t="s">
        <v>446</v>
      </c>
      <c r="D43" s="649" t="s">
        <v>446</v>
      </c>
      <c r="E43" s="649" t="s">
        <v>446</v>
      </c>
      <c r="F43" s="649" t="s">
        <v>446</v>
      </c>
      <c r="G43" s="615"/>
      <c r="H43" s="649" t="s">
        <v>446</v>
      </c>
      <c r="I43" s="649" t="s">
        <v>446</v>
      </c>
      <c r="J43" s="649" t="s">
        <v>446</v>
      </c>
      <c r="K43" s="649" t="s">
        <v>446</v>
      </c>
      <c r="L43" s="615"/>
      <c r="M43" s="649" t="s">
        <v>446</v>
      </c>
      <c r="N43" s="649" t="s">
        <v>446</v>
      </c>
      <c r="O43" s="649" t="s">
        <v>446</v>
      </c>
      <c r="P43" s="649" t="s">
        <v>446</v>
      </c>
      <c r="Q43" s="615"/>
      <c r="R43" s="649" t="s">
        <v>446</v>
      </c>
      <c r="S43" s="649" t="s">
        <v>446</v>
      </c>
      <c r="T43" s="649" t="s">
        <v>446</v>
      </c>
      <c r="U43" s="649" t="s">
        <v>446</v>
      </c>
      <c r="V43" s="615"/>
      <c r="W43" s="649" t="s">
        <v>446</v>
      </c>
      <c r="X43" s="649" t="s">
        <v>446</v>
      </c>
      <c r="Y43" s="649" t="s">
        <v>446</v>
      </c>
      <c r="Z43" s="649" t="s">
        <v>446</v>
      </c>
      <c r="AA43" s="615"/>
      <c r="AB43" s="649" t="s">
        <v>446</v>
      </c>
      <c r="AC43" s="649" t="s">
        <v>446</v>
      </c>
      <c r="AD43" s="649" t="s">
        <v>446</v>
      </c>
      <c r="AE43" s="649" t="s">
        <v>446</v>
      </c>
      <c r="AF43" s="615"/>
      <c r="AG43" s="649" t="s">
        <v>446</v>
      </c>
      <c r="AH43" s="649" t="s">
        <v>446</v>
      </c>
      <c r="AI43" s="649" t="s">
        <v>446</v>
      </c>
      <c r="AJ43" s="649" t="s">
        <v>446</v>
      </c>
      <c r="AK43" s="615"/>
      <c r="AL43" s="649" t="s">
        <v>446</v>
      </c>
      <c r="AM43" s="649" t="s">
        <v>446</v>
      </c>
      <c r="AN43" s="649" t="s">
        <v>446</v>
      </c>
      <c r="AO43" s="649" t="s">
        <v>446</v>
      </c>
      <c r="AP43" s="615"/>
      <c r="AQ43" s="615">
        <f>INDEX('qtrP&amp;L'!$230:$230,MATCH(AQ$7,'qtrP&amp;L'!$6:$6,0))</f>
        <v>239.3</v>
      </c>
      <c r="AR43" s="615">
        <f>INDEX('qtrP&amp;L'!$231:$231,MATCH(AQ$7,'qtrP&amp;L'!$6:$6,0))</f>
        <v>248.6</v>
      </c>
      <c r="AS43" s="615">
        <f>INDEX('qtrP&amp;L'!$232:$232,MATCH(AQ$7,'qtrP&amp;L'!$6:$6,0))</f>
        <v>251</v>
      </c>
      <c r="AT43" s="615">
        <f>INDEX('qtrP&amp;L'!$233:$233,MATCH(AQ$7,'qtrP&amp;L'!$6:$6,0))</f>
        <v>250.6</v>
      </c>
      <c r="AU43" s="615"/>
      <c r="AV43" s="615">
        <f>INDEX('qtrP&amp;L'!$230:$230,MATCH(AV$7,'qtrP&amp;L'!$6:$6,0))</f>
        <v>250.6</v>
      </c>
      <c r="AW43" s="615">
        <f>INDEX('qtrP&amp;L'!$231:$231,MATCH(AV$7,'qtrP&amp;L'!$6:$6,0))</f>
        <v>253.5</v>
      </c>
      <c r="AX43" s="615">
        <f>INDEX('qtrP&amp;L'!$232:$232,MATCH(AV$7,'qtrP&amp;L'!$6:$6,0))</f>
        <v>253.5</v>
      </c>
      <c r="AY43" s="615">
        <f>INDEX('qtrP&amp;L'!$233:$233,MATCH(AV$7,'qtrP&amp;L'!$6:$6,0))</f>
        <v>251.4</v>
      </c>
      <c r="AZ43" s="615"/>
      <c r="BA43" s="615">
        <f>INDEX('qtrP&amp;L'!$230:$230,MATCH(BA$7,'qtrP&amp;L'!$6:$6,0))</f>
        <v>256.2</v>
      </c>
      <c r="BB43" s="615">
        <f>INDEX('qtrP&amp;L'!$231:$231,MATCH(BA$7,'qtrP&amp;L'!$6:$6,0))</f>
        <v>260.3</v>
      </c>
      <c r="BC43" s="615">
        <f>INDEX('qtrP&amp;L'!$232:$232,MATCH(BA$7,'qtrP&amp;L'!$6:$6,0))</f>
        <v>260.5</v>
      </c>
      <c r="BD43" s="615">
        <f>INDEX('qtrP&amp;L'!$233:$233,MATCH(BA$7,'qtrP&amp;L'!$6:$6,0))</f>
        <v>260.7</v>
      </c>
      <c r="BE43" s="615"/>
      <c r="BF43" s="615">
        <f>INDEX('qtrP&amp;L'!$230:$230,MATCH(BF$7,'qtrP&amp;L'!$6:$6,0))</f>
        <v>261.2</v>
      </c>
      <c r="BG43" s="615">
        <f>INDEX('qtrP&amp;L'!$231:$231,MATCH(BF$7,'qtrP&amp;L'!$6:$6,0))</f>
        <v>261.60000000000002</v>
      </c>
      <c r="BH43" s="615">
        <f>INDEX('qtrP&amp;L'!$232:$232,MATCH(BF$7,'qtrP&amp;L'!$6:$6,0))</f>
        <v>262</v>
      </c>
      <c r="BI43" s="615">
        <f>INDEX('qtrP&amp;L'!$233:$233,MATCH(BF$7,'qtrP&amp;L'!$6:$6,0))</f>
        <v>262.39999999999998</v>
      </c>
      <c r="BJ43" s="615"/>
      <c r="BK43" s="615">
        <f>INDEX('qtrP&amp;L'!$230:$230,MATCH(BK$7,'qtrP&amp;L'!$6:$6,0))</f>
        <v>262.89999999999998</v>
      </c>
      <c r="BL43" s="615">
        <f>INDEX('qtrP&amp;L'!$231:$231,MATCH(BK$7,'qtrP&amp;L'!$6:$6,0))</f>
        <v>263.2</v>
      </c>
      <c r="BM43" s="615">
        <f>INDEX('qtrP&amp;L'!$232:$232,MATCH(BK$7,'qtrP&amp;L'!$6:$6,0))</f>
        <v>267.7</v>
      </c>
      <c r="BN43" s="615">
        <f>INDEX('qtrP&amp;L'!$233:$233,MATCH(BK$7,'qtrP&amp;L'!$6:$6,0))</f>
        <v>267.7</v>
      </c>
      <c r="BO43" s="615"/>
      <c r="BP43" s="615">
        <f>INDEX('qtrP&amp;L'!$230:$230,MATCH(BP$7,'qtrP&amp;L'!$6:$6,0))</f>
        <v>267</v>
      </c>
      <c r="BQ43" s="615">
        <f>INDEX('qtrP&amp;L'!$231:$231,MATCH(BP$7,'qtrP&amp;L'!$6:$6,0))</f>
        <v>267.7</v>
      </c>
      <c r="BR43" s="615">
        <f>INDEX('qtrP&amp;L'!$232:$232,MATCH(BP$7,'qtrP&amp;L'!$6:$6,0))</f>
        <v>267.7</v>
      </c>
      <c r="BS43" s="615">
        <f>INDEX('qtrP&amp;L'!$233:$233,MATCH(BP$7,'qtrP&amp;L'!$6:$6,0))</f>
        <v>269</v>
      </c>
      <c r="BT43" s="615"/>
      <c r="BU43" s="615">
        <f>INDEX('qtrP&amp;L'!$230:$230,MATCH(BU$7,'qtrP&amp;L'!$6:$6,0))</f>
        <v>270</v>
      </c>
      <c r="BV43" s="615">
        <f>INDEX('qtrP&amp;L'!$231:$231,MATCH(BU$7,'qtrP&amp;L'!$6:$6,0))</f>
        <v>271.5</v>
      </c>
      <c r="BW43" s="615">
        <f>INDEX('qtrP&amp;L'!$232:$232,MATCH(BU$7,'qtrP&amp;L'!$6:$6,0))</f>
        <v>273</v>
      </c>
      <c r="BX43" s="615">
        <f>INDEX('qtrP&amp;L'!$233:$233,MATCH(BU$7,'qtrP&amp;L'!$6:$6,0))</f>
        <v>274</v>
      </c>
      <c r="BY43" s="615"/>
      <c r="BZ43" s="615">
        <f>INDEX('qtrP&amp;L'!$230:$230,MATCH(BZ$7,'qtrP&amp;L'!$6:$6,0))</f>
        <v>282</v>
      </c>
      <c r="CA43" s="615">
        <f>INDEX('qtrP&amp;L'!$231:$231,MATCH(BZ$7,'qtrP&amp;L'!$6:$6,0))</f>
        <v>238.8</v>
      </c>
      <c r="CB43" s="615">
        <f>INDEX('qtrP&amp;L'!$232:$232,MATCH(BZ$7,'qtrP&amp;L'!$6:$6,0))</f>
        <v>267</v>
      </c>
      <c r="CC43" s="615">
        <f>INDEX('qtrP&amp;L'!$233:$233,MATCH(BZ$7,'qtrP&amp;L'!$6:$6,0))</f>
        <v>271.39999999999998</v>
      </c>
      <c r="CD43" s="615"/>
      <c r="CE43" s="615">
        <f>INDEX('qtrP&amp;L'!$230:$230,MATCH(CE$7,'qtrP&amp;L'!$6:$6,0))</f>
        <v>266.60000000000002</v>
      </c>
      <c r="CF43" s="615">
        <f>INDEX('qtrP&amp;L'!$231:$231,MATCH(CE$7,'qtrP&amp;L'!$6:$6,0))</f>
        <v>255.6</v>
      </c>
      <c r="CG43" s="615">
        <f>INDEX('qtrP&amp;L'!$232:$232,MATCH(CE$7,'qtrP&amp;L'!$6:$6,0))</f>
        <v>232</v>
      </c>
      <c r="CH43" s="615">
        <f>INDEX('qtrP&amp;L'!$233:$233,MATCH(CE$7,'qtrP&amp;L'!$6:$6,0))</f>
        <v>232.9</v>
      </c>
      <c r="CI43" s="615"/>
      <c r="CJ43" s="615">
        <f>INDEX('qtrP&amp;L'!$230:$230,MATCH(CJ$7,'qtrP&amp;L'!$6:$6,0))</f>
        <v>235</v>
      </c>
      <c r="CK43" s="615">
        <f>INDEX('qtrP&amp;L'!$231:$231,MATCH(CJ$7,'qtrP&amp;L'!$6:$6,0))</f>
        <v>227.3</v>
      </c>
      <c r="CL43" s="615">
        <f>INDEX('qtrP&amp;L'!$232:$232,MATCH(CJ$7,'qtrP&amp;L'!$6:$6,0))</f>
        <v>224.7</v>
      </c>
      <c r="CM43" s="615">
        <f>INDEX('qtrP&amp;L'!$233:$233,MATCH(CJ$7,'qtrP&amp;L'!$6:$6,0))</f>
        <v>225.5</v>
      </c>
      <c r="CN43" s="615"/>
      <c r="CO43" s="615">
        <f>INDEX('qtrP&amp;L'!$230:$230,MATCH(CO$7,'qtrP&amp;L'!$6:$6,0))</f>
        <v>226.2</v>
      </c>
      <c r="CP43" s="615">
        <f>INDEX('qtrP&amp;L'!$231:$231,MATCH(CO$7,'qtrP&amp;L'!$6:$6,0))</f>
        <v>221.6</v>
      </c>
      <c r="CQ43" s="615">
        <f>INDEX('qtrP&amp;L'!$232:$232,MATCH(CO$7,'qtrP&amp;L'!$6:$6,0))</f>
        <v>221.7</v>
      </c>
      <c r="CR43" s="615">
        <f>INDEX('qtrP&amp;L'!$233:$233,MATCH(CO$7,'qtrP&amp;L'!$6:$6,0))</f>
        <v>221.7</v>
      </c>
      <c r="CS43" s="615"/>
      <c r="CT43" s="615">
        <f>INDEX('qtrP&amp;L'!$230:$230,MATCH(CT$7,'qtrP&amp;L'!$6:$6,0))</f>
        <v>222</v>
      </c>
      <c r="CU43" s="615">
        <f>INDEX('qtrP&amp;L'!$231:$231,MATCH(CT$7,'qtrP&amp;L'!$6:$6,0))</f>
        <v>222.1</v>
      </c>
      <c r="CV43" s="615">
        <f>INDEX('qtrP&amp;L'!$232:$232,MATCH(CT$7,'qtrP&amp;L'!$6:$6,0))</f>
        <v>222</v>
      </c>
      <c r="CW43" s="615">
        <f>INDEX('qtrP&amp;L'!$233:$233,MATCH(CT$7,'qtrP&amp;L'!$6:$6,0))</f>
        <v>222</v>
      </c>
      <c r="CX43" s="615"/>
      <c r="CY43" s="615">
        <f>INDEX('qtrP&amp;L'!$230:$230,MATCH(CY$7,'qtrP&amp;L'!$6:$6,0))</f>
        <v>222.4</v>
      </c>
      <c r="CZ43" s="615">
        <f>INDEX('qtrP&amp;L'!$231:$231,MATCH(CY$7,'qtrP&amp;L'!$6:$6,0))</f>
        <v>235.8</v>
      </c>
      <c r="DA43" s="615">
        <f>INDEX('qtrP&amp;L'!$232:$232,MATCH(CY$7,'qtrP&amp;L'!$6:$6,0))</f>
        <v>236</v>
      </c>
      <c r="DB43" s="615">
        <f>INDEX('qtrP&amp;L'!$233:$233,MATCH(CY$7,'qtrP&amp;L'!$6:$6,0))</f>
        <v>236</v>
      </c>
      <c r="DC43" s="615"/>
      <c r="DD43" s="647">
        <f>INDEX('qtrP&amp;L'!$230:$230,MATCH(DD$7,'qtrP&amp;L'!$6:$6,0))</f>
        <v>236</v>
      </c>
      <c r="DE43" s="647">
        <f>INDEX('qtrP&amp;L'!$231:$231,MATCH(DD$7,'qtrP&amp;L'!$6:$6,0))</f>
        <v>236.4</v>
      </c>
      <c r="DF43" s="647">
        <f>INDEX('qtrP&amp;L'!$232:$232,MATCH(DD$7,'qtrP&amp;L'!$6:$6,0))</f>
        <v>236.5</v>
      </c>
      <c r="DG43" s="647">
        <f>INDEX('qtrP&amp;L'!$233:$233,MATCH(DD$7,'qtrP&amp;L'!$6:$6,0))</f>
        <v>237</v>
      </c>
      <c r="DH43" s="647"/>
      <c r="DI43" s="647">
        <f>INDEX('qtrP&amp;L'!$230:$230,MATCH(DI$7,'qtrP&amp;L'!$6:$6,0))</f>
        <v>216.1</v>
      </c>
      <c r="DJ43" s="647">
        <f>INDEX('qtrP&amp;L'!$231:$231,MATCH(DI$7,'qtrP&amp;L'!$6:$6,0))</f>
        <v>213</v>
      </c>
      <c r="DK43" s="647">
        <f>INDEX('qtrP&amp;L'!$232:$232,MATCH(DI$7,'qtrP&amp;L'!$6:$6,0))</f>
        <v>213</v>
      </c>
      <c r="DL43" s="647">
        <f>INDEX('qtrP&amp;L'!$233:$233,MATCH(DI$7,'qtrP&amp;L'!$6:$6,0))</f>
        <v>215.9</v>
      </c>
      <c r="DM43" s="647"/>
      <c r="DN43" s="647">
        <f>INDEX('qtrP&amp;L'!$230:$230,MATCH(DN$7,'qtrP&amp;L'!$6:$6,0))</f>
        <v>218.4</v>
      </c>
      <c r="DO43" s="647">
        <f>INDEX('qtrP&amp;L'!$231:$231,MATCH(DN$7,'qtrP&amp;L'!$6:$6,0))</f>
        <v>219.3</v>
      </c>
      <c r="DP43" s="647">
        <f>INDEX('qtrP&amp;L'!$232:$232,MATCH(DN$7,'qtrP&amp;L'!$6:$6,0))</f>
        <v>219.2</v>
      </c>
      <c r="DQ43" s="647">
        <f>INDEX('qtrP&amp;L'!$233:$233,MATCH(DN$7,'qtrP&amp;L'!$6:$6,0))</f>
        <v>219.3</v>
      </c>
      <c r="DR43" s="647"/>
      <c r="DS43" s="647">
        <f>INDEX('qtrP&amp;L'!$230:$230,MATCH(DS$7,'qtrP&amp;L'!$6:$6,0))</f>
        <v>219.9</v>
      </c>
      <c r="DT43" s="647">
        <f>INDEX('qtrP&amp;L'!$231:$231,MATCH(DS$7,'qtrP&amp;L'!$6:$6,0))</f>
        <v>220.6</v>
      </c>
      <c r="DU43" s="647">
        <f>INDEX('qtrP&amp;L'!$232:$232,MATCH(DS$7,'qtrP&amp;L'!$6:$6,0))</f>
        <v>304.60000000000002</v>
      </c>
      <c r="DV43" s="647">
        <f>INDEX('qtrP&amp;L'!$233:$233,MATCH(DS$7,'qtrP&amp;L'!$6:$6,0))</f>
        <v>304.60000000000002</v>
      </c>
      <c r="DW43" s="647"/>
      <c r="DX43" s="647">
        <f>INDEX('qtrP&amp;L'!$230:$230,MATCH(DX$7,'qtrP&amp;L'!$6:$6,0))</f>
        <v>304.8</v>
      </c>
      <c r="DY43" s="647">
        <f>INDEX('qtrP&amp;L'!$231:$231,MATCH(DX$7,'qtrP&amp;L'!$6:$6,0))</f>
        <v>305.2</v>
      </c>
      <c r="DZ43" s="647">
        <f>INDEX('qtrP&amp;L'!$232:$232,MATCH(DX$7,'qtrP&amp;L'!$6:$6,0))</f>
        <v>304.8</v>
      </c>
      <c r="EA43" s="647">
        <f>INDEX('qtrP&amp;L'!$233:$233,MATCH(DX$7,'qtrP&amp;L'!$6:$6,0))</f>
        <v>305.3</v>
      </c>
      <c r="EB43" s="647"/>
      <c r="EC43" s="647">
        <f>INDEX('qtrP&amp;L'!$230:$230,MATCH(EC$7,'qtrP&amp;L'!$6:$6,0))</f>
        <v>305.3</v>
      </c>
      <c r="ED43" s="647">
        <f>INDEX('qtrP&amp;L'!$231:$231,MATCH(EC$7,'qtrP&amp;L'!$6:$6,0))</f>
        <v>305.89999999999998</v>
      </c>
      <c r="EE43" s="647">
        <f>INDEX('qtrP&amp;L'!$232:$232,MATCH(EC$7,'qtrP&amp;L'!$6:$6,0))</f>
        <v>306.39999999999998</v>
      </c>
      <c r="EF43" s="647">
        <f>INDEX('qtrP&amp;L'!$233:$233,MATCH(EC$7,'qtrP&amp;L'!$6:$6,0))</f>
        <v>306.39999999999998</v>
      </c>
      <c r="EG43" s="647"/>
      <c r="EH43" s="647">
        <f>INDEX('qtrP&amp;L'!$230:$230,MATCH(EH$7,'qtrP&amp;L'!$6:$6,0))</f>
        <v>307.3</v>
      </c>
      <c r="EI43" s="647">
        <f>INDEX('qtrP&amp;L'!$231:$231,MATCH(EH$7,'qtrP&amp;L'!$6:$6,0))</f>
        <v>308</v>
      </c>
      <c r="EJ43" s="647">
        <f>INDEX('qtrP&amp;L'!$232:$232,MATCH(EH$7,'qtrP&amp;L'!$6:$6,0))</f>
        <v>308.3</v>
      </c>
      <c r="EK43" s="647">
        <f>INDEX('qtrP&amp;L'!$233:$233,MATCH(EH$7,'qtrP&amp;L'!$6:$6,0))</f>
        <v>308.8</v>
      </c>
      <c r="EL43" s="647"/>
      <c r="EM43" s="647">
        <f>INDEX('qtrP&amp;L'!$230:$230,MATCH(EM$7,'qtrP&amp;L'!$6:$6,0))</f>
        <v>309.60000000000002</v>
      </c>
      <c r="EN43" s="647">
        <f>INDEX('qtrP&amp;L'!$231:$231,MATCH(EM$7,'qtrP&amp;L'!$6:$6,0))</f>
        <v>310.8</v>
      </c>
      <c r="EO43" s="647">
        <f>INDEX('qtrP&amp;L'!$232:$232,MATCH(EM$7,'qtrP&amp;L'!$6:$6,0))</f>
        <v>311.60000000000002</v>
      </c>
      <c r="EP43" s="647">
        <f>INDEX('qtrP&amp;L'!$233:$233,MATCH(EM$7,'qtrP&amp;L'!$6:$6,0))</f>
        <v>312.39999999999998</v>
      </c>
      <c r="EQ43" s="647"/>
      <c r="ER43" s="1476">
        <f>INDEX('qtrP&amp;L'!$230:$230,MATCH(ER$7,'qtrP&amp;L'!$6:$6,0))</f>
        <v>312.39999999999998</v>
      </c>
      <c r="ES43" s="1476">
        <f>INDEX('qtrP&amp;L'!$231:$231,MATCH(ER$7,'qtrP&amp;L'!$6:$6,0))</f>
        <v>312.39999999999998</v>
      </c>
      <c r="ET43" s="1476">
        <f>INDEX('qtrP&amp;L'!$232:$232,MATCH(ER$7,'qtrP&amp;L'!$6:$6,0))</f>
        <v>312.39999999999998</v>
      </c>
      <c r="EU43" s="1476">
        <f>INDEX('qtrP&amp;L'!$233:$233,MATCH(ER$7,'qtrP&amp;L'!$6:$6,0))</f>
        <v>312.39999999999998</v>
      </c>
      <c r="EV43" s="507"/>
      <c r="EW43" s="650">
        <f>INDEX('qtrP&amp;L'!$234:$234,MATCH(EW$7,'qtrP&amp;L'!$6:$6,0))</f>
        <v>0</v>
      </c>
      <c r="EX43" s="647">
        <f>INDEX('qtrP&amp;L'!$234:$234,MATCH(EX$7,'qtrP&amp;L'!$6:$6,0))</f>
        <v>0</v>
      </c>
      <c r="EY43" s="647">
        <f>INDEX('qtrP&amp;L'!$234:$234,MATCH(EY$7,'qtrP&amp;L'!$6:$6,0))</f>
        <v>0</v>
      </c>
      <c r="EZ43" s="647">
        <f>INDEX('qtrP&amp;L'!$234:$234,MATCH(EZ$7,'qtrP&amp;L'!$6:$6,0))</f>
        <v>0</v>
      </c>
      <c r="FA43" s="647">
        <f>INDEX('qtrP&amp;L'!$234:$234,MATCH(FA$7,'qtrP&amp;L'!$6:$6,0))</f>
        <v>0</v>
      </c>
      <c r="FB43" s="647">
        <f>INDEX('qtrP&amp;L'!$234:$234,MATCH(FB$7,'qtrP&amp;L'!$6:$6,0))</f>
        <v>0</v>
      </c>
      <c r="FC43" s="647">
        <f>INDEX('qtrP&amp;L'!$234:$234,MATCH(FC$7,'qtrP&amp;L'!$6:$6,0))</f>
        <v>0</v>
      </c>
      <c r="FD43" s="647">
        <f>INDEX('qtrP&amp;L'!$234:$234,MATCH(FD$7,'qtrP&amp;L'!$6:$6,0))</f>
        <v>226.4</v>
      </c>
      <c r="FE43" s="647">
        <f>INDEX('qtrP&amp;L'!$234:$234,MATCH(FE$7,'qtrP&amp;L'!$6:$6,0))</f>
        <v>247.375</v>
      </c>
      <c r="FF43" s="647">
        <f>INDEX('qtrP&amp;L'!$234:$234,MATCH(FF$7,'qtrP&amp;L'!$6:$6,0))</f>
        <v>252.25</v>
      </c>
      <c r="FG43" s="647">
        <f>INDEX('qtrP&amp;L'!$234:$234,MATCH(FG$7,'qtrP&amp;L'!$6:$6,0))</f>
        <v>259.39999999999998</v>
      </c>
      <c r="FH43" s="647">
        <f>INDEX('qtrP&amp;L'!$234:$234,MATCH(FH$7,'qtrP&amp;L'!$6:$6,0))</f>
        <v>261.8</v>
      </c>
      <c r="FI43" s="647">
        <f>INDEX('qtrP&amp;L'!$234:$234,MATCH(FI$7,'qtrP&amp;L'!$6:$6,0))</f>
        <v>267</v>
      </c>
      <c r="FJ43" s="647">
        <f>INDEX('qtrP&amp;L'!$234:$234,MATCH(FJ$7,'qtrP&amp;L'!$6:$6,0))</f>
        <v>269</v>
      </c>
      <c r="FK43" s="647">
        <f>INDEX('qtrP&amp;L'!$234:$234,MATCH(FK$7,'qtrP&amp;L'!$6:$6,0))</f>
        <v>274</v>
      </c>
      <c r="FL43" s="647">
        <f>INDEX('qtrP&amp;L'!$234:$234,MATCH(FL$7,'qtrP&amp;L'!$6:$6,0))</f>
        <v>271.39999999999998</v>
      </c>
      <c r="FM43" s="650">
        <f>INDEX('qtrP&amp;L'!$234:$234,MATCH(FM$7,'qtrP&amp;L'!$6:$6,0))</f>
        <v>232.9</v>
      </c>
      <c r="FN43" s="650">
        <f>INDEX('qtrP&amp;L'!$234:$234,MATCH(FN$7,'qtrP&amp;L'!$6:$6,0))</f>
        <v>225.5</v>
      </c>
      <c r="FO43" s="647">
        <f>INDEX('qtrP&amp;L'!$234:$234,MATCH(FO$7,'qtrP&amp;L'!$6:$6,0))</f>
        <v>221.7</v>
      </c>
      <c r="FP43" s="647">
        <f>INDEX('qtrP&amp;L'!$234:$234,MATCH(FP$7,'qtrP&amp;L'!$6:$6,0))</f>
        <v>222</v>
      </c>
      <c r="FQ43" s="650">
        <f>INDEX('qtrP&amp;L'!$234:$234,MATCH(FQ$7,'qtrP&amp;L'!$6:$6,0))</f>
        <v>236</v>
      </c>
      <c r="FR43" s="650">
        <f>INDEX('qtrP&amp;L'!$234:$234,MATCH(FR$7,'qtrP&amp;L'!$6:$6,0))</f>
        <v>237</v>
      </c>
      <c r="FS43" s="647">
        <f>INDEX('qtrP&amp;L'!$234:$234,MATCH(FS$7,'qtrP&amp;L'!$6:$6,0))</f>
        <v>215.9</v>
      </c>
      <c r="FT43" s="648">
        <v>200</v>
      </c>
      <c r="FU43" s="648">
        <v>200</v>
      </c>
      <c r="FV43" s="648">
        <v>200</v>
      </c>
      <c r="FW43" s="648">
        <v>200</v>
      </c>
      <c r="FX43" s="648">
        <v>200</v>
      </c>
      <c r="FY43" s="648">
        <v>200</v>
      </c>
      <c r="FZ43" s="648">
        <v>200</v>
      </c>
      <c r="GA43" s="648">
        <v>200</v>
      </c>
      <c r="GB43" s="1269">
        <v>200</v>
      </c>
      <c r="GC43" s="648">
        <v>200</v>
      </c>
      <c r="GD43" s="1492">
        <v>200</v>
      </c>
    </row>
    <row r="44" spans="1:261" hidden="1" outlineLevel="1">
      <c r="A44" s="500"/>
      <c r="B44" s="507"/>
      <c r="C44" s="507"/>
      <c r="D44" s="507"/>
      <c r="E44" s="507"/>
      <c r="F44" s="507"/>
      <c r="G44" s="507"/>
      <c r="H44" s="507"/>
      <c r="I44" s="507"/>
      <c r="J44" s="507"/>
      <c r="K44" s="507"/>
      <c r="L44" s="507"/>
      <c r="M44" s="507"/>
      <c r="N44" s="507"/>
      <c r="O44" s="507"/>
      <c r="P44" s="507"/>
      <c r="Q44" s="507"/>
      <c r="R44" s="507"/>
      <c r="S44" s="507"/>
      <c r="T44" s="507"/>
      <c r="U44" s="507"/>
      <c r="V44" s="507"/>
      <c r="W44" s="507"/>
      <c r="X44" s="507"/>
      <c r="Y44" s="507"/>
      <c r="Z44" s="507"/>
      <c r="AA44" s="507"/>
      <c r="AB44" s="507"/>
      <c r="AC44" s="507"/>
      <c r="AD44" s="507"/>
      <c r="AE44" s="507"/>
      <c r="AF44" s="507"/>
      <c r="AG44" s="507"/>
      <c r="AH44" s="507"/>
      <c r="AI44" s="507"/>
      <c r="AJ44" s="507"/>
      <c r="AK44" s="507"/>
      <c r="AL44" s="507"/>
      <c r="AM44" s="507"/>
      <c r="AN44" s="507"/>
      <c r="AO44" s="507"/>
      <c r="AP44" s="507"/>
      <c r="AQ44" s="507"/>
      <c r="AR44" s="507"/>
      <c r="AS44" s="507"/>
      <c r="AT44" s="507"/>
      <c r="AU44" s="507"/>
      <c r="AV44" s="507"/>
      <c r="AW44" s="507"/>
      <c r="AX44" s="507"/>
      <c r="AY44" s="507"/>
      <c r="AZ44" s="507"/>
      <c r="BA44" s="507"/>
      <c r="BB44" s="507"/>
      <c r="BC44" s="507"/>
      <c r="BD44" s="507"/>
      <c r="BE44" s="507"/>
      <c r="BF44" s="507"/>
      <c r="BG44" s="507"/>
      <c r="BH44" s="507"/>
      <c r="BI44" s="507"/>
      <c r="BJ44" s="507"/>
      <c r="BK44" s="507"/>
      <c r="BL44" s="507"/>
      <c r="BM44" s="507"/>
      <c r="BN44" s="507"/>
      <c r="BO44" s="507"/>
      <c r="BP44" s="507"/>
      <c r="BQ44" s="507"/>
      <c r="BR44" s="507"/>
      <c r="BS44" s="507"/>
      <c r="BT44" s="507"/>
      <c r="BU44" s="507"/>
      <c r="BV44" s="507"/>
      <c r="BW44" s="507"/>
      <c r="BX44" s="507"/>
      <c r="BY44" s="507"/>
      <c r="BZ44" s="507"/>
      <c r="CA44" s="507"/>
      <c r="CB44" s="507"/>
      <c r="CC44" s="507"/>
      <c r="CD44" s="507"/>
      <c r="CE44" s="507"/>
      <c r="CF44" s="507"/>
      <c r="CG44" s="507"/>
      <c r="CH44" s="507"/>
      <c r="CI44" s="507"/>
      <c r="CJ44" s="507"/>
      <c r="CK44" s="507"/>
      <c r="CL44" s="507"/>
      <c r="CM44" s="507"/>
      <c r="CN44" s="507"/>
      <c r="CO44" s="507"/>
      <c r="CP44" s="507"/>
      <c r="CQ44" s="507"/>
      <c r="CR44" s="507"/>
      <c r="CS44" s="507"/>
      <c r="CT44" s="507"/>
      <c r="CU44" s="507"/>
      <c r="CV44" s="507"/>
      <c r="CW44" s="507"/>
      <c r="CX44" s="507"/>
      <c r="CY44" s="507"/>
      <c r="CZ44" s="507"/>
      <c r="DA44" s="507"/>
      <c r="DB44" s="507"/>
      <c r="DC44" s="507"/>
      <c r="DD44" s="507"/>
      <c r="DE44" s="507"/>
      <c r="DF44" s="507"/>
      <c r="DG44" s="507"/>
      <c r="DH44" s="507"/>
      <c r="DI44" s="507"/>
      <c r="DJ44" s="507"/>
      <c r="DK44" s="507"/>
      <c r="DL44" s="507"/>
      <c r="DM44" s="507"/>
      <c r="DN44" s="507"/>
      <c r="DO44" s="507"/>
      <c r="DP44" s="507"/>
      <c r="DR44" s="507"/>
      <c r="DS44" s="507"/>
      <c r="DT44" s="507"/>
      <c r="DU44" s="507"/>
      <c r="DV44" s="507"/>
      <c r="DW44" s="507"/>
      <c r="DX44" s="507"/>
      <c r="DY44" s="507"/>
      <c r="DZ44" s="507"/>
      <c r="EA44" s="507"/>
      <c r="EB44" s="507"/>
      <c r="EC44" s="507"/>
      <c r="ED44" s="507"/>
      <c r="EE44" s="507"/>
      <c r="EF44" s="507"/>
      <c r="EG44" s="507"/>
      <c r="EH44" s="507"/>
      <c r="EI44" s="507"/>
      <c r="EJ44" s="507"/>
      <c r="EK44" s="507"/>
      <c r="EL44" s="507"/>
      <c r="EM44" s="507"/>
      <c r="EN44" s="507"/>
      <c r="EO44" s="507"/>
      <c r="EP44" s="507"/>
      <c r="EQ44" s="507"/>
      <c r="ER44" s="1463"/>
      <c r="ES44" s="1463"/>
      <c r="ET44" s="1463"/>
      <c r="EU44" s="1463"/>
      <c r="EV44" s="507"/>
      <c r="EW44" s="500"/>
      <c r="EX44" s="507"/>
      <c r="EY44" s="507"/>
      <c r="EZ44" s="507"/>
      <c r="FA44" s="507"/>
      <c r="FB44" s="507"/>
      <c r="FC44" s="507"/>
      <c r="FD44" s="507"/>
      <c r="FE44" s="507"/>
      <c r="FF44" s="507"/>
      <c r="FG44" s="507"/>
      <c r="FH44" s="507"/>
      <c r="FI44" s="507"/>
      <c r="FJ44" s="507"/>
      <c r="FK44" s="507"/>
      <c r="FL44" s="507"/>
      <c r="FM44" s="500"/>
      <c r="FN44" s="500"/>
      <c r="FO44" s="507"/>
      <c r="FP44" s="507"/>
      <c r="FQ44" s="500"/>
      <c r="FR44" s="500"/>
      <c r="FS44" s="507"/>
      <c r="FT44" s="507"/>
      <c r="FU44" s="507"/>
      <c r="FV44" s="507"/>
      <c r="FW44" s="507"/>
      <c r="FX44" s="507"/>
      <c r="FY44" s="507"/>
      <c r="FZ44" s="507"/>
      <c r="GA44" s="507"/>
      <c r="GB44" s="961"/>
      <c r="GC44" s="507"/>
      <c r="GD44" s="1485"/>
    </row>
    <row r="45" spans="1:261" ht="12.75" hidden="1" customHeight="1" outlineLevel="1">
      <c r="A45" s="500" t="s">
        <v>245</v>
      </c>
      <c r="B45" s="507"/>
      <c r="C45" s="649" t="str">
        <f>INDEX('qtrP&amp;L'!$110:$110,MATCH(C$7,'qtrP&amp;L'!$6:$6,0))</f>
        <v>NA</v>
      </c>
      <c r="D45" s="649" t="str">
        <f>INDEX('qtrP&amp;L'!$111:$111,MATCH(C$7,'qtrP&amp;L'!$6:$6,0))</f>
        <v>NA</v>
      </c>
      <c r="E45" s="649" t="str">
        <f>INDEX('qtrP&amp;L'!$112:$112,MATCH(C$7,'qtrP&amp;L'!$6:$6,0))</f>
        <v>NA</v>
      </c>
      <c r="F45" s="649" t="str">
        <f>INDEX('qtrP&amp;L'!$113:$113,MATCH(C$7,'qtrP&amp;L'!$6:$6,0))</f>
        <v>NA</v>
      </c>
      <c r="G45" s="649"/>
      <c r="H45" s="649" t="str">
        <f>INDEX('qtrP&amp;L'!$110:$110,MATCH(H$7,'qtrP&amp;L'!$6:$6,0))</f>
        <v>NA</v>
      </c>
      <c r="I45" s="649" t="str">
        <f>INDEX('qtrP&amp;L'!$111:$111,MATCH(H$7,'qtrP&amp;L'!$6:$6,0))</f>
        <v>NA</v>
      </c>
      <c r="J45" s="649" t="str">
        <f>INDEX('qtrP&amp;L'!$112:$112,MATCH(H$7,'qtrP&amp;L'!$6:$6,0))</f>
        <v>NA</v>
      </c>
      <c r="K45" s="649" t="str">
        <f>INDEX('qtrP&amp;L'!$113:$113,MATCH(H$7,'qtrP&amp;L'!$6:$6,0))</f>
        <v>NA</v>
      </c>
      <c r="L45" s="649"/>
      <c r="M45" s="649" t="str">
        <f>INDEX('qtrP&amp;L'!$110:$110,MATCH(M$7,'qtrP&amp;L'!$6:$6,0))</f>
        <v>NA</v>
      </c>
      <c r="N45" s="649" t="str">
        <f>INDEX('qtrP&amp;L'!$111:$111,MATCH(M$7,'qtrP&amp;L'!$6:$6,0))</f>
        <v>NA</v>
      </c>
      <c r="O45" s="649" t="str">
        <f>INDEX('qtrP&amp;L'!$112:$112,MATCH(M$7,'qtrP&amp;L'!$6:$6,0))</f>
        <v>NA</v>
      </c>
      <c r="P45" s="649" t="str">
        <f>INDEX('qtrP&amp;L'!$113:$113,MATCH(M$7,'qtrP&amp;L'!$6:$6,0))</f>
        <v>NA</v>
      </c>
      <c r="Q45" s="649"/>
      <c r="R45" s="649" t="str">
        <f>INDEX('qtrP&amp;L'!$110:$110,MATCH(R$7,'qtrP&amp;L'!$6:$6,0))</f>
        <v>NA</v>
      </c>
      <c r="S45" s="649" t="str">
        <f>INDEX('qtrP&amp;L'!$111:$111,MATCH(R$7,'qtrP&amp;L'!$6:$6,0))</f>
        <v>NA</v>
      </c>
      <c r="T45" s="649" t="str">
        <f>INDEX('qtrP&amp;L'!$112:$112,MATCH(R$7,'qtrP&amp;L'!$6:$6,0))</f>
        <v>NA</v>
      </c>
      <c r="U45" s="649" t="str">
        <f>INDEX('qtrP&amp;L'!$113:$113,MATCH(R$7,'qtrP&amp;L'!$6:$6,0))</f>
        <v>NA</v>
      </c>
      <c r="V45" s="649"/>
      <c r="W45" s="649" t="str">
        <f>INDEX('qtrP&amp;L'!$110:$110,MATCH(W$7,'qtrP&amp;L'!$6:$6,0))</f>
        <v>NA</v>
      </c>
      <c r="X45" s="649" t="str">
        <f>INDEX('qtrP&amp;L'!$111:$111,MATCH(W$7,'qtrP&amp;L'!$6:$6,0))</f>
        <v>NA</v>
      </c>
      <c r="Y45" s="649" t="str">
        <f>INDEX('qtrP&amp;L'!$112:$112,MATCH(W$7,'qtrP&amp;L'!$6:$6,0))</f>
        <v>NA</v>
      </c>
      <c r="Z45" s="649" t="str">
        <f>INDEX('qtrP&amp;L'!$113:$113,MATCH(W$7,'qtrP&amp;L'!$6:$6,0))</f>
        <v>NA</v>
      </c>
      <c r="AA45" s="649"/>
      <c r="AB45" s="649" t="str">
        <f>INDEX('qtrP&amp;L'!$110:$110,MATCH(AB$7,'qtrP&amp;L'!$6:$6,0))</f>
        <v>NA</v>
      </c>
      <c r="AC45" s="649" t="str">
        <f>INDEX('qtrP&amp;L'!$111:$111,MATCH(AB$7,'qtrP&amp;L'!$6:$6,0))</f>
        <v>NA</v>
      </c>
      <c r="AD45" s="649" t="str">
        <f>INDEX('qtrP&amp;L'!$112:$112,MATCH(AB$7,'qtrP&amp;L'!$6:$6,0))</f>
        <v>NA</v>
      </c>
      <c r="AE45" s="649" t="str">
        <f>INDEX('qtrP&amp;L'!$113:$113,MATCH(AB$7,'qtrP&amp;L'!$6:$6,0))</f>
        <v>NA</v>
      </c>
      <c r="AF45" s="649"/>
      <c r="AG45" s="649" t="str">
        <f>INDEX('qtrP&amp;L'!$110:$110,MATCH(AG$7,'qtrP&amp;L'!$6:$6,0))</f>
        <v>NA</v>
      </c>
      <c r="AH45" s="649" t="str">
        <f>INDEX('qtrP&amp;L'!$111:$111,MATCH(AG$7,'qtrP&amp;L'!$6:$6,0))</f>
        <v>NA</v>
      </c>
      <c r="AI45" s="649" t="str">
        <f>INDEX('qtrP&amp;L'!$112:$112,MATCH(AG$7,'qtrP&amp;L'!$6:$6,0))</f>
        <v>NA</v>
      </c>
      <c r="AJ45" s="649" t="str">
        <f>INDEX('qtrP&amp;L'!$113:$113,MATCH(AG$7,'qtrP&amp;L'!$6:$6,0))</f>
        <v>NA</v>
      </c>
      <c r="AK45" s="649"/>
      <c r="AL45" s="649" t="str">
        <f>INDEX('qtrP&amp;L'!$110:$110,MATCH(AL$7,'qtrP&amp;L'!$6:$6,0))</f>
        <v>NA</v>
      </c>
      <c r="AM45" s="649" t="str">
        <f>INDEX('qtrP&amp;L'!$111:$111,MATCH(AL$7,'qtrP&amp;L'!$6:$6,0))</f>
        <v>NA</v>
      </c>
      <c r="AN45" s="649" t="str">
        <f>INDEX('qtrP&amp;L'!$112:$112,MATCH(AL$7,'qtrP&amp;L'!$6:$6,0))</f>
        <v>NA</v>
      </c>
      <c r="AO45" s="649" t="str">
        <f>INDEX('qtrP&amp;L'!$113:$113,MATCH(AL$7,'qtrP&amp;L'!$6:$6,0))</f>
        <v>NA</v>
      </c>
      <c r="AP45" s="649"/>
      <c r="AQ45" s="649" t="str">
        <f>INDEX('qtrP&amp;L'!$110:$110,MATCH(AQ$7,'qtrP&amp;L'!$6:$6,0))</f>
        <v>NA</v>
      </c>
      <c r="AR45" s="649" t="str">
        <f>INDEX('qtrP&amp;L'!$111:$111,MATCH(AQ$7,'qtrP&amp;L'!$6:$6,0))</f>
        <v>NA</v>
      </c>
      <c r="AS45" s="649" t="str">
        <f>INDEX('qtrP&amp;L'!$112:$112,MATCH(AQ$7,'qtrP&amp;L'!$6:$6,0))</f>
        <v>NA</v>
      </c>
      <c r="AT45" s="649" t="str">
        <f>INDEX('qtrP&amp;L'!$113:$113,MATCH(AQ$7,'qtrP&amp;L'!$6:$6,0))</f>
        <v>NA</v>
      </c>
      <c r="AU45" s="649"/>
      <c r="AV45" s="649" t="str">
        <f>INDEX('qtrP&amp;L'!$110:$110,MATCH(AV$7,'qtrP&amp;L'!$6:$6,0))</f>
        <v>NA</v>
      </c>
      <c r="AW45" s="649" t="str">
        <f>INDEX('qtrP&amp;L'!$111:$111,MATCH(AV$7,'qtrP&amp;L'!$6:$6,0))</f>
        <v>NA</v>
      </c>
      <c r="AX45" s="649" t="str">
        <f>INDEX('qtrP&amp;L'!$112:$112,MATCH(AV$7,'qtrP&amp;L'!$6:$6,0))</f>
        <v>NA</v>
      </c>
      <c r="AY45" s="649" t="str">
        <f>INDEX('qtrP&amp;L'!$113:$113,MATCH(AV$7,'qtrP&amp;L'!$6:$6,0))</f>
        <v>NA</v>
      </c>
      <c r="AZ45" s="649"/>
      <c r="BA45" s="649" t="str">
        <f>INDEX('qtrP&amp;L'!$110:$110,MATCH(BA$7,'qtrP&amp;L'!$6:$6,0))</f>
        <v>NA</v>
      </c>
      <c r="BB45" s="649" t="str">
        <f>INDEX('qtrP&amp;L'!$111:$111,MATCH(BA$7,'qtrP&amp;L'!$6:$6,0))</f>
        <v>NA</v>
      </c>
      <c r="BC45" s="649" t="str">
        <f>INDEX('qtrP&amp;L'!$112:$112,MATCH(BA$7,'qtrP&amp;L'!$6:$6,0))</f>
        <v>NA</v>
      </c>
      <c r="BD45" s="649" t="str">
        <f>INDEX('qtrP&amp;L'!$113:$113,MATCH(BA$7,'qtrP&amp;L'!$6:$6,0))</f>
        <v>NA</v>
      </c>
      <c r="BE45" s="649"/>
      <c r="BF45" s="649" t="str">
        <f>INDEX('qtrP&amp;L'!$110:$110,MATCH(BF$7,'qtrP&amp;L'!$6:$6,0))</f>
        <v>NA</v>
      </c>
      <c r="BG45" s="649" t="str">
        <f>INDEX('qtrP&amp;L'!$111:$111,MATCH(BF$7,'qtrP&amp;L'!$6:$6,0))</f>
        <v>NA</v>
      </c>
      <c r="BH45" s="649" t="str">
        <f>INDEX('qtrP&amp;L'!$112:$112,MATCH(BF$7,'qtrP&amp;L'!$6:$6,0))</f>
        <v>NA</v>
      </c>
      <c r="BI45" s="649" t="str">
        <f>INDEX('qtrP&amp;L'!$113:$113,MATCH(BF$7,'qtrP&amp;L'!$6:$6,0))</f>
        <v>NA</v>
      </c>
      <c r="BJ45" s="649"/>
      <c r="BK45" s="649" t="str">
        <f>INDEX('qtrP&amp;L'!$110:$110,MATCH(BK$7,'qtrP&amp;L'!$6:$6,0))</f>
        <v>NA</v>
      </c>
      <c r="BL45" s="649" t="str">
        <f>INDEX('qtrP&amp;L'!$111:$111,MATCH(BK$7,'qtrP&amp;L'!$6:$6,0))</f>
        <v>NA</v>
      </c>
      <c r="BM45" s="649" t="str">
        <f>INDEX('qtrP&amp;L'!$112:$112,MATCH(BK$7,'qtrP&amp;L'!$6:$6,0))</f>
        <v>NA</v>
      </c>
      <c r="BN45" s="649" t="str">
        <f>INDEX('qtrP&amp;L'!$113:$113,MATCH(BK$7,'qtrP&amp;L'!$6:$6,0))</f>
        <v>NA</v>
      </c>
      <c r="BO45" s="649"/>
      <c r="BP45" s="649" t="str">
        <f>INDEX('qtrP&amp;L'!$110:$110,MATCH(BP$7,'qtrP&amp;L'!$6:$6,0))</f>
        <v>NA</v>
      </c>
      <c r="BQ45" s="649" t="str">
        <f>INDEX('qtrP&amp;L'!$111:$111,MATCH(BP$7,'qtrP&amp;L'!$6:$6,0))</f>
        <v>NA</v>
      </c>
      <c r="BR45" s="649" t="str">
        <f>INDEX('qtrP&amp;L'!$112:$112,MATCH(BP$7,'qtrP&amp;L'!$6:$6,0))</f>
        <v>NA</v>
      </c>
      <c r="BS45" s="649" t="str">
        <f>INDEX('qtrP&amp;L'!$113:$113,MATCH(BP$7,'qtrP&amp;L'!$6:$6,0))</f>
        <v>NA</v>
      </c>
      <c r="BT45" s="649"/>
      <c r="BU45" s="649" t="str">
        <f>INDEX('qtrP&amp;L'!$110:$110,MATCH(BU$7,'qtrP&amp;L'!$6:$6,0))</f>
        <v>NA</v>
      </c>
      <c r="BV45" s="649" t="str">
        <f>INDEX('qtrP&amp;L'!$111:$111,MATCH(BU$7,'qtrP&amp;L'!$6:$6,0))</f>
        <v>NA</v>
      </c>
      <c r="BW45" s="649" t="str">
        <f>INDEX('qtrP&amp;L'!$112:$112,MATCH(BU$7,'qtrP&amp;L'!$6:$6,0))</f>
        <v>NA</v>
      </c>
      <c r="BX45" s="649" t="str">
        <f>INDEX('qtrP&amp;L'!$113:$113,MATCH(BU$7,'qtrP&amp;L'!$6:$6,0))</f>
        <v>NA</v>
      </c>
      <c r="BY45" s="649"/>
      <c r="BZ45" s="649">
        <f>INDEX('qtrP&amp;L'!$110:$110,MATCH(BZ$7,'qtrP&amp;L'!$6:$6,0))</f>
        <v>317</v>
      </c>
      <c r="CA45" s="649">
        <f>INDEX('qtrP&amp;L'!$111:$111,MATCH(BZ$7,'qtrP&amp;L'!$6:$6,0))</f>
        <v>237</v>
      </c>
      <c r="CB45" s="649">
        <f>INDEX('qtrP&amp;L'!$112:$112,MATCH(BZ$7,'qtrP&amp;L'!$6:$6,0))</f>
        <v>431</v>
      </c>
      <c r="CC45" s="649">
        <f>INDEX('qtrP&amp;L'!$113:$113,MATCH(BZ$7,'qtrP&amp;L'!$6:$6,0))</f>
        <v>631</v>
      </c>
      <c r="CD45" s="649"/>
      <c r="CE45" s="649">
        <f>INDEX('qtrP&amp;L'!$110:$110,MATCH(CE$7,'qtrP&amp;L'!$6:$6,0))</f>
        <v>417</v>
      </c>
      <c r="CF45" s="649">
        <f>INDEX('qtrP&amp;L'!$111:$111,MATCH(CE$7,'qtrP&amp;L'!$6:$6,0))</f>
        <v>315</v>
      </c>
      <c r="CG45" s="649">
        <f>INDEX('qtrP&amp;L'!$112:$112,MATCH(CE$7,'qtrP&amp;L'!$6:$6,0))</f>
        <v>502</v>
      </c>
      <c r="CH45" s="649">
        <f>INDEX('qtrP&amp;L'!$113:$113,MATCH(CE$7,'qtrP&amp;L'!$6:$6,0))</f>
        <v>768.08399999999983</v>
      </c>
      <c r="CI45" s="649"/>
      <c r="CJ45" s="649">
        <f>INDEX('qtrP&amp;L'!$110:$110,MATCH(CJ$7,'qtrP&amp;L'!$6:$6,0))</f>
        <v>469</v>
      </c>
      <c r="CK45" s="649">
        <f>INDEX('qtrP&amp;L'!$111:$111,MATCH(CJ$7,'qtrP&amp;L'!$6:$6,0))</f>
        <v>367</v>
      </c>
      <c r="CL45" s="649">
        <f>INDEX('qtrP&amp;L'!$112:$112,MATCH(CJ$7,'qtrP&amp;L'!$6:$6,0))</f>
        <v>602</v>
      </c>
      <c r="CM45" s="649">
        <f>INDEX('qtrP&amp;L'!$113:$113,MATCH(CJ$7,'qtrP&amp;L'!$6:$6,0))</f>
        <v>859</v>
      </c>
      <c r="CN45" s="649"/>
      <c r="CO45" s="649">
        <f>INDEX('qtrP&amp;L'!$110:$110,MATCH(CO$7,'qtrP&amp;L'!$6:$6,0))</f>
        <v>518</v>
      </c>
      <c r="CP45" s="649">
        <f>INDEX('qtrP&amp;L'!$111:$111,MATCH(CO$7,'qtrP&amp;L'!$6:$6,0))</f>
        <v>428.07000000000016</v>
      </c>
      <c r="CQ45" s="649">
        <f>INDEX('qtrP&amp;L'!$112:$112,MATCH(CO$7,'qtrP&amp;L'!$6:$6,0))</f>
        <v>520</v>
      </c>
      <c r="CR45" s="649">
        <f>INDEX('qtrP&amp;L'!$113:$113,MATCH(CO$7,'qtrP&amp;L'!$6:$6,0))</f>
        <v>838</v>
      </c>
      <c r="CS45" s="649"/>
      <c r="CT45" s="649">
        <f>INDEX('qtrP&amp;L'!$110:$110,MATCH(CT$7,'qtrP&amp;L'!$6:$6,0))</f>
        <v>358</v>
      </c>
      <c r="CU45" s="649">
        <f>INDEX('qtrP&amp;L'!$111:$111,MATCH(CT$7,'qtrP&amp;L'!$6:$6,0))</f>
        <v>358.0595000000003</v>
      </c>
      <c r="CV45" s="649">
        <f>INDEX('qtrP&amp;L'!$112:$112,MATCH(CT$7,'qtrP&amp;L'!$6:$6,0))</f>
        <v>365.80967741935393</v>
      </c>
      <c r="CW45" s="649">
        <f>INDEX('qtrP&amp;L'!$113:$113,MATCH(CT$7,'qtrP&amp;L'!$6:$6,0))</f>
        <v>516</v>
      </c>
      <c r="CX45" s="649"/>
      <c r="CY45" s="649">
        <f>INDEX('qtrP&amp;L'!$110:$110,MATCH(CY$7,'qtrP&amp;L'!$6:$6,0))</f>
        <v>226</v>
      </c>
      <c r="CZ45" s="649">
        <f>INDEX('qtrP&amp;L'!$111:$111,MATCH(CY$7,'qtrP&amp;L'!$6:$6,0))</f>
        <v>188</v>
      </c>
      <c r="DA45" s="649">
        <f>INDEX('qtrP&amp;L'!$112:$112,MATCH(CY$7,'qtrP&amp;L'!$6:$6,0))</f>
        <v>230</v>
      </c>
      <c r="DB45" s="649">
        <f>INDEX('qtrP&amp;L'!$113:$113,MATCH(CY$7,'qtrP&amp;L'!$6:$6,0))</f>
        <v>514</v>
      </c>
      <c r="DC45" s="649"/>
      <c r="DD45" s="649">
        <f>INDEX('qtrP&amp;L'!$110:$110,MATCH(DD$7,'qtrP&amp;L'!$6:$6,0))</f>
        <v>280</v>
      </c>
      <c r="DE45" s="649">
        <f>INDEX('qtrP&amp;L'!$111:$111,MATCH(DD$7,'qtrP&amp;L'!$6:$6,0))</f>
        <v>221</v>
      </c>
      <c r="DF45" s="649">
        <f>INDEX('qtrP&amp;L'!$112:$112,MATCH(DD$7,'qtrP&amp;L'!$6:$6,0))</f>
        <v>252</v>
      </c>
      <c r="DG45" s="649">
        <f>INDEX('qtrP&amp;L'!$113:$113,MATCH(DD$7,'qtrP&amp;L'!$6:$6,0))</f>
        <v>622</v>
      </c>
      <c r="DH45" s="649"/>
      <c r="DI45" s="649">
        <f>INDEX('qtrP&amp;L'!$110:$110,MATCH(DI$7,'qtrP&amp;L'!$6:$6,0))</f>
        <v>298</v>
      </c>
      <c r="DJ45" s="649">
        <f>INDEX('qtrP&amp;L'!$111:$111,MATCH(DI$7,'qtrP&amp;L'!$6:$6,0))</f>
        <v>232</v>
      </c>
      <c r="DK45" s="649">
        <f>INDEX('qtrP&amp;L'!$112:$112,MATCH(DI$7,'qtrP&amp;L'!$6:$6,0))</f>
        <v>221</v>
      </c>
      <c r="DL45" s="649">
        <f>INDEX('qtrP&amp;L'!$113:$113,MATCH(DI$7,'qtrP&amp;L'!$6:$6,0))</f>
        <v>423</v>
      </c>
      <c r="DM45" s="649"/>
      <c r="DN45" s="649">
        <f>INDEX('qtrP&amp;L'!$110:$110,MATCH(DN$7,'qtrP&amp;L'!$6:$6,0))</f>
        <v>28</v>
      </c>
      <c r="DO45" s="649">
        <f>INDEX('qtrP&amp;L'!$111:$111,MATCH(DN$7,'qtrP&amp;L'!$6:$6,0))</f>
        <v>-96</v>
      </c>
      <c r="DP45" s="649">
        <f>INDEX('qtrP&amp;L'!$112:$112,MATCH(DN$7,'qtrP&amp;L'!$6:$6,0))</f>
        <v>-186</v>
      </c>
      <c r="DQ45" s="649">
        <f>INDEX('qtrP&amp;L'!$113:$113,MATCH(DN$7,'qtrP&amp;L'!$6:$6,0))</f>
        <v>-559</v>
      </c>
      <c r="DR45" s="649"/>
      <c r="DS45" s="649">
        <f>INDEX('qtrP&amp;L'!$110:$110,MATCH(DS$7,'qtrP&amp;L'!$6:$6,0))</f>
        <v>-278</v>
      </c>
      <c r="DT45" s="649">
        <f>INDEX('qtrP&amp;L'!$111:$111,MATCH(DS$7,'qtrP&amp;L'!$6:$6,0))</f>
        <v>-205</v>
      </c>
      <c r="DU45" s="649">
        <f>INDEX('qtrP&amp;L'!$112:$112,MATCH(DS$7,'qtrP&amp;L'!$6:$6,0))</f>
        <v>-194</v>
      </c>
      <c r="DV45" s="649">
        <f>INDEX('qtrP&amp;L'!$113:$113,MATCH(DS$7,'qtrP&amp;L'!$6:$6,0))</f>
        <v>73</v>
      </c>
      <c r="DW45" s="649"/>
      <c r="DX45" s="649">
        <f>INDEX('qtrP&amp;L'!$110:$110,MATCH(DX$7,'qtrP&amp;L'!$6:$6,0))</f>
        <v>-89</v>
      </c>
      <c r="DY45" s="649">
        <f>INDEX('qtrP&amp;L'!$111:$111,MATCH(DX$7,'qtrP&amp;L'!$6:$6,0))</f>
        <v>90</v>
      </c>
      <c r="DZ45" s="649">
        <f>INDEX('qtrP&amp;L'!$112:$112,MATCH(DX$7,'qtrP&amp;L'!$6:$6,0))</f>
        <v>102</v>
      </c>
      <c r="EA45" s="649">
        <f>INDEX('qtrP&amp;L'!$113:$113,MATCH(DX$7,'qtrP&amp;L'!$6:$6,0))</f>
        <v>268</v>
      </c>
      <c r="EB45" s="649"/>
      <c r="EC45" s="649">
        <f>'qtrP&amp;L'!DP160+'qtrP&amp;L'!DP120+'qtrP&amp;L'!DP150+'qtrP&amp;L'!DP60</f>
        <v>105.25</v>
      </c>
      <c r="ED45" s="649">
        <f>INDEX('qtrP&amp;L'!$111:$111,MATCH(EC$7,'qtrP&amp;L'!$6:$6,0))</f>
        <v>115</v>
      </c>
      <c r="EE45" s="649">
        <f>INDEX('qtrP&amp;L'!$112:$112,MATCH(EC$7,'qtrP&amp;L'!$6:$6,0))</f>
        <v>107</v>
      </c>
      <c r="EF45" s="649">
        <f>INDEX('qtrP&amp;L'!$113:$113,MATCH(EC$7,'qtrP&amp;L'!$6:$6,0))</f>
        <v>170</v>
      </c>
      <c r="EG45" s="649"/>
      <c r="EH45" s="649">
        <f>INDEX('qtrP&amp;L'!$110:$110,MATCH(EH$7,'qtrP&amp;L'!$6:$6,0))</f>
        <v>176</v>
      </c>
      <c r="EI45" s="649">
        <f>INDEX('qtrP&amp;L'!$111:$111,MATCH(EH$7,'qtrP&amp;L'!$6:$6,0))</f>
        <v>229</v>
      </c>
      <c r="EJ45" s="649">
        <f>INDEX('qtrP&amp;L'!$112:$112,MATCH(EH$7,'qtrP&amp;L'!$6:$6,0))</f>
        <v>172</v>
      </c>
      <c r="EK45" s="649">
        <f>INDEX('qtrP&amp;L'!$113:$113,MATCH(EH$7,'qtrP&amp;L'!$6:$6,0))</f>
        <v>436</v>
      </c>
      <c r="EL45" s="649"/>
      <c r="EM45" s="649">
        <f>INDEX('qtrP&amp;L'!$110:$110,MATCH(EM$7,'qtrP&amp;L'!$6:$6,0))</f>
        <v>259</v>
      </c>
      <c r="EN45" s="649">
        <f>INDEX('qtrP&amp;L'!$111:$111,MATCH(EM$7,'qtrP&amp;L'!$6:$6,0))</f>
        <v>205.00000000000045</v>
      </c>
      <c r="EO45" s="649">
        <f>INDEX('qtrP&amp;L'!$112:$112,MATCH(EM$7,'qtrP&amp;L'!$6:$6,0))</f>
        <v>110</v>
      </c>
      <c r="EP45" s="649">
        <f>INDEX('qtrP&amp;L'!$113:$113,MATCH(EM$7,'qtrP&amp;L'!$6:$6,0))</f>
        <v>405</v>
      </c>
      <c r="EQ45" s="649"/>
      <c r="ER45" s="1477">
        <f>INDEX('qtrP&amp;L'!$110:$110,MATCH(ER$7,'qtrP&amp;L'!$6:$6,0))</f>
        <v>163.77073600000006</v>
      </c>
      <c r="ES45" s="1477">
        <f>INDEX('qtrP&amp;L'!$111:$111,MATCH(ER$7,'qtrP&amp;L'!$6:$6,0))</f>
        <v>248.46926400000018</v>
      </c>
      <c r="ET45" s="1477">
        <f>INDEX('qtrP&amp;L'!$112:$112,MATCH(ER$7,'qtrP&amp;L'!$6:$6,0))</f>
        <v>166.66746000000001</v>
      </c>
      <c r="EU45" s="1477">
        <f>INDEX('qtrP&amp;L'!$113:$113,MATCH(ER$7,'qtrP&amp;L'!$6:$6,0))</f>
        <v>309.41287599999987</v>
      </c>
      <c r="EV45" s="507"/>
      <c r="EW45" s="651" t="str">
        <f>INDEX('qtrP&amp;L'!$114:$114,MATCH(EW$7,'qtrP&amp;L'!$6:$6,0))</f>
        <v>NA</v>
      </c>
      <c r="EX45" s="649" t="str">
        <f>INDEX('qtrP&amp;L'!$114:$114,MATCH(EX$7,'qtrP&amp;L'!$6:$6,0))</f>
        <v>NA</v>
      </c>
      <c r="EY45" s="649" t="str">
        <f>INDEX('qtrP&amp;L'!$114:$114,MATCH(EY$7,'qtrP&amp;L'!$6:$6,0))</f>
        <v>NA</v>
      </c>
      <c r="EZ45" s="649" t="str">
        <f>INDEX('qtrP&amp;L'!$114:$114,MATCH(EZ$7,'qtrP&amp;L'!$6:$6,0))</f>
        <v>NA</v>
      </c>
      <c r="FA45" s="649" t="str">
        <f>INDEX('qtrP&amp;L'!$114:$114,MATCH(FA$7,'qtrP&amp;L'!$6:$6,0))</f>
        <v>NA</v>
      </c>
      <c r="FB45" s="649" t="str">
        <f>INDEX('qtrP&amp;L'!$114:$114,MATCH(FB$7,'qtrP&amp;L'!$6:$6,0))</f>
        <v>NA</v>
      </c>
      <c r="FC45" s="649" t="str">
        <f>INDEX('qtrP&amp;L'!$114:$114,MATCH(FC$7,'qtrP&amp;L'!$6:$6,0))</f>
        <v>NA</v>
      </c>
      <c r="FD45" s="649" t="str">
        <f>INDEX('qtrP&amp;L'!$114:$114,MATCH(FD$7,'qtrP&amp;L'!$6:$6,0))</f>
        <v>NA</v>
      </c>
      <c r="FE45" s="649" t="str">
        <f>INDEX('qtrP&amp;L'!$114:$114,MATCH(FE$7,'qtrP&amp;L'!$6:$6,0))</f>
        <v>NA</v>
      </c>
      <c r="FF45" s="649" t="str">
        <f>INDEX('qtrP&amp;L'!$114:$114,MATCH(FF$7,'qtrP&amp;L'!$6:$6,0))</f>
        <v>NA</v>
      </c>
      <c r="FG45" s="649" t="str">
        <f>INDEX('qtrP&amp;L'!$114:$114,MATCH(FG$7,'qtrP&amp;L'!$6:$6,0))</f>
        <v>NA</v>
      </c>
      <c r="FH45" s="649" t="str">
        <f>INDEX('qtrP&amp;L'!$114:$114,MATCH(FH$7,'qtrP&amp;L'!$6:$6,0))</f>
        <v>NA</v>
      </c>
      <c r="FI45" s="649" t="str">
        <f>INDEX('qtrP&amp;L'!$114:$114,MATCH(FI$7,'qtrP&amp;L'!$6:$6,0))</f>
        <v>NA</v>
      </c>
      <c r="FJ45" s="649">
        <f>INDEX('qtrP&amp;L'!$114:$114,MATCH(FJ$7,'qtrP&amp;L'!$6:$6,0))</f>
        <v>986</v>
      </c>
      <c r="FK45" s="649">
        <f>INDEX('qtrP&amp;L'!$114:$114,MATCH(FK$7,'qtrP&amp;L'!$6:$6,0))</f>
        <v>1172</v>
      </c>
      <c r="FL45" s="649">
        <f>INDEX('qtrP&amp;L'!$114:$114,MATCH(FL$7,'qtrP&amp;L'!$6:$6,0))</f>
        <v>1616</v>
      </c>
      <c r="FM45" s="651">
        <f>INDEX('qtrP&amp;L'!$114:$114,MATCH(FM$7,'qtrP&amp;L'!$6:$6,0))</f>
        <v>2002.0839999999989</v>
      </c>
      <c r="FN45" s="651">
        <f>INDEX('qtrP&amp;L'!$114:$114,MATCH(FN$7,'qtrP&amp;L'!$6:$6,0))</f>
        <v>2297</v>
      </c>
      <c r="FO45" s="649">
        <f>INDEX('qtrP&amp;L'!$114:$114,MATCH(FO$7,'qtrP&amp;L'!$6:$6,0))</f>
        <v>2304.0699999999997</v>
      </c>
      <c r="FP45" s="649">
        <f>INDEX('qtrP&amp;L'!$114:$114,MATCH(FP$7,'qtrP&amp;L'!$6:$6,0))</f>
        <v>1597.8691774193524</v>
      </c>
      <c r="FQ45" s="651">
        <f>INDEX('qtrP&amp;L'!$114:$114,MATCH(FQ$7,'qtrP&amp;L'!$6:$6,0))</f>
        <v>1158</v>
      </c>
      <c r="FR45" s="651">
        <f>INDEX('qtrP&amp;L'!$114:$114,MATCH(FR$7,'qtrP&amp;L'!$6:$6,0))</f>
        <v>1375</v>
      </c>
      <c r="FS45" s="649">
        <f>INDEX('qtrP&amp;L'!$114:$114,MATCH(FS$7,'qtrP&amp;L'!$6:$6,0))</f>
        <v>1174</v>
      </c>
      <c r="FT45" s="649">
        <f>INDEX('qtrP&amp;L'!$114:$114,MATCH(FT$7,'qtrP&amp;L'!$6:$6,0))</f>
        <v>-813</v>
      </c>
      <c r="FU45" s="649">
        <f>'yrP&amp;L'!AB42+'yrP&amp;L'!AB31</f>
        <v>-604</v>
      </c>
      <c r="FV45" s="649">
        <f>'yrP&amp;L'!AC42+'yrP&amp;L'!AC31</f>
        <v>410</v>
      </c>
      <c r="FW45" s="649">
        <f>'yrP&amp;L'!AD42+'yrP&amp;L'!AD31</f>
        <v>497.25</v>
      </c>
      <c r="FX45" s="649">
        <f>'yrP&amp;L'!AE42+'yrP&amp;L'!AE31</f>
        <v>1013</v>
      </c>
      <c r="FY45" s="649">
        <f>'yrP&amp;L'!AF42+'yrP&amp;L'!AF31</f>
        <v>923</v>
      </c>
      <c r="FZ45" s="649">
        <f>'yrP&amp;L'!AG42+'yrP&amp;L'!AG31</f>
        <v>888.32033599999886</v>
      </c>
      <c r="GA45" s="649">
        <f>'yrP&amp;L'!AH42+'yrP&amp;L'!AH31</f>
        <v>805.3427854626342</v>
      </c>
      <c r="GB45" s="1270">
        <f>'yrP&amp;L'!AI42+'yrP&amp;L'!AI31</f>
        <v>754.44220077975262</v>
      </c>
      <c r="GC45" s="649">
        <f>'yrP&amp;L'!AJ42+'yrP&amp;L'!AJ31</f>
        <v>633.04054140606445</v>
      </c>
      <c r="GD45" s="1493">
        <f>'yrP&amp;L'!AK42+'yrP&amp;L'!AK31</f>
        <v>466.86773291867269</v>
      </c>
    </row>
    <row r="46" spans="1:261" hidden="1" outlineLevel="1">
      <c r="A46" s="652" t="str">
        <f>"Pension"</f>
        <v>Pension</v>
      </c>
      <c r="B46" s="507"/>
      <c r="C46" s="649"/>
      <c r="D46" s="649"/>
      <c r="E46" s="649"/>
      <c r="F46" s="649"/>
      <c r="G46" s="649"/>
      <c r="H46" s="649"/>
      <c r="I46" s="649"/>
      <c r="J46" s="649"/>
      <c r="K46" s="649"/>
      <c r="L46" s="649"/>
      <c r="M46" s="649"/>
      <c r="N46" s="649"/>
      <c r="O46" s="649"/>
      <c r="P46" s="649"/>
      <c r="Q46" s="649"/>
      <c r="R46" s="649"/>
      <c r="S46" s="649"/>
      <c r="T46" s="649"/>
      <c r="U46" s="649"/>
      <c r="V46" s="649"/>
      <c r="W46" s="649"/>
      <c r="X46" s="649"/>
      <c r="Y46" s="649"/>
      <c r="Z46" s="649"/>
      <c r="AA46" s="649"/>
      <c r="AB46" s="649"/>
      <c r="AC46" s="649"/>
      <c r="AD46" s="649"/>
      <c r="AE46" s="649"/>
      <c r="AF46" s="649"/>
      <c r="AG46" s="649"/>
      <c r="AH46" s="649"/>
      <c r="AI46" s="649"/>
      <c r="AJ46" s="649"/>
      <c r="AK46" s="649"/>
      <c r="AL46" s="649"/>
      <c r="AM46" s="649"/>
      <c r="AN46" s="649"/>
      <c r="AO46" s="649"/>
      <c r="AP46" s="649"/>
      <c r="AQ46" s="649"/>
      <c r="AR46" s="649"/>
      <c r="AS46" s="649"/>
      <c r="AT46" s="649"/>
      <c r="AU46" s="649"/>
      <c r="AV46" s="649"/>
      <c r="AW46" s="649"/>
      <c r="AX46" s="649"/>
      <c r="AY46" s="649"/>
      <c r="AZ46" s="649"/>
      <c r="BA46" s="649"/>
      <c r="BB46" s="649"/>
      <c r="BC46" s="649"/>
      <c r="BD46" s="649"/>
      <c r="BE46" s="649"/>
      <c r="BF46" s="649"/>
      <c r="BG46" s="649"/>
      <c r="BH46" s="649"/>
      <c r="BI46" s="649"/>
      <c r="BJ46" s="649"/>
      <c r="BK46" s="649"/>
      <c r="BL46" s="649"/>
      <c r="BM46" s="649"/>
      <c r="BN46" s="649"/>
      <c r="BO46" s="649"/>
      <c r="BP46" s="649"/>
      <c r="BQ46" s="649"/>
      <c r="BR46" s="649"/>
      <c r="BS46" s="649"/>
      <c r="BT46" s="649"/>
      <c r="BU46" s="649"/>
      <c r="BV46" s="649"/>
      <c r="BW46" s="649"/>
      <c r="BX46" s="649"/>
      <c r="BY46" s="649"/>
      <c r="BZ46" s="649"/>
      <c r="CA46" s="649"/>
      <c r="CB46" s="649"/>
      <c r="CC46" s="649"/>
      <c r="CD46" s="649"/>
      <c r="CE46" s="649"/>
      <c r="CF46" s="649"/>
      <c r="CG46" s="649"/>
      <c r="CH46" s="649"/>
      <c r="CI46" s="649"/>
      <c r="CJ46" s="649"/>
      <c r="CK46" s="649"/>
      <c r="CL46" s="649"/>
      <c r="CM46" s="649"/>
      <c r="CN46" s="649"/>
      <c r="CO46" s="649"/>
      <c r="CP46" s="649"/>
      <c r="CQ46" s="649"/>
      <c r="CR46" s="649"/>
      <c r="CS46" s="649"/>
      <c r="CT46" s="649"/>
      <c r="CU46" s="649"/>
      <c r="CV46" s="649"/>
      <c r="CW46" s="649"/>
      <c r="CX46" s="649"/>
      <c r="CY46" s="649"/>
      <c r="CZ46" s="649"/>
      <c r="DA46" s="649"/>
      <c r="DB46" s="649"/>
      <c r="DC46" s="649"/>
      <c r="DD46" s="649">
        <f>'qtrP&amp;L'!$CU$40</f>
        <v>55</v>
      </c>
      <c r="DE46" s="649">
        <f>'qtrP&amp;L'!$CU$41</f>
        <v>55</v>
      </c>
      <c r="DF46" s="649">
        <f>'qtrP&amp;L'!$CU$42</f>
        <v>56</v>
      </c>
      <c r="DG46" s="649">
        <f>'qtrP&amp;L'!$CU$43</f>
        <v>55</v>
      </c>
      <c r="DH46" s="649"/>
      <c r="DI46" s="649">
        <f>'qtrP&amp;L'!$CY$40</f>
        <v>22</v>
      </c>
      <c r="DJ46" s="649">
        <f>'qtrP&amp;L'!$CY$41</f>
        <v>21</v>
      </c>
      <c r="DK46" s="649">
        <f>'qtrP&amp;L'!$CY$42</f>
        <v>22</v>
      </c>
      <c r="DL46" s="649">
        <f>'qtrP&amp;L'!$CY$43</f>
        <v>22</v>
      </c>
      <c r="DM46" s="649"/>
      <c r="DN46" s="649">
        <f>'qtrP&amp;L'!DC40</f>
        <v>49</v>
      </c>
      <c r="DO46" s="649">
        <f>'qtrP&amp;L'!DC41</f>
        <v>48</v>
      </c>
      <c r="DP46" s="649">
        <f>'qtrP&amp;L'!DC42</f>
        <v>42</v>
      </c>
      <c r="DQ46" s="649">
        <f>'qtrP&amp;L'!DC43</f>
        <v>176</v>
      </c>
      <c r="DR46" s="649"/>
      <c r="DS46" s="649">
        <f>'qtrP&amp;L'!DG40</f>
        <v>25</v>
      </c>
      <c r="DT46" s="649">
        <f>'qtrP&amp;L'!DG41</f>
        <v>25</v>
      </c>
      <c r="DU46" s="649">
        <f>'qtrP&amp;L'!DG42</f>
        <v>25</v>
      </c>
      <c r="DV46" s="649">
        <f>'qtrP&amp;L'!DG43</f>
        <v>25</v>
      </c>
      <c r="DW46" s="649"/>
      <c r="DX46" s="649">
        <f t="array" ref="DX46:EA46">TRANSPOSE('qtrP&amp;L'!DK40:DK43)</f>
        <v>-5</v>
      </c>
      <c r="DY46" s="649">
        <v>-4</v>
      </c>
      <c r="DZ46" s="649">
        <v>1</v>
      </c>
      <c r="EA46" s="649">
        <v>-6</v>
      </c>
      <c r="EB46" s="649"/>
      <c r="EC46" s="649">
        <f t="array" ref="EC46:EF46">TRANSPOSE('qtrP&amp;L'!DP40:DP43)</f>
        <v>-21</v>
      </c>
      <c r="ED46" s="649">
        <v>8</v>
      </c>
      <c r="EE46" s="649">
        <v>7</v>
      </c>
      <c r="EF46" s="649">
        <v>209</v>
      </c>
      <c r="EG46" s="649"/>
      <c r="EH46" s="649">
        <f t="array" ref="EH46:EK46">TRANSPOSE('qtrP&amp;L'!DU40:DU43)</f>
        <v>0</v>
      </c>
      <c r="EI46" s="649">
        <v>0</v>
      </c>
      <c r="EJ46" s="649">
        <v>0</v>
      </c>
      <c r="EK46" s="649">
        <v>1</v>
      </c>
      <c r="EL46" s="649"/>
      <c r="EM46" s="649">
        <f t="array" ref="EM46:EP46">TRANSPOSE('qtrP&amp;L'!DZ40:DZ43)</f>
        <v>-1</v>
      </c>
      <c r="EN46" s="649">
        <v>1</v>
      </c>
      <c r="EO46" s="649">
        <v>-1</v>
      </c>
      <c r="EP46" s="649">
        <v>1</v>
      </c>
      <c r="EQ46" s="649"/>
      <c r="ER46" s="1477">
        <f t="array" ref="ER46:EU46">TRANSPOSE('qtrP&amp;L'!EJ40:EJ43)</f>
        <v>0</v>
      </c>
      <c r="ES46" s="1477">
        <v>0</v>
      </c>
      <c r="ET46" s="1477">
        <v>0</v>
      </c>
      <c r="EU46" s="1477">
        <v>0</v>
      </c>
      <c r="EV46" s="507"/>
      <c r="EW46" s="651"/>
      <c r="EX46" s="649"/>
      <c r="EY46" s="649"/>
      <c r="EZ46" s="649"/>
      <c r="FA46" s="649"/>
      <c r="FB46" s="649"/>
      <c r="FC46" s="649"/>
      <c r="FD46" s="649"/>
      <c r="FE46" s="649"/>
      <c r="FF46" s="649"/>
      <c r="FG46" s="649"/>
      <c r="FH46" s="649"/>
      <c r="FI46" s="649"/>
      <c r="FJ46" s="649">
        <f>INDEX('qtrP&amp;L'!$44:$44,MATCH(FJ$7,'qtrP&amp;L'!$6:$6,0))</f>
        <v>0</v>
      </c>
      <c r="FK46" s="649">
        <f>INDEX('qtrP&amp;L'!$44:$44,MATCH(FK$7,'qtrP&amp;L'!$6:$6,0))</f>
        <v>0</v>
      </c>
      <c r="FL46" s="649">
        <f>INDEX('qtrP&amp;L'!$44:$44,MATCH(FL$7,'qtrP&amp;L'!$6:$6,0))</f>
        <v>82</v>
      </c>
      <c r="FM46" s="651">
        <f>INDEX('qtrP&amp;L'!$44:$44,MATCH(FM$7,'qtrP&amp;L'!$6:$6,0))</f>
        <v>69</v>
      </c>
      <c r="FN46" s="651">
        <f>INDEX('qtrP&amp;L'!$44:$44,MATCH(FN$7,'qtrP&amp;L'!$6:$6,0))</f>
        <v>9</v>
      </c>
      <c r="FO46" s="649">
        <f>INDEX('qtrP&amp;L'!$44:$44,MATCH(FO$7,'qtrP&amp;L'!$6:$6,0))</f>
        <v>-97</v>
      </c>
      <c r="FP46" s="649">
        <f>INDEX('qtrP&amp;L'!$44:$44,MATCH(FP$7,'qtrP&amp;L'!$6:$6,0))</f>
        <v>-133</v>
      </c>
      <c r="FQ46" s="651">
        <f>INDEX('qtrP&amp;L'!$44:$44,MATCH(FQ$7,'qtrP&amp;L'!$6:$6,0))</f>
        <v>298</v>
      </c>
      <c r="FR46" s="651">
        <f>INDEX('qtrP&amp;L'!$44:$44,MATCH(FR$7,'qtrP&amp;L'!$6:$6,0))</f>
        <v>221</v>
      </c>
      <c r="FS46" s="649">
        <f>INDEX('qtrP&amp;L'!$44:$44,MATCH(FS$7,'qtrP&amp;L'!$6:$6,0))</f>
        <v>87</v>
      </c>
      <c r="FT46" s="649">
        <f>INDEX('qtrP&amp;L'!$44:$44,MATCH(FT$7,'qtrP&amp;L'!$6:$6,0))</f>
        <v>315</v>
      </c>
      <c r="FU46" s="649">
        <f>INDEX('qtrP&amp;L'!$44:$44,MATCH(FU$7,'qtrP&amp;L'!$6:$6,0))</f>
        <v>100</v>
      </c>
      <c r="FV46" s="649">
        <f>'yrP&amp;L'!AC25</f>
        <v>-14</v>
      </c>
      <c r="FW46" s="649">
        <f>'yrP&amp;L'!AD25</f>
        <v>203</v>
      </c>
      <c r="FX46" s="649">
        <f>'yrP&amp;L'!AE25</f>
        <v>1</v>
      </c>
      <c r="FY46" s="649">
        <f>'yrP&amp;L'!AF25</f>
        <v>0</v>
      </c>
      <c r="FZ46" s="649">
        <f>'yrP&amp;L'!AG25</f>
        <v>0</v>
      </c>
      <c r="GA46" s="649">
        <f>'yrP&amp;L'!AH25</f>
        <v>0</v>
      </c>
      <c r="GB46" s="1270">
        <f>'yrP&amp;L'!AI25</f>
        <v>0</v>
      </c>
      <c r="GC46" s="649">
        <f>'yrP&amp;L'!AJ25</f>
        <v>0</v>
      </c>
      <c r="GD46" s="1493">
        <f>'yrP&amp;L'!AK25</f>
        <v>0</v>
      </c>
    </row>
    <row r="47" spans="1:261" collapsed="1">
      <c r="A47" s="500" t="s">
        <v>688</v>
      </c>
      <c r="B47" s="507"/>
      <c r="C47" s="649"/>
      <c r="D47" s="649"/>
      <c r="E47" s="649"/>
      <c r="F47" s="649"/>
      <c r="G47" s="649"/>
      <c r="H47" s="649"/>
      <c r="I47" s="649"/>
      <c r="J47" s="649"/>
      <c r="K47" s="649"/>
      <c r="L47" s="649"/>
      <c r="M47" s="649"/>
      <c r="N47" s="649"/>
      <c r="O47" s="649"/>
      <c r="P47" s="649"/>
      <c r="Q47" s="649"/>
      <c r="R47" s="649"/>
      <c r="S47" s="649"/>
      <c r="T47" s="649"/>
      <c r="U47" s="649"/>
      <c r="V47" s="649"/>
      <c r="W47" s="649"/>
      <c r="X47" s="649"/>
      <c r="Y47" s="649"/>
      <c r="Z47" s="649"/>
      <c r="AA47" s="649"/>
      <c r="AB47" s="649"/>
      <c r="AC47" s="649"/>
      <c r="AD47" s="649"/>
      <c r="AE47" s="649"/>
      <c r="AF47" s="649"/>
      <c r="AG47" s="649"/>
      <c r="AH47" s="649"/>
      <c r="AI47" s="649"/>
      <c r="AJ47" s="649"/>
      <c r="AK47" s="649"/>
      <c r="AL47" s="649"/>
      <c r="AM47" s="649"/>
      <c r="AN47" s="649"/>
      <c r="AO47" s="649"/>
      <c r="AP47" s="649"/>
      <c r="AQ47" s="649"/>
      <c r="AR47" s="649"/>
      <c r="AS47" s="649"/>
      <c r="AT47" s="649"/>
      <c r="AU47" s="649"/>
      <c r="AV47" s="649"/>
      <c r="AW47" s="649"/>
      <c r="AX47" s="649"/>
      <c r="AY47" s="649"/>
      <c r="AZ47" s="649"/>
      <c r="BA47" s="649"/>
      <c r="BB47" s="649"/>
      <c r="BC47" s="649"/>
      <c r="BD47" s="649"/>
      <c r="BE47" s="649"/>
      <c r="BF47" s="649"/>
      <c r="BG47" s="649"/>
      <c r="BH47" s="649"/>
      <c r="BI47" s="649"/>
      <c r="BJ47" s="649"/>
      <c r="BK47" s="649"/>
      <c r="BL47" s="649"/>
      <c r="BM47" s="649"/>
      <c r="BN47" s="649"/>
      <c r="BO47" s="649"/>
      <c r="BP47" s="649"/>
      <c r="BQ47" s="649"/>
      <c r="BR47" s="649"/>
      <c r="BS47" s="649"/>
      <c r="BT47" s="649"/>
      <c r="BU47" s="649"/>
      <c r="BV47" s="649"/>
      <c r="BW47" s="649"/>
      <c r="BX47" s="649"/>
      <c r="BY47" s="649"/>
      <c r="BZ47" s="649"/>
      <c r="CA47" s="649"/>
      <c r="CB47" s="649"/>
      <c r="CC47" s="649"/>
      <c r="CD47" s="649"/>
      <c r="CE47" s="649"/>
      <c r="CF47" s="649"/>
      <c r="CG47" s="649"/>
      <c r="CH47" s="649"/>
      <c r="CI47" s="649"/>
      <c r="CJ47" s="649"/>
      <c r="CK47" s="649"/>
      <c r="CL47" s="649"/>
      <c r="CM47" s="649"/>
      <c r="CN47" s="649"/>
      <c r="CO47" s="649"/>
      <c r="CP47" s="649"/>
      <c r="CQ47" s="649"/>
      <c r="CR47" s="649"/>
      <c r="CS47" s="649"/>
      <c r="CT47" s="649"/>
      <c r="CU47" s="649"/>
      <c r="CV47" s="649"/>
      <c r="CW47" s="649"/>
      <c r="CX47" s="649"/>
      <c r="CY47" s="649"/>
      <c r="CZ47" s="649"/>
      <c r="DA47" s="649"/>
      <c r="DB47" s="649"/>
      <c r="DC47" s="649"/>
      <c r="DD47" s="649">
        <f>SUM(DD45:DD46)</f>
        <v>335</v>
      </c>
      <c r="DE47" s="649">
        <f>SUM(DE45:DE46)</f>
        <v>276</v>
      </c>
      <c r="DF47" s="649">
        <f>SUM(DF45:DF46)</f>
        <v>308</v>
      </c>
      <c r="DG47" s="649">
        <f>SUM(DG45:DG46)</f>
        <v>677</v>
      </c>
      <c r="DH47" s="649"/>
      <c r="DI47" s="649">
        <f>SUM(DI45:DI46)</f>
        <v>320</v>
      </c>
      <c r="DJ47" s="649">
        <f>SUM(DJ45:DJ46)</f>
        <v>253</v>
      </c>
      <c r="DK47" s="649">
        <f>SUM(DK45:DK46)</f>
        <v>243</v>
      </c>
      <c r="DL47" s="649">
        <f>SUM(DL45:DL46)</f>
        <v>445</v>
      </c>
      <c r="DM47" s="649"/>
      <c r="DN47" s="649">
        <f>SUM(DN45:DN46)</f>
        <v>77</v>
      </c>
      <c r="DO47" s="649">
        <f>SUM(DO45:DO46)</f>
        <v>-48</v>
      </c>
      <c r="DP47" s="649">
        <f>SUM(DP45:DP46)</f>
        <v>-144</v>
      </c>
      <c r="DQ47" s="649">
        <f>SUM(DQ45:DQ46)</f>
        <v>-383</v>
      </c>
      <c r="DR47" s="649"/>
      <c r="DS47" s="649">
        <f>SUM(DS45:DS46)</f>
        <v>-253</v>
      </c>
      <c r="DT47" s="649">
        <f>SUM(DT45:DT46)</f>
        <v>-180</v>
      </c>
      <c r="DU47" s="649">
        <f>SUM(DU45:DU46)</f>
        <v>-169</v>
      </c>
      <c r="DV47" s="649">
        <f>SUM(DV45:DV46)</f>
        <v>98</v>
      </c>
      <c r="DW47" s="649"/>
      <c r="DX47" s="649">
        <f>SUM(DX45:DX46)</f>
        <v>-94</v>
      </c>
      <c r="DY47" s="649">
        <f>SUM(DY45:DY46)</f>
        <v>86</v>
      </c>
      <c r="DZ47" s="649">
        <f>SUM(DZ45:DZ46)</f>
        <v>103</v>
      </c>
      <c r="EA47" s="649">
        <f>SUM(EA45:EA46)</f>
        <v>262</v>
      </c>
      <c r="EB47" s="649"/>
      <c r="EC47" s="649">
        <f>SUM(EC45:EC46)</f>
        <v>84.25</v>
      </c>
      <c r="ED47" s="649">
        <f>SUM(ED45:ED46)</f>
        <v>123</v>
      </c>
      <c r="EE47" s="649">
        <f>SUM(EE45:EE46)</f>
        <v>114</v>
      </c>
      <c r="EF47" s="649">
        <f>SUM(EF45:EF46)</f>
        <v>379</v>
      </c>
      <c r="EG47" s="649"/>
      <c r="EH47" s="649">
        <f>SUM(EH45:EH46)</f>
        <v>176</v>
      </c>
      <c r="EI47" s="649">
        <f>SUM(EI45:EI46)</f>
        <v>229</v>
      </c>
      <c r="EJ47" s="649">
        <f>SUM(EJ45:EJ46)</f>
        <v>172</v>
      </c>
      <c r="EK47" s="649">
        <f>SUM(EK45:EK46)</f>
        <v>437</v>
      </c>
      <c r="EL47" s="649"/>
      <c r="EM47" s="649">
        <f>SUM(EM45:EM46)</f>
        <v>258</v>
      </c>
      <c r="EN47" s="649">
        <f>SUM(EN45:EN46)</f>
        <v>206.00000000000045</v>
      </c>
      <c r="EO47" s="649">
        <f>SUM(EO45:EO46)</f>
        <v>109</v>
      </c>
      <c r="EP47" s="649">
        <f>SUM(EP45:EP46)</f>
        <v>406</v>
      </c>
      <c r="EQ47" s="649"/>
      <c r="ER47" s="1477">
        <f>SUM(ER45:ER46)</f>
        <v>163.77073600000006</v>
      </c>
      <c r="ES47" s="1477">
        <f>SUM(ES45:ES46)</f>
        <v>248.46926400000018</v>
      </c>
      <c r="ET47" s="1477">
        <f>SUM(ET45:ET46)</f>
        <v>166.66746000000001</v>
      </c>
      <c r="EU47" s="1477">
        <f>SUM(EU45:EU46)</f>
        <v>309.41287599999987</v>
      </c>
      <c r="EV47" s="507"/>
      <c r="EW47" s="651"/>
      <c r="EX47" s="649"/>
      <c r="EY47" s="649"/>
      <c r="EZ47" s="649"/>
      <c r="FA47" s="649"/>
      <c r="FB47" s="649"/>
      <c r="FC47" s="649"/>
      <c r="FD47" s="649"/>
      <c r="FE47" s="649"/>
      <c r="FF47" s="649"/>
      <c r="FG47" s="649"/>
      <c r="FH47" s="649"/>
      <c r="FI47" s="649"/>
      <c r="FJ47" s="649">
        <f t="shared" ref="FJ47:GA47" si="32">FJ46+FJ45</f>
        <v>986</v>
      </c>
      <c r="FK47" s="649">
        <f t="shared" si="32"/>
        <v>1172</v>
      </c>
      <c r="FL47" s="649">
        <f t="shared" si="32"/>
        <v>1698</v>
      </c>
      <c r="FM47" s="651">
        <f t="shared" si="32"/>
        <v>2071.0839999999989</v>
      </c>
      <c r="FN47" s="651">
        <f t="shared" si="32"/>
        <v>2306</v>
      </c>
      <c r="FO47" s="649">
        <f t="shared" si="32"/>
        <v>2207.0699999999997</v>
      </c>
      <c r="FP47" s="649">
        <f t="shared" si="32"/>
        <v>1464.8691774193524</v>
      </c>
      <c r="FQ47" s="651">
        <f t="shared" si="32"/>
        <v>1456</v>
      </c>
      <c r="FR47" s="651">
        <f t="shared" si="32"/>
        <v>1596</v>
      </c>
      <c r="FS47" s="649">
        <f t="shared" si="32"/>
        <v>1261</v>
      </c>
      <c r="FT47" s="649">
        <f t="shared" si="32"/>
        <v>-498</v>
      </c>
      <c r="FU47" s="649">
        <f t="shared" si="32"/>
        <v>-504</v>
      </c>
      <c r="FV47" s="649">
        <f t="shared" si="32"/>
        <v>396</v>
      </c>
      <c r="FW47" s="649">
        <f>FW46+FW45</f>
        <v>700.25</v>
      </c>
      <c r="FX47" s="649">
        <f t="shared" si="32"/>
        <v>1014</v>
      </c>
      <c r="FY47" s="649">
        <f>FY46+FY45</f>
        <v>923</v>
      </c>
      <c r="FZ47" s="649">
        <f>FZ46+FZ45</f>
        <v>888.32033599999886</v>
      </c>
      <c r="GA47" s="649">
        <f t="shared" si="32"/>
        <v>805.3427854626342</v>
      </c>
      <c r="GB47" s="1270">
        <f>GB46+GB45</f>
        <v>754.44220077975262</v>
      </c>
      <c r="GC47" s="649">
        <f>GC46+GC45</f>
        <v>633.04054140606445</v>
      </c>
      <c r="GD47" s="1493">
        <f>GD46+GD45</f>
        <v>466.86773291867269</v>
      </c>
    </row>
    <row r="48" spans="1:261" ht="12.75" hidden="1" customHeight="1" outlineLevel="1">
      <c r="A48" s="500" t="s">
        <v>634</v>
      </c>
      <c r="B48" s="507"/>
      <c r="C48" s="649"/>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49"/>
      <c r="AD48" s="649"/>
      <c r="AE48" s="649"/>
      <c r="AF48" s="649"/>
      <c r="AG48" s="649"/>
      <c r="AH48" s="649"/>
      <c r="AI48" s="649"/>
      <c r="AJ48" s="649"/>
      <c r="AK48" s="649"/>
      <c r="AL48" s="649"/>
      <c r="AM48" s="649"/>
      <c r="AN48" s="649"/>
      <c r="AO48" s="649"/>
      <c r="AP48" s="649"/>
      <c r="AQ48" s="649"/>
      <c r="AR48" s="649"/>
      <c r="AS48" s="649"/>
      <c r="AT48" s="649"/>
      <c r="AU48" s="649"/>
      <c r="AV48" s="649"/>
      <c r="AW48" s="649"/>
      <c r="AX48" s="649"/>
      <c r="AY48" s="649"/>
      <c r="AZ48" s="649"/>
      <c r="BA48" s="649"/>
      <c r="BB48" s="649"/>
      <c r="BC48" s="649"/>
      <c r="BD48" s="649"/>
      <c r="BE48" s="649"/>
      <c r="BF48" s="649"/>
      <c r="BG48" s="649"/>
      <c r="BH48" s="649"/>
      <c r="BI48" s="649"/>
      <c r="BJ48" s="649"/>
      <c r="BK48" s="649"/>
      <c r="BL48" s="649"/>
      <c r="BM48" s="649"/>
      <c r="BN48" s="649"/>
      <c r="BO48" s="649"/>
      <c r="BP48" s="649"/>
      <c r="BQ48" s="649"/>
      <c r="BR48" s="649"/>
      <c r="BS48" s="649"/>
      <c r="BT48" s="649"/>
      <c r="BU48" s="649"/>
      <c r="BV48" s="649"/>
      <c r="BW48" s="649"/>
      <c r="BX48" s="649"/>
      <c r="BY48" s="649"/>
      <c r="BZ48" s="649"/>
      <c r="CA48" s="649"/>
      <c r="CB48" s="649"/>
      <c r="CC48" s="649"/>
      <c r="CD48" s="649"/>
      <c r="CE48" s="649"/>
      <c r="CF48" s="649"/>
      <c r="CG48" s="649"/>
      <c r="CH48" s="649"/>
      <c r="CI48" s="649"/>
      <c r="CJ48" s="649"/>
      <c r="CK48" s="649"/>
      <c r="CL48" s="649"/>
      <c r="CM48" s="649"/>
      <c r="CN48" s="649"/>
      <c r="CO48" s="649"/>
      <c r="CP48" s="649"/>
      <c r="CQ48" s="649"/>
      <c r="CR48" s="649"/>
      <c r="CS48" s="649"/>
      <c r="CT48" s="649"/>
      <c r="CU48" s="649"/>
      <c r="CV48" s="649"/>
      <c r="CW48" s="649"/>
      <c r="CX48" s="649"/>
      <c r="CY48" s="649"/>
      <c r="CZ48" s="649"/>
      <c r="DA48" s="649"/>
      <c r="DB48" s="649"/>
      <c r="DC48" s="649"/>
      <c r="DD48" s="649"/>
      <c r="DE48" s="649"/>
      <c r="DF48" s="649"/>
      <c r="DG48" s="649"/>
      <c r="DH48" s="649"/>
      <c r="DI48" s="649"/>
      <c r="DJ48" s="649"/>
      <c r="DK48" s="649"/>
      <c r="DL48" s="649"/>
      <c r="DM48" s="649"/>
      <c r="DN48" s="649"/>
      <c r="DO48" s="649"/>
      <c r="DP48" s="649"/>
      <c r="DQ48" s="649"/>
      <c r="DR48" s="649"/>
      <c r="DS48" s="649"/>
      <c r="DT48" s="649"/>
      <c r="DU48" s="649"/>
      <c r="DV48" s="649"/>
      <c r="DW48" s="649"/>
      <c r="DX48" s="649">
        <v>-84</v>
      </c>
      <c r="DY48" s="649">
        <v>39</v>
      </c>
      <c r="DZ48" s="649">
        <v>25</v>
      </c>
      <c r="EA48" s="649"/>
      <c r="EB48" s="649"/>
      <c r="EC48" s="649">
        <v>108.25</v>
      </c>
      <c r="ED48" s="649">
        <v>134</v>
      </c>
      <c r="EE48" s="649">
        <v>108</v>
      </c>
      <c r="EF48" s="649">
        <v>358</v>
      </c>
      <c r="EG48" s="649"/>
      <c r="EH48" s="649"/>
      <c r="EI48" s="649"/>
      <c r="EJ48" s="649"/>
      <c r="EK48" s="649"/>
      <c r="EL48" s="649"/>
      <c r="EM48" s="649"/>
      <c r="EN48" s="649"/>
      <c r="EO48" s="649"/>
      <c r="EP48" s="649"/>
      <c r="EQ48" s="649"/>
      <c r="ER48" s="1477"/>
      <c r="ES48" s="1477"/>
      <c r="ET48" s="1477"/>
      <c r="EU48" s="1477"/>
      <c r="EV48" s="507"/>
      <c r="EW48" s="651"/>
      <c r="EX48" s="649"/>
      <c r="EY48" s="649"/>
      <c r="EZ48" s="649"/>
      <c r="FA48" s="649"/>
      <c r="FB48" s="649"/>
      <c r="FC48" s="649"/>
      <c r="FD48" s="649"/>
      <c r="FE48" s="649"/>
      <c r="FF48" s="649"/>
      <c r="FG48" s="649"/>
      <c r="FH48" s="649"/>
      <c r="FI48" s="649"/>
      <c r="FJ48" s="649"/>
      <c r="FK48" s="649"/>
      <c r="FL48" s="649"/>
      <c r="FM48" s="651"/>
      <c r="FN48" s="651"/>
      <c r="FO48" s="649"/>
      <c r="FP48" s="649"/>
      <c r="FQ48" s="651"/>
      <c r="FR48" s="651"/>
      <c r="FS48" s="649"/>
      <c r="FT48" s="649"/>
      <c r="FU48" s="649"/>
      <c r="FV48" s="649"/>
      <c r="FW48" s="649"/>
      <c r="FX48" s="649"/>
      <c r="FY48" s="649"/>
      <c r="FZ48" s="649"/>
      <c r="GA48" s="649"/>
      <c r="GB48" s="1270"/>
      <c r="GC48" s="649"/>
      <c r="GD48" s="1493"/>
    </row>
    <row r="49" spans="1:199" collapsed="1">
      <c r="A49" s="500"/>
      <c r="B49" s="507"/>
      <c r="C49" s="507"/>
      <c r="D49" s="507"/>
      <c r="E49" s="507"/>
      <c r="F49" s="507"/>
      <c r="G49" s="507"/>
      <c r="H49" s="507"/>
      <c r="I49" s="507"/>
      <c r="J49" s="507"/>
      <c r="K49" s="507"/>
      <c r="L49" s="507"/>
      <c r="M49" s="507"/>
      <c r="N49" s="507"/>
      <c r="O49" s="507"/>
      <c r="P49" s="507"/>
      <c r="Q49" s="507"/>
      <c r="R49" s="507"/>
      <c r="S49" s="507"/>
      <c r="T49" s="507"/>
      <c r="U49" s="507"/>
      <c r="V49" s="507"/>
      <c r="W49" s="507"/>
      <c r="X49" s="507"/>
      <c r="Y49" s="507"/>
      <c r="Z49" s="507"/>
      <c r="AA49" s="507"/>
      <c r="AB49" s="507"/>
      <c r="AC49" s="507"/>
      <c r="AD49" s="507"/>
      <c r="AE49" s="507"/>
      <c r="AF49" s="507"/>
      <c r="AG49" s="507"/>
      <c r="AH49" s="507"/>
      <c r="AI49" s="507"/>
      <c r="AJ49" s="507"/>
      <c r="AK49" s="507"/>
      <c r="AL49" s="507"/>
      <c r="AM49" s="507"/>
      <c r="AN49" s="507"/>
      <c r="AO49" s="507"/>
      <c r="AP49" s="507"/>
      <c r="AQ49" s="507"/>
      <c r="AR49" s="507"/>
      <c r="AS49" s="507"/>
      <c r="AT49" s="507"/>
      <c r="AU49" s="507"/>
      <c r="AV49" s="507"/>
      <c r="AW49" s="507"/>
      <c r="AX49" s="507"/>
      <c r="AY49" s="507"/>
      <c r="AZ49" s="507"/>
      <c r="BA49" s="507"/>
      <c r="BB49" s="507"/>
      <c r="BC49" s="507"/>
      <c r="BD49" s="507"/>
      <c r="BE49" s="507"/>
      <c r="BF49" s="507"/>
      <c r="BG49" s="507"/>
      <c r="BH49" s="507"/>
      <c r="BI49" s="507"/>
      <c r="BJ49" s="507"/>
      <c r="BK49" s="507"/>
      <c r="BL49" s="507"/>
      <c r="BM49" s="507"/>
      <c r="BN49" s="507"/>
      <c r="BO49" s="507"/>
      <c r="BP49" s="507"/>
      <c r="BQ49" s="507"/>
      <c r="BR49" s="507"/>
      <c r="BS49" s="507"/>
      <c r="BT49" s="507"/>
      <c r="BU49" s="507"/>
      <c r="BV49" s="507"/>
      <c r="BW49" s="507"/>
      <c r="BX49" s="507"/>
      <c r="BY49" s="507"/>
      <c r="BZ49" s="507"/>
      <c r="CA49" s="507"/>
      <c r="CB49" s="507"/>
      <c r="CC49" s="507"/>
      <c r="CD49" s="507"/>
      <c r="CE49" s="507"/>
      <c r="CF49" s="507"/>
      <c r="CG49" s="507"/>
      <c r="CH49" s="507"/>
      <c r="CI49" s="507"/>
      <c r="CJ49" s="507"/>
      <c r="CK49" s="507"/>
      <c r="CL49" s="507"/>
      <c r="CM49" s="507"/>
      <c r="CN49" s="507"/>
      <c r="CO49" s="507"/>
      <c r="CP49" s="507"/>
      <c r="CQ49" s="507"/>
      <c r="CR49" s="507"/>
      <c r="CS49" s="507"/>
      <c r="CT49" s="507"/>
      <c r="CU49" s="507"/>
      <c r="CV49" s="507"/>
      <c r="CW49" s="507"/>
      <c r="CX49" s="507"/>
      <c r="CY49" s="507"/>
      <c r="CZ49" s="507"/>
      <c r="DA49" s="507"/>
      <c r="DB49" s="507"/>
      <c r="DC49" s="507"/>
      <c r="DD49" s="507"/>
      <c r="DE49" s="507"/>
      <c r="DF49" s="507"/>
      <c r="DG49" s="507"/>
      <c r="DH49" s="507"/>
      <c r="DI49" s="507"/>
      <c r="DJ49" s="507"/>
      <c r="DK49" s="507"/>
      <c r="DL49" s="507"/>
      <c r="DM49" s="507"/>
      <c r="DN49" s="653"/>
      <c r="DO49" s="507"/>
      <c r="DP49" s="507"/>
      <c r="DR49" s="507"/>
      <c r="DS49" s="653"/>
      <c r="DT49" s="507"/>
      <c r="DU49" s="507"/>
      <c r="DV49" s="507"/>
      <c r="DW49" s="507"/>
      <c r="DX49" s="653"/>
      <c r="DY49" s="507"/>
      <c r="DZ49" s="507"/>
      <c r="EA49" s="507"/>
      <c r="EB49" s="507"/>
      <c r="EC49" s="653"/>
      <c r="ED49" s="435"/>
      <c r="EE49" s="507"/>
      <c r="EF49" s="507"/>
      <c r="EG49" s="507"/>
      <c r="EH49" s="653"/>
      <c r="EI49" s="435"/>
      <c r="EJ49" s="507"/>
      <c r="EK49" s="507"/>
      <c r="EL49" s="507"/>
      <c r="EM49" s="653"/>
      <c r="EN49" s="1432"/>
      <c r="EO49" s="507"/>
      <c r="EP49" s="507"/>
      <c r="EQ49" s="507"/>
      <c r="ER49" s="1478"/>
      <c r="ES49" s="1479"/>
      <c r="ET49" s="1463"/>
      <c r="EU49" s="1463"/>
      <c r="EV49" s="507"/>
      <c r="EW49" s="500"/>
      <c r="EX49" s="507"/>
      <c r="EY49" s="507"/>
      <c r="EZ49" s="507"/>
      <c r="FA49" s="507"/>
      <c r="FB49" s="507"/>
      <c r="FC49" s="507"/>
      <c r="FD49" s="507"/>
      <c r="FE49" s="507"/>
      <c r="FF49" s="507"/>
      <c r="FG49" s="507"/>
      <c r="FH49" s="507"/>
      <c r="FI49" s="507"/>
      <c r="FJ49" s="507"/>
      <c r="FK49" s="507"/>
      <c r="FL49" s="507"/>
      <c r="FM49" s="500"/>
      <c r="FN49" s="500"/>
      <c r="FO49" s="507"/>
      <c r="FP49" s="507"/>
      <c r="FQ49" s="500"/>
      <c r="FR49" s="500"/>
      <c r="FS49" s="507"/>
      <c r="FT49" s="507"/>
      <c r="FU49" s="507"/>
      <c r="FV49" s="507"/>
      <c r="FW49" s="507"/>
      <c r="FX49" s="581"/>
      <c r="FY49" s="507"/>
      <c r="FZ49" s="507"/>
      <c r="GA49" s="507"/>
      <c r="GB49" s="961"/>
      <c r="GC49" s="507"/>
      <c r="GD49" s="1485"/>
    </row>
    <row r="50" spans="1:199">
      <c r="A50" s="605" t="s">
        <v>246</v>
      </c>
      <c r="B50" s="507"/>
      <c r="C50" s="507"/>
      <c r="D50" s="507"/>
      <c r="E50" s="507"/>
      <c r="F50" s="507"/>
      <c r="G50" s="507"/>
      <c r="H50" s="507"/>
      <c r="I50" s="507"/>
      <c r="J50" s="507"/>
      <c r="K50" s="507"/>
      <c r="L50" s="507"/>
      <c r="M50" s="507"/>
      <c r="N50" s="507"/>
      <c r="O50" s="507"/>
      <c r="P50" s="507"/>
      <c r="Q50" s="507"/>
      <c r="R50" s="507"/>
      <c r="S50" s="507"/>
      <c r="T50" s="507"/>
      <c r="U50" s="507"/>
      <c r="V50" s="507"/>
      <c r="W50" s="507"/>
      <c r="X50" s="507"/>
      <c r="Y50" s="507"/>
      <c r="Z50" s="507"/>
      <c r="AA50" s="507"/>
      <c r="AB50" s="507"/>
      <c r="AC50" s="507"/>
      <c r="AD50" s="507"/>
      <c r="AE50" s="507"/>
      <c r="AF50" s="507"/>
      <c r="AG50" s="507"/>
      <c r="AH50" s="507"/>
      <c r="AI50" s="507"/>
      <c r="AJ50" s="507"/>
      <c r="AK50" s="507"/>
      <c r="AL50" s="507"/>
      <c r="AM50" s="507"/>
      <c r="AN50" s="507"/>
      <c r="AO50" s="507"/>
      <c r="AP50" s="507"/>
      <c r="AQ50" s="507"/>
      <c r="AR50" s="507"/>
      <c r="AS50" s="507"/>
      <c r="AT50" s="507"/>
      <c r="AU50" s="507"/>
      <c r="AV50" s="507"/>
      <c r="AW50" s="507"/>
      <c r="AX50" s="507"/>
      <c r="AY50" s="507"/>
      <c r="AZ50" s="507"/>
      <c r="BA50" s="507"/>
      <c r="BB50" s="507"/>
      <c r="BC50" s="507"/>
      <c r="BD50" s="507"/>
      <c r="BE50" s="507"/>
      <c r="BF50" s="507"/>
      <c r="BG50" s="507"/>
      <c r="BH50" s="507"/>
      <c r="BI50" s="507"/>
      <c r="BJ50" s="507"/>
      <c r="BK50" s="507"/>
      <c r="BL50" s="507"/>
      <c r="BM50" s="507"/>
      <c r="BN50" s="507"/>
      <c r="BO50" s="507"/>
      <c r="BP50" s="507"/>
      <c r="BQ50" s="507"/>
      <c r="BR50" s="507"/>
      <c r="BS50" s="507"/>
      <c r="BT50" s="507"/>
      <c r="BU50" s="507"/>
      <c r="BV50" s="507"/>
      <c r="BW50" s="507"/>
      <c r="BX50" s="507"/>
      <c r="BY50" s="507"/>
      <c r="BZ50" s="507"/>
      <c r="CA50" s="507"/>
      <c r="CB50" s="507"/>
      <c r="CC50" s="507"/>
      <c r="CD50" s="507"/>
      <c r="CE50" s="507"/>
      <c r="CF50" s="507"/>
      <c r="CG50" s="507"/>
      <c r="CH50" s="507"/>
      <c r="CI50" s="507"/>
      <c r="CJ50" s="507"/>
      <c r="CK50" s="507"/>
      <c r="CL50" s="507"/>
      <c r="CM50" s="507"/>
      <c r="CN50" s="507"/>
      <c r="CO50" s="507"/>
      <c r="CP50" s="507"/>
      <c r="CQ50" s="507"/>
      <c r="CR50" s="507"/>
      <c r="CS50" s="507"/>
      <c r="CT50" s="507"/>
      <c r="CU50" s="507"/>
      <c r="CV50" s="507"/>
      <c r="CW50" s="507"/>
      <c r="CX50" s="507"/>
      <c r="CY50" s="507"/>
      <c r="CZ50" s="507"/>
      <c r="DA50" s="507"/>
      <c r="DB50" s="507"/>
      <c r="DC50" s="507"/>
      <c r="DD50" s="507"/>
      <c r="DE50" s="507"/>
      <c r="DF50" s="507"/>
      <c r="DG50" s="507"/>
      <c r="DH50" s="507"/>
      <c r="DI50" s="507"/>
      <c r="DJ50" s="507"/>
      <c r="DK50" s="507"/>
      <c r="DL50" s="507"/>
      <c r="DM50" s="507"/>
      <c r="DN50" s="507"/>
      <c r="DO50" s="507"/>
      <c r="DP50" s="507"/>
      <c r="DR50" s="507"/>
      <c r="DS50" s="653"/>
      <c r="DT50" s="507"/>
      <c r="DU50" s="507"/>
      <c r="DV50" s="507"/>
      <c r="DW50" s="507"/>
      <c r="DX50" s="653"/>
      <c r="DY50" s="507"/>
      <c r="DZ50" s="507"/>
      <c r="EA50" s="507"/>
      <c r="EB50" s="507"/>
      <c r="EC50" s="653"/>
      <c r="ED50" s="507"/>
      <c r="EE50" s="507"/>
      <c r="EF50" s="507"/>
      <c r="EG50" s="507"/>
      <c r="EH50" s="653"/>
      <c r="EI50" s="507"/>
      <c r="EJ50" s="507"/>
      <c r="EK50" s="507"/>
      <c r="EL50" s="507"/>
      <c r="EM50" s="653"/>
      <c r="EN50" s="507"/>
      <c r="EO50" s="507"/>
      <c r="EP50" s="507"/>
      <c r="EQ50" s="507"/>
      <c r="ER50" s="1478"/>
      <c r="ES50" s="1463"/>
      <c r="ET50" s="1463"/>
      <c r="EU50" s="1463"/>
      <c r="EV50" s="507"/>
      <c r="EW50" s="500"/>
      <c r="EX50" s="507"/>
      <c r="EY50" s="507"/>
      <c r="EZ50" s="507"/>
      <c r="FA50" s="507"/>
      <c r="FB50" s="507"/>
      <c r="FC50" s="507"/>
      <c r="FD50" s="507"/>
      <c r="FE50" s="507"/>
      <c r="FF50" s="507"/>
      <c r="FG50" s="507"/>
      <c r="FH50" s="507"/>
      <c r="FI50" s="507"/>
      <c r="FJ50" s="507"/>
      <c r="FK50" s="507"/>
      <c r="FL50" s="507"/>
      <c r="FM50" s="500"/>
      <c r="FN50" s="500"/>
      <c r="FO50" s="507"/>
      <c r="FP50" s="507"/>
      <c r="FQ50" s="500"/>
      <c r="FR50" s="500"/>
      <c r="FS50" s="507"/>
      <c r="FT50" s="654"/>
      <c r="FU50" s="654"/>
      <c r="FV50" s="654"/>
      <c r="FW50" s="654"/>
      <c r="FX50" s="654"/>
      <c r="FY50" s="654"/>
      <c r="FZ50" s="654"/>
      <c r="GA50" s="654"/>
      <c r="GB50" s="1271"/>
      <c r="GC50" s="654"/>
      <c r="GD50" s="1494"/>
    </row>
    <row r="51" spans="1:199">
      <c r="A51" s="500" t="s">
        <v>247</v>
      </c>
      <c r="B51" s="507"/>
      <c r="C51" s="655">
        <f>C14/C10</f>
        <v>0.34480694402873391</v>
      </c>
      <c r="D51" s="655">
        <f>D14/D10</f>
        <v>0.32228039557882487</v>
      </c>
      <c r="E51" s="655">
        <f>E14/E10</f>
        <v>0.34326520561438068</v>
      </c>
      <c r="F51" s="655">
        <f>F14/F10</f>
        <v>0.32053961618848564</v>
      </c>
      <c r="G51" s="656"/>
      <c r="H51" s="655">
        <f>H14/H10</f>
        <v>0.34022662889518412</v>
      </c>
      <c r="I51" s="655">
        <f>I14/I10</f>
        <v>0.31620111731843575</v>
      </c>
      <c r="J51" s="655">
        <f>J14/J10</f>
        <v>0.33166458072590738</v>
      </c>
      <c r="K51" s="655">
        <f>K14/K10</f>
        <v>0.29182509505703425</v>
      </c>
      <c r="L51" s="656"/>
      <c r="M51" s="655">
        <f>M14/M10</f>
        <v>0.32420623361491407</v>
      </c>
      <c r="N51" s="655">
        <f>N14/N10</f>
        <v>0.30237268518518517</v>
      </c>
      <c r="O51" s="655">
        <f>O14/O10</f>
        <v>0.32004064008128014</v>
      </c>
      <c r="P51" s="655">
        <f>P14/P10</f>
        <v>0.29637209302325579</v>
      </c>
      <c r="Q51" s="656"/>
      <c r="R51" s="655">
        <f>R14/R10</f>
        <v>0.32507250197732668</v>
      </c>
      <c r="S51" s="655">
        <f>S14/S10</f>
        <v>0.30720506730007918</v>
      </c>
      <c r="T51" s="655">
        <f>T14/T10</f>
        <v>0.32128051589129436</v>
      </c>
      <c r="U51" s="655">
        <f>U14/U10</f>
        <v>0.31027115858668858</v>
      </c>
      <c r="V51" s="656"/>
      <c r="W51" s="655">
        <f>W14/W10</f>
        <v>0.3229061553985873</v>
      </c>
      <c r="X51" s="655">
        <f>X14/X10</f>
        <v>0.30052990158970477</v>
      </c>
      <c r="Y51" s="655">
        <f>Y14/Y10</f>
        <v>0.32312565997888065</v>
      </c>
      <c r="Z51" s="655">
        <f>Z14/Z10</f>
        <v>0.30833728840373359</v>
      </c>
      <c r="AA51" s="656"/>
      <c r="AB51" s="655">
        <f>AB14/AB10</f>
        <v>0.32068965517241377</v>
      </c>
      <c r="AC51" s="655">
        <f>AC14/AC10</f>
        <v>0.30221593587930223</v>
      </c>
      <c r="AD51" s="655">
        <f>AD14/AD10</f>
        <v>0.32258691007962709</v>
      </c>
      <c r="AE51" s="655">
        <f>AE14/AE10</f>
        <v>0.31224582015363761</v>
      </c>
      <c r="AF51" s="656"/>
      <c r="AG51" s="655">
        <f>AG14/AG10</f>
        <v>0.3137165101900618</v>
      </c>
      <c r="AH51" s="655">
        <f>AH14/AH10</f>
        <v>0.29131905298759864</v>
      </c>
      <c r="AI51" s="655">
        <f>AI14/AI10</f>
        <v>0.31045241809672386</v>
      </c>
      <c r="AJ51" s="655">
        <f>AJ14/AJ10</f>
        <v>0.29463208685162845</v>
      </c>
      <c r="AK51" s="656"/>
      <c r="AL51" s="655">
        <f>AL14/AL10</f>
        <v>0.30098831985624436</v>
      </c>
      <c r="AM51" s="655">
        <f>AM14/AM10</f>
        <v>0.29110272908808521</v>
      </c>
      <c r="AN51" s="655">
        <f>AN14/AN10</f>
        <v>0.30702546505327794</v>
      </c>
      <c r="AO51" s="655">
        <f>AO14/AO10</f>
        <v>0.2731731240804316</v>
      </c>
      <c r="AP51" s="656"/>
      <c r="AQ51" s="655">
        <f>AQ14/AQ10</f>
        <v>0.27851110802340479</v>
      </c>
      <c r="AR51" s="655">
        <f>AR14/AR10</f>
        <v>0.26872964169381108</v>
      </c>
      <c r="AS51" s="655">
        <f>AS14/AS10</f>
        <v>0.28803513859755325</v>
      </c>
      <c r="AT51" s="655">
        <f>AT14/AT10</f>
        <v>0.27808723068838676</v>
      </c>
      <c r="AU51" s="656"/>
      <c r="AV51" s="655">
        <f>AV14/AV10</f>
        <v>0.283204644952878</v>
      </c>
      <c r="AW51" s="655">
        <f>AW14/AW10</f>
        <v>0.26766430114162293</v>
      </c>
      <c r="AX51" s="655">
        <f>AX14/AX10</f>
        <v>0.28405105905456585</v>
      </c>
      <c r="AY51" s="655">
        <f>AY14/AY10</f>
        <v>0.24603174603174602</v>
      </c>
      <c r="AZ51" s="656"/>
      <c r="BA51" s="655">
        <f>BA14/BA10</f>
        <v>0.31530181223599946</v>
      </c>
      <c r="BB51" s="655">
        <f>BB14/BB10</f>
        <v>0.30827702702702703</v>
      </c>
      <c r="BC51" s="655">
        <f>BC14/BC10</f>
        <v>0.31784264956146091</v>
      </c>
      <c r="BD51" s="655">
        <f>BD14/BD10</f>
        <v>0.27564434323568987</v>
      </c>
      <c r="BE51" s="656"/>
      <c r="BF51" s="655">
        <f>BF14/BF10</f>
        <v>0.30579171094580232</v>
      </c>
      <c r="BG51" s="655">
        <f>BG14/BG10</f>
        <v>0.29318717913140002</v>
      </c>
      <c r="BH51" s="655">
        <f>BH14/BH10</f>
        <v>0.28946670204298225</v>
      </c>
      <c r="BI51" s="655">
        <f>BI14/BI10</f>
        <v>0.25937532643894284</v>
      </c>
      <c r="BJ51" s="656"/>
      <c r="BK51" s="655">
        <f>BK14/BK10</f>
        <v>0.35959496171894295</v>
      </c>
      <c r="BL51" s="655">
        <f>BL14/BL10</f>
        <v>0.33159812597605415</v>
      </c>
      <c r="BM51" s="655">
        <f>BM14/BM10</f>
        <v>0.35296824666359872</v>
      </c>
      <c r="BN51" s="655">
        <f>BN14/BN10</f>
        <v>0.31050384286934246</v>
      </c>
      <c r="BO51" s="656"/>
      <c r="BP51" s="655">
        <f>BP14/BP10</f>
        <v>0.37769423558897242</v>
      </c>
      <c r="BQ51" s="655">
        <f>BQ14/BQ10</f>
        <v>0.36106669417651005</v>
      </c>
      <c r="BR51" s="655">
        <f>BR14/BR10</f>
        <v>0.36679087098276664</v>
      </c>
      <c r="BS51" s="655">
        <f>BS14/BS10</f>
        <v>0.33954379244297406</v>
      </c>
      <c r="BT51" s="656"/>
      <c r="BU51" s="655">
        <f>BU14/BU10</f>
        <v>0.39138729899155084</v>
      </c>
      <c r="BV51" s="655">
        <f>BV14/BV10</f>
        <v>0.35774175517048629</v>
      </c>
      <c r="BW51" s="655">
        <f>BW14/BW10</f>
        <v>0.38402061855670105</v>
      </c>
      <c r="BX51" s="655">
        <f>BX14/BX10</f>
        <v>0.35728576192064021</v>
      </c>
      <c r="BY51" s="656"/>
      <c r="BZ51" s="655">
        <f>BZ14/BZ10</f>
        <v>0.38620342396777441</v>
      </c>
      <c r="CA51" s="655">
        <f>CA14/CA10</f>
        <v>0.36050820539968237</v>
      </c>
      <c r="CB51" s="655">
        <f>CB14/CB10</f>
        <v>0.39512639489865636</v>
      </c>
      <c r="CC51" s="655">
        <f>CC14/CC10</f>
        <v>0.35986565910999163</v>
      </c>
      <c r="CD51" s="656"/>
      <c r="CE51" s="655">
        <f>CE14/CE10</f>
        <v>0.40019426906265176</v>
      </c>
      <c r="CF51" s="655">
        <f>CF14/CF10</f>
        <v>0.37000753579502638</v>
      </c>
      <c r="CG51" s="655">
        <f>CG14/CG10</f>
        <v>0.40723375753516411</v>
      </c>
      <c r="CH51" s="655">
        <f>CH14/CH10</f>
        <v>0.36193029144857619</v>
      </c>
      <c r="CI51" s="656"/>
      <c r="CJ51" s="655">
        <f>CJ14/CJ10</f>
        <v>0.40791656790708697</v>
      </c>
      <c r="CK51" s="655">
        <f>CK14/CK10</f>
        <v>0.37336963499460007</v>
      </c>
      <c r="CL51" s="655">
        <f>CL14/CL10</f>
        <v>0.41518510771805062</v>
      </c>
      <c r="CM51" s="655">
        <f>CM14/CM10</f>
        <v>0.37837432513497299</v>
      </c>
      <c r="CN51" s="656"/>
      <c r="CO51" s="655">
        <f>CO14/CO10</f>
        <v>0.41526787767302831</v>
      </c>
      <c r="CP51" s="655">
        <f>CP14/CP10</f>
        <v>0.38110933940774488</v>
      </c>
      <c r="CQ51" s="655">
        <f>CQ14/CQ10</f>
        <v>0.39720812182741116</v>
      </c>
      <c r="CR51" s="655">
        <f>CR14/CR10</f>
        <v>0.36056338028169016</v>
      </c>
      <c r="CS51" s="656"/>
      <c r="CT51" s="655">
        <f>CT14/CT10</f>
        <v>0.39980615459171309</v>
      </c>
      <c r="CU51" s="655">
        <f>CU14/CU10</f>
        <v>0.37502880223402935</v>
      </c>
      <c r="CV51" s="655">
        <f>CV14/CV10</f>
        <v>0.385380162658499</v>
      </c>
      <c r="CW51" s="655">
        <f>CW14/CW10</f>
        <v>0.34657460701020509</v>
      </c>
      <c r="CX51" s="656"/>
      <c r="CY51" s="655">
        <f>CY14/CY10</f>
        <v>0.40499839856771025</v>
      </c>
      <c r="CZ51" s="655">
        <f>CZ14/CZ10</f>
        <v>0.38552747901801326</v>
      </c>
      <c r="DA51" s="655">
        <f>DA14/DA10</f>
        <v>0.40570336732064882</v>
      </c>
      <c r="DB51" s="655">
        <f>DB14/DB10</f>
        <v>0.38198198198198197</v>
      </c>
      <c r="DC51" s="656"/>
      <c r="DD51" s="655">
        <f>DD14/DD10</f>
        <v>0.41486383303639601</v>
      </c>
      <c r="DE51" s="655">
        <f>DE14/DE10</f>
        <v>0.39410868461147791</v>
      </c>
      <c r="DF51" s="655">
        <f>DF14/DF10</f>
        <v>0.39030794939126284</v>
      </c>
      <c r="DG51" s="655">
        <f>DG14/DG10</f>
        <v>0.37576714010170087</v>
      </c>
      <c r="DH51" s="656"/>
      <c r="DI51" s="655">
        <f>DI14/DI10</f>
        <v>0.40451432919097136</v>
      </c>
      <c r="DJ51" s="655">
        <f>DJ14/DJ10</f>
        <v>0.38325652841781876</v>
      </c>
      <c r="DK51" s="655">
        <f>DK14/DK10</f>
        <v>0.37355745107877569</v>
      </c>
      <c r="DL51" s="655">
        <f>DL14/DL10</f>
        <v>0.33990783410138248</v>
      </c>
      <c r="DM51" s="656"/>
      <c r="DN51" s="655">
        <f>DN14/DN10</f>
        <v>0.39308375634517767</v>
      </c>
      <c r="DO51" s="655">
        <f>DO14/DO10</f>
        <v>0.33223031105228323</v>
      </c>
      <c r="DP51" s="655">
        <f>DP14/DP10</f>
        <v>0.3252476938845234</v>
      </c>
      <c r="DQ51" s="655">
        <f>DQ14/DQ10</f>
        <v>0.23789907312049433</v>
      </c>
      <c r="DR51" s="656"/>
      <c r="DS51" s="655">
        <f>DS14/DS10</f>
        <v>0.30815939278937382</v>
      </c>
      <c r="DT51" s="655">
        <f>DT14/DT10</f>
        <v>0.2955313556139692</v>
      </c>
      <c r="DU51" s="655">
        <f>DU14/DU10</f>
        <v>0.29471032745591941</v>
      </c>
      <c r="DV51" s="655">
        <f>DV14/DV10</f>
        <v>0.28397673188789002</v>
      </c>
      <c r="DW51" s="656"/>
      <c r="DX51" s="655">
        <f>DX14/DX10</f>
        <v>0.33059621563727243</v>
      </c>
      <c r="DY51" s="655">
        <f>DY14/DY10</f>
        <v>0.36012861736334406</v>
      </c>
      <c r="DZ51" s="655">
        <f>DZ14/DZ10</f>
        <v>0.36649782923299568</v>
      </c>
      <c r="EA51" s="655">
        <f>EA14/EA10</f>
        <v>0.33752889802209091</v>
      </c>
      <c r="EB51" s="656"/>
      <c r="EC51" s="655">
        <f>EC14/EC10</f>
        <v>0.36436821841092054</v>
      </c>
      <c r="ED51" s="594">
        <f>ED14/ED10</f>
        <v>0.37043478260869567</v>
      </c>
      <c r="EE51" s="655">
        <f>EE14/EE10</f>
        <v>0.37348981705212286</v>
      </c>
      <c r="EF51" s="655">
        <f>EF14/EF10</f>
        <v>0.34109109109109109</v>
      </c>
      <c r="EG51" s="656"/>
      <c r="EH51" s="655">
        <f>EH14/EH10</f>
        <v>0.36214870152970474</v>
      </c>
      <c r="EI51" s="655">
        <f>EI14/EI10</f>
        <v>0.37148732008224811</v>
      </c>
      <c r="EJ51" s="655">
        <f>EJ14/EJ10</f>
        <v>0.37171858592929646</v>
      </c>
      <c r="EK51" s="655">
        <f>EK14/EK10</f>
        <v>0.33122948750315578</v>
      </c>
      <c r="EL51" s="656"/>
      <c r="EM51" s="655">
        <f>EM14/EM10</f>
        <v>0.36326681448632669</v>
      </c>
      <c r="EN51" s="655">
        <f>EN14/EN10</f>
        <v>0.35077650236326818</v>
      </c>
      <c r="EO51" s="655">
        <f>EO14/EO10</f>
        <v>0.34022087638047738</v>
      </c>
      <c r="EP51" s="655">
        <f>EP14/EP10</f>
        <v>0.33614487720168695</v>
      </c>
      <c r="EQ51" s="656"/>
      <c r="ER51" s="1480">
        <f>ER14/ER10</f>
        <v>0.35899999999999999</v>
      </c>
      <c r="ES51" s="1480">
        <f>ES14/ES10</f>
        <v>0.36599999999999999</v>
      </c>
      <c r="ET51" s="1480">
        <f>ET14/ET10</f>
        <v>0.36499999999999999</v>
      </c>
      <c r="EU51" s="1480">
        <f>EU14/EU10</f>
        <v>0.3289999999999999</v>
      </c>
      <c r="EV51" s="507"/>
      <c r="EW51" s="657">
        <f t="shared" ref="EW51:GA51" si="33">EW14/EW10</f>
        <v>0.33167732720611065</v>
      </c>
      <c r="EX51" s="655">
        <f t="shared" si="33"/>
        <v>0.31732355637030246</v>
      </c>
      <c r="EY51" s="655">
        <f t="shared" si="33"/>
        <v>0.30930189494475652</v>
      </c>
      <c r="EZ51" s="655">
        <f t="shared" si="33"/>
        <v>0.31539785662724196</v>
      </c>
      <c r="FA51" s="655">
        <f t="shared" si="33"/>
        <v>0.31343833956698097</v>
      </c>
      <c r="FB51" s="655">
        <f t="shared" si="33"/>
        <v>0.31457311089303236</v>
      </c>
      <c r="FC51" s="655">
        <f t="shared" si="33"/>
        <v>0.30191615601595173</v>
      </c>
      <c r="FD51" s="655">
        <f t="shared" si="33"/>
        <v>0.29048207663782449</v>
      </c>
      <c r="FE51" s="655">
        <f t="shared" si="33"/>
        <v>0.27855039821988248</v>
      </c>
      <c r="FF51" s="655">
        <f t="shared" si="33"/>
        <v>0.26853208019079727</v>
      </c>
      <c r="FG51" s="655">
        <f t="shared" si="33"/>
        <v>0.30227136691554041</v>
      </c>
      <c r="FH51" s="655">
        <f t="shared" si="33"/>
        <v>0.28512215034855243</v>
      </c>
      <c r="FI51" s="655">
        <f t="shared" si="33"/>
        <v>0.33486547085201795</v>
      </c>
      <c r="FJ51" s="655">
        <f t="shared" si="33"/>
        <v>0.35072480441785547</v>
      </c>
      <c r="FK51" s="655">
        <f t="shared" si="33"/>
        <v>0.35836235939016731</v>
      </c>
      <c r="FL51" s="655">
        <f t="shared" si="33"/>
        <v>0.37433687002652521</v>
      </c>
      <c r="FM51" s="657">
        <f t="shared" si="33"/>
        <v>0.38283647525350506</v>
      </c>
      <c r="FN51" s="657">
        <f t="shared" si="33"/>
        <v>0.39241223148573873</v>
      </c>
      <c r="FO51" s="655">
        <f t="shared" si="33"/>
        <v>0.38581205620184317</v>
      </c>
      <c r="FP51" s="655">
        <f t="shared" si="33"/>
        <v>0.3741133989279174</v>
      </c>
      <c r="FQ51" s="657">
        <f t="shared" si="33"/>
        <v>0.39351963636093257</v>
      </c>
      <c r="FR51" s="657">
        <f t="shared" si="33"/>
        <v>0.39191395911931975</v>
      </c>
      <c r="FS51" s="655">
        <f t="shared" si="33"/>
        <v>0.37224797219003475</v>
      </c>
      <c r="FT51" s="655">
        <f t="shared" si="33"/>
        <v>0.31721216788602236</v>
      </c>
      <c r="FU51" s="655">
        <f t="shared" si="33"/>
        <v>0.2944599038704781</v>
      </c>
      <c r="FV51" s="655">
        <f t="shared" si="33"/>
        <v>0.34763808435995758</v>
      </c>
      <c r="FW51" s="655">
        <f t="shared" si="33"/>
        <v>0.36047524752475246</v>
      </c>
      <c r="FX51" s="655">
        <f t="shared" si="33"/>
        <v>0.35673866262851678</v>
      </c>
      <c r="FY51" s="655">
        <f t="shared" si="33"/>
        <v>0.34639373100911564</v>
      </c>
      <c r="FZ51" s="655">
        <f t="shared" si="33"/>
        <v>0.35279455612285182</v>
      </c>
      <c r="GA51" s="655">
        <f t="shared" si="33"/>
        <v>0.35190000000000005</v>
      </c>
      <c r="GB51" s="658">
        <f>GB14/GB10</f>
        <v>0.35079999999999995</v>
      </c>
      <c r="GC51" s="655">
        <f>GC14/GC10</f>
        <v>0.34889999999999993</v>
      </c>
      <c r="GD51" s="1458">
        <f>GD14/GD10</f>
        <v>0.34660000000000002</v>
      </c>
    </row>
    <row r="52" spans="1:199">
      <c r="A52" s="500" t="s">
        <v>248</v>
      </c>
      <c r="B52" s="507"/>
      <c r="C52" s="655" t="str">
        <f>IF(ISERROR(C15/C10),"NA ",C15/C10)</f>
        <v xml:space="preserve">NA </v>
      </c>
      <c r="D52" s="655" t="str">
        <f>IF(ISERROR(D15/D10),"NA ",D15/D10)</f>
        <v xml:space="preserve">NA </v>
      </c>
      <c r="E52" s="655" t="str">
        <f>IF(ISERROR(E15/E10),"NA ",E15/E10)</f>
        <v xml:space="preserve">NA </v>
      </c>
      <c r="F52" s="655" t="str">
        <f>IF(ISERROR(F15/F10),"NA ",F15/F10)</f>
        <v xml:space="preserve">NA </v>
      </c>
      <c r="G52" s="656"/>
      <c r="H52" s="655" t="str">
        <f>IF(ISERROR(H15/H10),"NA ",H15/H10)</f>
        <v xml:space="preserve">NA </v>
      </c>
      <c r="I52" s="655" t="str">
        <f>IF(ISERROR(I15/I10),"NA ",I15/I10)</f>
        <v xml:space="preserve">NA </v>
      </c>
      <c r="J52" s="655" t="str">
        <f>IF(ISERROR(J15/J10),"NA ",J15/J10)</f>
        <v xml:space="preserve">NA </v>
      </c>
      <c r="K52" s="655" t="str">
        <f>IF(ISERROR(K15/K10),"NA ",K15/K10)</f>
        <v xml:space="preserve">NA </v>
      </c>
      <c r="L52" s="656"/>
      <c r="M52" s="655" t="str">
        <f>IF(ISERROR(M15/M10),"NA ",M15/M10)</f>
        <v xml:space="preserve">NA </v>
      </c>
      <c r="N52" s="655" t="str">
        <f>IF(ISERROR(N15/N10),"NA ",N15/N10)</f>
        <v xml:space="preserve">NA </v>
      </c>
      <c r="O52" s="655" t="str">
        <f>IF(ISERROR(O15/O10),"NA ",O15/O10)</f>
        <v xml:space="preserve">NA </v>
      </c>
      <c r="P52" s="655" t="str">
        <f>IF(ISERROR(P15/P10),"NA ",P15/P10)</f>
        <v xml:space="preserve">NA </v>
      </c>
      <c r="Q52" s="656"/>
      <c r="R52" s="655" t="str">
        <f>IF(ISERROR(R15/R10),"NA ",R15/R10)</f>
        <v xml:space="preserve">NA </v>
      </c>
      <c r="S52" s="655" t="str">
        <f>IF(ISERROR(S15/S10),"NA ",S15/S10)</f>
        <v xml:space="preserve">NA </v>
      </c>
      <c r="T52" s="655" t="str">
        <f>IF(ISERROR(T15/T10),"NA ",T15/T10)</f>
        <v xml:space="preserve">NA </v>
      </c>
      <c r="U52" s="655" t="str">
        <f>IF(ISERROR(U15/U10),"NA ",U15/U10)</f>
        <v xml:space="preserve">NA </v>
      </c>
      <c r="V52" s="656"/>
      <c r="W52" s="655" t="str">
        <f>IF(ISERROR(W15/W10),"NA ",W15/W10)</f>
        <v xml:space="preserve">NA </v>
      </c>
      <c r="X52" s="655" t="str">
        <f>IF(ISERROR(X15/X10),"NA ",X15/X10)</f>
        <v xml:space="preserve">NA </v>
      </c>
      <c r="Y52" s="655" t="str">
        <f>IF(ISERROR(Y15/Y10),"NA ",Y15/Y10)</f>
        <v xml:space="preserve">NA </v>
      </c>
      <c r="Z52" s="655" t="str">
        <f>IF(ISERROR(Z15/Z10),"NA ",Z15/Z10)</f>
        <v xml:space="preserve">NA </v>
      </c>
      <c r="AA52" s="656"/>
      <c r="AB52" s="655" t="str">
        <f>IF(ISERROR(AB15/AB10),"NA ",AB15/AB10)</f>
        <v xml:space="preserve">NA </v>
      </c>
      <c r="AC52" s="655" t="str">
        <f>IF(ISERROR(AC15/AC10),"NA ",AC15/AC10)</f>
        <v xml:space="preserve">NA </v>
      </c>
      <c r="AD52" s="655" t="str">
        <f>IF(ISERROR(AD15/AD10),"NA ",AD15/AD10)</f>
        <v xml:space="preserve">NA </v>
      </c>
      <c r="AE52" s="655" t="str">
        <f>IF(ISERROR(AE15/AE10),"NA ",AE15/AE10)</f>
        <v xml:space="preserve">NA </v>
      </c>
      <c r="AF52" s="656"/>
      <c r="AG52" s="655" t="str">
        <f>IF(ISERROR(AG15/AG10),"NA ",AG15/AG10)</f>
        <v xml:space="preserve">NA </v>
      </c>
      <c r="AH52" s="655" t="str">
        <f>IF(ISERROR(AH15/AH10),"NA ",AH15/AH10)</f>
        <v xml:space="preserve">NA </v>
      </c>
      <c r="AI52" s="655" t="str">
        <f>IF(ISERROR(AI15/AI10),"NA ",AI15/AI10)</f>
        <v xml:space="preserve">NA </v>
      </c>
      <c r="AJ52" s="655" t="str">
        <f>IF(ISERROR(AJ15/AJ10),"NA ",AJ15/AJ10)</f>
        <v xml:space="preserve">NA </v>
      </c>
      <c r="AK52" s="656"/>
      <c r="AL52" s="655" t="str">
        <f>IF(ISERROR(AL15/AL10),"NA ",AL15/AL10)</f>
        <v xml:space="preserve">NA </v>
      </c>
      <c r="AM52" s="655" t="str">
        <f>IF(ISERROR(AM15/AM10),"NA ",AM15/AM10)</f>
        <v xml:space="preserve">NA </v>
      </c>
      <c r="AN52" s="655" t="str">
        <f>IF(ISERROR(AN15/AN10),"NA ",AN15/AN10)</f>
        <v xml:space="preserve">NA </v>
      </c>
      <c r="AO52" s="655" t="str">
        <f>IF(ISERROR(AO15/AO10),"NA ",AO15/AO10)</f>
        <v xml:space="preserve">NA </v>
      </c>
      <c r="AP52" s="656"/>
      <c r="AQ52" s="655" t="str">
        <f>IF(ISERROR(AQ15/AQ10),"NA ",AQ15/AQ10)</f>
        <v xml:space="preserve">NA </v>
      </c>
      <c r="AR52" s="655" t="str">
        <f>IF(ISERROR(AR15/AR10),"NA ",AR15/AR10)</f>
        <v xml:space="preserve">NA </v>
      </c>
      <c r="AS52" s="655" t="str">
        <f>IF(ISERROR(AS15/AS10),"NA ",AS15/AS10)</f>
        <v xml:space="preserve">NA </v>
      </c>
      <c r="AT52" s="655" t="str">
        <f>IF(ISERROR(AT15/AT10),"NA ",AT15/AT10)</f>
        <v xml:space="preserve">NA </v>
      </c>
      <c r="AU52" s="656"/>
      <c r="AV52" s="655" t="str">
        <f>IF(ISERROR(AV15/AV10),"NA ",AV15/AV10)</f>
        <v xml:space="preserve">NA </v>
      </c>
      <c r="AW52" s="655" t="str">
        <f>IF(ISERROR(AW15/AW10),"NA ",AW15/AW10)</f>
        <v xml:space="preserve">NA </v>
      </c>
      <c r="AX52" s="655" t="str">
        <f>IF(ISERROR(AX15/AX10),"NA ",AX15/AX10)</f>
        <v xml:space="preserve">NA </v>
      </c>
      <c r="AY52" s="655" t="str">
        <f>IF(ISERROR(AY15/AY10),"NA ",AY15/AY10)</f>
        <v xml:space="preserve">NA </v>
      </c>
      <c r="AZ52" s="656"/>
      <c r="BA52" s="655" t="str">
        <f>IF(ISERROR(BA15/BA10),"NA ",BA15/BA10)</f>
        <v xml:space="preserve">NA </v>
      </c>
      <c r="BB52" s="655" t="str">
        <f>IF(ISERROR(BB15/BB10),"NA ",BB15/BB10)</f>
        <v xml:space="preserve">NA </v>
      </c>
      <c r="BC52" s="655" t="str">
        <f>IF(ISERROR(BC15/BC10),"NA ",BC15/BC10)</f>
        <v xml:space="preserve">NA </v>
      </c>
      <c r="BD52" s="655" t="str">
        <f>IF(ISERROR(BD15/BD10),"NA ",BD15/BD10)</f>
        <v xml:space="preserve">NA </v>
      </c>
      <c r="BE52" s="656"/>
      <c r="BF52" s="655" t="str">
        <f>IF(ISERROR(BF15/BF10),"NA ",BF15/BF10)</f>
        <v xml:space="preserve">NA </v>
      </c>
      <c r="BG52" s="655" t="str">
        <f>IF(ISERROR(BG15/BG10),"NA ",BG15/BG10)</f>
        <v xml:space="preserve">NA </v>
      </c>
      <c r="BH52" s="655" t="str">
        <f>IF(ISERROR(BH15/BH10),"NA ",BH15/BH10)</f>
        <v xml:space="preserve">NA </v>
      </c>
      <c r="BI52" s="655" t="str">
        <f>IF(ISERROR(BI15/BI10),"NA ",BI15/BI10)</f>
        <v xml:space="preserve">NA </v>
      </c>
      <c r="BJ52" s="656"/>
      <c r="BK52" s="655" t="str">
        <f>IF(ISERROR(BK15/BK10),"NA ",BK15/BK10)</f>
        <v xml:space="preserve">NA </v>
      </c>
      <c r="BL52" s="655" t="str">
        <f>IF(ISERROR(BL15/BL10),"NA ",BL15/BL10)</f>
        <v xml:space="preserve">NA </v>
      </c>
      <c r="BM52" s="655" t="str">
        <f>IF(ISERROR(BM15/BM10),"NA ",BM15/BM10)</f>
        <v xml:space="preserve">NA </v>
      </c>
      <c r="BN52" s="655" t="str">
        <f>IF(ISERROR(BN15/BN10),"NA ",BN15/BN10)</f>
        <v xml:space="preserve">NA </v>
      </c>
      <c r="BO52" s="656"/>
      <c r="BP52" s="655" t="str">
        <f>IF(ISERROR(BP15/BP10),"NA ",BP15/BP10)</f>
        <v xml:space="preserve">NA </v>
      </c>
      <c r="BQ52" s="655" t="str">
        <f>IF(ISERROR(BQ15/BQ10),"NA ",BQ15/BQ10)</f>
        <v xml:space="preserve">NA </v>
      </c>
      <c r="BR52" s="655" t="str">
        <f>IF(ISERROR(BR15/BR10),"NA ",BR15/BR10)</f>
        <v xml:space="preserve">NA </v>
      </c>
      <c r="BS52" s="655" t="str">
        <f>IF(ISERROR(BS15/BS10),"NA ",BS15/BS10)</f>
        <v xml:space="preserve">NA </v>
      </c>
      <c r="BT52" s="656"/>
      <c r="BU52" s="655" t="str">
        <f>IF(ISERROR(BU15/BU10),"NA ",BU15/BU10)</f>
        <v xml:space="preserve">NA </v>
      </c>
      <c r="BV52" s="655" t="str">
        <f>IF(ISERROR(BV15/BV10),"NA ",BV15/BV10)</f>
        <v xml:space="preserve">NA </v>
      </c>
      <c r="BW52" s="655" t="str">
        <f>IF(ISERROR(BW15/BW10),"NA ",BW15/BW10)</f>
        <v xml:space="preserve">NA </v>
      </c>
      <c r="BX52" s="655" t="str">
        <f>IF(ISERROR(BX15/BX10),"NA ",BX15/BX10)</f>
        <v xml:space="preserve">NA </v>
      </c>
      <c r="BY52" s="656"/>
      <c r="BZ52" s="655">
        <f>IF(ISERROR(BZ15/BZ10),"NA ",BZ15/BZ10)</f>
        <v>0.30035246727089626</v>
      </c>
      <c r="CA52" s="655">
        <f>IF(ISERROR(CA15/CA10),"NA ",CA15/CA10)</f>
        <v>0.29036527263102169</v>
      </c>
      <c r="CB52" s="655">
        <f>IF(ISERROR(CB15/CB10),"NA ",CB15/CB10)</f>
        <v>0.28945570485083122</v>
      </c>
      <c r="CC52" s="655">
        <f>IF(ISERROR(CC15/CC10),"NA ",CC15/CC10)</f>
        <v>0.24416456759026028</v>
      </c>
      <c r="CD52" s="656"/>
      <c r="CE52" s="655">
        <f>IF(ISERROR(CE15/CE10),"NA ",CE15/CE10)</f>
        <v>0.29698882952889755</v>
      </c>
      <c r="CF52" s="655">
        <f>IF(ISERROR(CF15/CF10),"NA ",CF15/CF10)</f>
        <v>0.28661140416980657</v>
      </c>
      <c r="CG52" s="655">
        <f>IF(ISERROR(CG15/CG10),"NA ",CG15/CG10)</f>
        <v>0.28868050904219694</v>
      </c>
      <c r="CH52" s="655">
        <f>IF(ISERROR(CH15/CH10),"NA ",CH15/CH10)</f>
        <v>0.23504437470135822</v>
      </c>
      <c r="CI52" s="656"/>
      <c r="CJ52" s="655">
        <f>IF(ISERROR(CJ15/CJ10),"NA ",CJ15/CJ10)</f>
        <v>0.29580469305522633</v>
      </c>
      <c r="CK52" s="655">
        <f>IF(ISERROR(CK15/CK10),"NA ",CK15/CK10)</f>
        <v>0.28510146591243801</v>
      </c>
      <c r="CL52" s="655">
        <f>IF(ISERROR(CL15/CL10),"NA ",CL15/CL10)</f>
        <v>0.28529596318761763</v>
      </c>
      <c r="CM52" s="655">
        <f>IF(ISERROR(CM15/CM10),"NA ",CM15/CM10)</f>
        <v>0.24745050989802039</v>
      </c>
      <c r="CN52" s="656"/>
      <c r="CO52" s="655">
        <f>IF(ISERROR(CO15/CO10),"NA ",CO15/CO10)</f>
        <v>0.29937916762474132</v>
      </c>
      <c r="CP52" s="655">
        <f>IF(ISERROR(CP15/CP10),"NA ",CP15/CP10)</f>
        <v>0.28564920273348521</v>
      </c>
      <c r="CQ52" s="655">
        <f>IF(ISERROR(CQ15/CQ10),"NA ",CQ15/CQ10)</f>
        <v>0.28785956006768187</v>
      </c>
      <c r="CR52" s="655">
        <f>IF(ISERROR(CR15/CR10),"NA ",CR15/CR10)</f>
        <v>0.23239436619718309</v>
      </c>
      <c r="CS52" s="656"/>
      <c r="CT52" s="655">
        <f>IF(ISERROR(CT15/CT10),"NA ",CT15/CT10)</f>
        <v>0.31911800339229462</v>
      </c>
      <c r="CU52" s="655">
        <f>IF(ISERROR(CU15/CU10),"NA ",CU15/CU10)</f>
        <v>0.29655599860230408</v>
      </c>
      <c r="CV52" s="655">
        <f>IF(ISERROR(CV15/CV10),"NA ",CV15/CV10)</f>
        <v>0.30571022518582869</v>
      </c>
      <c r="CW52" s="655">
        <f>IF(ISERROR(CW15/CW10),"NA ",CW15/CW10)</f>
        <v>0.25836824410380022</v>
      </c>
      <c r="CX52" s="656"/>
      <c r="CY52" s="655">
        <f>IF(ISERROR(CY15/CY10),"NA ",CY15/CY10)</f>
        <v>0.32291803697743099</v>
      </c>
      <c r="CZ52" s="655">
        <f>IF(ISERROR(CZ15/CZ10),"NA ",CZ15/CZ10)</f>
        <v>0.3150165321976135</v>
      </c>
      <c r="DA52" s="655">
        <f>IF(ISERROR(DA15/DA10),"NA ",DA15/DA10)</f>
        <v>0.32915556216580938</v>
      </c>
      <c r="DB52" s="655">
        <f>IF(ISERROR(DB15/DB10),"NA ",DB15/DB10)</f>
        <v>0.27189189189189189</v>
      </c>
      <c r="DC52" s="656"/>
      <c r="DD52" s="655">
        <f>IF(ISERROR(DD15/DD10),"NA ",DD15/DD10)</f>
        <v>0.32883685416136421</v>
      </c>
      <c r="DE52" s="655">
        <f>IF(ISERROR(DE15/DE10),"NA ",DE15/DE10)</f>
        <v>0.32376841036058912</v>
      </c>
      <c r="DF52" s="655">
        <f>IF(ISERROR(DF15/DF10),"NA ",DF15/DF10)</f>
        <v>0.31654332776318933</v>
      </c>
      <c r="DG52" s="655">
        <f>IF(ISERROR(DG15/DG10),"NA ",DG15/DG10)</f>
        <v>0.25688234262668769</v>
      </c>
      <c r="DH52" s="656"/>
      <c r="DI52" s="655">
        <f>IF(ISERROR(DI15/DI10),"NA ",DI15/DI10)</f>
        <v>0.32487953335024095</v>
      </c>
      <c r="DJ52" s="655">
        <f>IF(ISERROR(DJ15/DJ10),"NA ",DJ15/DJ10)</f>
        <v>0.31822836661546339</v>
      </c>
      <c r="DK52" s="655">
        <f>IF(ISERROR(DK15/DK10),"NA ",DK15/DK10)</f>
        <v>0.31159056698444554</v>
      </c>
      <c r="DL52" s="655">
        <f>IF(ISERROR(DL15/DL10),"NA ",DL15/DL10)</f>
        <v>0.24755760368663596</v>
      </c>
      <c r="DM52" s="656"/>
      <c r="DN52" s="655">
        <f>IF(ISERROR(DN15/DN10),"NA ",DN15/DN10)</f>
        <v>0.36802030456852791</v>
      </c>
      <c r="DO52" s="655">
        <f>IF(ISERROR(DO15/DO10),"NA ",DO15/DO10)</f>
        <v>0.34745201853077434</v>
      </c>
      <c r="DP52" s="655">
        <f>IF(ISERROR(DP15/DP10),"NA ",DP15/DP10)</f>
        <v>0.37137000341646736</v>
      </c>
      <c r="DQ52" s="655">
        <f>IF(ISERROR(DQ15/DQ10),"NA ",DQ15/DQ10)</f>
        <v>0.31127703398558187</v>
      </c>
      <c r="DR52" s="656"/>
      <c r="DS52" s="655">
        <f>IF(ISERROR(DS15/DS10),"NA ",DS15/DS10)</f>
        <v>0.40910815939278938</v>
      </c>
      <c r="DT52" s="655">
        <f>IF(ISERROR(DT15/DT10),"NA ",DT15/DT10)</f>
        <v>0.38527975966954564</v>
      </c>
      <c r="DU52" s="655">
        <f>IF(ISERROR(DU15/DU10),"NA ",DU15/DU10)</f>
        <v>0.36200071968333936</v>
      </c>
      <c r="DV52" s="655">
        <f>IF(ISERROR(DV15/DV10),"NA ",DV15/DV10)</f>
        <v>0.26546800634584877</v>
      </c>
      <c r="DW52" s="656"/>
      <c r="DX52" s="655">
        <f>IF(ISERROR(DX15/DX10),"NA ",DX15/DX10)</f>
        <v>0.3602284898250625</v>
      </c>
      <c r="DY52" s="655">
        <f>IF(ISERROR(DY15/DY10),"NA ",DY15/DY10)</f>
        <v>0.34440871739907108</v>
      </c>
      <c r="DZ52" s="655">
        <f>IF(ISERROR(DZ15/DZ10),"NA ",DZ15/DZ10)</f>
        <v>0.35745296671490595</v>
      </c>
      <c r="EA52" s="655">
        <f>IF(ISERROR(EA15/EA10),"NA ",EA15/EA10)</f>
        <v>0.2650911893141536</v>
      </c>
      <c r="EB52" s="656"/>
      <c r="EC52" s="655">
        <f>IF(ISERROR(EC15/EC10),"NA ",EC15/EC10)</f>
        <v>0.3377668883444172</v>
      </c>
      <c r="ED52" s="655">
        <f>IF(ISERROR(ED15/ED10),"NA ",ED15/ED10)</f>
        <v>0.31339130434782608</v>
      </c>
      <c r="EE52" s="655">
        <f>IF(ISERROR(EE15/EE10),"NA ",EE15/EE10)</f>
        <v>0.32688988608905767</v>
      </c>
      <c r="EF52" s="655">
        <f>IF(ISERROR(EF15/EF10),"NA ",EF15/EF10)</f>
        <v>0.24074074074074073</v>
      </c>
      <c r="EG52" s="656"/>
      <c r="EH52" s="655">
        <f>IF(ISERROR(EH15/EH10),"NA ",EH15/EH10)</f>
        <v>0.31020988971896124</v>
      </c>
      <c r="EI52" s="655">
        <f>IF(ISERROR(EI15/EI10),"NA ",EI15/EI10)</f>
        <v>0.29232350925291295</v>
      </c>
      <c r="EJ52" s="655">
        <f>IF(ISERROR(EJ15/EJ10),"NA ",EJ15/EJ10)</f>
        <v>0.31081554077703888</v>
      </c>
      <c r="EK52" s="655">
        <f>IF(ISERROR(EK15/EK10),"NA ",EK15/EK10)</f>
        <v>0.23352688714970968</v>
      </c>
      <c r="EL52" s="656"/>
      <c r="EM52" s="655">
        <f>IF(ISERROR(EM15/EM10),"NA ",EM15/EM10)</f>
        <v>0.31152993348115299</v>
      </c>
      <c r="EN52" s="655">
        <f>IF(ISERROR(EN15/EN10),"NA ",EN15/EN10)</f>
        <v>0.28426738690074271</v>
      </c>
      <c r="EO52" s="655">
        <f>IF(ISERROR(EO15/EO10),"NA ",EO15/EO10)</f>
        <v>0.29925187032418954</v>
      </c>
      <c r="EP52" s="655">
        <f>IF(ISERROR(EP15/EP10),"NA ",EP15/EP10)</f>
        <v>0.2339369883403622</v>
      </c>
      <c r="EQ52" s="656"/>
      <c r="ER52" s="1480">
        <f>IF(ISERROR(ER15/ER10),"NA ",ER15/ER10)</f>
        <v>0.31026355163773367</v>
      </c>
      <c r="ES52" s="1480">
        <f>IF(ISERROR(ES15/ES10),"NA ",ES15/ES10)</f>
        <v>0.27939586918167753</v>
      </c>
      <c r="ET52" s="1480">
        <f>IF(ISERROR(ET15/ET10),"NA ",ET15/ET10)</f>
        <v>0.3017148486807672</v>
      </c>
      <c r="EU52" s="1480">
        <f>IF(ISERROR(EU15/EU10),"NA ",EU15/EU10)</f>
        <v>0.24431730925156872</v>
      </c>
      <c r="EV52" s="507"/>
      <c r="EW52" s="657" t="str">
        <f t="shared" ref="EW52:GA52" si="34">IF(ISERROR(EW15/EW10),"NA ",EW15/EW10)</f>
        <v xml:space="preserve">NA </v>
      </c>
      <c r="EX52" s="655" t="str">
        <f t="shared" si="34"/>
        <v xml:space="preserve">NA </v>
      </c>
      <c r="EY52" s="655" t="str">
        <f t="shared" si="34"/>
        <v xml:space="preserve">NA </v>
      </c>
      <c r="EZ52" s="655" t="str">
        <f t="shared" si="34"/>
        <v xml:space="preserve">NA </v>
      </c>
      <c r="FA52" s="655" t="str">
        <f t="shared" si="34"/>
        <v xml:space="preserve">NA </v>
      </c>
      <c r="FB52" s="655" t="str">
        <f t="shared" si="34"/>
        <v xml:space="preserve">NA </v>
      </c>
      <c r="FC52" s="655" t="str">
        <f t="shared" si="34"/>
        <v xml:space="preserve">NA </v>
      </c>
      <c r="FD52" s="655" t="str">
        <f t="shared" si="34"/>
        <v xml:space="preserve">NA </v>
      </c>
      <c r="FE52" s="655" t="str">
        <f t="shared" si="34"/>
        <v xml:space="preserve">NA </v>
      </c>
      <c r="FF52" s="655" t="str">
        <f t="shared" si="34"/>
        <v xml:space="preserve">NA </v>
      </c>
      <c r="FG52" s="655" t="str">
        <f t="shared" si="34"/>
        <v xml:space="preserve">NA </v>
      </c>
      <c r="FH52" s="655" t="str">
        <f t="shared" si="34"/>
        <v xml:space="preserve">NA </v>
      </c>
      <c r="FI52" s="655" t="str">
        <f t="shared" si="34"/>
        <v xml:space="preserve">NA </v>
      </c>
      <c r="FJ52" s="655">
        <f t="shared" si="34"/>
        <v>0.29049700874367235</v>
      </c>
      <c r="FK52" s="655">
        <f t="shared" si="34"/>
        <v>0.29343915948152799</v>
      </c>
      <c r="FL52" s="655">
        <f t="shared" si="34"/>
        <v>0.27713306808134397</v>
      </c>
      <c r="FM52" s="657">
        <f t="shared" si="34"/>
        <v>0.27234849703030989</v>
      </c>
      <c r="FN52" s="657">
        <f t="shared" si="34"/>
        <v>0.27480411038624897</v>
      </c>
      <c r="FO52" s="655">
        <f t="shared" si="34"/>
        <v>0.27204512262678149</v>
      </c>
      <c r="FP52" s="655">
        <f t="shared" si="34"/>
        <v>0.2918340692725554</v>
      </c>
      <c r="FQ52" s="657">
        <f t="shared" si="34"/>
        <v>0.30650111185159756</v>
      </c>
      <c r="FR52" s="657">
        <f t="shared" si="34"/>
        <v>0.30170617714961429</v>
      </c>
      <c r="FS52" s="655">
        <f t="shared" si="34"/>
        <v>0.29600231749710315</v>
      </c>
      <c r="FT52" s="655">
        <f t="shared" si="34"/>
        <v>0.3470157874470543</v>
      </c>
      <c r="FU52" s="655">
        <f t="shared" si="34"/>
        <v>0.34690952019563198</v>
      </c>
      <c r="FV52" s="655">
        <f t="shared" si="34"/>
        <v>0.32577302765766503</v>
      </c>
      <c r="FW52" s="655">
        <f t="shared" si="34"/>
        <v>0.299009900990099</v>
      </c>
      <c r="FX52" s="655">
        <f t="shared" si="34"/>
        <v>0.2819797561170001</v>
      </c>
      <c r="FY52" s="655">
        <f t="shared" si="34"/>
        <v>0.2773068926915081</v>
      </c>
      <c r="FZ52" s="655">
        <f t="shared" si="34"/>
        <v>0.2804271856709476</v>
      </c>
      <c r="GA52" s="655">
        <f t="shared" si="34"/>
        <v>0.27946425440923556</v>
      </c>
      <c r="GB52" s="658">
        <f>IF(ISERROR(GB15/GB10),"NA ",GB15/GB10)</f>
        <v>0.28031331322652359</v>
      </c>
      <c r="GC52" s="655">
        <f>IF(ISERROR(GC15/GC10),"NA ",GC15/GC10)</f>
        <v>0.28655847372842269</v>
      </c>
      <c r="GD52" s="1458">
        <f>IF(ISERROR(GD15/GD10),"NA ",GD15/GD10)</f>
        <v>0.29691541063396076</v>
      </c>
    </row>
    <row r="53" spans="1:199">
      <c r="A53" s="500" t="s">
        <v>249</v>
      </c>
      <c r="B53" s="507"/>
      <c r="C53" s="655">
        <f>C18/C10</f>
        <v>6.6147859922178989E-2</v>
      </c>
      <c r="D53" s="655">
        <f>D18/D10</f>
        <v>4.3630017452006981E-2</v>
      </c>
      <c r="E53" s="655">
        <f>E18/E10</f>
        <v>7.9290815070179765E-2</v>
      </c>
      <c r="F53" s="655">
        <f>F18/F10</f>
        <v>9.3672810184305524E-2</v>
      </c>
      <c r="G53" s="656"/>
      <c r="H53" s="655">
        <f>H18/H10</f>
        <v>6.1473087818696884E-2</v>
      </c>
      <c r="I53" s="655">
        <f>I18/I10</f>
        <v>3.7709497206703912E-2</v>
      </c>
      <c r="J53" s="655">
        <f>J18/J10</f>
        <v>5.7822277847309138E-2</v>
      </c>
      <c r="K53" s="655">
        <f>K18/K10</f>
        <v>6.1787072243346008E-2</v>
      </c>
      <c r="L53" s="656"/>
      <c r="M53" s="655">
        <f>M18/M10</f>
        <v>4.0198077483250799E-2</v>
      </c>
      <c r="N53" s="655">
        <f>N18/N10</f>
        <v>2.4305555555555556E-2</v>
      </c>
      <c r="O53" s="655">
        <f>O18/O10</f>
        <v>5.7150114300228601E-2</v>
      </c>
      <c r="P53" s="655">
        <f>P18/P10</f>
        <v>7.6279069767441865E-2</v>
      </c>
      <c r="Q53" s="656"/>
      <c r="R53" s="655">
        <f>R18/R10</f>
        <v>5.7737938307408386E-2</v>
      </c>
      <c r="S53" s="655">
        <f>S18/S10</f>
        <v>3.6421219319081551E-2</v>
      </c>
      <c r="T53" s="655">
        <f>T18/T10</f>
        <v>7.116536158452326E-2</v>
      </c>
      <c r="U53" s="655">
        <f>U18/U10</f>
        <v>9.33442892358258E-2</v>
      </c>
      <c r="V53" s="656"/>
      <c r="W53" s="655">
        <f>W18/W10</f>
        <v>6.4328960645812311E-2</v>
      </c>
      <c r="X53" s="655">
        <f>X18/X10</f>
        <v>4.2896795357052736E-2</v>
      </c>
      <c r="Y53" s="655">
        <f>Y18/Y10</f>
        <v>8.1309398099260827E-2</v>
      </c>
      <c r="Z53" s="655">
        <f>Z18/Z10</f>
        <v>9.9984179718398986E-2</v>
      </c>
      <c r="AA53" s="656"/>
      <c r="AB53" s="655">
        <f>AB18/AB10</f>
        <v>6.9655172413793098E-2</v>
      </c>
      <c r="AC53" s="655">
        <f>AC18/AC10</f>
        <v>4.7854785478547858E-2</v>
      </c>
      <c r="AD53" s="655">
        <f>AD18/AD10</f>
        <v>8.8755098077296563E-2</v>
      </c>
      <c r="AE53" s="655">
        <f>AE18/AE10</f>
        <v>0.10016568760355475</v>
      </c>
      <c r="AF53" s="656"/>
      <c r="AG53" s="655">
        <f>AG18/AG10</f>
        <v>5.0835814059995418E-2</v>
      </c>
      <c r="AH53" s="655">
        <f>AH18/AH10</f>
        <v>4.1713641488162347E-2</v>
      </c>
      <c r="AI53" s="655">
        <f>AI18/AI10</f>
        <v>7.624804992199688E-2</v>
      </c>
      <c r="AJ53" s="655">
        <f>AJ18/AJ10</f>
        <v>7.7653799758745479E-2</v>
      </c>
      <c r="AK53" s="656"/>
      <c r="AL53" s="655">
        <f>AL18/AL10</f>
        <v>4.1778975741239892E-2</v>
      </c>
      <c r="AM53" s="655">
        <f>AM18/AM10</f>
        <v>3.3725316174839141E-2</v>
      </c>
      <c r="AN53" s="655">
        <f>AN18/AN10</f>
        <v>8.1090843417012823E-2</v>
      </c>
      <c r="AO53" s="655">
        <f>AO18/AO10</f>
        <v>6.5105443845022065E-2</v>
      </c>
      <c r="AP53" s="656"/>
      <c r="AQ53" s="655">
        <f>AQ18/AQ10</f>
        <v>4.4462970682228709E-2</v>
      </c>
      <c r="AR53" s="655">
        <f>AR18/AR10</f>
        <v>3.8210974693059382E-2</v>
      </c>
      <c r="AS53" s="655">
        <f>AS18/AS10</f>
        <v>6.884124280264102E-2</v>
      </c>
      <c r="AT53" s="655">
        <f>AT18/AT10</f>
        <v>7.4198633736205985E-2</v>
      </c>
      <c r="AU53" s="656"/>
      <c r="AV53" s="655">
        <f>AV18/AV10</f>
        <v>5.3596946951397641E-2</v>
      </c>
      <c r="AW53" s="655">
        <f>AW18/AW10</f>
        <v>3.810552298673249E-2</v>
      </c>
      <c r="AX53" s="655">
        <f>AX18/AX10</f>
        <v>5.6529667555056812E-2</v>
      </c>
      <c r="AY53" s="655">
        <f>AY18/AY10</f>
        <v>4.2107583774250439E-2</v>
      </c>
      <c r="AZ53" s="656"/>
      <c r="BA53" s="655">
        <f>BA18/BA10</f>
        <v>3.8969886905572966E-2</v>
      </c>
      <c r="BB53" s="655">
        <f>BB18/BB10</f>
        <v>2.8997747747747746E-2</v>
      </c>
      <c r="BC53" s="655">
        <f>BC18/BC10</f>
        <v>3.4166775755989004E-2</v>
      </c>
      <c r="BD53" s="655">
        <f>BD18/BD10</f>
        <v>2.9189524893903324E-2</v>
      </c>
      <c r="BE53" s="656"/>
      <c r="BF53" s="655">
        <f>BF18/BF10</f>
        <v>3.0154091392136026E-2</v>
      </c>
      <c r="BG53" s="655">
        <f>BG18/BG10</f>
        <v>1.2349105036769807E-2</v>
      </c>
      <c r="BH53" s="655">
        <f>BH18/BH10</f>
        <v>4.1124966834704168E-3</v>
      </c>
      <c r="BI53" s="655">
        <f>BI18/BI10</f>
        <v>1.1281729865246004E-2</v>
      </c>
      <c r="BJ53" s="656"/>
      <c r="BK53" s="655">
        <f>BK18/BK10</f>
        <v>3.5564336873302051E-2</v>
      </c>
      <c r="BL53" s="655">
        <f>BL18/BL10</f>
        <v>-2.8630921395106715E-3</v>
      </c>
      <c r="BM53" s="655">
        <f>BM18/BM10</f>
        <v>3.1063046479521399E-2</v>
      </c>
      <c r="BN53" s="655">
        <f>BN18/BN10</f>
        <v>4.0478223740392824E-2</v>
      </c>
      <c r="BO53" s="656"/>
      <c r="BP53" s="655">
        <f>BP18/BP10</f>
        <v>3.7343358395989977E-2</v>
      </c>
      <c r="BQ53" s="655">
        <f>BQ18/BQ10</f>
        <v>5.5463393882720438E-3</v>
      </c>
      <c r="BR53" s="655">
        <f>BR18/BR10</f>
        <v>3.8658593386120169E-2</v>
      </c>
      <c r="BS53" s="655">
        <f>BS18/BS10</f>
        <v>5.3282256660282079E-2</v>
      </c>
      <c r="BT53" s="656"/>
      <c r="BU53" s="655">
        <f>BU18/BU10</f>
        <v>2.5074952303079857E-2</v>
      </c>
      <c r="BV53" s="655">
        <f>BV18/BV10</f>
        <v>1.6769144773616546E-2</v>
      </c>
      <c r="BW53" s="655">
        <f>BW18/BW10</f>
        <v>4.7328959700093723E-2</v>
      </c>
      <c r="BX53" s="655">
        <f>BX18/BX10</f>
        <v>7.2024008002667561E-2</v>
      </c>
      <c r="BY53" s="656"/>
      <c r="BZ53" s="655">
        <f>BZ18/BZ10</f>
        <v>5.8408862034239679E-2</v>
      </c>
      <c r="CA53" s="655">
        <f>CA18/CA10</f>
        <v>4.076230809952356E-2</v>
      </c>
      <c r="CB53" s="655">
        <f>CB18/CB10</f>
        <v>7.7886586199043498E-2</v>
      </c>
      <c r="CC53" s="655">
        <f>CC18/CC10</f>
        <v>8.8832913518052059E-2</v>
      </c>
      <c r="CD53" s="656"/>
      <c r="CE53" s="655">
        <f>CE18/CE10</f>
        <v>8.013598834385624E-2</v>
      </c>
      <c r="CF53" s="655">
        <f>CF18/CF10</f>
        <v>5.7020849032906308E-2</v>
      </c>
      <c r="CG53" s="655">
        <f>CG18/CG10</f>
        <v>9.064523331100692E-2</v>
      </c>
      <c r="CH53" s="655">
        <f>CH18/CH10</f>
        <v>0.10754070072241483</v>
      </c>
      <c r="CI53" s="656"/>
      <c r="CJ53" s="655">
        <f>CJ18/CJ10</f>
        <v>9.0305759658686896E-2</v>
      </c>
      <c r="CK53" s="655">
        <f>CK18/CK10</f>
        <v>6.5847110090703806E-2</v>
      </c>
      <c r="CL53" s="655">
        <f>CL18/CL10</f>
        <v>0.10541727672035139</v>
      </c>
      <c r="CM53" s="655">
        <f>CM18/CM10</f>
        <v>0.11157768446310738</v>
      </c>
      <c r="CN53" s="656"/>
      <c r="CO53" s="655">
        <f>CO18/CO10</f>
        <v>9.6114049206714181E-2</v>
      </c>
      <c r="CP53" s="655">
        <f>CP18/CP10</f>
        <v>7.4731207289293888E-2</v>
      </c>
      <c r="CQ53" s="655">
        <f>CQ18/CQ10</f>
        <v>8.6717428087986465E-2</v>
      </c>
      <c r="CR53" s="655">
        <f>CR18/CR10</f>
        <v>0.11298904538341158</v>
      </c>
      <c r="CS53" s="656"/>
      <c r="CT53" s="655">
        <f>CT18/CT10</f>
        <v>6.0092076568936274E-2</v>
      </c>
      <c r="CU53" s="655">
        <f>CU18/CU10</f>
        <v>5.6756498222265209E-2</v>
      </c>
      <c r="CV53" s="655">
        <f>CV18/CV10</f>
        <v>5.7392388096286565E-2</v>
      </c>
      <c r="CW53" s="655">
        <f>CW18/CW10</f>
        <v>6.7717483333657305E-2</v>
      </c>
      <c r="CX53" s="656"/>
      <c r="CY53" s="655">
        <f>CY18/CY10</f>
        <v>2.7274352127177437E-2</v>
      </c>
      <c r="CZ53" s="655">
        <f>CZ18/CZ10</f>
        <v>1.699364545671506E-2</v>
      </c>
      <c r="DA53" s="655">
        <f>DA18/DA10</f>
        <v>2.5595672348649422E-2</v>
      </c>
      <c r="DB53" s="655">
        <f>DB18/DB10</f>
        <v>6.9009009009009012E-2</v>
      </c>
      <c r="DC53" s="656"/>
      <c r="DD53" s="655">
        <f>DD18/DD10</f>
        <v>3.9450241791804529E-2</v>
      </c>
      <c r="DE53" s="655">
        <f>DE18/DE10</f>
        <v>2.4123920771965464E-2</v>
      </c>
      <c r="DF53" s="655">
        <f>DF18/DF10</f>
        <v>2.9601336834566724E-2</v>
      </c>
      <c r="DG53" s="655">
        <f>DG18/DG10</f>
        <v>8.5919691390496225E-2</v>
      </c>
      <c r="DH53" s="656"/>
      <c r="DI53" s="655">
        <f>DI18/DI10</f>
        <v>4.3114379913771241E-2</v>
      </c>
      <c r="DJ53" s="655">
        <f>DJ18/DJ10</f>
        <v>2.6625704045058884E-2</v>
      </c>
      <c r="DK53" s="655">
        <f>DK18/DK10</f>
        <v>2.3582538886101356E-2</v>
      </c>
      <c r="DL53" s="655">
        <f>DL18/DL10</f>
        <v>5.3087557603686636E-2</v>
      </c>
      <c r="DM53" s="656"/>
      <c r="DN53" s="655">
        <f>DN18/DN10</f>
        <v>-3.0774111675126902E-2</v>
      </c>
      <c r="DO53" s="655">
        <f>DO18/DO10</f>
        <v>-7.4123097286565187E-2</v>
      </c>
      <c r="DP53" s="655">
        <f>DP18/DP10</f>
        <v>-0.10898530919029724</v>
      </c>
      <c r="DQ53" s="655">
        <f>DQ18/DQ10</f>
        <v>-0.184346035015448</v>
      </c>
      <c r="DR53" s="656"/>
      <c r="DS53" s="655">
        <f>DS18/DS10</f>
        <v>-0.15711574952561669</v>
      </c>
      <c r="DT53" s="655">
        <f>DT18/DT10</f>
        <v>-0.13067968456627863</v>
      </c>
      <c r="DU53" s="655">
        <f>DU18/DU10</f>
        <v>-0.12774379273119826</v>
      </c>
      <c r="DV53" s="655">
        <f>DV18/DV10</f>
        <v>-2.3268112109994712E-2</v>
      </c>
      <c r="DW53" s="656"/>
      <c r="DX53" s="655">
        <f>DX18/DX10</f>
        <v>-8.0328454123527307E-2</v>
      </c>
      <c r="DY53" s="655">
        <f>DY18/DY10</f>
        <v>-2.3222579492675956E-2</v>
      </c>
      <c r="DZ53" s="655">
        <f>DZ18/DZ10</f>
        <v>-1.5195369030390739E-2</v>
      </c>
      <c r="EA53" s="655">
        <f>EA18/EA10</f>
        <v>2.851271512972001E-2</v>
      </c>
      <c r="EB53" s="656"/>
      <c r="EC53" s="594">
        <f>EC18/EC10</f>
        <v>-1.7063353167658384E-2</v>
      </c>
      <c r="ED53" s="655">
        <f>ED18/ED10</f>
        <v>-1.3217391304347827E-2</v>
      </c>
      <c r="EE53" s="655">
        <f>EE18/EE10</f>
        <v>-1.5533310321021747E-2</v>
      </c>
      <c r="EF53" s="655">
        <f>EF18/EF10</f>
        <v>3.2532532532532532E-3</v>
      </c>
      <c r="EG53" s="656"/>
      <c r="EH53" s="594">
        <f>EH18/EH10</f>
        <v>7.8263963002490212E-3</v>
      </c>
      <c r="EI53" s="655">
        <f>EI18/EI10</f>
        <v>2.604523646333105E-2</v>
      </c>
      <c r="EJ53" s="655">
        <f>EJ18/EJ10</f>
        <v>8.0504025201260064E-3</v>
      </c>
      <c r="EK53" s="655">
        <f>EK18/EK10</f>
        <v>7.1446604392830099E-2</v>
      </c>
      <c r="EL53" s="656"/>
      <c r="EM53" s="594">
        <f>EM18/EM10</f>
        <v>4.2128603104212861E-2</v>
      </c>
      <c r="EN53" s="655">
        <f>EN18/EN10</f>
        <v>2.0594193112761797E-2</v>
      </c>
      <c r="EO53" s="655">
        <f>EO18/EO10</f>
        <v>-2.7431421446384038E-2</v>
      </c>
      <c r="EP53" s="655">
        <f>EP18/EP10</f>
        <v>6.3259737037955843E-2</v>
      </c>
      <c r="EQ53" s="656"/>
      <c r="ER53" s="1481">
        <f>ER18/ER10</f>
        <v>8.1761757972347113E-3</v>
      </c>
      <c r="ES53" s="1480">
        <f>ES18/ES10</f>
        <v>3.7936600161181472E-2</v>
      </c>
      <c r="ET53" s="1480">
        <f>ET18/ET10</f>
        <v>1.1606587587468719E-2</v>
      </c>
      <c r="EU53" s="1480">
        <f>EU18/EU10</f>
        <v>4.6826723842600761E-2</v>
      </c>
      <c r="EV53" s="507"/>
      <c r="EW53" s="657">
        <f t="shared" ref="EW53:GA53" si="35">EW18/EW10</f>
        <v>7.3650872508228285E-2</v>
      </c>
      <c r="EX53" s="655">
        <f t="shared" si="35"/>
        <v>5.5484265200122215E-2</v>
      </c>
      <c r="EY53" s="655">
        <f t="shared" si="35"/>
        <v>5.2897969261156717E-2</v>
      </c>
      <c r="EZ53" s="655">
        <f t="shared" si="35"/>
        <v>6.8521294908101507E-2</v>
      </c>
      <c r="FA53" s="655">
        <f t="shared" si="35"/>
        <v>7.5962703471527157E-2</v>
      </c>
      <c r="FB53" s="655">
        <f t="shared" si="35"/>
        <v>7.9882237487733071E-2</v>
      </c>
      <c r="FC53" s="655">
        <f t="shared" si="35"/>
        <v>6.3855656064585153E-2</v>
      </c>
      <c r="FD53" s="655">
        <f t="shared" si="35"/>
        <v>5.818470775207487E-2</v>
      </c>
      <c r="FE53" s="655">
        <f t="shared" si="35"/>
        <v>5.8579705032359604E-2</v>
      </c>
      <c r="FF53" s="655">
        <f t="shared" si="35"/>
        <v>4.735536981645122E-2</v>
      </c>
      <c r="FG53" s="655">
        <f t="shared" si="35"/>
        <v>3.2605613836121351E-2</v>
      </c>
      <c r="FH53" s="655">
        <f t="shared" si="35"/>
        <v>1.4287508635307417E-2</v>
      </c>
      <c r="FI53" s="655">
        <f t="shared" si="35"/>
        <v>2.7690582959641257E-2</v>
      </c>
      <c r="FJ53" s="655">
        <f t="shared" si="35"/>
        <v>3.5895075931891396E-2</v>
      </c>
      <c r="FK53" s="655">
        <f t="shared" si="35"/>
        <v>4.4880945583280991E-2</v>
      </c>
      <c r="FL53" s="655">
        <f t="shared" si="35"/>
        <v>6.9462864721485412E-2</v>
      </c>
      <c r="FM53" s="657">
        <f t="shared" si="35"/>
        <v>8.679392520687304E-2</v>
      </c>
      <c r="FN53" s="657">
        <f t="shared" si="35"/>
        <v>9.5854888961053583E-2</v>
      </c>
      <c r="FO53" s="655">
        <f t="shared" si="35"/>
        <v>9.4579745178022867E-2</v>
      </c>
      <c r="FP53" s="655">
        <f t="shared" si="35"/>
        <v>6.1064408845718711E-2</v>
      </c>
      <c r="FQ53" s="657">
        <f t="shared" si="35"/>
        <v>3.775738334403738E-2</v>
      </c>
      <c r="FR53" s="657">
        <f t="shared" si="35"/>
        <v>4.8651388028605212E-2</v>
      </c>
      <c r="FS53" s="655">
        <f t="shared" si="35"/>
        <v>3.8006952491309386E-2</v>
      </c>
      <c r="FT53" s="655">
        <f t="shared" si="35"/>
        <v>-0.10442818636888718</v>
      </c>
      <c r="FU53" s="655">
        <f t="shared" si="35"/>
        <v>-0.10161059111223543</v>
      </c>
      <c r="FV53" s="655">
        <f t="shared" si="35"/>
        <v>-1.8030513176144243E-2</v>
      </c>
      <c r="FW53" s="655">
        <f t="shared" si="35"/>
        <v>-9.4059405940594056E-3</v>
      </c>
      <c r="FX53" s="655">
        <f t="shared" si="35"/>
        <v>3.2198932015621261E-2</v>
      </c>
      <c r="FY53" s="655">
        <f t="shared" si="35"/>
        <v>2.8226451303374381E-2</v>
      </c>
      <c r="FZ53" s="655">
        <f t="shared" si="35"/>
        <v>2.8149888800914718E-2</v>
      </c>
      <c r="GA53" s="655">
        <f t="shared" si="35"/>
        <v>2.2583229103257486E-2</v>
      </c>
      <c r="GB53" s="658">
        <f>GB18/GB10</f>
        <v>2.1102355240142909E-2</v>
      </c>
      <c r="GC53" s="655">
        <f>GC18/GC10</f>
        <v>1.2290030108212065E-2</v>
      </c>
      <c r="GD53" s="1458">
        <f>GD18/GD10</f>
        <v>-5.9464338098910025E-4</v>
      </c>
    </row>
    <row r="54" spans="1:199" hidden="1" outlineLevel="1">
      <c r="A54" s="500" t="s">
        <v>502</v>
      </c>
      <c r="B54" s="507"/>
      <c r="C54" s="655"/>
      <c r="D54" s="655"/>
      <c r="E54" s="655"/>
      <c r="F54" s="655"/>
      <c r="G54" s="656"/>
      <c r="H54" s="655"/>
      <c r="I54" s="655"/>
      <c r="J54" s="655"/>
      <c r="K54" s="655"/>
      <c r="L54" s="656"/>
      <c r="M54" s="655"/>
      <c r="N54" s="655"/>
      <c r="O54" s="655"/>
      <c r="P54" s="655"/>
      <c r="Q54" s="656"/>
      <c r="R54" s="655"/>
      <c r="S54" s="655"/>
      <c r="T54" s="655"/>
      <c r="U54" s="655"/>
      <c r="V54" s="656"/>
      <c r="W54" s="655"/>
      <c r="X54" s="655"/>
      <c r="Y54" s="655"/>
      <c r="Z54" s="655"/>
      <c r="AA54" s="656"/>
      <c r="AB54" s="655"/>
      <c r="AC54" s="655"/>
      <c r="AD54" s="655"/>
      <c r="AE54" s="655"/>
      <c r="AF54" s="656"/>
      <c r="AG54" s="655"/>
      <c r="AH54" s="655"/>
      <c r="AI54" s="655"/>
      <c r="AJ54" s="655"/>
      <c r="AK54" s="656"/>
      <c r="AL54" s="655"/>
      <c r="AM54" s="655"/>
      <c r="AN54" s="655"/>
      <c r="AO54" s="655"/>
      <c r="AP54" s="656"/>
      <c r="AQ54" s="655"/>
      <c r="AR54" s="655"/>
      <c r="AS54" s="655"/>
      <c r="AT54" s="655"/>
      <c r="AU54" s="656"/>
      <c r="AV54" s="655"/>
      <c r="AW54" s="655"/>
      <c r="AX54" s="655"/>
      <c r="AY54" s="655"/>
      <c r="AZ54" s="656"/>
      <c r="BA54" s="655"/>
      <c r="BB54" s="655"/>
      <c r="BC54" s="655"/>
      <c r="BD54" s="655"/>
      <c r="BE54" s="656"/>
      <c r="BF54" s="655"/>
      <c r="BG54" s="655"/>
      <c r="BH54" s="655"/>
      <c r="BI54" s="655"/>
      <c r="BJ54" s="656"/>
      <c r="BK54" s="655"/>
      <c r="BL54" s="655"/>
      <c r="BM54" s="655"/>
      <c r="BN54" s="655"/>
      <c r="BO54" s="656"/>
      <c r="BP54" s="655"/>
      <c r="BQ54" s="655"/>
      <c r="BR54" s="655"/>
      <c r="BS54" s="655"/>
      <c r="BT54" s="656"/>
      <c r="BU54" s="655"/>
      <c r="BV54" s="655"/>
      <c r="BW54" s="655"/>
      <c r="BX54" s="655"/>
      <c r="BY54" s="656"/>
      <c r="BZ54" s="655"/>
      <c r="CA54" s="655"/>
      <c r="CB54" s="655"/>
      <c r="CC54" s="655"/>
      <c r="CD54" s="656"/>
      <c r="CE54" s="655"/>
      <c r="CF54" s="655"/>
      <c r="CG54" s="655"/>
      <c r="CH54" s="655"/>
      <c r="CI54" s="656"/>
      <c r="CJ54" s="655"/>
      <c r="CK54" s="655"/>
      <c r="CL54" s="655"/>
      <c r="CM54" s="655"/>
      <c r="CN54" s="656"/>
      <c r="CO54" s="655"/>
      <c r="CP54" s="655"/>
      <c r="CQ54" s="655"/>
      <c r="CR54" s="655"/>
      <c r="CS54" s="656"/>
      <c r="CT54" s="655"/>
      <c r="CU54" s="655"/>
      <c r="CV54" s="655"/>
      <c r="CW54" s="655"/>
      <c r="CX54" s="656"/>
      <c r="CY54" s="655"/>
      <c r="CZ54" s="655"/>
      <c r="DA54" s="655"/>
      <c r="DB54" s="655"/>
      <c r="DC54" s="656"/>
      <c r="DD54" s="655"/>
      <c r="DE54" s="655"/>
      <c r="DF54" s="655"/>
      <c r="DG54" s="655"/>
      <c r="DH54" s="656"/>
      <c r="DI54" s="655"/>
      <c r="DJ54" s="655"/>
      <c r="DK54" s="655"/>
      <c r="DL54" s="655"/>
      <c r="DM54" s="656"/>
      <c r="DN54" s="655"/>
      <c r="DO54" s="655"/>
      <c r="DP54" s="655"/>
      <c r="DQ54" s="655"/>
      <c r="DR54" s="656"/>
      <c r="DS54" s="655"/>
      <c r="DT54" s="655"/>
      <c r="DU54" s="655"/>
      <c r="DV54" s="655"/>
      <c r="DW54" s="656"/>
      <c r="DX54" s="655"/>
      <c r="DY54" s="655"/>
      <c r="DZ54" s="655"/>
      <c r="EA54" s="655"/>
      <c r="EB54" s="656"/>
      <c r="EC54" s="655"/>
      <c r="ED54" s="655"/>
      <c r="EE54" s="655"/>
      <c r="EF54" s="655"/>
      <c r="EG54" s="656"/>
      <c r="EH54" s="655"/>
      <c r="EI54" s="655"/>
      <c r="EJ54" s="655"/>
      <c r="EK54" s="655"/>
      <c r="EL54" s="656"/>
      <c r="EM54" s="655"/>
      <c r="EN54" s="655"/>
      <c r="EO54" s="655"/>
      <c r="EP54" s="655"/>
      <c r="EQ54" s="656"/>
      <c r="ER54" s="1480"/>
      <c r="ES54" s="1480"/>
      <c r="ET54" s="1480"/>
      <c r="EU54" s="1480"/>
      <c r="EV54" s="507"/>
      <c r="EW54" s="657"/>
      <c r="EX54" s="655"/>
      <c r="EY54" s="655"/>
      <c r="EZ54" s="655"/>
      <c r="FA54" s="655"/>
      <c r="FB54" s="655"/>
      <c r="FC54" s="655"/>
      <c r="FD54" s="655"/>
      <c r="FE54" s="655"/>
      <c r="FF54" s="655"/>
      <c r="FG54" s="655"/>
      <c r="FH54" s="655">
        <f t="shared" ref="FH54:GA54" si="36">(FH46+FH18)/FH10</f>
        <v>1.4287508635307417E-2</v>
      </c>
      <c r="FI54" s="655">
        <f t="shared" si="36"/>
        <v>2.7690582959641257E-2</v>
      </c>
      <c r="FJ54" s="655">
        <f t="shared" si="36"/>
        <v>3.5895075931891396E-2</v>
      </c>
      <c r="FK54" s="655">
        <f t="shared" si="36"/>
        <v>4.4880945583280991E-2</v>
      </c>
      <c r="FL54" s="655">
        <f t="shared" si="36"/>
        <v>7.3994252873563218E-2</v>
      </c>
      <c r="FM54" s="657">
        <f t="shared" si="36"/>
        <v>9.0467834550976928E-2</v>
      </c>
      <c r="FN54" s="657">
        <f t="shared" si="36"/>
        <v>9.6307034663700053E-2</v>
      </c>
      <c r="FO54" s="655">
        <f t="shared" si="36"/>
        <v>8.9694817948330577E-2</v>
      </c>
      <c r="FP54" s="655">
        <f t="shared" si="36"/>
        <v>5.3869982300167298E-2</v>
      </c>
      <c r="FQ54" s="657">
        <f t="shared" si="36"/>
        <v>5.4728273595203505E-2</v>
      </c>
      <c r="FR54" s="657">
        <f t="shared" si="36"/>
        <v>6.1095782420181315E-2</v>
      </c>
      <c r="FS54" s="655">
        <f t="shared" si="36"/>
        <v>4.3047508690614134E-2</v>
      </c>
      <c r="FT54" s="655">
        <f t="shared" si="36"/>
        <v>-8.0169426261070473E-2</v>
      </c>
      <c r="FU54" s="655">
        <f t="shared" si="36"/>
        <v>-9.3178176912049923E-2</v>
      </c>
      <c r="FV54" s="655">
        <f t="shared" si="36"/>
        <v>-1.9172717630741618E-2</v>
      </c>
      <c r="FW54" s="655">
        <f t="shared" si="36"/>
        <v>6.6732673267326731E-3</v>
      </c>
      <c r="FX54" s="655">
        <f t="shared" si="36"/>
        <v>3.2278632342392602E-2</v>
      </c>
      <c r="FY54" s="655">
        <f t="shared" si="36"/>
        <v>2.8226451303374381E-2</v>
      </c>
      <c r="FZ54" s="655">
        <f t="shared" si="36"/>
        <v>2.8149888800914718E-2</v>
      </c>
      <c r="GA54" s="655">
        <f t="shared" si="36"/>
        <v>2.2583229103257486E-2</v>
      </c>
      <c r="GB54" s="658">
        <f>(GB46+GB18)/GB10</f>
        <v>2.1102355240142909E-2</v>
      </c>
      <c r="GC54" s="655">
        <f>(GC46+GC18)/GC10</f>
        <v>1.2290030108212065E-2</v>
      </c>
      <c r="GD54" s="1458">
        <f>(GD46+GD18)/GD10</f>
        <v>-5.9464338098910025E-4</v>
      </c>
    </row>
    <row r="55" spans="1:199" collapsed="1">
      <c r="A55" s="500" t="s">
        <v>250</v>
      </c>
      <c r="B55" s="507"/>
      <c r="C55" s="655">
        <f>C22/C10</f>
        <v>6.5549236755462439E-2</v>
      </c>
      <c r="D55" s="655">
        <f>D22/D10</f>
        <v>4.1303083187899943E-2</v>
      </c>
      <c r="E55" s="655">
        <f>E22/E10</f>
        <v>7.6089633095296719E-2</v>
      </c>
      <c r="F55" s="655">
        <f>F22/F10</f>
        <v>0.10108303249097472</v>
      </c>
      <c r="G55" s="656"/>
      <c r="H55" s="655">
        <f>H22/H10</f>
        <v>6.5155807365439092E-2</v>
      </c>
      <c r="I55" s="655">
        <f>I22/I10</f>
        <v>3.4636871508379886E-2</v>
      </c>
      <c r="J55" s="655">
        <f>J22/J10</f>
        <v>4.7058823529411764E-2</v>
      </c>
      <c r="K55" s="655">
        <f>K22/K10</f>
        <v>5.5133079847908745E-2</v>
      </c>
      <c r="L55" s="656"/>
      <c r="M55" s="655">
        <f>M22/M10</f>
        <v>3.6993882901252551E-2</v>
      </c>
      <c r="N55" s="655">
        <f>N22/N10</f>
        <v>1.4178240740740741E-2</v>
      </c>
      <c r="O55" s="655">
        <f>O22/O10</f>
        <v>4.6990093980187962E-2</v>
      </c>
      <c r="P55" s="655">
        <f>P22/P10</f>
        <v>9.3395348837209305E-2</v>
      </c>
      <c r="Q55" s="656"/>
      <c r="R55" s="655">
        <f>R22/R10</f>
        <v>5.7737938307408386E-2</v>
      </c>
      <c r="S55" s="655">
        <f>S22/S10</f>
        <v>3.4573766165215097E-2</v>
      </c>
      <c r="T55" s="655">
        <f>T22/T10</f>
        <v>6.9783509903270383E-2</v>
      </c>
      <c r="U55" s="655">
        <f>U22/U10</f>
        <v>9.9589153656532453E-2</v>
      </c>
      <c r="V55" s="656"/>
      <c r="W55" s="655">
        <f>W22/W10</f>
        <v>6.962663975782038E-2</v>
      </c>
      <c r="X55" s="655">
        <f>X22/X10</f>
        <v>4.5672470350744385E-2</v>
      </c>
      <c r="Y55" s="655">
        <f>Y22/Y10</f>
        <v>8.3210137275607179E-2</v>
      </c>
      <c r="Z55" s="655">
        <f>Z22/Z10</f>
        <v>0.11121657965511786</v>
      </c>
      <c r="AA55" s="656"/>
      <c r="AB55" s="655">
        <f>AB22/AB10</f>
        <v>8.344827586206896E-2</v>
      </c>
      <c r="AC55" s="655">
        <f>AC22/AC10</f>
        <v>5.068363979255068E-2</v>
      </c>
      <c r="AD55" s="655">
        <f>AD22/AD10</f>
        <v>8.6812973392891818E-2</v>
      </c>
      <c r="AE55" s="655">
        <f>AE22/AE10</f>
        <v>0.10152131345082091</v>
      </c>
      <c r="AF55" s="656"/>
      <c r="AG55" s="655">
        <f>AG22/AG10</f>
        <v>5.793450881612091E-2</v>
      </c>
      <c r="AH55" s="655">
        <f>AH22/AH10</f>
        <v>4.19391206313416E-2</v>
      </c>
      <c r="AI55" s="655">
        <f>AI22/AI10</f>
        <v>7.4882995319812795E-2</v>
      </c>
      <c r="AJ55" s="655">
        <f>AJ22/AJ10</f>
        <v>7.8136308805790117E-2</v>
      </c>
      <c r="AK55" s="656"/>
      <c r="AL55" s="655">
        <f>AL22/AL10</f>
        <v>5.0988319856244385E-2</v>
      </c>
      <c r="AM55" s="655">
        <f>AM22/AM10</f>
        <v>3.3281562014643884E-2</v>
      </c>
      <c r="AN55" s="655">
        <f>AN22/AN10</f>
        <v>7.4227921256998369E-2</v>
      </c>
      <c r="AO55" s="655">
        <f>AO22/AO10</f>
        <v>5.8239333006375675E-2</v>
      </c>
      <c r="AP55" s="656"/>
      <c r="AQ55" s="655">
        <f>AQ22/AQ10</f>
        <v>3.4891081160360028E-2</v>
      </c>
      <c r="AR55" s="655">
        <f>AR22/AR10</f>
        <v>2.6779002756201452E-2</v>
      </c>
      <c r="AS55" s="655">
        <f>AS22/AS10</f>
        <v>5.2370025199555137E-2</v>
      </c>
      <c r="AT55" s="655">
        <f>AT22/AT10</f>
        <v>5.612191276931161E-2</v>
      </c>
      <c r="AU55" s="656"/>
      <c r="AV55" s="655">
        <f>AV22/AV10</f>
        <v>4.2123963975823991E-2</v>
      </c>
      <c r="AW55" s="655">
        <f>AW22/AW10</f>
        <v>2.4529466214131442E-2</v>
      </c>
      <c r="AX55" s="655">
        <f>AX22/AX10</f>
        <v>4.2642726890166925E-2</v>
      </c>
      <c r="AY55" s="655">
        <f>AY22/AY10</f>
        <v>3.3068783068783067E-2</v>
      </c>
      <c r="AZ55" s="656"/>
      <c r="BA55" s="655">
        <f>BA22/BA10</f>
        <v>2.8750510968796838E-2</v>
      </c>
      <c r="BB55" s="655">
        <f>BB22/BB10</f>
        <v>1.6610360360360361E-2</v>
      </c>
      <c r="BC55" s="655">
        <f>BC22/BC10</f>
        <v>1.9374263647074223E-2</v>
      </c>
      <c r="BD55" s="655">
        <f>BD22/BD10</f>
        <v>1.1282475934168305E-2</v>
      </c>
      <c r="BE55" s="656"/>
      <c r="BF55" s="655">
        <f>BF22/BF10</f>
        <v>9.6971307120085008E-3</v>
      </c>
      <c r="BG55" s="655">
        <f>BG22/BG10</f>
        <v>-6.6601914805050648E-3</v>
      </c>
      <c r="BH55" s="655">
        <f>BH22/BH10</f>
        <v>-1.3133457150437781E-2</v>
      </c>
      <c r="BI55" s="655">
        <f>BI22/BI10</f>
        <v>-6.3720881646296881E-3</v>
      </c>
      <c r="BJ55" s="656"/>
      <c r="BK55" s="655">
        <f>BK22/BK10</f>
        <v>1.9757964929612251E-2</v>
      </c>
      <c r="BL55" s="655">
        <f>BL22/BL10</f>
        <v>-1.6137428422696512E-2</v>
      </c>
      <c r="BM55" s="655">
        <f>BM22/BM10</f>
        <v>1.7947537965945698E-2</v>
      </c>
      <c r="BN55" s="655">
        <f>BN22/BN10</f>
        <v>3.0401366353543978E-2</v>
      </c>
      <c r="BO55" s="656"/>
      <c r="BP55" s="655">
        <f>BP22/BP10</f>
        <v>2.3809523809523808E-2</v>
      </c>
      <c r="BQ55" s="655">
        <f>BQ22/BQ10</f>
        <v>-8.8741430212352698E-3</v>
      </c>
      <c r="BR55" s="655">
        <f>BR22/BR10</f>
        <v>2.5151374010246856E-2</v>
      </c>
      <c r="BS55" s="655">
        <f>BS22/BS10</f>
        <v>4.2486505310813161E-2</v>
      </c>
      <c r="BT55" s="656"/>
      <c r="BU55" s="655">
        <f>BU22/BU10</f>
        <v>8.4491687108203869E-3</v>
      </c>
      <c r="BV55" s="655">
        <f>BV22/BV10</f>
        <v>-1.9564002235885969E-3</v>
      </c>
      <c r="BW55" s="655">
        <f>BW22/BW10</f>
        <v>3.280224929709466E-2</v>
      </c>
      <c r="BX55" s="655">
        <f>BX22/BX10</f>
        <v>6.2520840280093359E-2</v>
      </c>
      <c r="BY55" s="656"/>
      <c r="BZ55" s="655">
        <f>BZ22/BZ10</f>
        <v>4.4813695871097681E-2</v>
      </c>
      <c r="CA55" s="655">
        <f>CA22/CA10</f>
        <v>2.8057173107464268E-2</v>
      </c>
      <c r="CB55" s="655">
        <f>CB22/CB10</f>
        <v>5.1696652243224776E-2</v>
      </c>
      <c r="CC55" s="655">
        <f>CC22/CC10</f>
        <v>8.2955499580184722E-2</v>
      </c>
      <c r="CD55" s="656"/>
      <c r="CE55" s="655">
        <f>CE22/CE10</f>
        <v>6.5080135988343862E-2</v>
      </c>
      <c r="CF55" s="655">
        <f>CF22/CF10</f>
        <v>4.5717156493343382E-2</v>
      </c>
      <c r="CG55" s="655">
        <f>CG22/CG10</f>
        <v>8.1491404331323958E-2</v>
      </c>
      <c r="CH55" s="655">
        <f>CH22/CH10</f>
        <v>0.10141471564789382</v>
      </c>
      <c r="CI55" s="656"/>
      <c r="CJ55" s="655">
        <f>CJ22/CJ10</f>
        <v>8.2246977956861811E-2</v>
      </c>
      <c r="CK55" s="655">
        <f>CK22/CK10</f>
        <v>5.8294753377791546E-2</v>
      </c>
      <c r="CL55" s="655">
        <f>CL22/CL10</f>
        <v>9.788747124032629E-2</v>
      </c>
      <c r="CM55" s="655">
        <f>CM22/CM10</f>
        <v>0.10977804439112178</v>
      </c>
      <c r="CN55" s="656"/>
      <c r="CO55" s="655">
        <f>CO22/CO10</f>
        <v>8.8756035870315012E-2</v>
      </c>
      <c r="CP55" s="655">
        <f>CP22/CP10</f>
        <v>6.3569476082004597E-2</v>
      </c>
      <c r="CQ55" s="655">
        <f>CQ22/CQ10</f>
        <v>7.8045685279187815E-2</v>
      </c>
      <c r="CR55" s="655">
        <f>CR22/CR10</f>
        <v>0.10735524256651018</v>
      </c>
      <c r="CS55" s="656"/>
      <c r="CT55" s="655">
        <f>CT22/CT10</f>
        <v>4.724981826992973E-2</v>
      </c>
      <c r="CU55" s="655">
        <f>CU22/CU10</f>
        <v>4.3913521904842594E-2</v>
      </c>
      <c r="CV55" s="655">
        <f>CV22/CV10</f>
        <v>4.4422863391433226E-2</v>
      </c>
      <c r="CW55" s="655">
        <f>CW22/CW10</f>
        <v>5.6952139829332303E-2</v>
      </c>
      <c r="CX55" s="656"/>
      <c r="CY55" s="655">
        <f>CY22/CY10</f>
        <v>1.1064123976119149E-2</v>
      </c>
      <c r="CZ55" s="655">
        <f>CZ22/CZ10</f>
        <v>-2.5363649935395609E-4</v>
      </c>
      <c r="DA55" s="655">
        <f>DA22/DA10</f>
        <v>1.0286111317681543E-2</v>
      </c>
      <c r="DB55" s="655">
        <f>DB22/DB10</f>
        <v>5.7297297297297295E-2</v>
      </c>
      <c r="DC55" s="656"/>
      <c r="DD55" s="655">
        <f>DD22/DD10</f>
        <v>2.4433698142020871E-2</v>
      </c>
      <c r="DE55" s="655">
        <f>DE22/DE10</f>
        <v>4.5708481462671405E-3</v>
      </c>
      <c r="DF55" s="655">
        <f>DF22/DF10</f>
        <v>1.599427070899976E-2</v>
      </c>
      <c r="DG55" s="655">
        <f>DG22/DG10</f>
        <v>7.5749605470804837E-2</v>
      </c>
      <c r="DH55" s="656"/>
      <c r="DI55" s="655">
        <f>DI22/DI10</f>
        <v>2.6122241947755517E-2</v>
      </c>
      <c r="DJ55" s="655">
        <f>DJ22/DJ10</f>
        <v>6.2267350041787239E-3</v>
      </c>
      <c r="DK55" s="655">
        <f>DK22/DK10</f>
        <v>-5.6698444555945811E-2</v>
      </c>
      <c r="DL55" s="655">
        <f>DL22/DL10</f>
        <v>-2.3963133640552997E-2</v>
      </c>
      <c r="DM55" s="656"/>
      <c r="DN55" s="655">
        <f>DN22/DN10</f>
        <v>-8.9467005076142136E-2</v>
      </c>
      <c r="DO55" s="655">
        <f>DO22/DO10</f>
        <v>-7.9748510919920579E-2</v>
      </c>
      <c r="DP55" s="655">
        <f>DP22/DP10</f>
        <v>-7.208746156474205E-2</v>
      </c>
      <c r="DQ55" s="655">
        <f>DQ22/DQ10</f>
        <v>-0.20648815653964986</v>
      </c>
      <c r="DR55" s="656"/>
      <c r="DS55" s="655">
        <f>DS22/DS10</f>
        <v>-0.20759013282732447</v>
      </c>
      <c r="DT55" s="655">
        <f>DT22/DT10</f>
        <v>-0.22681186631618475</v>
      </c>
      <c r="DU55" s="655">
        <f>DU22/DU10</f>
        <v>-0.17992083483267363</v>
      </c>
      <c r="DV55" s="655">
        <f>DV22/DV10</f>
        <v>-6.213643574828133E-2</v>
      </c>
      <c r="DW55" s="656"/>
      <c r="DX55" s="655">
        <f>DX22/DX10</f>
        <v>-0.12281328097108175</v>
      </c>
      <c r="DY55" s="655">
        <f>DY22/DY10</f>
        <v>-6.2879599857091822E-2</v>
      </c>
      <c r="DZ55" s="655">
        <f>DZ22/DZ10</f>
        <v>-6.9102749638205493E-2</v>
      </c>
      <c r="EA55" s="655">
        <f>EA22/EA10</f>
        <v>-9.5042383765733367E-3</v>
      </c>
      <c r="EB55" s="656"/>
      <c r="EC55" s="655">
        <f>EC22/EC10</f>
        <v>-5.1365068253412673E-2</v>
      </c>
      <c r="ED55" s="655">
        <f>ED22/ED10</f>
        <v>-4.9043478260869564E-2</v>
      </c>
      <c r="EE55" s="655">
        <f>EE22/EE10</f>
        <v>-5.0742147048671041E-2</v>
      </c>
      <c r="EF55" s="655">
        <f>EF22/EF10</f>
        <v>-3.2532532532532535E-2</v>
      </c>
      <c r="EG55" s="656"/>
      <c r="EH55" s="655">
        <f>EH22/EH10</f>
        <v>-2.454642475987193E-2</v>
      </c>
      <c r="EI55" s="655">
        <f>EI22/EI10</f>
        <v>-1.7477724468814255E-2</v>
      </c>
      <c r="EJ55" s="655">
        <f>EJ22/EJ10</f>
        <v>-2.24011200560028E-2</v>
      </c>
      <c r="EK55" s="655">
        <f>EK22/EK10</f>
        <v>4.6957838929563241E-2</v>
      </c>
      <c r="EL55" s="656"/>
      <c r="EM55" s="655">
        <f>EM22/EM10</f>
        <v>9.9778270509977823E-3</v>
      </c>
      <c r="EN55" s="655">
        <f>EN22/EN10</f>
        <v>-1.7893315327481275E-2</v>
      </c>
      <c r="EO55" s="655">
        <f>EO22/EO10</f>
        <v>-5.5219095119344495E-2</v>
      </c>
      <c r="EP55" s="655">
        <f>EP22/EP10</f>
        <v>4.1677003225006205E-2</v>
      </c>
      <c r="EQ55" s="656"/>
      <c r="ER55" s="1480">
        <f>ER22/ER10</f>
        <v>-2.0741796309315622E-2</v>
      </c>
      <c r="ES55" s="1480">
        <f>ES22/ES10</f>
        <v>1.2411671494848788E-2</v>
      </c>
      <c r="ET55" s="1480">
        <f>ET22/ET10</f>
        <v>-1.5882010142193016E-2</v>
      </c>
      <c r="EU55" s="1480">
        <f>EU22/EU10</f>
        <v>2.7227535302702718E-2</v>
      </c>
      <c r="EV55" s="507"/>
      <c r="EW55" s="657">
        <f t="shared" ref="EW55:GA55" si="37">EW22/EW10</f>
        <v>7.4644476184561881E-2</v>
      </c>
      <c r="EX55" s="655">
        <f t="shared" si="37"/>
        <v>5.0840207760464405E-2</v>
      </c>
      <c r="EY55" s="655">
        <f t="shared" si="37"/>
        <v>5.3268316770569715E-2</v>
      </c>
      <c r="EZ55" s="655">
        <f t="shared" si="37"/>
        <v>6.9909489699594651E-2</v>
      </c>
      <c r="FA55" s="655">
        <f t="shared" si="37"/>
        <v>8.1862719275140911E-2</v>
      </c>
      <c r="FB55" s="655">
        <f t="shared" si="37"/>
        <v>8.3366045142296369E-2</v>
      </c>
      <c r="FC55" s="655">
        <f t="shared" si="37"/>
        <v>6.5227117984631849E-2</v>
      </c>
      <c r="FD55" s="655">
        <f t="shared" si="37"/>
        <v>5.57566660780505E-2</v>
      </c>
      <c r="FE55" s="655">
        <f t="shared" si="37"/>
        <v>4.4197658168595576E-2</v>
      </c>
      <c r="FF55" s="655">
        <f t="shared" si="37"/>
        <v>3.5584869103087544E-2</v>
      </c>
      <c r="FG55" s="655">
        <f t="shared" si="37"/>
        <v>1.8460763002866774E-2</v>
      </c>
      <c r="FH55" s="655">
        <f t="shared" si="37"/>
        <v>-4.2391509137725304E-3</v>
      </c>
      <c r="FI55" s="655">
        <f t="shared" si="37"/>
        <v>1.5414798206278026E-2</v>
      </c>
      <c r="FJ55" s="655">
        <f t="shared" si="37"/>
        <v>2.3699953980671883E-2</v>
      </c>
      <c r="FK55" s="655">
        <f t="shared" si="37"/>
        <v>3.0777136983954775E-2</v>
      </c>
      <c r="FL55" s="655">
        <f t="shared" si="37"/>
        <v>5.5537135278514588E-2</v>
      </c>
      <c r="FM55" s="657">
        <f t="shared" si="37"/>
        <v>7.6890343496679947E-2</v>
      </c>
      <c r="FN55" s="657">
        <f t="shared" si="37"/>
        <v>9.0127710060864841E-2</v>
      </c>
      <c r="FO55" s="655">
        <f t="shared" si="37"/>
        <v>8.6622853401823047E-2</v>
      </c>
      <c r="FP55" s="655">
        <f t="shared" si="37"/>
        <v>4.8839293061548647E-2</v>
      </c>
      <c r="FQ55" s="657">
        <f t="shared" si="37"/>
        <v>2.2950566346375663E-2</v>
      </c>
      <c r="FR55" s="657">
        <f t="shared" si="37"/>
        <v>3.4517709330480317E-2</v>
      </c>
      <c r="FS55" s="655">
        <f t="shared" si="37"/>
        <v>-1.3249036678660365E-2</v>
      </c>
      <c r="FT55" s="655">
        <f t="shared" si="37"/>
        <v>-0.1182903350019253</v>
      </c>
      <c r="FU55" s="655">
        <f t="shared" si="37"/>
        <v>-0.15903533181549878</v>
      </c>
      <c r="FV55" s="655">
        <f t="shared" si="37"/>
        <v>-6.1026352288488211E-2</v>
      </c>
      <c r="FW55" s="655">
        <f t="shared" si="37"/>
        <v>-4.4732673267326731E-2</v>
      </c>
      <c r="FX55" s="655">
        <f t="shared" si="37"/>
        <v>1.5940065354267953E-4</v>
      </c>
      <c r="FY55" s="655">
        <f t="shared" si="37"/>
        <v>-1.0395010395010396E-3</v>
      </c>
      <c r="FZ55" s="655">
        <f t="shared" si="37"/>
        <v>3.2620004420088025E-3</v>
      </c>
      <c r="GA55" s="655">
        <f t="shared" si="37"/>
        <v>-1.2964212717869173E-3</v>
      </c>
      <c r="GB55" s="658">
        <f>GB22/GB10</f>
        <v>-2.7333155325851509E-3</v>
      </c>
      <c r="GC55" s="655">
        <f>GC22/GC10</f>
        <v>-1.1650629038946229E-2</v>
      </c>
      <c r="GD55" s="1458">
        <f>GD22/GD10</f>
        <v>-2.4713955227876283E-2</v>
      </c>
    </row>
    <row r="56" spans="1:199">
      <c r="A56" s="500" t="s">
        <v>251</v>
      </c>
      <c r="B56" s="507"/>
      <c r="C56" s="655">
        <f>C24/C22</f>
        <v>0.32420091324200911</v>
      </c>
      <c r="D56" s="655">
        <f>D24/D22</f>
        <v>0.30985915492957744</v>
      </c>
      <c r="E56" s="655">
        <f>E24/E22</f>
        <v>0.32362459546925565</v>
      </c>
      <c r="F56" s="655">
        <f>F24/F22</f>
        <v>0.31015037593984962</v>
      </c>
      <c r="G56" s="656"/>
      <c r="H56" s="655">
        <f>H24/H22</f>
        <v>0.33043478260869563</v>
      </c>
      <c r="I56" s="655">
        <f>I24/I22</f>
        <v>0.33064516129032256</v>
      </c>
      <c r="J56" s="655">
        <f>J24/J22</f>
        <v>0.28723404255319152</v>
      </c>
      <c r="K56" s="655">
        <f>K24/K22</f>
        <v>0.28965517241379313</v>
      </c>
      <c r="L56" s="656"/>
      <c r="M56" s="655">
        <f>M24/M22</f>
        <v>0.37007874015748032</v>
      </c>
      <c r="N56" s="655">
        <f>N24/N22</f>
        <v>0.36734693877551022</v>
      </c>
      <c r="O56" s="655">
        <f>O24/O22</f>
        <v>0.37297297297297299</v>
      </c>
      <c r="P56" s="655">
        <f>P24/P22</f>
        <v>0.40039840637450197</v>
      </c>
      <c r="Q56" s="656"/>
      <c r="R56" s="655">
        <f>R24/R22</f>
        <v>0.37899543378995432</v>
      </c>
      <c r="S56" s="655">
        <f>S24/S22</f>
        <v>0.38931297709923662</v>
      </c>
      <c r="T56" s="655">
        <f>T24/T22</f>
        <v>0.38613861386138615</v>
      </c>
      <c r="U56" s="655">
        <f>U24/U22</f>
        <v>0.38118811881188119</v>
      </c>
      <c r="V56" s="656"/>
      <c r="W56" s="655">
        <f>W24/W22</f>
        <v>0.37681159420289856</v>
      </c>
      <c r="X56" s="655">
        <f>X24/X22</f>
        <v>0.38121546961325969</v>
      </c>
      <c r="Y56" s="655">
        <f>Y24/Y22</f>
        <v>0.40355329949238578</v>
      </c>
      <c r="Z56" s="655">
        <f>Z24/Z22</f>
        <v>0.37553342816500712</v>
      </c>
      <c r="AA56" s="656"/>
      <c r="AB56" s="655">
        <f>AB24/AB22</f>
        <v>0.38567493112947659</v>
      </c>
      <c r="AC56" s="655">
        <f>AC24/AC22</f>
        <v>0.38604651162790699</v>
      </c>
      <c r="AD56" s="655">
        <f>AD24/AD22</f>
        <v>0.38702460850111858</v>
      </c>
      <c r="AE56" s="655">
        <f>AE24/AE22</f>
        <v>0.36498516320474778</v>
      </c>
      <c r="AF56" s="656"/>
      <c r="AG56" s="655">
        <f>AG24/AG22</f>
        <v>0.38339920948616601</v>
      </c>
      <c r="AH56" s="655">
        <f>AH24/AH22</f>
        <v>0.37634408602150538</v>
      </c>
      <c r="AI56" s="655">
        <f>AI24/AI22</f>
        <v>0.375</v>
      </c>
      <c r="AJ56" s="655">
        <f>AJ24/AJ22</f>
        <v>0.37051331532226939</v>
      </c>
      <c r="AK56" s="656"/>
      <c r="AL56" s="655">
        <f>AL24/AL22</f>
        <v>0.37444933920704848</v>
      </c>
      <c r="AM56" s="655">
        <f>AM24/AM22</f>
        <v>0.38</v>
      </c>
      <c r="AN56" s="655">
        <f>AN24/AN22</f>
        <v>0.37469586374695862</v>
      </c>
      <c r="AO56" s="655">
        <f>AO24/AO22</f>
        <v>0.36631578947368421</v>
      </c>
      <c r="AP56" s="656"/>
      <c r="AQ56" s="655">
        <f>AQ24/AQ22</f>
        <v>0.39</v>
      </c>
      <c r="AR56" s="655">
        <f>AR24/AR22</f>
        <v>0.40500000000000008</v>
      </c>
      <c r="AS56" s="655">
        <f>AS24/AS22</f>
        <v>0.38500000000000001</v>
      </c>
      <c r="AT56" s="655">
        <f>AT24/AT22</f>
        <v>0.38700000000000001</v>
      </c>
      <c r="AU56" s="656"/>
      <c r="AV56" s="655">
        <f>AV24/AV22</f>
        <v>0.38657885829928407</v>
      </c>
      <c r="AW56" s="655">
        <f>AW24/AW22</f>
        <v>0.39182389937106915</v>
      </c>
      <c r="AX56" s="655">
        <f>AX24/AX22</f>
        <v>0.38815789473684209</v>
      </c>
      <c r="AY56" s="655">
        <f>AY24/AY22</f>
        <v>0.35899999999999999</v>
      </c>
      <c r="AZ56" s="656"/>
      <c r="BA56" s="655">
        <f>BA24/BA22</f>
        <v>0.37914691943127959</v>
      </c>
      <c r="BB56" s="655">
        <f>BB24/BB22</f>
        <v>0.39</v>
      </c>
      <c r="BC56" s="655">
        <f>BC24/BC22</f>
        <v>0.34459459459459457</v>
      </c>
      <c r="BD56" s="655">
        <f>BD24/BD22</f>
        <v>0.22800000000000001</v>
      </c>
      <c r="BE56" s="656"/>
      <c r="BF56" s="655">
        <f>BF24/BF22</f>
        <v>0.39700000000000002</v>
      </c>
      <c r="BG56" s="655">
        <f>BG24/BG22</f>
        <v>0.35399999999999993</v>
      </c>
      <c r="BH56" s="655">
        <f>BH24/BH22</f>
        <v>0.42399999999999999</v>
      </c>
      <c r="BI56" s="655">
        <f>BI24/BI22</f>
        <v>0.36099999999999999</v>
      </c>
      <c r="BJ56" s="656"/>
      <c r="BK56" s="655">
        <f>BK24/BK22</f>
        <v>0.3125</v>
      </c>
      <c r="BL56" s="655">
        <f>BL24/BL22</f>
        <v>0.5161290322580645</v>
      </c>
      <c r="BM56" s="655">
        <f>BM24/BM22</f>
        <v>0.29487179487179488</v>
      </c>
      <c r="BN56" s="655">
        <f>BN24/BN22</f>
        <v>0.42134831460674155</v>
      </c>
      <c r="BO56" s="656"/>
      <c r="BP56" s="655">
        <f>BP24/BP22</f>
        <v>0.3473684210526316</v>
      </c>
      <c r="BQ56" s="655">
        <f>BQ24/BQ22</f>
        <v>0.375</v>
      </c>
      <c r="BR56" s="655">
        <f>BR24/BR22</f>
        <v>0.3611111111111111</v>
      </c>
      <c r="BS56" s="655">
        <f>BS24/BS22</f>
        <v>0.28688524590163933</v>
      </c>
      <c r="BT56" s="656"/>
      <c r="BU56" s="655">
        <f>BU24/BU22</f>
        <v>0.29032258064516131</v>
      </c>
      <c r="BV56" s="655">
        <f>BV24/BV22</f>
        <v>0.42857142857142855</v>
      </c>
      <c r="BW56" s="655">
        <f>BW24/BW22</f>
        <v>0.33571428571428569</v>
      </c>
      <c r="BX56" s="655">
        <f>BX24/BX22</f>
        <v>0.33600000000000002</v>
      </c>
      <c r="BY56" s="656"/>
      <c r="BZ56" s="655">
        <f>BZ24/BZ22</f>
        <v>0.34269662921348315</v>
      </c>
      <c r="CA56" s="655">
        <f>CA24/CA22</f>
        <v>0.35499999999999998</v>
      </c>
      <c r="CB56" s="655">
        <f>CB24/CB22</f>
        <v>0.34801762114537443</v>
      </c>
      <c r="CC56" s="655">
        <f>CC24/CC22</f>
        <v>0.34412955465587042</v>
      </c>
      <c r="CD56" s="656"/>
      <c r="CE56" s="655">
        <f>CE24/CE22</f>
        <v>0.36059479553903345</v>
      </c>
      <c r="CF56" s="655">
        <f>CF24/CF22</f>
        <v>0.32967032967032966</v>
      </c>
      <c r="CG56" s="655">
        <f>CG24/CG22</f>
        <v>0.35890410958904112</v>
      </c>
      <c r="CH56" s="655">
        <f>CH24/CH22</f>
        <v>0.36295470875113667</v>
      </c>
      <c r="CI56" s="656"/>
      <c r="CJ56" s="655">
        <f>CJ24/CJ22</f>
        <v>0.38793103448275862</v>
      </c>
      <c r="CK56" s="655">
        <f>CK24/CK22</f>
        <v>0.2834008097165992</v>
      </c>
      <c r="CL56" s="655">
        <f>CL24/CL22</f>
        <v>0.3888888888888889</v>
      </c>
      <c r="CM56" s="655">
        <f>CM24/CM22</f>
        <v>0.3702185792349727</v>
      </c>
      <c r="CN56" s="656"/>
      <c r="CO56" s="655">
        <f>CO24/CO22</f>
        <v>0.3860103626943005</v>
      </c>
      <c r="CP56" s="655">
        <f>CP24/CP22</f>
        <v>0.37624968645859441</v>
      </c>
      <c r="CQ56" s="655">
        <f>CQ24/CQ22</f>
        <v>0.38211382113821141</v>
      </c>
      <c r="CR56" s="655">
        <f>CR24/CR22</f>
        <v>0.3717201166180758</v>
      </c>
      <c r="CS56" s="656"/>
      <c r="CT56" s="655">
        <f>CT24/CT22</f>
        <v>0.38461538461538464</v>
      </c>
      <c r="CU56" s="655">
        <f>CU24/CU22</f>
        <v>0.38285755306166341</v>
      </c>
      <c r="CV56" s="655">
        <f>CV24/CV22</f>
        <v>0.38200000000000001</v>
      </c>
      <c r="CW56" s="655">
        <f>CW24/CW22</f>
        <v>0.36585365853658536</v>
      </c>
      <c r="CX56" s="656"/>
      <c r="CY56" s="655">
        <f>CY24/CY22</f>
        <v>0.41860465116279072</v>
      </c>
      <c r="CZ56" s="655">
        <f>CZ24/CZ22</f>
        <v>0.38200000000000001</v>
      </c>
      <c r="DA56" s="655">
        <f>DA24/DA22</f>
        <v>0.37209302325581395</v>
      </c>
      <c r="DB56" s="655">
        <f>DB24/DB22</f>
        <v>0.37672955974842764</v>
      </c>
      <c r="DC56" s="656"/>
      <c r="DD56" s="655">
        <f>DD24/DD22</f>
        <v>0.375</v>
      </c>
      <c r="DE56" s="655">
        <f>DE24/DE22</f>
        <v>0.22222222222222221</v>
      </c>
      <c r="DF56" s="655">
        <f>DF24/DF22</f>
        <v>0.34328358208955223</v>
      </c>
      <c r="DG56" s="655">
        <f>DG24/DG22</f>
        <v>0.35074074074074074</v>
      </c>
      <c r="DH56" s="656"/>
      <c r="DI56" s="655">
        <f>DI24/DI22</f>
        <v>0.37864077669902912</v>
      </c>
      <c r="DJ56" s="655">
        <f>DJ24/DJ22</f>
        <v>0.41115670552357225</v>
      </c>
      <c r="DK56" s="655">
        <f>DK24/DK22</f>
        <v>0.36725663716814161</v>
      </c>
      <c r="DL56" s="655">
        <f>DL24/DL22</f>
        <v>0.33076923076923076</v>
      </c>
      <c r="DM56" s="656"/>
      <c r="DN56" s="655">
        <f>DN24/DN22</f>
        <v>0.42198581560283688</v>
      </c>
      <c r="DO56" s="655">
        <f>DO24/DO22</f>
        <v>0.39004149377593361</v>
      </c>
      <c r="DP56" s="655">
        <f>DP24/DP22</f>
        <v>0.41706161137440756</v>
      </c>
      <c r="DQ56" s="655">
        <f>DQ24/DQ22</f>
        <v>0.3117206982543641</v>
      </c>
      <c r="DR56" s="656"/>
      <c r="DS56" s="655">
        <f>DS24/DS22</f>
        <v>0.36380255941499084</v>
      </c>
      <c r="DT56" s="655">
        <f>DT24/DT22</f>
        <v>2.9801324503311258E-2</v>
      </c>
      <c r="DU56" s="655">
        <f>DU24/DU22</f>
        <v>2.1999999999999999E-2</v>
      </c>
      <c r="DV56" s="655">
        <f>DV24/DV22</f>
        <v>1.1489361702127661</v>
      </c>
      <c r="DW56" s="656"/>
      <c r="DX56" s="655">
        <f>DX24/DX22</f>
        <v>-2.3255813953488372E-2</v>
      </c>
      <c r="DY56" s="655">
        <f>DY24/DY22</f>
        <v>2.2727272727272728E-2</v>
      </c>
      <c r="DZ56" s="655">
        <f>DZ24/DZ22</f>
        <v>1.5706806282722512E-2</v>
      </c>
      <c r="EA56" s="655">
        <f>EA24/EA22</f>
        <v>-0.59459459459459463</v>
      </c>
      <c r="EB56" s="656"/>
      <c r="EC56" s="655">
        <f>EC24/EC22</f>
        <v>4.0885860306643949E-2</v>
      </c>
      <c r="ED56" s="655">
        <f>ED24/ED22</f>
        <v>2.1276595744680851E-2</v>
      </c>
      <c r="EE56" s="655">
        <f>EE24/EE22</f>
        <v>6.8027210884353748E-2</v>
      </c>
      <c r="EF56" s="655">
        <f>EF24/EF22</f>
        <v>-7.6923076923076927E-3</v>
      </c>
      <c r="EG56" s="656"/>
      <c r="EH56" s="655">
        <f>EH24/EH22</f>
        <v>1.4492753623188406E-2</v>
      </c>
      <c r="EI56" s="655">
        <f>EI24/EI22</f>
        <v>-9.8039215686274508E-2</v>
      </c>
      <c r="EJ56" s="655">
        <f>EJ24/EJ22</f>
        <v>-4.6875E-2</v>
      </c>
      <c r="EK56" s="655">
        <f>EK24/EK22</f>
        <v>-3.2258064516129031E-2</v>
      </c>
      <c r="EL56" s="656"/>
      <c r="EM56" s="655">
        <f>EM24/EM22</f>
        <v>0.29629629629629628</v>
      </c>
      <c r="EN56" s="655">
        <f>EN24/EN22</f>
        <v>0.46226415094340018</v>
      </c>
      <c r="EO56" s="655">
        <f>EO24/EO22</f>
        <v>0.34309677419354839</v>
      </c>
      <c r="EP56" s="655">
        <f>EP24/EP22</f>
        <v>-6.5476190476190479E-2</v>
      </c>
      <c r="EQ56" s="656"/>
      <c r="ER56" s="1480">
        <f>ER24/ER22</f>
        <v>0</v>
      </c>
      <c r="ES56" s="1480">
        <f>ES24/ES22</f>
        <v>0.13710175231394786</v>
      </c>
      <c r="ET56" s="1480">
        <f>ET24/ET22</f>
        <v>0</v>
      </c>
      <c r="EU56" s="1480">
        <f>EU24/EU22</f>
        <v>0.11832816968922187</v>
      </c>
      <c r="EV56" s="507"/>
      <c r="EW56" s="657">
        <f t="shared" ref="EW56:FN56" si="38">EW24/EW26</f>
        <v>0.46228710462287104</v>
      </c>
      <c r="EX56" s="655">
        <f t="shared" si="38"/>
        <v>0.44194107452339687</v>
      </c>
      <c r="EY56" s="655">
        <f t="shared" si="38"/>
        <v>0.63446969696969702</v>
      </c>
      <c r="EZ56" s="655">
        <f t="shared" si="38"/>
        <v>0.62033462033462028</v>
      </c>
      <c r="FA56" s="655">
        <f t="shared" si="38"/>
        <v>0.62212943632567852</v>
      </c>
      <c r="FB56" s="655">
        <f t="shared" si="38"/>
        <v>0.60737937559129607</v>
      </c>
      <c r="FC56" s="655">
        <f t="shared" si="38"/>
        <v>0.60009544261512759</v>
      </c>
      <c r="FD56" s="655">
        <f t="shared" si="38"/>
        <v>0.59268600252206805</v>
      </c>
      <c r="FE56" s="655">
        <f t="shared" si="38"/>
        <v>0.63749627698947009</v>
      </c>
      <c r="FF56" s="655">
        <f t="shared" si="38"/>
        <v>0.61273436596505138</v>
      </c>
      <c r="FG56" s="655">
        <f t="shared" si="38"/>
        <v>0.52553315561479508</v>
      </c>
      <c r="FH56" s="655">
        <f t="shared" si="38"/>
        <v>0.52439024390243894</v>
      </c>
      <c r="FI56" s="655">
        <f t="shared" si="38"/>
        <v>0.49456521739130432</v>
      </c>
      <c r="FJ56" s="655">
        <f t="shared" si="38"/>
        <v>0.46099290780141844</v>
      </c>
      <c r="FK56" s="655">
        <f t="shared" si="38"/>
        <v>0.49722222222222223</v>
      </c>
      <c r="FL56" s="655">
        <f t="shared" si="38"/>
        <v>0.52881938634254677</v>
      </c>
      <c r="FM56" s="657">
        <f t="shared" si="38"/>
        <v>0.55593118798755592</v>
      </c>
      <c r="FN56" s="657">
        <f t="shared" si="38"/>
        <v>0.57868624877675023</v>
      </c>
      <c r="FO56" s="655">
        <f t="shared" ref="FO56:GA56" si="39">FO24/FO22</f>
        <v>0.37789159743498807</v>
      </c>
      <c r="FP56" s="655">
        <f t="shared" si="39"/>
        <v>0.37687774185268036</v>
      </c>
      <c r="FQ56" s="657">
        <f t="shared" si="39"/>
        <v>0.38068982630272952</v>
      </c>
      <c r="FR56" s="657">
        <f t="shared" si="39"/>
        <v>0.34995106035889073</v>
      </c>
      <c r="FS56" s="655">
        <f t="shared" si="39"/>
        <v>0.33671745589685198</v>
      </c>
      <c r="FT56" s="655">
        <f t="shared" si="39"/>
        <v>0.35872395833333331</v>
      </c>
      <c r="FU56" s="655">
        <f t="shared" si="39"/>
        <v>0.26405090137857901</v>
      </c>
      <c r="FV56" s="655">
        <f t="shared" si="39"/>
        <v>-3.074866310160428E-2</v>
      </c>
      <c r="FW56" s="655">
        <f t="shared" si="39"/>
        <v>3.1872509960159362E-2</v>
      </c>
      <c r="FX56" s="655">
        <f t="shared" si="39"/>
        <v>0.5</v>
      </c>
      <c r="FY56" s="655">
        <f t="shared" si="39"/>
        <v>6.206153846153847</v>
      </c>
      <c r="FZ56" s="655">
        <f t="shared" si="39"/>
        <v>0.43234625462001375</v>
      </c>
      <c r="GA56" s="655">
        <f t="shared" si="39"/>
        <v>0</v>
      </c>
      <c r="GB56" s="658">
        <f>GB24/GB22</f>
        <v>0</v>
      </c>
      <c r="GC56" s="655">
        <f>GC24/GC22</f>
        <v>0</v>
      </c>
      <c r="GD56" s="1458">
        <f>GD24/GD22</f>
        <v>0</v>
      </c>
    </row>
    <row r="57" spans="1:199">
      <c r="A57" s="500" t="s">
        <v>252</v>
      </c>
      <c r="B57" s="507"/>
      <c r="C57" s="655">
        <f>C32/C10</f>
        <v>4.4298114337024845E-2</v>
      </c>
      <c r="D57" s="655">
        <f>D32/D10</f>
        <v>2.8504944735311226E-2</v>
      </c>
      <c r="E57" s="655">
        <f>E32/E10</f>
        <v>5.1465156365427235E-2</v>
      </c>
      <c r="F57" s="655">
        <f>F32/F10</f>
        <v>6.9732091962758883E-2</v>
      </c>
      <c r="G57" s="656"/>
      <c r="H57" s="655">
        <f>H32/H10</f>
        <v>4.3626062322946177E-2</v>
      </c>
      <c r="I57" s="655">
        <f>I32/I10</f>
        <v>2.3184357541899441E-2</v>
      </c>
      <c r="J57" s="655">
        <f>J32/J10</f>
        <v>3.3541927409261575E-2</v>
      </c>
      <c r="K57" s="655">
        <f>K32/K10</f>
        <v>3.9163498098859315E-2</v>
      </c>
      <c r="L57" s="656"/>
      <c r="M57" s="655">
        <f>M32/M10</f>
        <v>-3.0294203320710748E-2</v>
      </c>
      <c r="N57" s="655">
        <f>N32/N10</f>
        <v>8.9699074074074073E-3</v>
      </c>
      <c r="O57" s="655">
        <f>O32/O10</f>
        <v>2.9464058928117855E-2</v>
      </c>
      <c r="P57" s="655">
        <f>P32/P10</f>
        <v>6.8837209302325579E-3</v>
      </c>
      <c r="Q57" s="656"/>
      <c r="R57" s="655">
        <f>R32/R10</f>
        <v>3.5855523332454523E-2</v>
      </c>
      <c r="S57" s="655">
        <f>S32/S10</f>
        <v>2.1113750329902349E-2</v>
      </c>
      <c r="T57" s="655">
        <f>T32/T10</f>
        <v>4.2837402118839248E-2</v>
      </c>
      <c r="U57" s="655">
        <f>U32/U10</f>
        <v>6.1626951520131472E-2</v>
      </c>
      <c r="V57" s="656"/>
      <c r="W57" s="655">
        <f>W32/W10</f>
        <v>5.1967709384460138E-2</v>
      </c>
      <c r="X57" s="655">
        <f>X32/X10</f>
        <v>2.8261418117587686E-2</v>
      </c>
      <c r="Y57" s="655">
        <f>Y32/Y10</f>
        <v>3.907074973600845E-2</v>
      </c>
      <c r="Z57" s="655">
        <f>Z32/Z10</f>
        <v>6.913463059642462E-2</v>
      </c>
      <c r="AA57" s="656"/>
      <c r="AB57" s="655">
        <f>AB32/AB10</f>
        <v>5.1264367816091956E-2</v>
      </c>
      <c r="AC57" s="655">
        <f>AC32/AC10</f>
        <v>3.1117397454031116E-2</v>
      </c>
      <c r="AD57" s="655">
        <f>AD32/AD10</f>
        <v>5.3214216352689844E-2</v>
      </c>
      <c r="AE57" s="655">
        <f>AE32/AE10</f>
        <v>6.4467540292212688E-2</v>
      </c>
      <c r="AF57" s="656"/>
      <c r="AG57" s="655">
        <f>AG32/AG10</f>
        <v>3.5722463934050833E-2</v>
      </c>
      <c r="AH57" s="655">
        <f>AH32/AH10</f>
        <v>2.6155580608793687E-2</v>
      </c>
      <c r="AI57" s="655">
        <f>AI32/AI10</f>
        <v>4.6801872074882997E-2</v>
      </c>
      <c r="AJ57" s="655">
        <f>AJ32/AJ10</f>
        <v>4.9185765983112188E-2</v>
      </c>
      <c r="AK57" s="656"/>
      <c r="AL57" s="655">
        <f>AL32/AL10</f>
        <v>3.1895777178796048E-2</v>
      </c>
      <c r="AM57" s="655">
        <f>AM32/AM10</f>
        <v>2.063456844907921E-2</v>
      </c>
      <c r="AN57" s="655">
        <f>AN32/AN10</f>
        <v>4.2622358677984466E-2</v>
      </c>
      <c r="AO57" s="655">
        <f>AO32/AO10</f>
        <v>1.1525257479156449E-2</v>
      </c>
      <c r="AP57" s="656"/>
      <c r="AQ57" s="655">
        <f>AQ32/AQ10</f>
        <v>2.1283559507819617E-2</v>
      </c>
      <c r="AR57" s="655">
        <f>AR32/AR10</f>
        <v>1.374107366574793E-2</v>
      </c>
      <c r="AS57" s="655">
        <f>AS32/AS10</f>
        <v>1.860825250235806E-2</v>
      </c>
      <c r="AT57" s="655">
        <f>AT32/AT10</f>
        <v>2.1064844981607985E-2</v>
      </c>
      <c r="AU57" s="656"/>
      <c r="AV57" s="655">
        <f>AV32/AV10</f>
        <v>2.5839730075009785E-2</v>
      </c>
      <c r="AW57" s="655">
        <f>AW32/AW10</f>
        <v>4.1190990435050912E-3</v>
      </c>
      <c r="AX57" s="655">
        <f>AX32/AX10</f>
        <v>2.6090615794641604E-2</v>
      </c>
      <c r="AY57" s="655">
        <f>AY32/AY10</f>
        <v>2.2751543209876546E-2</v>
      </c>
      <c r="AZ57" s="656"/>
      <c r="BA57" s="655">
        <f>BA32/BA10</f>
        <v>1.7849843302902301E-2</v>
      </c>
      <c r="BB57" s="655">
        <f>BB32/BB10</f>
        <v>-1.4358108108108251E-4</v>
      </c>
      <c r="BC57" s="655">
        <f>BC32/BC10</f>
        <v>1.269799712004189E-2</v>
      </c>
      <c r="BD57" s="655">
        <f>BD32/BD10</f>
        <v>-6.5678501190352965E-3</v>
      </c>
      <c r="BE57" s="656"/>
      <c r="BF57" s="655">
        <f>BF32/BF10</f>
        <v>-2.1092056323060576E-2</v>
      </c>
      <c r="BG57" s="655">
        <f>BG32/BG10</f>
        <v>-2.6374358262800058E-3</v>
      </c>
      <c r="BH57" s="655">
        <f>BH32/BH10</f>
        <v>-7.5648713186521627E-3</v>
      </c>
      <c r="BI57" s="655">
        <f>BI32/BI10</f>
        <v>-3.5660607959887181E-2</v>
      </c>
      <c r="BJ57" s="656"/>
      <c r="BK57" s="655">
        <f>BK32/BK10</f>
        <v>1.3583600889108422E-2</v>
      </c>
      <c r="BL57" s="655">
        <f>BL32/BL10</f>
        <v>-7.8084331077563768E-3</v>
      </c>
      <c r="BM57" s="655">
        <f>BM32/BM10</f>
        <v>1.2655315232397607E-2</v>
      </c>
      <c r="BN57" s="655">
        <f>BN32/BN10</f>
        <v>1.7591801878736123E-2</v>
      </c>
      <c r="BO57" s="656"/>
      <c r="BP57" s="655">
        <f>BP32/BP10</f>
        <v>1.5538847117794486E-2</v>
      </c>
      <c r="BQ57" s="655">
        <f>BQ32/BQ10</f>
        <v>-5.5463393882720438E-3</v>
      </c>
      <c r="BR57" s="655">
        <f>BR32/BR10</f>
        <v>1.606893339543549E-2</v>
      </c>
      <c r="BS57" s="655">
        <f>BS32/BS10</f>
        <v>3.0297753787219224E-2</v>
      </c>
      <c r="BT57" s="656"/>
      <c r="BU57" s="655">
        <f>BU32/BU10</f>
        <v>5.996184246388662E-3</v>
      </c>
      <c r="BV57" s="655">
        <f>BV32/BV10</f>
        <v>-1.1179429849077697E-3</v>
      </c>
      <c r="BW57" s="655">
        <f>BW32/BW10</f>
        <v>2.1790065604498594E-2</v>
      </c>
      <c r="BX57" s="655">
        <f>BX32/BX10</f>
        <v>-0.17322440813604534</v>
      </c>
      <c r="BY57" s="656"/>
      <c r="BZ57" s="655">
        <f>BZ32/BZ10</f>
        <v>1.0322255790533736E-2</v>
      </c>
      <c r="CA57" s="655">
        <f>CA32/CA10</f>
        <v>3.6262572789836012E-4</v>
      </c>
      <c r="CB57" s="655">
        <f>CB32/CB10</f>
        <v>3.3933044864495561E-2</v>
      </c>
      <c r="CC57" s="655">
        <f>CC32/CC10</f>
        <v>5.5919395465994962E-2</v>
      </c>
      <c r="CD57" s="656"/>
      <c r="CE57" s="655">
        <f>CE32/CE10</f>
        <v>4.1855413986289232E-2</v>
      </c>
      <c r="CF57" s="655">
        <f>CF32/CF10</f>
        <v>3.3006782215523736E-2</v>
      </c>
      <c r="CG57" s="655">
        <f>CG32/CG10</f>
        <v>5.2243804420629605E-2</v>
      </c>
      <c r="CH57" s="655">
        <f>CH32/CH10</f>
        <v>8.884032523177178E-2</v>
      </c>
      <c r="CI57" s="656"/>
      <c r="CJ57" s="655">
        <f>CJ32/CJ10</f>
        <v>4.9629753741285317E-2</v>
      </c>
      <c r="CK57" s="655">
        <f>CK32/CK10</f>
        <v>4.2009984215574475E-2</v>
      </c>
      <c r="CL57" s="655">
        <f>CL32/CL10</f>
        <v>6.0029282576866766E-2</v>
      </c>
      <c r="CM57" s="655">
        <f>CM32/CM10</f>
        <v>7.2135572885422911E-2</v>
      </c>
      <c r="CN57" s="656"/>
      <c r="CO57" s="655">
        <f>CO32/CO10</f>
        <v>5.4495286272706368E-2</v>
      </c>
      <c r="CP57" s="655">
        <f>CP32/CP10</f>
        <v>4.1246013667426008E-2</v>
      </c>
      <c r="CQ57" s="655">
        <f>CQ32/CQ10</f>
        <v>5.499153976311337E-2</v>
      </c>
      <c r="CR57" s="655">
        <f>CR32/CR10</f>
        <v>6.729264475743349E-2</v>
      </c>
      <c r="CS57" s="656"/>
      <c r="CT57" s="655">
        <f>CT32/CT10</f>
        <v>2.9076811243033681E-2</v>
      </c>
      <c r="CU57" s="655">
        <f>CU32/CU10</f>
        <v>2.7334407022351577E-2</v>
      </c>
      <c r="CV57" s="655">
        <f>CV32/CV10</f>
        <v>2.8485796381874234E-2</v>
      </c>
      <c r="CW57" s="655">
        <f>CW32/CW10</f>
        <v>3.6636894829235107E-2</v>
      </c>
      <c r="CX57" s="656"/>
      <c r="CY57" s="655">
        <f>CY32/CY10</f>
        <v>6.4326302186739244E-3</v>
      </c>
      <c r="CZ57" s="655">
        <f>CZ32/CZ10</f>
        <v>-1.5674735660074489E-4</v>
      </c>
      <c r="DA57" s="655">
        <f>DA32/DA10</f>
        <v>6.4587210599395739E-3</v>
      </c>
      <c r="DB57" s="655">
        <f>DB32/DB10</f>
        <v>3.6072072072072067E-2</v>
      </c>
      <c r="DC57" s="656"/>
      <c r="DD57" s="655">
        <f>DD32/DD10</f>
        <v>1.5271061338763044E-2</v>
      </c>
      <c r="DE57" s="655">
        <f>DE32/DE10</f>
        <v>3.5551041137633316E-3</v>
      </c>
      <c r="DF57" s="655">
        <f>DF32/DF10</f>
        <v>1.0503700167104321E-2</v>
      </c>
      <c r="DG57" s="655">
        <f>DG32/DG10</f>
        <v>4.7518849728213221E-2</v>
      </c>
      <c r="DH57" s="656"/>
      <c r="DI57" s="655">
        <f>DI32/DI10</f>
        <v>1.6231295967537408E-2</v>
      </c>
      <c r="DJ57" s="655">
        <f>DJ32/DJ10</f>
        <v>3.6665711536922928E-3</v>
      </c>
      <c r="DK57" s="655">
        <f>DK32/DK10</f>
        <v>-3.5875564475664826E-2</v>
      </c>
      <c r="DL57" s="655">
        <f>DL32/DL10</f>
        <v>-1.6036866359447004E-2</v>
      </c>
      <c r="DM57" s="656"/>
      <c r="DN57" s="655">
        <f>DN32/DN10</f>
        <v>-5.171319796954315E-2</v>
      </c>
      <c r="DO57" s="655">
        <f>DO32/DO10</f>
        <v>-4.8643282594308404E-2</v>
      </c>
      <c r="DP57" s="655">
        <f>DP32/DP10</f>
        <v>-4.2022548684660065E-2</v>
      </c>
      <c r="DQ57" s="655">
        <f>DQ32/DQ10</f>
        <v>-0.14212152420185376</v>
      </c>
      <c r="DR57" s="656"/>
      <c r="DS57" s="655">
        <f>DS32/DS10</f>
        <v>-0.13206831119544593</v>
      </c>
      <c r="DT57" s="655">
        <f>DT32/DT10</f>
        <v>-0.22005257228689448</v>
      </c>
      <c r="DU57" s="655">
        <f>DU32/DU10</f>
        <v>-0.1759625764663548</v>
      </c>
      <c r="DV57" s="655">
        <f>DV32/DV10</f>
        <v>9.2543627710206244E-3</v>
      </c>
      <c r="DW57" s="656"/>
      <c r="DX57" s="655">
        <f>DX32/DX10</f>
        <v>-0.12566940378436273</v>
      </c>
      <c r="DY57" s="655">
        <f>DY32/DY10</f>
        <v>-6.1450518042157912E-2</v>
      </c>
      <c r="DZ57" s="655">
        <f>DZ32/DZ10</f>
        <v>-6.8017366136034735E-2</v>
      </c>
      <c r="EA57" s="655">
        <f>EA32/EA10</f>
        <v>-1.5155407141022348E-2</v>
      </c>
      <c r="EB57" s="656"/>
      <c r="EC57" s="655">
        <f>EC32/EC10</f>
        <v>-4.9264963248162409E-2</v>
      </c>
      <c r="ED57" s="655">
        <f>ED32/ED10</f>
        <v>-4.8000000000000001E-2</v>
      </c>
      <c r="EE57" s="655">
        <f>EE32/EE10</f>
        <v>-4.7290300310666208E-2</v>
      </c>
      <c r="EF57" s="655">
        <f>EF32/EF10</f>
        <v>-3.2782782782782779E-2</v>
      </c>
      <c r="EG57" s="656"/>
      <c r="EH57" s="655">
        <f>EH32/EH10</f>
        <v>-3.4507292778370689E-2</v>
      </c>
      <c r="EI57" s="655">
        <f>EI32/EI10</f>
        <v>-5.4832076764907475E-3</v>
      </c>
      <c r="EJ57" s="655">
        <f>EJ32/EJ10</f>
        <v>-2.2751137556877844E-2</v>
      </c>
      <c r="EK57" s="655">
        <f>EK32/EK10</f>
        <v>5.0997222923504164E-2</v>
      </c>
      <c r="EL57" s="656"/>
      <c r="EM57" s="655">
        <f>EM32/EM10</f>
        <v>-6.6518847006651879E-2</v>
      </c>
      <c r="EN57" s="655">
        <f>EN32/EN10</f>
        <v>-2.1100607697501533E-2</v>
      </c>
      <c r="EO57" s="655">
        <f>EO32/EO10</f>
        <v>-4.5536159600997501E-2</v>
      </c>
      <c r="EP57" s="655">
        <f>EP32/EP10</f>
        <v>6.3011659637806999E-2</v>
      </c>
      <c r="EQ57" s="656"/>
      <c r="ER57" s="1480">
        <f>ER32/ER10</f>
        <v>-2.0741796309315622E-2</v>
      </c>
      <c r="ES57" s="1480">
        <f>ES32/ES10</f>
        <v>1.0710009583759943E-2</v>
      </c>
      <c r="ET57" s="1480">
        <f>ET32/ET10</f>
        <v>-1.5882010142193016E-2</v>
      </c>
      <c r="EU57" s="1480">
        <f>EU32/EU10</f>
        <v>2.4005750885185233E-2</v>
      </c>
      <c r="EV57" s="507"/>
      <c r="EW57" s="657">
        <f t="shared" ref="EW57:GA57" si="40">EW32/EW10</f>
        <v>4.9804384276221823E-2</v>
      </c>
      <c r="EX57" s="655">
        <f t="shared" si="40"/>
        <v>3.525817293003361E-2</v>
      </c>
      <c r="EY57" s="655">
        <f t="shared" si="40"/>
        <v>4.9379667921733228E-3</v>
      </c>
      <c r="EZ57" s="655">
        <f t="shared" si="40"/>
        <v>4.3145094119606861E-2</v>
      </c>
      <c r="FA57" s="655">
        <f t="shared" si="40"/>
        <v>4.9517989780329771E-2</v>
      </c>
      <c r="FB57" s="655">
        <f t="shared" si="40"/>
        <v>5.1864573110893035E-2</v>
      </c>
      <c r="FC57" s="655">
        <f t="shared" si="40"/>
        <v>4.07645170703239E-2</v>
      </c>
      <c r="FD57" s="655">
        <f t="shared" si="40"/>
        <v>2.4942609924068514E-2</v>
      </c>
      <c r="FE57" s="655">
        <f t="shared" si="40"/>
        <v>1.8934677014504159E-2</v>
      </c>
      <c r="FF57" s="655">
        <f t="shared" si="40"/>
        <v>2.0166090653464606E-2</v>
      </c>
      <c r="FG57" s="655">
        <f t="shared" si="40"/>
        <v>5.1516239800900986E-3</v>
      </c>
      <c r="FH57" s="655">
        <f t="shared" si="40"/>
        <v>-1.8267914337750425E-2</v>
      </c>
      <c r="FI57" s="655">
        <f t="shared" si="40"/>
        <v>1.031390134529148E-2</v>
      </c>
      <c r="FJ57" s="655">
        <f t="shared" si="40"/>
        <v>1.6221813161527841E-2</v>
      </c>
      <c r="FK57" s="655">
        <f t="shared" si="40"/>
        <v>-5.2989208016901733E-2</v>
      </c>
      <c r="FL57" s="655">
        <f t="shared" si="40"/>
        <v>2.8977122015915121E-2</v>
      </c>
      <c r="FM57" s="657">
        <f t="shared" si="40"/>
        <v>5.797559900139624E-2</v>
      </c>
      <c r="FN57" s="657">
        <f t="shared" si="40"/>
        <v>5.8044854211871999E-2</v>
      </c>
      <c r="FO57" s="655">
        <f t="shared" si="40"/>
        <v>5.5802487787681931E-2</v>
      </c>
      <c r="FP57" s="655">
        <f t="shared" si="40"/>
        <v>3.0890372832381843E-2</v>
      </c>
      <c r="FQ57" s="657">
        <f t="shared" si="40"/>
        <v>1.4327417822714347E-2</v>
      </c>
      <c r="FR57" s="657">
        <f t="shared" si="40"/>
        <v>2.190438650824934E-2</v>
      </c>
      <c r="FS57" s="655">
        <f t="shared" si="40"/>
        <v>-8.7878547551377695E-3</v>
      </c>
      <c r="FT57" s="655">
        <f t="shared" si="40"/>
        <v>-7.585675779745861E-2</v>
      </c>
      <c r="FU57" s="655">
        <f t="shared" si="40"/>
        <v>-0.11704190909857493</v>
      </c>
      <c r="FV57" s="655">
        <f t="shared" si="40"/>
        <v>-6.2902831035326748E-2</v>
      </c>
      <c r="FW57" s="655">
        <f t="shared" si="40"/>
        <v>-4.3306930693069304E-2</v>
      </c>
      <c r="FX57" s="655">
        <f t="shared" si="40"/>
        <v>1.9128078425121543E-3</v>
      </c>
      <c r="FY57" s="655">
        <f t="shared" si="40"/>
        <v>-9.3011354549816082E-3</v>
      </c>
      <c r="FZ57" s="655">
        <f t="shared" si="40"/>
        <v>1.8516867683374674E-3</v>
      </c>
      <c r="GA57" s="655">
        <f t="shared" si="40"/>
        <v>-1.2964212717869173E-3</v>
      </c>
      <c r="GB57" s="658">
        <f>GB32/GB10</f>
        <v>-2.7333155325851509E-3</v>
      </c>
      <c r="GC57" s="655">
        <f>GC32/GC10</f>
        <v>-1.1650629038946229E-2</v>
      </c>
      <c r="GD57" s="1458">
        <f>GD32/GD10</f>
        <v>-2.4713955227876283E-2</v>
      </c>
    </row>
    <row r="58" spans="1:199">
      <c r="A58" s="500" t="s">
        <v>253</v>
      </c>
      <c r="B58" s="507"/>
      <c r="C58" s="655" t="str">
        <f>IF(ISERROR(C45/C10),"NA ",C45/C10)</f>
        <v xml:space="preserve">NA </v>
      </c>
      <c r="D58" s="655" t="str">
        <f>IF(ISERROR(D45/D10),"NA ",D45/D10)</f>
        <v xml:space="preserve">NA </v>
      </c>
      <c r="E58" s="655" t="str">
        <f>IF(ISERROR(E45/E10),"NA ",E45/E10)</f>
        <v xml:space="preserve">NA </v>
      </c>
      <c r="F58" s="655" t="str">
        <f>IF(ISERROR(F45/F10),"NA ",F45/F10)</f>
        <v xml:space="preserve">NA </v>
      </c>
      <c r="G58" s="656"/>
      <c r="H58" s="655" t="str">
        <f>IF(ISERROR(H45/H10),"NA ",H45/H10)</f>
        <v xml:space="preserve">NA </v>
      </c>
      <c r="I58" s="655" t="str">
        <f>IF(ISERROR(I45/I10),"NA ",I45/I10)</f>
        <v xml:space="preserve">NA </v>
      </c>
      <c r="J58" s="655" t="str">
        <f>IF(ISERROR(J45/J10),"NA ",J45/J10)</f>
        <v xml:space="preserve">NA </v>
      </c>
      <c r="K58" s="655" t="str">
        <f>IF(ISERROR(K45/K10),"NA ",K45/K10)</f>
        <v xml:space="preserve">NA </v>
      </c>
      <c r="L58" s="656"/>
      <c r="M58" s="655" t="str">
        <f>IF(ISERROR(M45/M10),"NA ",M45/M10)</f>
        <v xml:space="preserve">NA </v>
      </c>
      <c r="N58" s="655" t="str">
        <f>IF(ISERROR(N45/N10),"NA ",N45/N10)</f>
        <v xml:space="preserve">NA </v>
      </c>
      <c r="O58" s="655" t="str">
        <f>IF(ISERROR(O45/O10),"NA ",O45/O10)</f>
        <v xml:space="preserve">NA </v>
      </c>
      <c r="P58" s="655" t="str">
        <f>IF(ISERROR(P45/P10),"NA ",P45/P10)</f>
        <v xml:space="preserve">NA </v>
      </c>
      <c r="Q58" s="656"/>
      <c r="R58" s="655" t="str">
        <f>IF(ISERROR(R45/R10),"NA ",R45/R10)</f>
        <v xml:space="preserve">NA </v>
      </c>
      <c r="S58" s="655" t="str">
        <f>IF(ISERROR(S45/S10),"NA ",S45/S10)</f>
        <v xml:space="preserve">NA </v>
      </c>
      <c r="T58" s="655" t="str">
        <f>IF(ISERROR(T45/T10),"NA ",T45/T10)</f>
        <v xml:space="preserve">NA </v>
      </c>
      <c r="U58" s="655" t="str">
        <f>IF(ISERROR(U45/U10),"NA ",U45/U10)</f>
        <v xml:space="preserve">NA </v>
      </c>
      <c r="V58" s="656"/>
      <c r="W58" s="655" t="str">
        <f>IF(ISERROR(W45/W10),"NA ",W45/W10)</f>
        <v xml:space="preserve">NA </v>
      </c>
      <c r="X58" s="655" t="str">
        <f>IF(ISERROR(X45/X10),"NA ",X45/X10)</f>
        <v xml:space="preserve">NA </v>
      </c>
      <c r="Y58" s="655" t="str">
        <f>IF(ISERROR(Y45/Y10),"NA ",Y45/Y10)</f>
        <v xml:space="preserve">NA </v>
      </c>
      <c r="Z58" s="655" t="str">
        <f>IF(ISERROR(Z45/Z10),"NA ",Z45/Z10)</f>
        <v xml:space="preserve">NA </v>
      </c>
      <c r="AA58" s="656"/>
      <c r="AB58" s="655" t="str">
        <f>IF(ISERROR(AB45/AB10),"NA ",AB45/AB10)</f>
        <v xml:space="preserve">NA </v>
      </c>
      <c r="AC58" s="655" t="str">
        <f>IF(ISERROR(AC45/AC10),"NA ",AC45/AC10)</f>
        <v xml:space="preserve">NA </v>
      </c>
      <c r="AD58" s="655" t="str">
        <f>IF(ISERROR(AD45/AD10),"NA ",AD45/AD10)</f>
        <v xml:space="preserve">NA </v>
      </c>
      <c r="AE58" s="655" t="str">
        <f>IF(ISERROR(AE45/AE10),"NA ",AE45/AE10)</f>
        <v xml:space="preserve">NA </v>
      </c>
      <c r="AF58" s="656"/>
      <c r="AG58" s="655" t="str">
        <f>IF(ISERROR(AG45/AG10),"NA ",AG45/AG10)</f>
        <v xml:space="preserve">NA </v>
      </c>
      <c r="AH58" s="655" t="str">
        <f>IF(ISERROR(AH45/AH10),"NA ",AH45/AH10)</f>
        <v xml:space="preserve">NA </v>
      </c>
      <c r="AI58" s="655" t="str">
        <f>IF(ISERROR(AI45/AI10),"NA ",AI45/AI10)</f>
        <v xml:space="preserve">NA </v>
      </c>
      <c r="AJ58" s="655" t="str">
        <f>IF(ISERROR(AJ45/AJ10),"NA ",AJ45/AJ10)</f>
        <v xml:space="preserve">NA </v>
      </c>
      <c r="AK58" s="656"/>
      <c r="AL58" s="655" t="str">
        <f>IF(ISERROR(AL45/AL10),"NA ",AL45/AL10)</f>
        <v xml:space="preserve">NA </v>
      </c>
      <c r="AM58" s="655" t="str">
        <f>IF(ISERROR(AM45/AM10),"NA ",AM45/AM10)</f>
        <v xml:space="preserve">NA </v>
      </c>
      <c r="AN58" s="655" t="str">
        <f>IF(ISERROR(AN45/AN10),"NA ",AN45/AN10)</f>
        <v xml:space="preserve">NA </v>
      </c>
      <c r="AO58" s="655" t="str">
        <f>IF(ISERROR(AO45/AO10),"NA ",AO45/AO10)</f>
        <v xml:space="preserve">NA </v>
      </c>
      <c r="AP58" s="656"/>
      <c r="AQ58" s="655" t="str">
        <f>IF(ISERROR(AQ45/AQ10),"NA ",AQ45/AQ10)</f>
        <v xml:space="preserve">NA </v>
      </c>
      <c r="AR58" s="655" t="str">
        <f>IF(ISERROR(AR45/AR10),"NA ",AR45/AR10)</f>
        <v xml:space="preserve">NA </v>
      </c>
      <c r="AS58" s="655" t="str">
        <f>IF(ISERROR(AS45/AS10),"NA ",AS45/AS10)</f>
        <v xml:space="preserve">NA </v>
      </c>
      <c r="AT58" s="655" t="str">
        <f>IF(ISERROR(AT45/AT10),"NA ",AT45/AT10)</f>
        <v xml:space="preserve">NA </v>
      </c>
      <c r="AU58" s="656"/>
      <c r="AV58" s="655" t="str">
        <f>IF(ISERROR(AV45/AV10),"NA ",AV45/AV10)</f>
        <v xml:space="preserve">NA </v>
      </c>
      <c r="AW58" s="655" t="str">
        <f>IF(ISERROR(AW45/AW10),"NA ",AW45/AW10)</f>
        <v xml:space="preserve">NA </v>
      </c>
      <c r="AX58" s="655" t="str">
        <f>IF(ISERROR(AX45/AX10),"NA ",AX45/AX10)</f>
        <v xml:space="preserve">NA </v>
      </c>
      <c r="AY58" s="655" t="str">
        <f>IF(ISERROR(AY45/AY10),"NA ",AY45/AY10)</f>
        <v xml:space="preserve">NA </v>
      </c>
      <c r="AZ58" s="656"/>
      <c r="BA58" s="655" t="str">
        <f>IF(ISERROR(BA45/BA10),"NA ",BA45/BA10)</f>
        <v xml:space="preserve">NA </v>
      </c>
      <c r="BB58" s="655" t="str">
        <f>IF(ISERROR(BB45/BB10),"NA ",BB45/BB10)</f>
        <v xml:space="preserve">NA </v>
      </c>
      <c r="BC58" s="655" t="str">
        <f>IF(ISERROR(BC45/BC10),"NA ",BC45/BC10)</f>
        <v xml:space="preserve">NA </v>
      </c>
      <c r="BD58" s="655" t="str">
        <f>IF(ISERROR(BD45/BD10),"NA ",BD45/BD10)</f>
        <v xml:space="preserve">NA </v>
      </c>
      <c r="BE58" s="656"/>
      <c r="BF58" s="655" t="str">
        <f>IF(ISERROR(BF45/BF10),"NA ",BF45/BF10)</f>
        <v xml:space="preserve">NA </v>
      </c>
      <c r="BG58" s="655" t="str">
        <f>IF(ISERROR(BG45/BG10),"NA ",BG45/BG10)</f>
        <v xml:space="preserve">NA </v>
      </c>
      <c r="BH58" s="655" t="str">
        <f>IF(ISERROR(BH45/BH10),"NA ",BH45/BH10)</f>
        <v xml:space="preserve">NA </v>
      </c>
      <c r="BI58" s="655" t="str">
        <f>IF(ISERROR(BI45/BI10),"NA ",BI45/BI10)</f>
        <v xml:space="preserve">NA </v>
      </c>
      <c r="BJ58" s="656"/>
      <c r="BK58" s="655" t="str">
        <f>IF(ISERROR(BK45/BK10),"NA ",BK45/BK10)</f>
        <v xml:space="preserve">NA </v>
      </c>
      <c r="BL58" s="655" t="str">
        <f>IF(ISERROR(BL45/BL10),"NA ",BL45/BL10)</f>
        <v xml:space="preserve">NA </v>
      </c>
      <c r="BM58" s="655" t="str">
        <f>IF(ISERROR(BM45/BM10),"NA ",BM45/BM10)</f>
        <v xml:space="preserve">NA </v>
      </c>
      <c r="BN58" s="655" t="str">
        <f>IF(ISERROR(BN45/BN10),"NA ",BN45/BN10)</f>
        <v xml:space="preserve">NA </v>
      </c>
      <c r="BO58" s="656"/>
      <c r="BP58" s="655" t="str">
        <f>IF(ISERROR(BP45/BP10),"NA ",BP45/BP10)</f>
        <v xml:space="preserve">NA </v>
      </c>
      <c r="BQ58" s="655" t="str">
        <f>IF(ISERROR(BQ45/BQ10),"NA ",BQ45/BQ10)</f>
        <v xml:space="preserve">NA </v>
      </c>
      <c r="BR58" s="655" t="str">
        <f>IF(ISERROR(BR45/BR10),"NA ",BR45/BR10)</f>
        <v xml:space="preserve">NA </v>
      </c>
      <c r="BS58" s="655" t="str">
        <f>IF(ISERROR(BS45/BS10),"NA ",BS45/BS10)</f>
        <v xml:space="preserve">NA </v>
      </c>
      <c r="BT58" s="656"/>
      <c r="BU58" s="655" t="str">
        <f>IF(ISERROR(BU45/BU10),"NA ",BU45/BU10)</f>
        <v xml:space="preserve">NA </v>
      </c>
      <c r="BV58" s="655" t="str">
        <f>IF(ISERROR(BV45/BV10),"NA ",BV45/BV10)</f>
        <v xml:space="preserve">NA </v>
      </c>
      <c r="BW58" s="655" t="str">
        <f>IF(ISERROR(BW45/BW10),"NA ",BW45/BW10)</f>
        <v xml:space="preserve">NA </v>
      </c>
      <c r="BX58" s="655" t="str">
        <f>IF(ISERROR(BX45/BX10),"NA ",BX45/BX10)</f>
        <v xml:space="preserve">NA </v>
      </c>
      <c r="BY58" s="656"/>
      <c r="BZ58" s="655">
        <f>IF(ISERROR(BZ45/BZ10),"NA ",BZ45/BZ10)</f>
        <v>7.98086606243706E-2</v>
      </c>
      <c r="CA58" s="655">
        <f>IF(ISERROR(CA45/CA10),"NA ",CA45/CA10)</f>
        <v>6.2731604023292753E-2</v>
      </c>
      <c r="CB58" s="655">
        <f>IF(ISERROR(CB45/CB10),"NA ",CB45/CB10)</f>
        <v>9.8155317695285807E-2</v>
      </c>
      <c r="CC58" s="655">
        <f>IF(ISERROR(CC45/CC10),"NA ",CC45/CC10)</f>
        <v>0.10596137699412259</v>
      </c>
      <c r="CD58" s="656"/>
      <c r="CE58" s="655">
        <f>IF(ISERROR(CE45/CE10),"NA ",CE45/CE10)</f>
        <v>0.10126274890723652</v>
      </c>
      <c r="CF58" s="655">
        <f>IF(ISERROR(CF45/CF10),"NA ",CF45/CF10)</f>
        <v>7.9125847776940469E-2</v>
      </c>
      <c r="CG58" s="655">
        <f>IF(ISERROR(CG45/CG10),"NA ",CG45/CG10)</f>
        <v>0.1120785889707524</v>
      </c>
      <c r="CH58" s="655">
        <f>IF(ISERROR(CH45/CH10),"NA ",CH45/CH10)</f>
        <v>0.12382292420995747</v>
      </c>
      <c r="CI58" s="656"/>
      <c r="CJ58" s="655">
        <f>IF(ISERROR(CJ45/CJ10),"NA ",CJ45/CJ10)</f>
        <v>0.11116378288694004</v>
      </c>
      <c r="CK58" s="655">
        <f>IF(ISERROR(CK45/CK10),"NA ",CK45/CK10)</f>
        <v>8.661609105121254E-2</v>
      </c>
      <c r="CL58" s="655">
        <f>IF(ISERROR(CL45/CL10),"NA ",CL45/CL10)</f>
        <v>0.12591508052708639</v>
      </c>
      <c r="CM58" s="655">
        <f>IF(ISERROR(CM45/CM10),"NA ",CM45/CM10)</f>
        <v>0.1288242351529694</v>
      </c>
      <c r="CN58" s="656"/>
      <c r="CO58" s="655">
        <f>IF(ISERROR(CO45/CO10),"NA ",CO45/CO10)</f>
        <v>0.1191078408829616</v>
      </c>
      <c r="CP58" s="655">
        <f>IF(ISERROR(CP45/CP10),"NA ",CP45/CP10)</f>
        <v>9.7510250569476126E-2</v>
      </c>
      <c r="CQ58" s="655">
        <f>IF(ISERROR(CQ45/CQ10),"NA ",CQ45/CQ10)</f>
        <v>0.10998307952622674</v>
      </c>
      <c r="CR58" s="655">
        <f>IF(ISERROR(CR45/CR10),"NA ",CR45/CR10)</f>
        <v>0.13114241001564944</v>
      </c>
      <c r="CS58" s="656"/>
      <c r="CT58" s="655">
        <f>IF(ISERROR(CT45/CT10),"NA ",CT45/CT10)</f>
        <v>8.6745820208383811E-2</v>
      </c>
      <c r="CU58" s="655">
        <f>IF(ISERROR(CU45/CU10),"NA ",CU45/CU10)</f>
        <v>8.3609994158694315E-2</v>
      </c>
      <c r="CV58" s="655">
        <f>IF(ISERROR(CV45/CV10),"NA ",CV45/CV10)</f>
        <v>8.4721029438656101E-2</v>
      </c>
      <c r="CW58" s="655">
        <f>IF(ISERROR(CW45/CW10),"NA ",CW45/CW10)</f>
        <v>8.9595439487608133E-2</v>
      </c>
      <c r="CX58" s="656"/>
      <c r="CY58" s="655">
        <f>IF(ISERROR(CY45/CY10),"NA ",CY45/CY10)</f>
        <v>5.8150977176812273E-2</v>
      </c>
      <c r="CZ58" s="655">
        <f>IF(ISERROR(CZ45/CZ10),"NA ",CZ45/CZ10)</f>
        <v>4.7683661878543747E-2</v>
      </c>
      <c r="DA58" s="655">
        <f>IF(ISERROR(DA45/DA10),"NA ",DA45/DA10)</f>
        <v>5.5018734955040817E-2</v>
      </c>
      <c r="DB58" s="655">
        <f>IF(ISERROR(DB45/DB10),"NA ",DB45/DB10)</f>
        <v>9.261261261261261E-2</v>
      </c>
      <c r="DC58" s="656"/>
      <c r="DD58" s="655">
        <f>IF(ISERROR(DD45/DD10),"NA ",DD45/DD10)</f>
        <v>7.1264952914227533E-2</v>
      </c>
      <c r="DE58" s="655">
        <f>IF(ISERROR(DE45/DE10),"NA ",DE45/DE10)</f>
        <v>5.6119857795835448E-2</v>
      </c>
      <c r="DF58" s="655">
        <f>IF(ISERROR(DF45/DF10),"NA ",DF45/DF10)</f>
        <v>6.0157555502506566E-2</v>
      </c>
      <c r="DG58" s="655">
        <f>IF(ISERROR(DG45/DG10),"NA ",DG45/DG10)</f>
        <v>0.10906540417324215</v>
      </c>
      <c r="DH58" s="656"/>
      <c r="DI58" s="655">
        <f>IF(ISERROR(DI45/DI10),"NA ",DI45/DI10)</f>
        <v>7.5576971848846056E-2</v>
      </c>
      <c r="DJ58" s="655">
        <f>IF(ISERROR(DJ45/DJ10),"NA ",DJ45/DJ10)</f>
        <v>5.9395801331285206E-2</v>
      </c>
      <c r="DK58" s="655">
        <f>IF(ISERROR(DK45/DK10),"NA ",DK45/DK10)</f>
        <v>5.5444054189663826E-2</v>
      </c>
      <c r="DL58" s="655">
        <f>IF(ISERROR(DL45/DL10),"NA ",DL45/DL10)</f>
        <v>7.7972350230414753E-2</v>
      </c>
      <c r="DM58" s="656"/>
      <c r="DN58" s="655">
        <f>IF(ISERROR(DN45/DN10),"NA ",DN45/DN10)</f>
        <v>8.8832487309644676E-3</v>
      </c>
      <c r="DO58" s="655">
        <f>IF(ISERROR(DO45/DO10),"NA ",DO45/DO10)</f>
        <v>-3.1767041694242222E-2</v>
      </c>
      <c r="DP58" s="655">
        <f>IF(ISERROR(DP45/DP10),"NA ",DP45/DP10)</f>
        <v>-6.3546293132900583E-2</v>
      </c>
      <c r="DQ58" s="655">
        <f>IF(ISERROR(DQ45/DQ10),"NA ",DQ45/DQ10)</f>
        <v>-0.14392378990731206</v>
      </c>
      <c r="DR58" s="656"/>
      <c r="DS58" s="655">
        <f>IF(ISERROR(DS45/DS10),"NA ",DS45/DS10)</f>
        <v>-0.10550284629981024</v>
      </c>
      <c r="DT58" s="655">
        <f>IF(ISERROR(DT45/DT10),"NA ",DT45/DT10)</f>
        <v>-7.6980848666917012E-2</v>
      </c>
      <c r="DU58" s="655">
        <f>IF(ISERROR(DU45/DU10),"NA ",DU45/DU10)</f>
        <v>-6.9809283915077361E-2</v>
      </c>
      <c r="DV58" s="655">
        <f>IF(ISERROR(DV45/DV10),"NA ",DV45/DV10)</f>
        <v>1.930195663670016E-2</v>
      </c>
      <c r="DW58" s="656"/>
      <c r="DX58" s="655">
        <f>IF(ISERROR(DX45/DX10),"NA ",DX45/DX10)</f>
        <v>-3.1774366297750802E-2</v>
      </c>
      <c r="DY58" s="655">
        <f>IF(ISERROR(DY45/DY10),"NA ",DY45/DY10)</f>
        <v>3.215434083601286E-2</v>
      </c>
      <c r="DZ58" s="655">
        <f>IF(ISERROR(DZ45/DZ10),"NA ",DZ45/DZ10)</f>
        <v>3.6903039073806078E-2</v>
      </c>
      <c r="EA58" s="655">
        <f>IF(ISERROR(EA45/EA10),"NA ",EA45/EA10)</f>
        <v>6.8841510403287953E-2</v>
      </c>
      <c r="EB58" s="656"/>
      <c r="EC58" s="655">
        <f>IF(ISERROR(EC45/EC10),"NA ",EC45/EC10)</f>
        <v>3.6839341967098357E-2</v>
      </c>
      <c r="ED58" s="655">
        <f>IF(ISERROR(ED45/ED10),"NA ",ED45/ED10)</f>
        <v>0.04</v>
      </c>
      <c r="EE58" s="655">
        <f>IF(ISERROR(EE45/EE10),"NA ",EE45/EE10)</f>
        <v>3.6934760096651711E-2</v>
      </c>
      <c r="EF58" s="655">
        <f>IF(ISERROR(EF45/EF10),"NA ",EF45/EF10)</f>
        <v>4.2542542542542541E-2</v>
      </c>
      <c r="EG58" s="656"/>
      <c r="EH58" s="655">
        <f>IF(ISERROR(EH45/EH10),"NA ",EH45/EH10)</f>
        <v>6.2611170401992169E-2</v>
      </c>
      <c r="EI58" s="655">
        <f>IF(ISERROR(EI45/EI10),"NA ",EI45/EI10)</f>
        <v>7.8478409869773821E-2</v>
      </c>
      <c r="EJ58" s="655">
        <f>IF(ISERROR(EJ45/EJ10),"NA ",EJ45/EJ10)</f>
        <v>6.0203010150507524E-2</v>
      </c>
      <c r="EK58" s="655">
        <f>IF(ISERROR(EK45/EK10),"NA ",EK45/EK10)</f>
        <v>0.11007321383489017</v>
      </c>
      <c r="EL58" s="656"/>
      <c r="EM58" s="655">
        <f>IF(ISERROR(EM45/EM10),"NA ",EM45/EM10)</f>
        <v>9.5713229859571328E-2</v>
      </c>
      <c r="EN58" s="655">
        <f>IF(ISERROR(EN45/EN10),"NA ",EN45/EN10)</f>
        <v>6.9209993247805676E-2</v>
      </c>
      <c r="EO58" s="655">
        <f>IF(ISERROR(EO45/EO10),"NA ",EO45/EO10)</f>
        <v>3.9187744923405772E-2</v>
      </c>
      <c r="EP58" s="655">
        <f>IF(ISERROR(EP45/EP10),"NA ",EP45/EP10)</f>
        <v>0.10047134706028281</v>
      </c>
      <c r="EQ58" s="656"/>
      <c r="ER58" s="1480">
        <f>IF(ISERROR(ER45/ER10),"NA ",ER45/ER10)</f>
        <v>6.1505423058665194E-2</v>
      </c>
      <c r="ES58" s="1480">
        <f>IF(ISERROR(ES45/ES10),"NA ",ES45/ES10)</f>
        <v>8.4562136525015832E-2</v>
      </c>
      <c r="ET58" s="1480">
        <f>IF(ISERROR(ET45/ET10),"NA ",ET45/ET10)</f>
        <v>6.1086063500859843E-2</v>
      </c>
      <c r="EU58" s="1480">
        <f>IF(ISERROR(EU45/EU10),"NA ",EU45/EU10)</f>
        <v>8.3071798539672476E-2</v>
      </c>
      <c r="EV58" s="507"/>
      <c r="EW58" s="657" t="str">
        <f t="shared" ref="EW58:GA58" si="41">IF(ISERROR(EW45/EW10),"NA ",EW45/EW10)</f>
        <v xml:space="preserve">NA </v>
      </c>
      <c r="EX58" s="655" t="str">
        <f t="shared" si="41"/>
        <v xml:space="preserve">NA </v>
      </c>
      <c r="EY58" s="655" t="str">
        <f t="shared" si="41"/>
        <v xml:space="preserve">NA </v>
      </c>
      <c r="EZ58" s="655" t="str">
        <f t="shared" si="41"/>
        <v xml:space="preserve">NA </v>
      </c>
      <c r="FA58" s="655" t="str">
        <f t="shared" si="41"/>
        <v xml:space="preserve">NA </v>
      </c>
      <c r="FB58" s="655" t="str">
        <f t="shared" si="41"/>
        <v xml:space="preserve">NA </v>
      </c>
      <c r="FC58" s="655" t="str">
        <f t="shared" si="41"/>
        <v xml:space="preserve">NA </v>
      </c>
      <c r="FD58" s="655" t="str">
        <f t="shared" si="41"/>
        <v xml:space="preserve">NA </v>
      </c>
      <c r="FE58" s="655" t="str">
        <f t="shared" si="41"/>
        <v xml:space="preserve">NA </v>
      </c>
      <c r="FF58" s="655" t="str">
        <f t="shared" si="41"/>
        <v xml:space="preserve">NA </v>
      </c>
      <c r="FG58" s="655" t="str">
        <f t="shared" si="41"/>
        <v xml:space="preserve">NA </v>
      </c>
      <c r="FH58" s="655" t="str">
        <f t="shared" si="41"/>
        <v xml:space="preserve">NA </v>
      </c>
      <c r="FI58" s="655" t="str">
        <f t="shared" si="41"/>
        <v xml:space="preserve">NA </v>
      </c>
      <c r="FJ58" s="655">
        <f t="shared" si="41"/>
        <v>5.6718821905200181E-2</v>
      </c>
      <c r="FK58" s="655">
        <f t="shared" si="41"/>
        <v>6.6921715297207793E-2</v>
      </c>
      <c r="FL58" s="655">
        <f t="shared" si="41"/>
        <v>8.9301503094606549E-2</v>
      </c>
      <c r="FM58" s="657">
        <f t="shared" si="41"/>
        <v>0.10660108862725916</v>
      </c>
      <c r="FN58" s="657">
        <f t="shared" si="41"/>
        <v>0.11539763099766251</v>
      </c>
      <c r="FO58" s="655">
        <f t="shared" si="41"/>
        <v>0.11603313692904264</v>
      </c>
      <c r="FP58" s="655">
        <f t="shared" si="41"/>
        <v>8.643422876950517E-2</v>
      </c>
      <c r="FQ58" s="657">
        <f t="shared" si="41"/>
        <v>6.5947284935739495E-2</v>
      </c>
      <c r="FR58" s="657">
        <f t="shared" si="41"/>
        <v>7.7425530716819638E-2</v>
      </c>
      <c r="FS58" s="655">
        <f t="shared" si="41"/>
        <v>6.8018539976825027E-2</v>
      </c>
      <c r="FT58" s="655">
        <f t="shared" si="41"/>
        <v>-6.261070465922218E-2</v>
      </c>
      <c r="FU58" s="655">
        <f t="shared" si="41"/>
        <v>-5.0931781769120499E-2</v>
      </c>
      <c r="FV58" s="655">
        <f t="shared" si="41"/>
        <v>3.3450273313208781E-2</v>
      </c>
      <c r="FW58" s="655">
        <f t="shared" si="41"/>
        <v>3.9386138613861386E-2</v>
      </c>
      <c r="FX58" s="655">
        <f t="shared" si="41"/>
        <v>8.0736431019367186E-2</v>
      </c>
      <c r="FY58" s="655">
        <f t="shared" si="41"/>
        <v>7.3804573804573809E-2</v>
      </c>
      <c r="FZ58" s="655">
        <f t="shared" si="41"/>
        <v>7.3694724497712541E-2</v>
      </c>
      <c r="GA58" s="655">
        <f t="shared" si="41"/>
        <v>6.8683229103257484E-2</v>
      </c>
      <c r="GB58" s="658">
        <f>IF(ISERROR(GB45/GB10),"NA ",GB45/GB10)</f>
        <v>6.6602355240142908E-2</v>
      </c>
      <c r="GC58" s="655">
        <f>IF(ISERROR(GC45/GC10),"NA ",GC45/GC10)</f>
        <v>5.8290030108212057E-2</v>
      </c>
      <c r="GD58" s="1458">
        <f>IF(ISERROR(GD45/GD10),"NA ",GD45/GD10)</f>
        <v>4.5405356619010899E-2</v>
      </c>
    </row>
    <row r="59" spans="1:199" hidden="1" outlineLevel="1">
      <c r="A59" s="500" t="s">
        <v>501</v>
      </c>
      <c r="B59" s="507"/>
      <c r="C59" s="507"/>
      <c r="D59" s="507"/>
      <c r="E59" s="507"/>
      <c r="F59" s="507"/>
      <c r="G59" s="507"/>
      <c r="H59" s="507"/>
      <c r="I59" s="507"/>
      <c r="J59" s="507"/>
      <c r="K59" s="507"/>
      <c r="L59" s="507"/>
      <c r="M59" s="507"/>
      <c r="N59" s="507"/>
      <c r="O59" s="507"/>
      <c r="P59" s="507"/>
      <c r="Q59" s="507"/>
      <c r="R59" s="507"/>
      <c r="S59" s="507"/>
      <c r="T59" s="507"/>
      <c r="U59" s="507"/>
      <c r="V59" s="507"/>
      <c r="W59" s="507"/>
      <c r="X59" s="507"/>
      <c r="Y59" s="507"/>
      <c r="Z59" s="507"/>
      <c r="AA59" s="507"/>
      <c r="AB59" s="507"/>
      <c r="AC59" s="507"/>
      <c r="AD59" s="507"/>
      <c r="AE59" s="507"/>
      <c r="AF59" s="507"/>
      <c r="AG59" s="507"/>
      <c r="AH59" s="507"/>
      <c r="AI59" s="507"/>
      <c r="AJ59" s="507"/>
      <c r="AK59" s="507"/>
      <c r="AL59" s="507"/>
      <c r="AM59" s="507"/>
      <c r="AN59" s="507"/>
      <c r="AO59" s="507"/>
      <c r="AP59" s="507"/>
      <c r="AQ59" s="507"/>
      <c r="AR59" s="507"/>
      <c r="AS59" s="507"/>
      <c r="AT59" s="507"/>
      <c r="AU59" s="507"/>
      <c r="AV59" s="507"/>
      <c r="AW59" s="507"/>
      <c r="AX59" s="507"/>
      <c r="AY59" s="507"/>
      <c r="AZ59" s="507"/>
      <c r="BA59" s="507"/>
      <c r="BB59" s="507"/>
      <c r="BC59" s="507"/>
      <c r="BD59" s="507"/>
      <c r="BE59" s="507"/>
      <c r="BF59" s="507"/>
      <c r="BG59" s="507"/>
      <c r="BH59" s="507"/>
      <c r="BI59" s="507"/>
      <c r="BJ59" s="507"/>
      <c r="BK59" s="507"/>
      <c r="BL59" s="507"/>
      <c r="BM59" s="507"/>
      <c r="BN59" s="507"/>
      <c r="BO59" s="507"/>
      <c r="BP59" s="507"/>
      <c r="BQ59" s="507"/>
      <c r="BR59" s="507"/>
      <c r="BS59" s="507"/>
      <c r="BT59" s="507"/>
      <c r="BU59" s="507"/>
      <c r="BV59" s="507"/>
      <c r="BW59" s="507"/>
      <c r="BX59" s="507"/>
      <c r="BY59" s="507"/>
      <c r="BZ59" s="507"/>
      <c r="CA59" s="507"/>
      <c r="CB59" s="507"/>
      <c r="CC59" s="507"/>
      <c r="CD59" s="507"/>
      <c r="CE59" s="507"/>
      <c r="CF59" s="507"/>
      <c r="CG59" s="507"/>
      <c r="CH59" s="507"/>
      <c r="CI59" s="507"/>
      <c r="CJ59" s="507"/>
      <c r="CK59" s="507"/>
      <c r="CL59" s="507"/>
      <c r="CM59" s="507"/>
      <c r="CN59" s="507"/>
      <c r="CO59" s="507"/>
      <c r="CP59" s="507"/>
      <c r="CQ59" s="507"/>
      <c r="CR59" s="507"/>
      <c r="CS59" s="507"/>
      <c r="CT59" s="507"/>
      <c r="CU59" s="507"/>
      <c r="CV59" s="507"/>
      <c r="CW59" s="507"/>
      <c r="CX59" s="507"/>
      <c r="CY59" s="507"/>
      <c r="CZ59" s="507"/>
      <c r="DA59" s="507"/>
      <c r="DB59" s="507"/>
      <c r="DC59" s="507"/>
      <c r="DD59" s="655"/>
      <c r="DE59" s="507"/>
      <c r="DF59" s="507"/>
      <c r="DG59" s="507"/>
      <c r="DH59" s="507"/>
      <c r="DI59" s="655">
        <f>IF(ISERROR(DI47/DI10),"NA ",DI47/DI10)</f>
        <v>8.1156479837687034E-2</v>
      </c>
      <c r="DJ59" s="655">
        <f>IF(ISERROR(DJ47/DJ10),"NA ",DJ47/DJ10)</f>
        <v>6.4772145417306706E-2</v>
      </c>
      <c r="DK59" s="655">
        <f>IF(ISERROR(DK47/DK10),"NA ",DK47/DK10)</f>
        <v>6.0963371801304567E-2</v>
      </c>
      <c r="DL59" s="655">
        <f>IF(ISERROR(DL47/DL10),"NA ",DL47/DL10)</f>
        <v>8.2027649769585251E-2</v>
      </c>
      <c r="DM59" s="507"/>
      <c r="DN59" s="655">
        <f>IF(ISERROR(DN47/DN10),"NA ",DN47/DN10)</f>
        <v>2.4428934010152285E-2</v>
      </c>
      <c r="DO59" s="655">
        <f>IF(ISERROR(DO47/DO10),"NA ",DO47/DO10)</f>
        <v>-1.5883520847121111E-2</v>
      </c>
      <c r="DP59" s="655">
        <f>IF(ISERROR(DP47/DP10),"NA ",DP47/DP10)</f>
        <v>-4.9197130167406899E-2</v>
      </c>
      <c r="DQ59" s="655">
        <f>IF(ISERROR(DQ47/DQ10),"NA ",DQ47/DQ10)</f>
        <v>-9.86096807415036E-2</v>
      </c>
      <c r="DR59" s="507"/>
      <c r="DS59" s="655">
        <f>IF(ISERROR(DS47/DS10),"NA ",DS47/DS10)</f>
        <v>-9.6015180265654643E-2</v>
      </c>
      <c r="DT59" s="655">
        <f>IF(ISERROR(DT47/DT10),"NA ",DT47/DT10)</f>
        <v>-6.7592940292902748E-2</v>
      </c>
      <c r="DU59" s="655">
        <f>IF(ISERROR(DU47/DU10),"NA ",DU47/DU10)</f>
        <v>-6.0813242173443686E-2</v>
      </c>
      <c r="DV59" s="655">
        <f>IF(ISERROR(DV47/DV10),"NA ",DV47/DV10)</f>
        <v>2.5912215758857746E-2</v>
      </c>
      <c r="DW59" s="507"/>
      <c r="DX59" s="655">
        <f>IF(ISERROR(DX47/DX10),"NA ",DX47/DX10)</f>
        <v>-3.3559443056051408E-2</v>
      </c>
      <c r="DY59" s="655">
        <f>IF(ISERROR(DY47/DY10),"NA ",DY47/DY10)</f>
        <v>3.0725259021078956E-2</v>
      </c>
      <c r="DZ59" s="655">
        <f>IF(ISERROR(DZ47/DZ10),"NA ",DZ47/DZ10)</f>
        <v>3.7264833574529664E-2</v>
      </c>
      <c r="EA59" s="655">
        <f>IF(ISERROR(EA47/EA10),"NA ",EA47/EA10)</f>
        <v>6.7300282558438229E-2</v>
      </c>
      <c r="EB59" s="507"/>
      <c r="EC59" s="655">
        <f>IF(ISERROR(EC47/EC10),"NA ",EC47/EC10)</f>
        <v>2.9488974448722435E-2</v>
      </c>
      <c r="ED59" s="655">
        <f>IF(ISERROR(ED47/ED10),"NA ",ED47/ED10)</f>
        <v>4.2782608695652175E-2</v>
      </c>
      <c r="EE59" s="655">
        <f>IF(ISERROR(EE47/EE10),"NA ",EE47/EE10)</f>
        <v>3.9351052813255093E-2</v>
      </c>
      <c r="EF59" s="655">
        <f>IF(ISERROR(EF47/EF10),"NA ",EF47/EF10)</f>
        <v>9.4844844844844844E-2</v>
      </c>
      <c r="EG59" s="507"/>
      <c r="EH59" s="655">
        <f>IF(ISERROR(EH47/EH10),"NA ",EH47/EH10)</f>
        <v>6.2611170401992169E-2</v>
      </c>
      <c r="EI59" s="655">
        <f>IF(ISERROR(EI47/EI10),"NA ",EI47/EI10)</f>
        <v>7.8478409869773821E-2</v>
      </c>
      <c r="EJ59" s="655">
        <f>IF(ISERROR(EJ47/EJ10),"NA ",EJ47/EJ10)</f>
        <v>6.0203010150507524E-2</v>
      </c>
      <c r="EK59" s="655">
        <f>IF(ISERROR(EK47/EK10),"NA ",EK47/EK10)</f>
        <v>0.11032567533451149</v>
      </c>
      <c r="EL59" s="507"/>
      <c r="EM59" s="655">
        <f>IF(ISERROR(EM47/EM10),"NA ",EM47/EM10)</f>
        <v>9.5343680709534362E-2</v>
      </c>
      <c r="EN59" s="655">
        <f>IF(ISERROR(EN47/EN10),"NA ",EN47/EN10)</f>
        <v>6.9547602970965711E-2</v>
      </c>
      <c r="EO59" s="655">
        <f>IF(ISERROR(EO47/EO10),"NA ",EO47/EO10)</f>
        <v>3.8831492696829353E-2</v>
      </c>
      <c r="EP59" s="655">
        <f>IF(ISERROR(EP47/EP10),"NA ",EP47/EP10)</f>
        <v>0.10071942446043165</v>
      </c>
      <c r="EQ59" s="507"/>
      <c r="ER59" s="1480">
        <f>IF(ISERROR(ER47/ER10),"NA ",ER47/ER10)</f>
        <v>6.1505423058665194E-2</v>
      </c>
      <c r="ES59" s="1480">
        <f>IF(ISERROR(ES47/ES10),"NA ",ES47/ES10)</f>
        <v>8.4562136525015832E-2</v>
      </c>
      <c r="ET59" s="1480">
        <f>IF(ISERROR(ET47/ET10),"NA ",ET47/ET10)</f>
        <v>6.1086063500859843E-2</v>
      </c>
      <c r="EU59" s="1480">
        <f>IF(ISERROR(EU47/EU10),"NA ",EU47/EU10)</f>
        <v>8.3071798539672476E-2</v>
      </c>
      <c r="EV59" s="507"/>
      <c r="EW59" s="500"/>
      <c r="EX59" s="507"/>
      <c r="EY59" s="507"/>
      <c r="EZ59" s="507"/>
      <c r="FA59" s="507"/>
      <c r="FB59" s="507"/>
      <c r="FC59" s="507"/>
      <c r="FD59" s="507"/>
      <c r="FE59" s="507"/>
      <c r="FF59" s="507"/>
      <c r="FG59" s="507"/>
      <c r="FH59" s="507"/>
      <c r="FI59" s="507"/>
      <c r="FJ59" s="655">
        <f t="shared" ref="FJ59:GA59" si="42">IF(ISERROR(FJ47/FJ10),"NA ",FJ47/FJ10)</f>
        <v>5.6718821905200181E-2</v>
      </c>
      <c r="FK59" s="655">
        <f t="shared" si="42"/>
        <v>6.6921715297207793E-2</v>
      </c>
      <c r="FL59" s="655">
        <f t="shared" si="42"/>
        <v>9.3832891246684355E-2</v>
      </c>
      <c r="FM59" s="657">
        <f t="shared" si="42"/>
        <v>0.11027499797136305</v>
      </c>
      <c r="FN59" s="657">
        <f t="shared" si="42"/>
        <v>0.11584977670030899</v>
      </c>
      <c r="FO59" s="655">
        <f t="shared" si="42"/>
        <v>0.11114820969935034</v>
      </c>
      <c r="FP59" s="655">
        <f t="shared" si="42"/>
        <v>7.9239802223953756E-2</v>
      </c>
      <c r="FQ59" s="657">
        <f t="shared" si="42"/>
        <v>8.2918175186905627E-2</v>
      </c>
      <c r="FR59" s="657">
        <f t="shared" si="42"/>
        <v>8.986992510839574E-2</v>
      </c>
      <c r="FS59" s="655">
        <f t="shared" si="42"/>
        <v>7.3059096176129781E-2</v>
      </c>
      <c r="FT59" s="655">
        <f t="shared" si="42"/>
        <v>-3.8351944551405469E-2</v>
      </c>
      <c r="FU59" s="655">
        <f t="shared" si="42"/>
        <v>-4.2499367568934986E-2</v>
      </c>
      <c r="FV59" s="655">
        <f t="shared" si="42"/>
        <v>3.2308068858611406E-2</v>
      </c>
      <c r="FW59" s="655">
        <f t="shared" si="42"/>
        <v>5.5465346534653466E-2</v>
      </c>
      <c r="FX59" s="655">
        <f t="shared" si="42"/>
        <v>8.081613134613852E-2</v>
      </c>
      <c r="FY59" s="655">
        <f t="shared" si="42"/>
        <v>7.3804573804573809E-2</v>
      </c>
      <c r="FZ59" s="655">
        <f t="shared" si="42"/>
        <v>7.3694724497712541E-2</v>
      </c>
      <c r="GA59" s="655">
        <f t="shared" si="42"/>
        <v>6.8683229103257484E-2</v>
      </c>
      <c r="GB59" s="658">
        <f>IF(ISERROR(GB47/GB10),"NA ",GB47/GB10)</f>
        <v>6.6602355240142908E-2</v>
      </c>
      <c r="GC59" s="655">
        <f>IF(ISERROR(GC47/GC10),"NA ",GC47/GC10)</f>
        <v>5.8290030108212057E-2</v>
      </c>
      <c r="GD59" s="1458">
        <f>IF(ISERROR(GD47/GD10),"NA ",GD47/GD10)</f>
        <v>4.5405356619010899E-2</v>
      </c>
    </row>
    <row r="60" spans="1:199" collapsed="1">
      <c r="A60" s="500"/>
      <c r="B60" s="507"/>
      <c r="C60" s="507"/>
      <c r="D60" s="507"/>
      <c r="E60" s="507"/>
      <c r="F60" s="507"/>
      <c r="G60" s="507"/>
      <c r="H60" s="507"/>
      <c r="I60" s="507"/>
      <c r="J60" s="507"/>
      <c r="K60" s="507"/>
      <c r="L60" s="507"/>
      <c r="M60" s="507"/>
      <c r="N60" s="507"/>
      <c r="O60" s="507"/>
      <c r="P60" s="507"/>
      <c r="Q60" s="507"/>
      <c r="R60" s="507"/>
      <c r="S60" s="507"/>
      <c r="T60" s="507"/>
      <c r="U60" s="507"/>
      <c r="V60" s="507"/>
      <c r="W60" s="507"/>
      <c r="X60" s="507"/>
      <c r="Y60" s="507"/>
      <c r="Z60" s="507"/>
      <c r="AA60" s="507"/>
      <c r="AB60" s="507"/>
      <c r="AC60" s="507"/>
      <c r="AD60" s="507"/>
      <c r="AE60" s="507"/>
      <c r="AF60" s="507"/>
      <c r="AG60" s="507"/>
      <c r="AH60" s="507"/>
      <c r="AI60" s="507"/>
      <c r="AJ60" s="507"/>
      <c r="AK60" s="507"/>
      <c r="AL60" s="507"/>
      <c r="AM60" s="507"/>
      <c r="AN60" s="507"/>
      <c r="AO60" s="507"/>
      <c r="AP60" s="507"/>
      <c r="AQ60" s="507"/>
      <c r="AR60" s="507"/>
      <c r="AS60" s="507"/>
      <c r="AT60" s="507"/>
      <c r="AU60" s="507"/>
      <c r="AV60" s="507"/>
      <c r="AW60" s="507"/>
      <c r="AX60" s="507"/>
      <c r="AY60" s="507"/>
      <c r="AZ60" s="507"/>
      <c r="BA60" s="507"/>
      <c r="BB60" s="507"/>
      <c r="BC60" s="507"/>
      <c r="BD60" s="507"/>
      <c r="BE60" s="507"/>
      <c r="BF60" s="507"/>
      <c r="BG60" s="507"/>
      <c r="BH60" s="507"/>
      <c r="BI60" s="507"/>
      <c r="BJ60" s="507"/>
      <c r="BK60" s="507"/>
      <c r="BL60" s="507"/>
      <c r="BM60" s="507"/>
      <c r="BN60" s="507"/>
      <c r="BO60" s="507"/>
      <c r="BP60" s="507"/>
      <c r="BQ60" s="507"/>
      <c r="BR60" s="507"/>
      <c r="BS60" s="507"/>
      <c r="BT60" s="507"/>
      <c r="BU60" s="507"/>
      <c r="BV60" s="507"/>
      <c r="BW60" s="507"/>
      <c r="BX60" s="507"/>
      <c r="BY60" s="507"/>
      <c r="BZ60" s="507"/>
      <c r="CA60" s="507"/>
      <c r="CB60" s="507"/>
      <c r="CC60" s="507"/>
      <c r="CD60" s="507"/>
      <c r="CE60" s="507"/>
      <c r="CF60" s="507"/>
      <c r="CG60" s="507"/>
      <c r="CH60" s="507"/>
      <c r="CI60" s="507"/>
      <c r="CJ60" s="507"/>
      <c r="CK60" s="507"/>
      <c r="CL60" s="507"/>
      <c r="CM60" s="507"/>
      <c r="CN60" s="507"/>
      <c r="CO60" s="507"/>
      <c r="CP60" s="507"/>
      <c r="CQ60" s="507"/>
      <c r="CR60" s="507"/>
      <c r="CS60" s="507"/>
      <c r="CT60" s="507"/>
      <c r="CU60" s="507"/>
      <c r="CV60" s="507"/>
      <c r="CW60" s="507"/>
      <c r="CX60" s="507"/>
      <c r="CY60" s="507"/>
      <c r="CZ60" s="507"/>
      <c r="DA60" s="507"/>
      <c r="DB60" s="507"/>
      <c r="DC60" s="507"/>
      <c r="DD60" s="507"/>
      <c r="DE60" s="507"/>
      <c r="DF60" s="507"/>
      <c r="DG60" s="507"/>
      <c r="DH60" s="507"/>
      <c r="DI60" s="507"/>
      <c r="DJ60" s="507"/>
      <c r="DK60" s="507"/>
      <c r="DL60" s="507"/>
      <c r="DM60" s="507"/>
      <c r="DN60" s="507"/>
      <c r="DO60" s="507"/>
      <c r="DP60" s="507"/>
      <c r="DR60" s="507"/>
      <c r="DS60" s="654"/>
      <c r="DT60" s="507"/>
      <c r="DU60" s="507"/>
      <c r="DV60" s="507"/>
      <c r="DW60" s="507"/>
      <c r="DX60" s="654"/>
      <c r="DY60" s="507"/>
      <c r="DZ60" s="507"/>
      <c r="EA60" s="507"/>
      <c r="EB60" s="507"/>
      <c r="EC60" s="654"/>
      <c r="ED60" s="507"/>
      <c r="EE60" s="507"/>
      <c r="EF60" s="507"/>
      <c r="EG60" s="507"/>
      <c r="EH60" s="654"/>
      <c r="EI60" s="654"/>
      <c r="EJ60" s="507"/>
      <c r="EK60" s="507"/>
      <c r="EL60" s="507"/>
      <c r="EM60" s="654"/>
      <c r="EN60" s="654"/>
      <c r="EO60" s="507"/>
      <c r="EP60" s="507"/>
      <c r="EQ60" s="507"/>
      <c r="ER60" s="1482"/>
      <c r="ES60" s="1482"/>
      <c r="ET60" s="1463"/>
      <c r="EU60" s="1463"/>
      <c r="EV60" s="507"/>
      <c r="EW60" s="500"/>
      <c r="EX60" s="507"/>
      <c r="EY60" s="507"/>
      <c r="EZ60" s="507"/>
      <c r="FA60" s="507"/>
      <c r="FB60" s="507"/>
      <c r="FC60" s="507"/>
      <c r="FD60" s="507"/>
      <c r="FE60" s="507"/>
      <c r="FF60" s="507"/>
      <c r="FG60" s="507"/>
      <c r="FH60" s="507"/>
      <c r="FI60" s="507"/>
      <c r="FJ60" s="507"/>
      <c r="FK60" s="507"/>
      <c r="FL60" s="507"/>
      <c r="FM60" s="500"/>
      <c r="FN60" s="500"/>
      <c r="FO60" s="507"/>
      <c r="FP60" s="507"/>
      <c r="FQ60" s="500"/>
      <c r="FR60" s="500"/>
      <c r="FS60" s="507"/>
      <c r="FT60" s="660"/>
      <c r="FU60" s="507"/>
      <c r="FV60" s="507"/>
      <c r="FW60" s="507"/>
      <c r="FX60" s="507"/>
      <c r="FY60" s="507"/>
      <c r="FZ60" s="507"/>
      <c r="GA60" s="507"/>
      <c r="GB60" s="961"/>
      <c r="GC60" s="507"/>
      <c r="GD60" s="1485"/>
    </row>
    <row r="61" spans="1:199">
      <c r="A61" s="605" t="s">
        <v>254</v>
      </c>
      <c r="B61" s="507"/>
      <c r="C61" s="507"/>
      <c r="D61" s="507"/>
      <c r="E61" s="507"/>
      <c r="F61" s="507"/>
      <c r="G61" s="507"/>
      <c r="H61" s="507"/>
      <c r="I61" s="507"/>
      <c r="J61" s="507"/>
      <c r="K61" s="507"/>
      <c r="L61" s="507"/>
      <c r="M61" s="507"/>
      <c r="N61" s="507"/>
      <c r="O61" s="507"/>
      <c r="P61" s="507"/>
      <c r="Q61" s="507"/>
      <c r="R61" s="507"/>
      <c r="S61" s="507"/>
      <c r="T61" s="507"/>
      <c r="U61" s="507"/>
      <c r="V61" s="507"/>
      <c r="W61" s="507"/>
      <c r="X61" s="507"/>
      <c r="Y61" s="507"/>
      <c r="Z61" s="507"/>
      <c r="AA61" s="507"/>
      <c r="AB61" s="507"/>
      <c r="AC61" s="507"/>
      <c r="AD61" s="507"/>
      <c r="AE61" s="507"/>
      <c r="AF61" s="507"/>
      <c r="AG61" s="507"/>
      <c r="AH61" s="507"/>
      <c r="AI61" s="507"/>
      <c r="AJ61" s="507"/>
      <c r="AK61" s="507"/>
      <c r="AL61" s="507"/>
      <c r="AM61" s="507"/>
      <c r="AN61" s="507"/>
      <c r="AO61" s="507"/>
      <c r="AP61" s="507"/>
      <c r="AQ61" s="507"/>
      <c r="AR61" s="507"/>
      <c r="AS61" s="507"/>
      <c r="AT61" s="507"/>
      <c r="AU61" s="507"/>
      <c r="AV61" s="507"/>
      <c r="AW61" s="507"/>
      <c r="AX61" s="507"/>
      <c r="AY61" s="507"/>
      <c r="AZ61" s="507"/>
      <c r="BA61" s="507"/>
      <c r="BB61" s="507"/>
      <c r="BC61" s="507"/>
      <c r="BD61" s="507"/>
      <c r="BE61" s="507"/>
      <c r="BF61" s="507"/>
      <c r="BG61" s="507"/>
      <c r="BH61" s="507"/>
      <c r="BI61" s="507"/>
      <c r="BJ61" s="507"/>
      <c r="BK61" s="507"/>
      <c r="BL61" s="507"/>
      <c r="BM61" s="507"/>
      <c r="BN61" s="507"/>
      <c r="BO61" s="507"/>
      <c r="BP61" s="507"/>
      <c r="BQ61" s="507"/>
      <c r="BR61" s="507"/>
      <c r="BS61" s="507"/>
      <c r="BT61" s="507"/>
      <c r="BU61" s="507"/>
      <c r="BV61" s="507"/>
      <c r="BW61" s="507"/>
      <c r="BX61" s="507"/>
      <c r="BY61" s="507"/>
      <c r="BZ61" s="507"/>
      <c r="CA61" s="507"/>
      <c r="CB61" s="507"/>
      <c r="CC61" s="507"/>
      <c r="CD61" s="507"/>
      <c r="CE61" s="507"/>
      <c r="CF61" s="507"/>
      <c r="CG61" s="507"/>
      <c r="CH61" s="507"/>
      <c r="CI61" s="507"/>
      <c r="CJ61" s="507"/>
      <c r="CK61" s="507"/>
      <c r="CL61" s="507"/>
      <c r="CM61" s="507"/>
      <c r="CN61" s="507"/>
      <c r="CO61" s="507"/>
      <c r="CP61" s="507"/>
      <c r="CQ61" s="507"/>
      <c r="CR61" s="507"/>
      <c r="CS61" s="507"/>
      <c r="CT61" s="507"/>
      <c r="CU61" s="507"/>
      <c r="CV61" s="507"/>
      <c r="CW61" s="507"/>
      <c r="CX61" s="507"/>
      <c r="CY61" s="507"/>
      <c r="CZ61" s="507"/>
      <c r="DA61" s="507"/>
      <c r="DB61" s="507"/>
      <c r="DC61" s="507"/>
      <c r="DD61" s="507"/>
      <c r="DE61" s="507"/>
      <c r="DF61" s="507"/>
      <c r="DG61" s="507"/>
      <c r="DH61" s="507"/>
      <c r="DI61" s="507"/>
      <c r="DJ61" s="507"/>
      <c r="DK61" s="507"/>
      <c r="DL61" s="507"/>
      <c r="DM61" s="507"/>
      <c r="DN61" s="507"/>
      <c r="DO61" s="507"/>
      <c r="DP61" s="507"/>
      <c r="DR61" s="507"/>
      <c r="DS61" s="507"/>
      <c r="DT61" s="507"/>
      <c r="DU61" s="507"/>
      <c r="DV61" s="507"/>
      <c r="DW61" s="507"/>
      <c r="DX61" s="507"/>
      <c r="DY61" s="507"/>
      <c r="DZ61" s="507"/>
      <c r="EA61" s="507"/>
      <c r="EB61" s="654">
        <f>EB63+DW63</f>
        <v>0</v>
      </c>
      <c r="EC61" s="654"/>
      <c r="ED61" s="654"/>
      <c r="EE61" s="654"/>
      <c r="EF61" s="654"/>
      <c r="EG61" s="507"/>
      <c r="EH61" s="654"/>
      <c r="EI61" s="654"/>
      <c r="EJ61" s="654"/>
      <c r="EK61" s="654"/>
      <c r="EL61" s="507"/>
      <c r="EM61" s="654"/>
      <c r="EN61" s="654"/>
      <c r="EO61" s="654"/>
      <c r="EP61" s="654"/>
      <c r="EQ61" s="507"/>
      <c r="ER61" s="1482"/>
      <c r="ES61" s="1482"/>
      <c r="ET61" s="1482"/>
      <c r="EU61" s="1482"/>
      <c r="EV61" s="507"/>
      <c r="EW61" s="500"/>
      <c r="EX61" s="507"/>
      <c r="EY61" s="507"/>
      <c r="EZ61" s="507"/>
      <c r="FA61" s="507"/>
      <c r="FB61" s="507"/>
      <c r="FC61" s="507"/>
      <c r="FD61" s="507"/>
      <c r="FE61" s="507"/>
      <c r="FF61" s="507"/>
      <c r="FG61" s="507"/>
      <c r="FH61" s="507"/>
      <c r="FI61" s="507"/>
      <c r="FJ61" s="507"/>
      <c r="FK61" s="507"/>
      <c r="FL61" s="507"/>
      <c r="FM61" s="500"/>
      <c r="FN61" s="500"/>
      <c r="FO61" s="507"/>
      <c r="FP61" s="507"/>
      <c r="FQ61" s="500"/>
      <c r="FR61" s="500"/>
      <c r="FS61" s="507"/>
      <c r="FT61" s="507"/>
      <c r="FU61" s="507"/>
      <c r="FV61" s="507"/>
      <c r="FW61" s="507"/>
      <c r="FX61" s="507"/>
      <c r="FY61" s="507"/>
      <c r="FZ61" s="507"/>
      <c r="GA61" s="507"/>
      <c r="GB61" s="961"/>
      <c r="GC61" s="507"/>
      <c r="GD61" s="1485"/>
      <c r="GQ61" s="398">
        <f>GQ60-15</f>
        <v>-15</v>
      </c>
    </row>
    <row r="62" spans="1:199">
      <c r="A62" s="500" t="s">
        <v>152</v>
      </c>
      <c r="B62" s="507"/>
      <c r="C62" s="655">
        <f>INDEX('qtrP&amp;L'!$10:$10,MATCH(C$7,'qtrP&amp;L'!$6:$6,0)+1)%</f>
        <v>5.2999999999999999E-2</v>
      </c>
      <c r="D62" s="655">
        <f>INDEX('qtrP&amp;L'!$11:$11,MATCH(C$7,'qtrP&amp;L'!$6:$6,0)+1)%</f>
        <v>7.0999999999999994E-2</v>
      </c>
      <c r="E62" s="655">
        <f>INDEX('qtrP&amp;L'!$12:$12,MATCH(C$7,'qtrP&amp;L'!$6:$6,0)+1)%</f>
        <v>0.125</v>
      </c>
      <c r="F62" s="655">
        <f>INDEX('qtrP&amp;L'!$13:$13,MATCH(C$7,'qtrP&amp;L'!$6:$6,0)+1)%</f>
        <v>8.8000000000000009E-2</v>
      </c>
      <c r="G62" s="507"/>
      <c r="H62" s="655">
        <f>H10/C10-1</f>
        <v>5.6569889254714179E-2</v>
      </c>
      <c r="I62" s="655">
        <f>I10/D10-1</f>
        <v>4.1303083187899992E-2</v>
      </c>
      <c r="J62" s="655">
        <f>J10/E10-1</f>
        <v>-1.6252154641713812E-2</v>
      </c>
      <c r="K62" s="655">
        <f>K10/F10-1</f>
        <v>-5.7001710051296506E-4</v>
      </c>
      <c r="L62" s="507"/>
      <c r="M62" s="655">
        <f>M10/H10-1</f>
        <v>-2.7478753541076539E-2</v>
      </c>
      <c r="N62" s="655">
        <f>N10/I10-1</f>
        <v>-3.4636871508379907E-2</v>
      </c>
      <c r="O62" s="655">
        <f>O10/J10-1</f>
        <v>-1.4518147684605798E-2</v>
      </c>
      <c r="P62" s="655">
        <f>P10/K10-1</f>
        <v>2.1863117870722482E-2</v>
      </c>
      <c r="Q62" s="507"/>
      <c r="R62" s="655">
        <f>R10/M10-1</f>
        <v>0.10486454995630634</v>
      </c>
      <c r="S62" s="655">
        <f>S10/N10-1</f>
        <v>9.6354166666666741E-2</v>
      </c>
      <c r="T62" s="655">
        <f>T10/O10-1</f>
        <v>0.10287020574041139</v>
      </c>
      <c r="U62" s="655">
        <f>U10/P10-1</f>
        <v>0.13209302325581396</v>
      </c>
      <c r="V62" s="507"/>
      <c r="W62" s="655">
        <f>W10/R10-1</f>
        <v>4.5083047719483238E-2</v>
      </c>
      <c r="X62" s="655">
        <f>X10/S10-1</f>
        <v>4.5922406967537688E-2</v>
      </c>
      <c r="Y62" s="655">
        <f>Y10/T10-1</f>
        <v>9.0511285122063523E-2</v>
      </c>
      <c r="Z62" s="655">
        <f>Z10/U10-1</f>
        <v>3.8783894823336107E-2</v>
      </c>
      <c r="AA62" s="507"/>
      <c r="AB62" s="655">
        <f>AB10/W10-1</f>
        <v>9.7376387487386529E-2</v>
      </c>
      <c r="AC62" s="655">
        <f>AC10/X10-1</f>
        <v>7.0401211203633629E-2</v>
      </c>
      <c r="AD62" s="655">
        <f>AD10/Y10-1</f>
        <v>8.7434002111932418E-2</v>
      </c>
      <c r="AE62" s="655">
        <f>AE10/Z10-1</f>
        <v>5.0308495491219851E-2</v>
      </c>
      <c r="AF62" s="507"/>
      <c r="AG62" s="655">
        <f>AG10/AB10-1</f>
        <v>3.9080459770115539E-3</v>
      </c>
      <c r="AH62" s="655">
        <f>AH10/AC10-1</f>
        <v>4.5497406883545422E-2</v>
      </c>
      <c r="AI62" s="655">
        <f>AI10/AD10-1</f>
        <v>-4.0784618372499137E-3</v>
      </c>
      <c r="AJ62" s="655">
        <f>AJ10/AE10-1</f>
        <v>-1.0543756589848075E-3</v>
      </c>
      <c r="AK62" s="507"/>
      <c r="AL62" s="655">
        <f>AL10/AG10-1</f>
        <v>1.9464163040989302E-2</v>
      </c>
      <c r="AM62" s="655">
        <f>AM10/AH10-1</f>
        <v>1.6234498308906442E-2</v>
      </c>
      <c r="AN62" s="655">
        <f>AN10/AI10-1</f>
        <v>7.9758190327612999E-2</v>
      </c>
      <c r="AO62" s="655">
        <f>AO10/AJ10-1</f>
        <v>0.22979493365500603</v>
      </c>
      <c r="AP62" s="507"/>
      <c r="AQ62" s="655">
        <f>AQ10/AL10-1</f>
        <v>0.4549191374663073</v>
      </c>
      <c r="AR62" s="655">
        <f>AR10/AM10-1</f>
        <v>0.4168182826714002</v>
      </c>
      <c r="AS62" s="655">
        <f>AS10/AN10-1</f>
        <v>0.28287881524291136</v>
      </c>
      <c r="AT62" s="655">
        <f>AT10/AO10-1</f>
        <v>0.16662579695929369</v>
      </c>
      <c r="AU62" s="507"/>
      <c r="AV62" s="655">
        <f>AV10/AQ10-1</f>
        <v>4.2872801939079608E-2</v>
      </c>
      <c r="AW62" s="655">
        <f>AW10/AR10-1</f>
        <v>1.5096467050864426E-2</v>
      </c>
      <c r="AX62" s="655">
        <f>AX10/AS10-1</f>
        <v>3.6180366871736425E-3</v>
      </c>
      <c r="AY62" s="655">
        <f>AY10/AT10-1</f>
        <v>-4.6558066211245364E-2</v>
      </c>
      <c r="AZ62" s="507"/>
      <c r="BA62" s="655">
        <f>BA10/AV10-1</f>
        <v>8.6454478164322834E-2</v>
      </c>
      <c r="BB62" s="655">
        <f>BB10/AW10-1</f>
        <v>9.5958037642702942E-2</v>
      </c>
      <c r="BC62" s="655">
        <f>BC10/AX10-1</f>
        <v>7.1538785243372205E-2</v>
      </c>
      <c r="BD62" s="655">
        <f>BD10/AY10-1</f>
        <v>6.4925044091710848E-2</v>
      </c>
      <c r="BE62" s="507"/>
      <c r="BF62" s="655">
        <f>BF10/BA10-1</f>
        <v>2.5752827360675745E-2</v>
      </c>
      <c r="BG62" s="655">
        <f>BG10/BB10-1</f>
        <v>1.449887387387383E-2</v>
      </c>
      <c r="BH62" s="655">
        <f>BH10/BC10-1</f>
        <v>-1.3221625867260167E-2</v>
      </c>
      <c r="BI62" s="655">
        <f>BI10/BD10-1</f>
        <v>-9.1087879101542368E-3</v>
      </c>
      <c r="BJ62" s="507"/>
      <c r="BK62" s="655">
        <f>BK10/BF10-1</f>
        <v>-0.46214133900106269</v>
      </c>
      <c r="BL62" s="655">
        <f>BL10/BG10-1</f>
        <v>-0.46690717358124045</v>
      </c>
      <c r="BM62" s="655">
        <f>BM10/BH10-1</f>
        <v>-0.4234544972141151</v>
      </c>
      <c r="BN62" s="655">
        <f>BN10/BI10-1</f>
        <v>-0.3883839966572652</v>
      </c>
      <c r="BO62" s="507"/>
      <c r="BP62" s="655">
        <f>BP10/BK10-1</f>
        <v>-1.4571499135589083E-2</v>
      </c>
      <c r="BQ62" s="655">
        <f>BQ10/BL10-1</f>
        <v>-6.1431025507548198E-2</v>
      </c>
      <c r="BR62" s="655">
        <f>BR10/BM10-1</f>
        <v>-1.1965025310630484E-2</v>
      </c>
      <c r="BS62" s="655">
        <f>BS10/BN10-1</f>
        <v>-1.9128949615713098E-2</v>
      </c>
      <c r="BT62" s="507"/>
      <c r="BU62" s="655">
        <f>BU10/BP10-1</f>
        <v>-8.0451127819548884E-2</v>
      </c>
      <c r="BV62" s="655">
        <f>BV10/BQ10-1</f>
        <v>-7.7598834381313875E-3</v>
      </c>
      <c r="BW62" s="655">
        <f>BW10/BR10-1</f>
        <v>-6.0549604098741883E-3</v>
      </c>
      <c r="BX62" s="655">
        <f>BX10/BS10-1</f>
        <v>4.4401880550235084E-2</v>
      </c>
      <c r="BY62" s="507"/>
      <c r="BZ62" s="655">
        <f>BZ10/BU10-1</f>
        <v>8.2583810302534699E-2</v>
      </c>
      <c r="CA62" s="655">
        <f>CA10/BV10-1</f>
        <v>5.5897149245388578E-2</v>
      </c>
      <c r="CB62" s="655">
        <f>CB10/BW10-1</f>
        <v>2.8819119025304651E-2</v>
      </c>
      <c r="CC62" s="655">
        <f>CC10/BX10-1</f>
        <v>-7.1690563521173978E-3</v>
      </c>
      <c r="CD62" s="507"/>
      <c r="CE62" s="655">
        <f>CE10/BZ10-1</f>
        <v>3.6757301107754214E-2</v>
      </c>
      <c r="CF62" s="655">
        <f>CF10/CA10-1</f>
        <v>5.3732133403917359E-2</v>
      </c>
      <c r="CG62" s="655">
        <f>CG10/CB10-1</f>
        <v>2.0040992940104863E-2</v>
      </c>
      <c r="CH62" s="655">
        <f>CH10/CC10-1</f>
        <v>4.1659781696053777E-2</v>
      </c>
      <c r="CI62" s="507"/>
      <c r="CJ62" s="655">
        <f>CJ10/CE10-1</f>
        <v>2.4526469159786402E-2</v>
      </c>
      <c r="CK62" s="655">
        <f>CK10/CF10-1</f>
        <v>6.4327555890479671E-2</v>
      </c>
      <c r="CL62" s="655">
        <f>CL10/CG10-1</f>
        <v>6.7425764679615918E-2</v>
      </c>
      <c r="CM62" s="655">
        <f>CM10/CH10-1</f>
        <v>7.4949170444894797E-2</v>
      </c>
      <c r="CN62" s="507"/>
      <c r="CO62" s="655">
        <f>CO10/CJ10-1</f>
        <v>3.0812988859919344E-2</v>
      </c>
      <c r="CP62" s="655">
        <f>CP10/CK10-1</f>
        <v>3.6088936552651329E-2</v>
      </c>
      <c r="CQ62" s="655">
        <f>CQ10/CL10-1</f>
        <v>-1.1085546956703607E-2</v>
      </c>
      <c r="CR62" s="655">
        <f>CR10/CM10-1</f>
        <v>-4.1691661667666469E-2</v>
      </c>
      <c r="CS62" s="507"/>
      <c r="CT62" s="655">
        <f>CT10/CO10-1</f>
        <v>-5.1046217521269255E-2</v>
      </c>
      <c r="CU62" s="655">
        <f>CU10/CP10-1</f>
        <v>-2.448828881633458E-2</v>
      </c>
      <c r="CV62" s="655">
        <f>CV10/CQ10-1</f>
        <v>-8.6756692259225443E-2</v>
      </c>
      <c r="CW62" s="655">
        <f>CW10/CR10-1</f>
        <v>-9.8713347791671735E-2</v>
      </c>
      <c r="CX62" s="507"/>
      <c r="CY62" s="655">
        <f>CY10/CT10-1</f>
        <v>-5.829049657169183E-2</v>
      </c>
      <c r="CZ62" s="655">
        <f>CZ10/CU10-1</f>
        <v>-7.9357029009820668E-2</v>
      </c>
      <c r="DA62" s="655">
        <f>DA10/CV10-1</f>
        <v>-3.1826326148638007E-2</v>
      </c>
      <c r="DB62" s="655">
        <f>DB10/CW10-1</f>
        <v>-3.6328121790261347E-2</v>
      </c>
      <c r="DC62" s="507"/>
      <c r="DD62" s="655">
        <f>DD10/CY10-1</f>
        <v>1.095216516679387E-2</v>
      </c>
      <c r="DE62" s="655">
        <f>DE10/CZ10-1</f>
        <v>-1.1794655441208501E-3</v>
      </c>
      <c r="DF62" s="655">
        <f>DF10/DA10-1</f>
        <v>2.0586118550693921E-3</v>
      </c>
      <c r="DG62" s="655">
        <f>DG10/DB10-1</f>
        <v>2.7567567567567508E-2</v>
      </c>
      <c r="DH62" s="507"/>
      <c r="DI62" s="655">
        <f>DI10/DD10-1</f>
        <v>3.5632476457114759E-3</v>
      </c>
      <c r="DJ62" s="655">
        <f>DJ10/DE10-1</f>
        <v>-8.1259522600304335E-3</v>
      </c>
      <c r="DK62" s="655">
        <f>DK10/DF10-1</f>
        <v>-4.8460253043685841E-2</v>
      </c>
      <c r="DL62" s="655">
        <f>DL10/DG10-1</f>
        <v>-4.8746273890934555E-2</v>
      </c>
      <c r="DM62" s="507"/>
      <c r="DN62" s="655">
        <f>DN10/DI10-1</f>
        <v>-0.20060867359878265</v>
      </c>
      <c r="DO62" s="655">
        <f>DO10/DJ10-1</f>
        <v>-0.22631848438300051</v>
      </c>
      <c r="DP62" s="655">
        <f>DP10/DK10-1</f>
        <v>-0.26567987957852479</v>
      </c>
      <c r="DQ62" s="655">
        <f>DQ10/DL10-1</f>
        <v>-0.28405529953917052</v>
      </c>
      <c r="DR62" s="507"/>
      <c r="DS62" s="655">
        <f>DS10/DN10-1</f>
        <v>-0.16402284263959388</v>
      </c>
      <c r="DT62" s="655">
        <f>DT10/DO10-1</f>
        <v>-0.11879549966909331</v>
      </c>
      <c r="DU62" s="655">
        <f>DU10/DP10-1</f>
        <v>-5.0563717116501539E-2</v>
      </c>
      <c r="DV62" s="655">
        <f>DV10/DQ10-1</f>
        <v>-2.626158599382078E-2</v>
      </c>
      <c r="DW62" s="507"/>
      <c r="DX62" s="655">
        <f>DX10/DS10-1</f>
        <v>6.299810246679316E-2</v>
      </c>
      <c r="DY62" s="655">
        <f>DY10/DT10-1</f>
        <v>5.1070221554637696E-2</v>
      </c>
      <c r="DZ62" s="655">
        <f>DZ10/DU10-1</f>
        <v>-5.3976250449802032E-3</v>
      </c>
      <c r="EA62" s="655">
        <f>EA10/DV10-1</f>
        <v>2.9349550502379751E-2</v>
      </c>
      <c r="EB62" s="507"/>
      <c r="EC62" s="655">
        <f>EC10/DX10-1</f>
        <v>1.9992859692966825E-2</v>
      </c>
      <c r="ED62" s="655">
        <f>ED10/DY10-1</f>
        <v>2.7152554483744096E-2</v>
      </c>
      <c r="EE62" s="655">
        <f>EE10/DZ10-1</f>
        <v>4.8118668596237368E-2</v>
      </c>
      <c r="EF62" s="655">
        <f>EF10/EA10-1</f>
        <v>2.6457744669920347E-2</v>
      </c>
      <c r="EG62" s="507"/>
      <c r="EH62" s="655">
        <f>EH10/EC10-1</f>
        <v>-1.610080504025202E-2</v>
      </c>
      <c r="EI62" s="655">
        <f>EI10/ED10-1</f>
        <v>1.4956521739130535E-2</v>
      </c>
      <c r="EJ62" s="655">
        <f>EJ10/EE10-1</f>
        <v>-1.3807386952019329E-2</v>
      </c>
      <c r="EK62" s="655">
        <f>EK10/EF10-1</f>
        <v>-8.7587587587587556E-3</v>
      </c>
      <c r="EL62" s="507"/>
      <c r="EM62" s="655">
        <f>EM10/EH10-1</f>
        <v>-3.7353255069370372E-2</v>
      </c>
      <c r="EN62" s="655">
        <f>EN10/EI10-1</f>
        <v>1.5078821110349638E-2</v>
      </c>
      <c r="EO62" s="655">
        <f>EO10/EJ10-1</f>
        <v>-1.7500875043752195E-2</v>
      </c>
      <c r="EP62" s="655">
        <f>EP10/EK10-1</f>
        <v>1.7672304973491482E-2</v>
      </c>
      <c r="EQ62" s="507"/>
      <c r="ER62" s="1480">
        <f>ER10/EM10-1</f>
        <v>-1.5999999999999903E-2</v>
      </c>
      <c r="ES62" s="1480">
        <f>ES10/EN10-1</f>
        <v>-8.0000000000000071E-3</v>
      </c>
      <c r="ET62" s="1480">
        <f>ET10/EO10-1</f>
        <v>-2.8000000000000025E-2</v>
      </c>
      <c r="EU62" s="1480">
        <f>EU10/EP10-1</f>
        <v>-7.5999999999999956E-2</v>
      </c>
      <c r="EV62" s="507"/>
      <c r="EW62" s="657">
        <f>INDEX('qtrP&amp;L'!$11:$11,MATCH(EW$7,'qtrP&amp;L'!$6:$6,0)+1)%</f>
        <v>7.0999999999999994E-2</v>
      </c>
      <c r="EX62" s="655">
        <f t="shared" ref="EX62:GA62" si="43">EX10/EW10-1</f>
        <v>1.6270260199962694E-2</v>
      </c>
      <c r="EY62" s="655">
        <f t="shared" si="43"/>
        <v>-1.0021387106630031E-2</v>
      </c>
      <c r="EZ62" s="655">
        <f t="shared" si="43"/>
        <v>0.11159804950311702</v>
      </c>
      <c r="FA62" s="655">
        <f t="shared" si="43"/>
        <v>5.4084069076572927E-2</v>
      </c>
      <c r="FB62" s="655">
        <f t="shared" si="43"/>
        <v>7.3592161407575185E-2</v>
      </c>
      <c r="FC62" s="655">
        <f t="shared" si="43"/>
        <v>8.9303238469087276E-3</v>
      </c>
      <c r="FD62" s="655">
        <f t="shared" si="43"/>
        <v>0.10164380896799918</v>
      </c>
      <c r="FE62" s="655">
        <f t="shared" si="43"/>
        <v>0.30148331273176754</v>
      </c>
      <c r="FF62" s="655">
        <f t="shared" si="43"/>
        <v>-1.4653406238552824E-3</v>
      </c>
      <c r="FG62" s="655">
        <f t="shared" si="43"/>
        <v>7.8300156260615594E-2</v>
      </c>
      <c r="FH62" s="655">
        <f t="shared" si="43"/>
        <v>3.244809879343391E-3</v>
      </c>
      <c r="FI62" s="655">
        <f t="shared" si="43"/>
        <v>-0.43980405702443004</v>
      </c>
      <c r="FJ62" s="655">
        <f t="shared" si="43"/>
        <v>-2.556053811659198E-2</v>
      </c>
      <c r="FK62" s="655">
        <f t="shared" si="43"/>
        <v>7.4206166589967371E-3</v>
      </c>
      <c r="FL62" s="655">
        <f t="shared" si="43"/>
        <v>3.3289556329583636E-2</v>
      </c>
      <c r="FM62" s="657">
        <f t="shared" si="43"/>
        <v>3.7858311229000741E-2</v>
      </c>
      <c r="FN62" s="657">
        <f t="shared" si="43"/>
        <v>5.9847663745074664E-2</v>
      </c>
      <c r="FO62" s="655">
        <f t="shared" si="43"/>
        <v>-2.4158647276515399E-3</v>
      </c>
      <c r="FP62" s="655">
        <f t="shared" si="43"/>
        <v>-6.9016846517304331E-2</v>
      </c>
      <c r="FQ62" s="657">
        <f t="shared" si="43"/>
        <v>-5.0147476173715511E-2</v>
      </c>
      <c r="FR62" s="657">
        <f t="shared" si="43"/>
        <v>1.1362550236440283E-2</v>
      </c>
      <c r="FS62" s="655">
        <f t="shared" si="43"/>
        <v>-2.809842896559489E-2</v>
      </c>
      <c r="FT62" s="655">
        <f t="shared" si="43"/>
        <v>-0.24768250289687133</v>
      </c>
      <c r="FU62" s="655">
        <f t="shared" si="43"/>
        <v>-8.6715440893338491E-2</v>
      </c>
      <c r="FV62" s="655">
        <f t="shared" si="43"/>
        <v>3.3561008516738378E-2</v>
      </c>
      <c r="FW62" s="655">
        <f t="shared" si="43"/>
        <v>3.0023659949416581E-2</v>
      </c>
      <c r="FX62" s="655">
        <f t="shared" si="43"/>
        <v>-6.1782178217821837E-3</v>
      </c>
      <c r="FY62" s="655">
        <f t="shared" si="43"/>
        <v>-3.2677133976248829E-3</v>
      </c>
      <c r="FZ62" s="655">
        <f t="shared" si="43"/>
        <v>-3.6138173676635188E-2</v>
      </c>
      <c r="GA62" s="655">
        <f t="shared" si="43"/>
        <v>-2.7259803354540257E-2</v>
      </c>
      <c r="GB62" s="658">
        <f>GB10/GA10-1</f>
        <v>-3.3935065710872125E-2</v>
      </c>
      <c r="GC62" s="655">
        <f>GC10/GB10-1</f>
        <v>-4.1259974905897057E-2</v>
      </c>
      <c r="GD62" s="1458">
        <f>GD10/GC10-1</f>
        <v>-5.3219022457067444E-2</v>
      </c>
      <c r="GL62" s="587"/>
    </row>
    <row r="63" spans="1:199">
      <c r="A63" s="500" t="s">
        <v>255</v>
      </c>
      <c r="B63" s="507"/>
      <c r="C63" s="655">
        <f>INDEX('qtrP&amp;L'!$10:$10,MATCH(C$7,'qtrP&amp;L'!$6:$6,0)+2)%</f>
        <v>2.1000000000000001E-2</v>
      </c>
      <c r="D63" s="655">
        <f>INDEX('qtrP&amp;L'!$11:$11,MATCH(C$7,'qtrP&amp;L'!$6:$6,0)+2)%</f>
        <v>4.5999999999999999E-2</v>
      </c>
      <c r="E63" s="655">
        <f>INDEX('qtrP&amp;L'!$12:$12,MATCH(C$7,'qtrP&amp;L'!$6:$6,0)+2)%</f>
        <v>0.113</v>
      </c>
      <c r="F63" s="655">
        <f>INDEX('qtrP&amp;L'!$13:$13,MATCH(C$7,'qtrP&amp;L'!$6:$6,0)+2)%</f>
        <v>7.6999999999999999E-2</v>
      </c>
      <c r="G63" s="507"/>
      <c r="H63" s="655">
        <f>INDEX('qtrP&amp;L'!$10:$10,MATCH(H$7,'qtrP&amp;L'!$6:$6,0)+2)%</f>
        <v>4.2999999999999997E-2</v>
      </c>
      <c r="I63" s="655">
        <f>INDEX('qtrP&amp;L'!$11:$11,MATCH(H$7,'qtrP&amp;L'!$6:$6,0)+2)%</f>
        <v>2.2000000000000002E-2</v>
      </c>
      <c r="J63" s="655">
        <f>INDEX('qtrP&amp;L'!$12:$12,MATCH(H$7,'qtrP&amp;L'!$6:$6,0)+2)%</f>
        <v>-3.6000000000000004E-2</v>
      </c>
      <c r="K63" s="655">
        <f>INDEX('qtrP&amp;L'!$13:$13,MATCH(H$7,'qtrP&amp;L'!$6:$6,0)+2)%</f>
        <v>-2.2000000000000002E-2</v>
      </c>
      <c r="L63" s="507"/>
      <c r="M63" s="655">
        <f>INDEX('qtrP&amp;L'!$10:$10,MATCH(M$7,'qtrP&amp;L'!$6:$6,0)+2)%</f>
        <v>-5.2000000000000005E-2</v>
      </c>
      <c r="N63" s="655">
        <f>INDEX('qtrP&amp;L'!$11:$11,MATCH(M$7,'qtrP&amp;L'!$6:$6,0)+2)%</f>
        <v>-5.2999999999999999E-2</v>
      </c>
      <c r="O63" s="655">
        <f>INDEX('qtrP&amp;L'!$12:$12,MATCH(M$7,'qtrP&amp;L'!$6:$6,0)+2)%</f>
        <v>-0.03</v>
      </c>
      <c r="P63" s="655">
        <f>INDEX('qtrP&amp;L'!$13:$13,MATCH(M$7,'qtrP&amp;L'!$6:$6,0)+2)%</f>
        <v>5.0000000000000001E-3</v>
      </c>
      <c r="Q63" s="507"/>
      <c r="R63" s="655">
        <f>INDEX('qtrP&amp;L'!$10:$10,MATCH(R$7,'qtrP&amp;L'!$6:$6,0)+2)%</f>
        <v>0.12</v>
      </c>
      <c r="S63" s="655">
        <f>INDEX('qtrP&amp;L'!$11:$11,MATCH(R$7,'qtrP&amp;L'!$6:$6,0)+2)%</f>
        <v>0.106</v>
      </c>
      <c r="T63" s="655">
        <f>INDEX('qtrP&amp;L'!$12:$12,MATCH(R$7,'qtrP&amp;L'!$6:$6,0)+2)%</f>
        <v>0.105</v>
      </c>
      <c r="U63" s="655">
        <f>INDEX('qtrP&amp;L'!$13:$13,MATCH(R$7,'qtrP&amp;L'!$6:$6,0)+2)%</f>
        <v>0.08</v>
      </c>
      <c r="V63" s="507"/>
      <c r="W63" s="655">
        <f>INDEX('qtrP&amp;L'!$10:$10,MATCH(W$7,'qtrP&amp;L'!$6:$6,0)+2)%</f>
        <v>4.7E-2</v>
      </c>
      <c r="X63" s="655">
        <f>INDEX('qtrP&amp;L'!$11:$11,MATCH(W$7,'qtrP&amp;L'!$6:$6,0)+2)%</f>
        <v>2.6000000000000002E-2</v>
      </c>
      <c r="Y63" s="655">
        <f>INDEX('qtrP&amp;L'!$12:$12,MATCH(W$7,'qtrP&amp;L'!$6:$6,0)+2)%</f>
        <v>7.4999999999999997E-2</v>
      </c>
      <c r="Z63" s="655">
        <f>INDEX('qtrP&amp;L'!$13:$13,MATCH(W$7,'qtrP&amp;L'!$6:$6,0)+2)%</f>
        <v>0.10199999999999999</v>
      </c>
      <c r="AA63" s="507"/>
      <c r="AB63" s="655">
        <f>INDEX('qtrP&amp;L'!$10:$10,MATCH(AB$7,'qtrP&amp;L'!$6:$6,0)+2)%</f>
        <v>0.1</v>
      </c>
      <c r="AC63" s="655">
        <f>INDEX('qtrP&amp;L'!$11:$11,MATCH(AB$7,'qtrP&amp;L'!$6:$6,0)+2)%</f>
        <v>0.05</v>
      </c>
      <c r="AD63" s="655">
        <f>INDEX('qtrP&amp;L'!$12:$12,MATCH(AB$7,'qtrP&amp;L'!$6:$6,0)+2)%</f>
        <v>8.199999999999999E-2</v>
      </c>
      <c r="AE63" s="655">
        <f>INDEX('qtrP&amp;L'!$13:$13,MATCH(AB$7,'qtrP&amp;L'!$6:$6,0)+2)%</f>
        <v>5.5999999999999994E-2</v>
      </c>
      <c r="AF63" s="507"/>
      <c r="AG63" s="655">
        <f>INDEX('qtrP&amp;L'!$10:$10,MATCH(AG$7,'qtrP&amp;L'!$6:$6,0)+2)%</f>
        <v>-1.2E-2</v>
      </c>
      <c r="AH63" s="655">
        <f>INDEX('qtrP&amp;L'!$11:$11,MATCH(AG$7,'qtrP&amp;L'!$6:$6,0)+2)%</f>
        <v>2.2000000000000002E-2</v>
      </c>
      <c r="AI63" s="655">
        <f>INDEX('qtrP&amp;L'!$12:$12,MATCH(AG$7,'qtrP&amp;L'!$6:$6,0)+2)%</f>
        <v>-3.1E-2</v>
      </c>
      <c r="AJ63" s="655">
        <f>INDEX('qtrP&amp;L'!$13:$13,MATCH(AG$7,'qtrP&amp;L'!$6:$6,0)+2)%</f>
        <v>-2.5000000000000001E-2</v>
      </c>
      <c r="AK63" s="507"/>
      <c r="AL63" s="655">
        <f>INDEX('qtrP&amp;L'!$10:$10,MATCH(AL$7,'qtrP&amp;L'!$6:$6,0)+2)%</f>
        <v>-8.0000000000000002E-3</v>
      </c>
      <c r="AM63" s="655">
        <f>INDEX('qtrP&amp;L'!$11:$11,MATCH(AL$7,'qtrP&amp;L'!$6:$6,0)+2)%</f>
        <v>4.0000000000000001E-3</v>
      </c>
      <c r="AN63" s="655">
        <f>INDEX('qtrP&amp;L'!$12:$12,MATCH(AL$7,'qtrP&amp;L'!$6:$6,0)+2)%</f>
        <v>6.2E-2</v>
      </c>
      <c r="AO63" s="655">
        <f>INDEX('qtrP&amp;L'!$13:$13,MATCH(AL$7,'qtrP&amp;L'!$6:$6,0)+2)%</f>
        <v>5.5999999999999994E-2</v>
      </c>
      <c r="AP63" s="507"/>
      <c r="AQ63" s="655">
        <f>INDEX('qtrP&amp;L'!$10:$10,MATCH(AQ$7,'qtrP&amp;L'!$6:$6,0)+2)%</f>
        <v>4.4999999999999998E-2</v>
      </c>
      <c r="AR63" s="655">
        <f>INDEX('qtrP&amp;L'!$11:$11,MATCH(AQ$7,'qtrP&amp;L'!$6:$6,0)+2)%</f>
        <v>0.02</v>
      </c>
      <c r="AS63" s="655">
        <f>INDEX('qtrP&amp;L'!$12:$12,MATCH(AQ$7,'qtrP&amp;L'!$6:$6,0)+2)%</f>
        <v>-2.5000000000000001E-2</v>
      </c>
      <c r="AT63" s="655">
        <f>INDEX('qtrP&amp;L'!$13:$13,MATCH(AQ$7,'qtrP&amp;L'!$6:$6,0)+2)%</f>
        <v>-2.7999999999999997E-2</v>
      </c>
      <c r="AU63" s="507"/>
      <c r="AV63" s="655">
        <f>INDEX('qtrP&amp;L'!$10:$10,MATCH(AV$7,'qtrP&amp;L'!$6:$6,0)+2)%</f>
        <v>1.9E-2</v>
      </c>
      <c r="AW63" s="655">
        <f>INDEX('qtrP&amp;L'!$11:$11,MATCH(AV$7,'qtrP&amp;L'!$6:$6,0)+2)%</f>
        <v>-2.5000000000000001E-2</v>
      </c>
      <c r="AX63" s="655">
        <f>INDEX('qtrP&amp;L'!$12:$12,MATCH(AV$7,'qtrP&amp;L'!$6:$6,0)+2)%</f>
        <v>-0.04</v>
      </c>
      <c r="AY63" s="655">
        <f>INDEX('qtrP&amp;L'!$13:$13,MATCH(AV$7,'qtrP&amp;L'!$6:$6,0)+2)%</f>
        <v>-2.7999999999999997E-2</v>
      </c>
      <c r="AZ63" s="507"/>
      <c r="BA63" s="655">
        <f>INDEX('qtrP&amp;L'!$10:$10,MATCH(BA$7,'qtrP&amp;L'!$6:$6,0)+2)%</f>
        <v>-5.0000000000000001E-3</v>
      </c>
      <c r="BB63" s="655">
        <f>INDEX('qtrP&amp;L'!$11:$11,MATCH(BA$7,'qtrP&amp;L'!$6:$6,0)+2)%</f>
        <v>0</v>
      </c>
      <c r="BC63" s="655">
        <f>INDEX('qtrP&amp;L'!$12:$12,MATCH(BA$7,'qtrP&amp;L'!$6:$6,0)+2)%</f>
        <v>-0.03</v>
      </c>
      <c r="BD63" s="655">
        <f>INDEX('qtrP&amp;L'!$13:$13,MATCH(BA$7,'qtrP&amp;L'!$6:$6,0)+2)%</f>
        <v>-1.3999999999999999E-2</v>
      </c>
      <c r="BE63" s="507"/>
      <c r="BF63" s="655">
        <f>INDEX('qtrP&amp;L'!$10:$10,MATCH(BF$7,'qtrP&amp;L'!$6:$6,0)+2)%</f>
        <v>-3.1E-2</v>
      </c>
      <c r="BG63" s="655">
        <f>INDEX('qtrP&amp;L'!$11:$11,MATCH(BF$7,'qtrP&amp;L'!$6:$6,0)+2)%</f>
        <v>-1.4999999999999999E-2</v>
      </c>
      <c r="BH63" s="655">
        <f>INDEX('qtrP&amp;L'!$12:$12,MATCH(BF$7,'qtrP&amp;L'!$6:$6,0)+2)%</f>
        <v>-3.7000000000000005E-2</v>
      </c>
      <c r="BI63" s="655">
        <f>INDEX('qtrP&amp;L'!$13:$13,MATCH(BF$7,'qtrP&amp;L'!$6:$6,0)+2)%</f>
        <v>-1.6E-2</v>
      </c>
      <c r="BJ63" s="507"/>
      <c r="BK63" s="655">
        <f>INDEX('qtrP&amp;L'!$10:$10,MATCH(BK$7,'qtrP&amp;L'!$6:$6,0)+2)%</f>
        <v>-1.4999999999999999E-2</v>
      </c>
      <c r="BL63" s="655">
        <f>INDEX('qtrP&amp;L'!$11:$11,MATCH(BK$7,'qtrP&amp;L'!$6:$6,0)+2)%</f>
        <v>-1.4999999999999999E-2</v>
      </c>
      <c r="BM63" s="655">
        <f>INDEX('qtrP&amp;L'!$12:$12,MATCH(BK$7,'qtrP&amp;L'!$6:$6,0)+2)%</f>
        <v>5.0999999999999997E-2</v>
      </c>
      <c r="BN63" s="655">
        <f>INDEX('qtrP&amp;L'!$13:$13,MATCH(BK$7,'qtrP&amp;L'!$6:$6,0)+2)%</f>
        <v>0.01</v>
      </c>
      <c r="BO63" s="507"/>
      <c r="BP63" s="655">
        <f>INDEX('qtrP&amp;L'!$10:$10,MATCH(BP$7,'qtrP&amp;L'!$6:$6,0)+2)%</f>
        <v>4.4000000000000004E-2</v>
      </c>
      <c r="BQ63" s="655">
        <f>INDEX('qtrP&amp;L'!$11:$11,MATCH(BP$7,'qtrP&amp;L'!$6:$6,0)+2)%</f>
        <v>-2.4E-2</v>
      </c>
      <c r="BR63" s="655">
        <f>INDEX('qtrP&amp;L'!$12:$12,MATCH(BP$7,'qtrP&amp;L'!$6:$6,0)+2)%</f>
        <v>3.9E-2</v>
      </c>
      <c r="BS63" s="655">
        <f>INDEX('qtrP&amp;L'!$13:$13,MATCH(BP$7,'qtrP&amp;L'!$6:$6,0)+2)%</f>
        <v>1.9E-2</v>
      </c>
      <c r="BT63" s="507"/>
      <c r="BU63" s="655">
        <f>INDEX('qtrP&amp;L'!$10:$10,MATCH(BU$7,'qtrP&amp;L'!$6:$6,0)+2)%</f>
        <v>-4.5999999999999999E-2</v>
      </c>
      <c r="BV63" s="655">
        <f>INDEX('qtrP&amp;L'!$11:$11,MATCH(BU$7,'qtrP&amp;L'!$6:$6,0)+2)%</f>
        <v>2.5000000000000001E-2</v>
      </c>
      <c r="BW63" s="655">
        <f>INDEX('qtrP&amp;L'!$12:$12,MATCH(BU$7,'qtrP&amp;L'!$6:$6,0)+2)%</f>
        <v>1.7000000000000001E-2</v>
      </c>
      <c r="BX63" s="655">
        <f>INDEX('qtrP&amp;L'!$13:$13,MATCH(BU$7,'qtrP&amp;L'!$6:$6,0)+2)%</f>
        <v>2.7999999999999997E-2</v>
      </c>
      <c r="BY63" s="507"/>
      <c r="BZ63" s="655">
        <f>INDEX('qtrP&amp;L'!$10:$10,MATCH(BZ$7,'qtrP&amp;L'!$6:$6,0)+2)%</f>
        <v>9.0999999999999998E-2</v>
      </c>
      <c r="CA63" s="655">
        <f>INDEX('qtrP&amp;L'!$11:$11,MATCH(BZ$7,'qtrP&amp;L'!$6:$6,0)+2)%</f>
        <v>6.9000000000000006E-2</v>
      </c>
      <c r="CB63" s="655">
        <f>INDEX('qtrP&amp;L'!$12:$12,MATCH(BZ$7,'qtrP&amp;L'!$6:$6,0)+2)%</f>
        <v>2.6202364955657077E-2</v>
      </c>
      <c r="CC63" s="655">
        <f>INDEX('qtrP&amp;L'!$13:$13,MATCH(BZ$7,'qtrP&amp;L'!$6:$6,0)+2)%</f>
        <v>2.7999999999999997E-2</v>
      </c>
      <c r="CD63" s="507"/>
      <c r="CE63" s="655">
        <f>INDEX('qtrP&amp;L'!$10:$10,MATCH(CE$7,'qtrP&amp;L'!$6:$6,0)+2)%</f>
        <v>0.03</v>
      </c>
      <c r="CF63" s="655">
        <f>INDEX('qtrP&amp;L'!$11:$11,MATCH(CE$7,'qtrP&amp;L'!$6:$6,0)+2)%</f>
        <v>4.2000000000000003E-2</v>
      </c>
      <c r="CG63" s="655">
        <f>INDEX('qtrP&amp;L'!$12:$12,MATCH(CE$7,'qtrP&amp;L'!$6:$6,0)+2)%</f>
        <v>2.5000000000000001E-2</v>
      </c>
      <c r="CH63" s="655">
        <f>INDEX('qtrP&amp;L'!$13:$13,MATCH(CE$7,'qtrP&amp;L'!$6:$6,0)+2)%</f>
        <v>2.6000000000000002E-2</v>
      </c>
      <c r="CI63" s="507"/>
      <c r="CJ63" s="655">
        <f>INDEX('qtrP&amp;L'!$10:$10,MATCH(CJ$7,'qtrP&amp;L'!$6:$6,0)+2)%</f>
        <v>2.6000000000000002E-2</v>
      </c>
      <c r="CK63" s="655">
        <f>INDEX('qtrP&amp;L'!$11:$11,MATCH(CJ$7,'qtrP&amp;L'!$6:$6,0)+2)%</f>
        <v>7.5999999999999998E-2</v>
      </c>
      <c r="CL63" s="655">
        <f>INDEX('qtrP&amp;L'!$12:$12,MATCH(CJ$7,'qtrP&amp;L'!$6:$6,0)+2)%</f>
        <v>6.5000000000000002E-2</v>
      </c>
      <c r="CM63" s="655">
        <f>INDEX('qtrP&amp;L'!$13:$13,MATCH(CJ$7,'qtrP&amp;L'!$6:$6,0)+2)%</f>
        <v>3.2000000000000001E-2</v>
      </c>
      <c r="CN63" s="507"/>
      <c r="CO63" s="655">
        <f>INDEX('qtrP&amp;L'!$10:$10,MATCH(CO$7,'qtrP&amp;L'!$6:$6,0)+2)%</f>
        <v>3.4000000000000002E-2</v>
      </c>
      <c r="CP63" s="655">
        <f>INDEX('qtrP&amp;L'!$11:$11,MATCH(CO$7,'qtrP&amp;L'!$6:$6,0)+2)%</f>
        <v>2.8999999999999998E-2</v>
      </c>
      <c r="CQ63" s="655">
        <f>INDEX('qtrP&amp;L'!$12:$12,MATCH(CO$7,'qtrP&amp;L'!$6:$6,0)+2)%</f>
        <v>-2.4E-2</v>
      </c>
      <c r="CR63" s="655">
        <f>INDEX('qtrP&amp;L'!$13:$13,MATCH(CO$7,'qtrP&amp;L'!$6:$6,0)+2)%</f>
        <v>-2.3E-2</v>
      </c>
      <c r="CS63" s="507"/>
      <c r="CT63" s="655">
        <f>INDEX('qtrP&amp;L'!$10:$10,MATCH(CT$7,'qtrP&amp;L'!$6:$6,0)+2)%</f>
        <v>-7.400000000000001E-2</v>
      </c>
      <c r="CU63" s="655">
        <f>INDEX('qtrP&amp;L'!$11:$11,MATCH(CT$7,'qtrP&amp;L'!$6:$6,0)+2)%</f>
        <v>-4.2999999999999997E-2</v>
      </c>
      <c r="CV63" s="655">
        <f>INDEX('qtrP&amp;L'!$12:$12,MATCH(CT$7,'qtrP&amp;L'!$6:$6,0)+2)%</f>
        <v>-0.10099999999999999</v>
      </c>
      <c r="CW63" s="655">
        <f>INDEX('qtrP&amp;L'!$13:$13,MATCH(CT$7,'qtrP&amp;L'!$6:$6,0)+2)%</f>
        <v>-0.10800000000000001</v>
      </c>
      <c r="CX63" s="581"/>
      <c r="CY63" s="655">
        <f>INDEX('qtrP&amp;L'!$10:$10,MATCH(CY$7,'qtrP&amp;L'!$6:$6,0)+2)%</f>
        <v>-7.4999999999999997E-2</v>
      </c>
      <c r="CZ63" s="655">
        <f>INDEX('qtrP&amp;L'!$11:$11,MATCH(CY$7,'qtrP&amp;L'!$6:$6,0)+2)%</f>
        <v>-9.5000000000000001E-2</v>
      </c>
      <c r="DA63" s="655">
        <f>INDEX('qtrP&amp;L'!$12:$12,MATCH(CY$7,'qtrP&amp;L'!$6:$6,0)+2)%</f>
        <v>-4.5999999999999999E-2</v>
      </c>
      <c r="DB63" s="655">
        <f>INDEX('qtrP&amp;L'!$13:$13,MATCH(CY$7,'qtrP&amp;L'!$6:$6,0)+2)%</f>
        <v>-4.4999999999999998E-2</v>
      </c>
      <c r="DC63" s="507"/>
      <c r="DD63" s="655">
        <f>INDEX('qtrP&amp;L'!$10:$10,MATCH(DD$7,'qtrP&amp;L'!$6:$6,0)+2)%</f>
        <v>1.6E-2</v>
      </c>
      <c r="DE63" s="655">
        <f>INDEX('qtrP&amp;L'!$11:$11,MATCH(DD$7,'qtrP&amp;L'!$6:$6,0)+2)%</f>
        <v>9.0000000000000011E-3</v>
      </c>
      <c r="DF63" s="655">
        <f>INDEX('qtrP&amp;L'!$12:$12,MATCH(DD$7,'qtrP&amp;L'!$6:$6,0)+2)%</f>
        <v>1.9E-2</v>
      </c>
      <c r="DG63" s="655">
        <f>INDEX('qtrP&amp;L'!$13:$13,MATCH(DD$7,'qtrP&amp;L'!$6:$6,0)+2)%</f>
        <v>4.4999999999999998E-2</v>
      </c>
      <c r="DH63" s="507"/>
      <c r="DI63" s="655">
        <f>INDEX('qtrP&amp;L'!$10:$10,MATCH(DI$7,'qtrP&amp;L'!$6:$6,0)+2)%</f>
        <v>3.7999999999999999E-2</v>
      </c>
      <c r="DJ63" s="655">
        <f>INDEX('qtrP&amp;L'!$11:$11,MATCH(DI$7,'qtrP&amp;L'!$6:$6,0)+2)%</f>
        <v>1.4999999999999999E-2</v>
      </c>
      <c r="DK63" s="655">
        <f>INDEX('qtrP&amp;L'!$12:$12,MATCH(DI$7,'qtrP&amp;L'!$6:$6,0)+2)%</f>
        <v>-1.6E-2</v>
      </c>
      <c r="DL63" s="655">
        <f>INDEX('qtrP&amp;L'!$13:$13,MATCH(DI$7,'qtrP&amp;L'!$6:$6,0)+2)%</f>
        <v>-1.8000000000000002E-2</v>
      </c>
      <c r="DM63" s="507"/>
      <c r="DN63" s="655">
        <f>INDEX('qtrP&amp;L'!$10:$10,MATCH(DN$7,'qtrP&amp;L'!$6:$6,0)+2)%</f>
        <v>-0.18899999999999997</v>
      </c>
      <c r="DO63" s="655">
        <f>INDEX('qtrP&amp;L'!$11:$11,MATCH(DN$7,'qtrP&amp;L'!$6:$6,0)+2)%</f>
        <v>-0.217</v>
      </c>
      <c r="DP63" s="655">
        <f>INDEX('qtrP&amp;L'!$12:$12,MATCH(DN$7,'qtrP&amp;L'!$6:$6,0)+2)%</f>
        <v>-0.26100000000000001</v>
      </c>
      <c r="DQ63" s="655">
        <f>INDEX('qtrP&amp;L'!$13:$13,MATCH(DN$7,'qtrP&amp;L'!$6:$6,0)+2)%</f>
        <v>-0.317</v>
      </c>
      <c r="DR63" s="507"/>
      <c r="DS63" s="655">
        <f>INDEX('qtrP&amp;L'!$10:$10,MATCH(DS$7,'qtrP&amp;L'!$6:$6,0)+2)%</f>
        <v>-0.16600000000000001</v>
      </c>
      <c r="DT63" s="655">
        <f>INDEX('qtrP&amp;L'!$11:$11,MATCH(DS$7,'qtrP&amp;L'!$6:$6,0)+2)%</f>
        <v>-0.11900000000000001</v>
      </c>
      <c r="DU63" s="655">
        <f>INDEX('qtrP&amp;L'!$12:$12,MATCH(DS$7,'qtrP&amp;L'!$6:$6,0)+2)%</f>
        <v>-4.8000000000000001E-2</v>
      </c>
      <c r="DV63" s="655">
        <f>INDEX('qtrP&amp;L'!$13:$13,MATCH(DS$7,'qtrP&amp;L'!$6:$6,0)+2)%</f>
        <v>0.02</v>
      </c>
      <c r="DW63" s="507"/>
      <c r="DX63" s="655">
        <f>INDEX('qtrP&amp;L'!$10:$10,MATCH(DX$7,'qtrP&amp;L'!$6:$6,0)+2)%</f>
        <v>6.2E-2</v>
      </c>
      <c r="DY63" s="655">
        <f>INDEX('qtrP&amp;L'!$11:$11,MATCH(DX$7,'qtrP&amp;L'!$6:$6,0)+2)%</f>
        <v>0.06</v>
      </c>
      <c r="DZ63" s="655">
        <f>INDEX('qtrP&amp;L'!$12:$12,MATCH(DX$7,'qtrP&amp;L'!$6:$6,0)+2)%</f>
        <v>0</v>
      </c>
      <c r="EA63" s="655">
        <f>INDEX('qtrP&amp;L'!$13:$13,MATCH(DX$7,'qtrP&amp;L'!$6:$6,0)+2)%</f>
        <v>4.4000000000000004E-2</v>
      </c>
      <c r="EB63" s="507"/>
      <c r="EC63" s="655">
        <f>INDEX('qtrP&amp;L'!$10:$10,MATCH(EC$7,'qtrP&amp;L'!$6:$6,0)+2)%</f>
        <v>3.4000000000000002E-2</v>
      </c>
      <c r="ED63" s="655">
        <f>INDEX('qtrP&amp;L'!$11:$11,MATCH(EC$7,'qtrP&amp;L'!$6:$6,0)+2)%</f>
        <v>4.0999999999999995E-2</v>
      </c>
      <c r="EE63" s="655">
        <f>INDEX('qtrP&amp;L'!$12:$12,MATCH(EC$7,'qtrP&amp;L'!$6:$6,0)+2)%</f>
        <v>6.4000000000000001E-2</v>
      </c>
      <c r="EF63" s="655">
        <f>INDEX('qtrP&amp;L'!$13:$13,MATCH(EC$7,'qtrP&amp;L'!$6:$6,0)+2)%</f>
        <v>4.0999999999999995E-2</v>
      </c>
      <c r="EG63" s="507"/>
      <c r="EH63" s="655">
        <f>INDEX('qtrP&amp;L'!$10:$10,MATCH(EH$7,'qtrP&amp;L'!$6:$6,0)+2)%</f>
        <v>-4.0000000000000001E-3</v>
      </c>
      <c r="EI63" s="655">
        <f>INDEX('qtrP&amp;L'!$11:$11,MATCH(EH$7,'qtrP&amp;L'!$6:$6,0)+2)%</f>
        <v>2.2000000000000002E-2</v>
      </c>
      <c r="EJ63" s="655">
        <f>INDEX('qtrP&amp;L'!$12:$12,MATCH(EH$7,'qtrP&amp;L'!$6:$6,0)+2)%</f>
        <v>-8.0000000000000002E-3</v>
      </c>
      <c r="EK63" s="655">
        <f>INDEX('qtrP&amp;L'!$13:$13,MATCH(EH$7,'qtrP&amp;L'!$6:$6,0)+2)%</f>
        <v>-6.9999999999999993E-3</v>
      </c>
      <c r="EL63" s="507"/>
      <c r="EM63" s="655">
        <f>INDEX('qtrP&amp;L'!$10:$10,MATCH(EM$7,'qtrP&amp;L'!$6:$6,0)+2)%</f>
        <v>-3.5000000000000003E-2</v>
      </c>
      <c r="EN63" s="655">
        <f>INDEX('qtrP&amp;L'!$11:$11,MATCH(EM$7,'qtrP&amp;L'!$6:$6,0)+2)%</f>
        <v>-1.3000000000000001E-2</v>
      </c>
      <c r="EO63" s="655">
        <f>INDEX('qtrP&amp;L'!$12:$12,MATCH(EM$7,'qtrP&amp;L'!$6:$6,0)+2)%</f>
        <v>1.7000000000000001E-2</v>
      </c>
      <c r="EP63" s="655">
        <f>INDEX('qtrP&amp;L'!$13:$13,MATCH(EM$7,'qtrP&amp;L'!$6:$6,0)+2)%</f>
        <v>2.6000000000000002E-2</v>
      </c>
      <c r="EQ63" s="507"/>
      <c r="ER63" s="1480">
        <f>INDEX('qtrP&amp;L'!$10:$10,MATCH(ER$7,'qtrP&amp;L'!$6:$6,0)+2)%</f>
        <v>0.04</v>
      </c>
      <c r="ES63" s="1480">
        <f>INDEX('qtrP&amp;L'!$11:$11,MATCH(ER$7,'qtrP&amp;L'!$6:$6,0)+2)%</f>
        <v>0.01</v>
      </c>
      <c r="ET63" s="1480">
        <f>INDEX('qtrP&amp;L'!$12:$12,MATCH(ER$7,'qtrP&amp;L'!$6:$6,0)+2)%</f>
        <v>-5.0000000000000001E-3</v>
      </c>
      <c r="EU63" s="1480">
        <f>INDEX('qtrP&amp;L'!$13:$13,MATCH(ER$7,'qtrP&amp;L'!$6:$6,0)+2)%</f>
        <v>-0.01</v>
      </c>
      <c r="EV63" s="507"/>
      <c r="EW63" s="657">
        <f>INDEX('qtrP&amp;L'!$14:$14,MATCH(EW$7,'qtrP&amp;L'!$6:$6,0)+2)%</f>
        <v>7.2000000000000008E-2</v>
      </c>
      <c r="EX63" s="655">
        <f>INDEX('qtrP&amp;L'!$14:$14,MATCH(EX$7,'qtrP&amp;L'!$6:$6,0)+2)%</f>
        <v>-3.0000000000000001E-3</v>
      </c>
      <c r="EY63" s="655">
        <f>INDEX('qtrP&amp;L'!$14:$14,MATCH(EY$7,'qtrP&amp;L'!$6:$6,0)+2)%</f>
        <v>-1.4999999999999999E-2</v>
      </c>
      <c r="EZ63" s="655">
        <f>INDEX('qtrP&amp;L'!$14:$14,MATCH(EZ$7,'qtrP&amp;L'!$6:$6,0)+2)%</f>
        <v>9.6999999999999989E-2</v>
      </c>
      <c r="FA63" s="655">
        <f>INDEX('qtrP&amp;L'!$14:$14,MATCH(FA$7,'qtrP&amp;L'!$6:$6,0)+2)%</f>
        <v>5.2999999999999999E-2</v>
      </c>
      <c r="FB63" s="655">
        <f>INDEX('qtrP&amp;L'!$14:$14,MATCH(FB$7,'qtrP&amp;L'!$6:$6,0)+2)%</f>
        <v>7.0711579980372904E-2</v>
      </c>
      <c r="FC63" s="655">
        <f>INDEX('qtrP&amp;L'!$14:$14,MATCH(FC$7,'qtrP&amp;L'!$6:$6,0)+2)%</f>
        <v>-1.3597996303861491E-2</v>
      </c>
      <c r="FD63" s="655">
        <f>INDEX('qtrP&amp;L'!$14:$14,MATCH(FD$7,'qtrP&amp;L'!$6:$6,0)+2)%</f>
        <v>3.4540325784664282E-2</v>
      </c>
      <c r="FE63" s="655">
        <f>INDEX('qtrP&amp;L'!$14:$14,MATCH(FE$7,'qtrP&amp;L'!$6:$6,0)+2)%</f>
        <v>-8.4162110090498486E-4</v>
      </c>
      <c r="FF63" s="655">
        <f>INDEX('qtrP&amp;L'!$14:$14,MATCH(FF$7,'qtrP&amp;L'!$6:$6,0)+2)%</f>
        <v>-1.9E-2</v>
      </c>
      <c r="FG63" s="655">
        <f>INDEX('qtrP&amp;L'!$14:$14,MATCH(FG$7,'qtrP&amp;L'!$6:$6,0)+2)%</f>
        <v>-1.1000000000000001E-2</v>
      </c>
      <c r="FH63" s="655">
        <f>INDEX('qtrP&amp;L'!$14:$14,MATCH(FH$7,'qtrP&amp;L'!$6:$6,0)+2)%</f>
        <v>-2.4E-2</v>
      </c>
      <c r="FI63" s="655">
        <f>INDEX('qtrP&amp;L'!$14:$14,MATCH(FI$7,'qtrP&amp;L'!$6:$6,0)+2)%</f>
        <v>3.125E-2</v>
      </c>
      <c r="FJ63" s="655">
        <f>INDEX('qtrP&amp;L'!$14:$14,MATCH(FJ$7,'qtrP&amp;L'!$6:$6,0)+2)%</f>
        <v>2.8250000000000001E-2</v>
      </c>
      <c r="FK63" s="655">
        <f>INDEX('qtrP&amp;L'!$14:$14,MATCH(FK$7,'qtrP&amp;L'!$6:$6,0)+2)%</f>
        <v>8.0000000000000002E-3</v>
      </c>
      <c r="FL63" s="655">
        <f>INDEX('qtrP&amp;L'!$14:$14,MATCH(FL$7,'qtrP&amp;L'!$6:$6,0)+2)%</f>
        <v>4.9000000000000002E-2</v>
      </c>
      <c r="FM63" s="657">
        <f>INDEX('qtrP&amp;L'!$14:$14,MATCH(FM$7,'qtrP&amp;L'!$6:$6,0)+2)%</f>
        <v>2.8999999999999998E-2</v>
      </c>
      <c r="FN63" s="657">
        <f>INDEX('qtrP&amp;L'!$14:$14,MATCH(FN$7,'qtrP&amp;L'!$6:$6,0)+2)%</f>
        <v>4.9625677213785739E-2</v>
      </c>
      <c r="FO63" s="655">
        <f>INDEX('qtrP&amp;L'!$14:$14,MATCH(FO$7,'qtrP&amp;L'!$6:$6,0)+2)%</f>
        <v>3.7257893941683045E-3</v>
      </c>
      <c r="FP63" s="655">
        <f>INDEX('qtrP&amp;L'!$14:$14,MATCH(FP$7,'qtrP&amp;L'!$6:$6,0)+2)%</f>
        <v>-8.5000000000000006E-2</v>
      </c>
      <c r="FQ63" s="657">
        <f>INDEX('qtrP&amp;L'!$14:$14,MATCH(FQ$7,'qtrP&amp;L'!$6:$6,0)+2)%</f>
        <v>-6.3080360850075165E-2</v>
      </c>
      <c r="FR63" s="657">
        <f>INDEX('qtrP&amp;L'!$14:$14,MATCH(FR$7,'qtrP&amp;L'!$6:$6,0)+2)%</f>
        <v>2.4532615502896971E-2</v>
      </c>
      <c r="FS63" s="655">
        <f>INDEX('qtrP&amp;L'!$14:$14,MATCH(FS$7,'qtrP&amp;L'!$6:$6,0)+2)%</f>
        <v>2E-3</v>
      </c>
      <c r="FT63" s="655">
        <f>INDEX('qtrP&amp;L'!$14:$14,MATCH(FT$7,'qtrP&amp;L'!$6:$6,0)+2)%</f>
        <v>-0.252</v>
      </c>
      <c r="FU63" s="655">
        <f>INDEX('qtrP&amp;L'!$14:$14,MATCH(FU$7,'qtrP&amp;L'!$6:$6,0)+2)%</f>
        <v>-6.8476178429884488E-2</v>
      </c>
      <c r="FV63" s="655">
        <f>+'qtrP&amp;L'!DM14/100</f>
        <v>4.4000000000000004E-2</v>
      </c>
      <c r="FW63" s="655">
        <f>yrSales!AD39</f>
        <v>4.4999999999999998E-2</v>
      </c>
      <c r="FX63" s="655">
        <f>yrSales!AE39</f>
        <v>0</v>
      </c>
      <c r="FY63" s="655">
        <f>yrSales!AF39</f>
        <v>1E-3</v>
      </c>
      <c r="FZ63" s="655">
        <f>yrSales!AG39</f>
        <v>7.0517956777370215E-3</v>
      </c>
      <c r="GA63" s="655">
        <f>yrSales!AH39</f>
        <v>-1.4999999999999999E-2</v>
      </c>
      <c r="GB63" s="658">
        <f>yrSales!AI39</f>
        <v>-1.4999999999999999E-2</v>
      </c>
      <c r="GC63" s="655">
        <f>yrSales!AJ39</f>
        <v>-0.02</v>
      </c>
      <c r="GD63" s="1458">
        <f>yrSales!AK39</f>
        <v>-0.02</v>
      </c>
    </row>
    <row r="64" spans="1:199">
      <c r="A64" s="500" t="s">
        <v>234</v>
      </c>
      <c r="B64" s="507"/>
      <c r="C64" s="655" t="s">
        <v>446</v>
      </c>
      <c r="D64" s="655" t="s">
        <v>446</v>
      </c>
      <c r="E64" s="655" t="s">
        <v>446</v>
      </c>
      <c r="F64" s="655" t="s">
        <v>446</v>
      </c>
      <c r="G64" s="507"/>
      <c r="H64" s="655" t="str">
        <f>IF(ISERROR(H15/C15-1),"NA ",H15/C15-1)</f>
        <v xml:space="preserve">NA </v>
      </c>
      <c r="I64" s="655" t="str">
        <f>IF(ISERROR(I15/D15-1),"NA ",I15/D15-1)</f>
        <v xml:space="preserve">NA </v>
      </c>
      <c r="J64" s="655" t="str">
        <f>IF(ISERROR(J15/E15-1),"NA ",J15/E15-1)</f>
        <v xml:space="preserve">NA </v>
      </c>
      <c r="K64" s="655" t="str">
        <f>IF(ISERROR(K15/F15-1),"NA ",K15/F15-1)</f>
        <v xml:space="preserve">NA </v>
      </c>
      <c r="L64" s="507"/>
      <c r="M64" s="655" t="str">
        <f>IF(ISERROR(M15/H15-1),"NA ",M15/H15-1)</f>
        <v xml:space="preserve">NA </v>
      </c>
      <c r="N64" s="655" t="str">
        <f>IF(ISERROR(N15/I15-1),"NA ",N15/I15-1)</f>
        <v xml:space="preserve">NA </v>
      </c>
      <c r="O64" s="655" t="str">
        <f>IF(ISERROR(O15/J15-1),"NA ",O15/J15-1)</f>
        <v xml:space="preserve">NA </v>
      </c>
      <c r="P64" s="655" t="str">
        <f>IF(ISERROR(P15/K15-1),"NA ",P15/K15-1)</f>
        <v xml:space="preserve">NA </v>
      </c>
      <c r="Q64" s="507"/>
      <c r="R64" s="655" t="str">
        <f>IF(ISERROR(R15/M15-1),"NA ",R15/M15-1)</f>
        <v xml:space="preserve">NA </v>
      </c>
      <c r="S64" s="655" t="str">
        <f>IF(ISERROR(S15/N15-1),"NA ",S15/N15-1)</f>
        <v xml:space="preserve">NA </v>
      </c>
      <c r="T64" s="655" t="str">
        <f>IF(ISERROR(T15/O15-1),"NA ",T15/O15-1)</f>
        <v xml:space="preserve">NA </v>
      </c>
      <c r="U64" s="655" t="str">
        <f>IF(ISERROR(U15/P15-1),"NA ",U15/P15-1)</f>
        <v xml:space="preserve">NA </v>
      </c>
      <c r="V64" s="507"/>
      <c r="W64" s="655" t="str">
        <f>IF(ISERROR(W15/R15-1),"NA ",W15/R15-1)</f>
        <v xml:space="preserve">NA </v>
      </c>
      <c r="X64" s="655" t="str">
        <f>IF(ISERROR(X15/S15-1),"NA ",X15/S15-1)</f>
        <v xml:space="preserve">NA </v>
      </c>
      <c r="Y64" s="655" t="str">
        <f>IF(ISERROR(Y15/T15-1),"NA ",Y15/T15-1)</f>
        <v xml:space="preserve">NA </v>
      </c>
      <c r="Z64" s="655" t="str">
        <f>IF(ISERROR(Z15/U15-1),"NA ",Z15/U15-1)</f>
        <v xml:space="preserve">NA </v>
      </c>
      <c r="AA64" s="507"/>
      <c r="AB64" s="655" t="str">
        <f>IF(ISERROR(AB15/W15-1),"NA ",AB15/W15-1)</f>
        <v xml:space="preserve">NA </v>
      </c>
      <c r="AC64" s="655" t="str">
        <f>IF(ISERROR(AC15/X15-1),"NA ",AC15/X15-1)</f>
        <v xml:space="preserve">NA </v>
      </c>
      <c r="AD64" s="655" t="str">
        <f>IF(ISERROR(AD15/Y15-1),"NA ",AD15/Y15-1)</f>
        <v xml:space="preserve">NA </v>
      </c>
      <c r="AE64" s="655" t="str">
        <f>IF(ISERROR(AE15/Z15-1),"NA ",AE15/Z15-1)</f>
        <v xml:space="preserve">NA </v>
      </c>
      <c r="AF64" s="507"/>
      <c r="AG64" s="655" t="str">
        <f>IF(ISERROR(AG15/AB15-1),"NA ",AG15/AB15-1)</f>
        <v xml:space="preserve">NA </v>
      </c>
      <c r="AH64" s="655" t="str">
        <f>IF(ISERROR(AH15/AC15-1),"NA ",AH15/AC15-1)</f>
        <v xml:space="preserve">NA </v>
      </c>
      <c r="AI64" s="655" t="str">
        <f>IF(ISERROR(AI15/AD15-1),"NA ",AI15/AD15-1)</f>
        <v xml:space="preserve">NA </v>
      </c>
      <c r="AJ64" s="655" t="str">
        <f>IF(ISERROR(AJ15/AE15-1),"NA ",AJ15/AE15-1)</f>
        <v xml:space="preserve">NA </v>
      </c>
      <c r="AK64" s="507"/>
      <c r="AL64" s="655" t="str">
        <f>IF(ISERROR(AL15/AG15-1),"NA ",AL15/AG15-1)</f>
        <v xml:space="preserve">NA </v>
      </c>
      <c r="AM64" s="655" t="str">
        <f>IF(ISERROR(AM15/AH15-1),"NA ",AM15/AH15-1)</f>
        <v xml:space="preserve">NA </v>
      </c>
      <c r="AN64" s="655" t="str">
        <f>IF(ISERROR(AN15/AI15-1),"NA ",AN15/AI15-1)</f>
        <v xml:space="preserve">NA </v>
      </c>
      <c r="AO64" s="655" t="str">
        <f>IF(ISERROR(AO15/AJ15-1),"NA ",AO15/AJ15-1)</f>
        <v xml:space="preserve">NA </v>
      </c>
      <c r="AP64" s="507"/>
      <c r="AQ64" s="655" t="str">
        <f>IF(ISERROR(AQ15/AL15-1),"NA ",AQ15/AL15-1)</f>
        <v xml:space="preserve">NA </v>
      </c>
      <c r="AR64" s="655" t="str">
        <f>IF(ISERROR(AR15/AM15-1),"NA ",AR15/AM15-1)</f>
        <v xml:space="preserve">NA </v>
      </c>
      <c r="AS64" s="655" t="str">
        <f>IF(ISERROR(AS15/AN15-1),"NA ",AS15/AN15-1)</f>
        <v xml:space="preserve">NA </v>
      </c>
      <c r="AT64" s="655" t="str">
        <f>IF(ISERROR(AT15/AO15-1),"NA ",AT15/AO15-1)</f>
        <v xml:space="preserve">NA </v>
      </c>
      <c r="AU64" s="507"/>
      <c r="AV64" s="655" t="str">
        <f>IF(ISERROR(AV15/AQ15-1),"NA ",AV15/AQ15-1)</f>
        <v xml:space="preserve">NA </v>
      </c>
      <c r="AW64" s="655" t="str">
        <f>IF(ISERROR(AW15/AR15-1),"NA ",AW15/AR15-1)</f>
        <v xml:space="preserve">NA </v>
      </c>
      <c r="AX64" s="655" t="str">
        <f>IF(ISERROR(AX15/AS15-1),"NA ",AX15/AS15-1)</f>
        <v xml:space="preserve">NA </v>
      </c>
      <c r="AY64" s="655" t="str">
        <f>IF(ISERROR(AY15/AT15-1),"NA ",AY15/AT15-1)</f>
        <v xml:space="preserve">NA </v>
      </c>
      <c r="AZ64" s="507"/>
      <c r="BA64" s="655" t="str">
        <f>IF(ISERROR(BA15/AV15-1),"NA ",BA15/AV15-1)</f>
        <v xml:space="preserve">NA </v>
      </c>
      <c r="BB64" s="655" t="str">
        <f>IF(ISERROR(BB15/AW15-1),"NA ",BB15/AW15-1)</f>
        <v xml:space="preserve">NA </v>
      </c>
      <c r="BC64" s="655" t="str">
        <f>IF(ISERROR(BC15/AX15-1),"NA ",BC15/AX15-1)</f>
        <v xml:space="preserve">NA </v>
      </c>
      <c r="BD64" s="655" t="str">
        <f>IF(ISERROR(BD15/AY15-1),"NA ",BD15/AY15-1)</f>
        <v xml:space="preserve">NA </v>
      </c>
      <c r="BE64" s="507"/>
      <c r="BF64" s="655" t="str">
        <f>IF(ISERROR(BF15/BA15-1),"NA ",BF15/BA15-1)</f>
        <v xml:space="preserve">NA </v>
      </c>
      <c r="BG64" s="655" t="str">
        <f>IF(ISERROR(BG15/BB15-1),"NA ",BG15/BB15-1)</f>
        <v xml:space="preserve">NA </v>
      </c>
      <c r="BH64" s="655" t="str">
        <f>IF(ISERROR(BH15/BC15-1),"NA ",BH15/BC15-1)</f>
        <v xml:space="preserve">NA </v>
      </c>
      <c r="BI64" s="655" t="str">
        <f>IF(ISERROR(BI15/BD15-1),"NA ",BI15/BD15-1)</f>
        <v xml:space="preserve">NA </v>
      </c>
      <c r="BJ64" s="507"/>
      <c r="BK64" s="655" t="str">
        <f>IF(ISERROR(BK15/BF15-1),"NA ",BK15/BF15-1)</f>
        <v xml:space="preserve">NA </v>
      </c>
      <c r="BL64" s="655" t="str">
        <f>IF(ISERROR(BL15/BG15-1),"NA ",BL15/BG15-1)</f>
        <v xml:space="preserve">NA </v>
      </c>
      <c r="BM64" s="655" t="str">
        <f>IF(ISERROR(BM15/BH15-1),"NA ",BM15/BH15-1)</f>
        <v xml:space="preserve">NA </v>
      </c>
      <c r="BN64" s="655" t="str">
        <f>IF(ISERROR(BN15/BI15-1),"NA ",BN15/BI15-1)</f>
        <v xml:space="preserve">NA </v>
      </c>
      <c r="BO64" s="507"/>
      <c r="BP64" s="655" t="str">
        <f>IF(ISERROR(BP15/BK15-1),"NA ",BP15/BK15-1)</f>
        <v xml:space="preserve">NA </v>
      </c>
      <c r="BQ64" s="655" t="str">
        <f>IF(ISERROR(BQ15/BL15-1),"NA ",BQ15/BL15-1)</f>
        <v xml:space="preserve">NA </v>
      </c>
      <c r="BR64" s="655" t="str">
        <f>IF(ISERROR(BR15/BM15-1),"NA ",BR15/BM15-1)</f>
        <v xml:space="preserve">NA </v>
      </c>
      <c r="BS64" s="655" t="str">
        <f>IF(ISERROR(BS15/BN15-1),"NA ",BS15/BN15-1)</f>
        <v xml:space="preserve">NA </v>
      </c>
      <c r="BT64" s="507"/>
      <c r="BU64" s="655" t="str">
        <f>IF(ISERROR(BU15/BP15-1),"NA ",BU15/BP15-1)</f>
        <v xml:space="preserve">NA </v>
      </c>
      <c r="BV64" s="655" t="str">
        <f>IF(ISERROR(BV15/BQ15-1),"NA ",BV15/BQ15-1)</f>
        <v xml:space="preserve">NA </v>
      </c>
      <c r="BW64" s="655" t="str">
        <f>IF(ISERROR(BW15/BR15-1),"NA ",BW15/BR15-1)</f>
        <v xml:space="preserve">NA </v>
      </c>
      <c r="BX64" s="655" t="str">
        <f>IF(ISERROR(BX15/BS15-1),"NA ",BX15/BS15-1)</f>
        <v xml:space="preserve">NA </v>
      </c>
      <c r="BY64" s="507"/>
      <c r="BZ64" s="655" t="str">
        <f>IF(ISERROR(BZ15/BU15-1),"NA ",BZ15/BU15-1)</f>
        <v xml:space="preserve">NA </v>
      </c>
      <c r="CA64" s="655" t="str">
        <f>IF(ISERROR(CA15/BV15-1),"NA ",CA15/BV15-1)</f>
        <v xml:space="preserve">NA </v>
      </c>
      <c r="CB64" s="655" t="str">
        <f>IF(ISERROR(CB15/BW15-1),"NA ",CB15/BW15-1)</f>
        <v xml:space="preserve">NA </v>
      </c>
      <c r="CC64" s="655" t="str">
        <f>IF(ISERROR(CC15/BX15-1),"NA ",CC15/BX15-1)</f>
        <v xml:space="preserve">NA </v>
      </c>
      <c r="CD64" s="507"/>
      <c r="CE64" s="655">
        <f>IF(ISERROR(CE15/BZ15-1),"NA ",CE15/BZ15-1)</f>
        <v>2.5146689019279078E-2</v>
      </c>
      <c r="CF64" s="655">
        <f>IF(ISERROR(CF15/CA15-1),"NA ",CF15/CA15-1)</f>
        <v>4.0109389243391025E-2</v>
      </c>
      <c r="CG64" s="655">
        <f>IF(ISERROR(CG15/CB15-1),"NA ",CG15/CB15-1)</f>
        <v>1.730920535011804E-2</v>
      </c>
      <c r="CH64" s="655">
        <f>IF(ISERROR(CH15/CC15-1),"NA ",CH15/CC15-1)</f>
        <v>2.7510316368637433E-3</v>
      </c>
      <c r="CI64" s="507"/>
      <c r="CJ64" s="655">
        <f>IF(ISERROR(CJ15/CE15-1),"NA ",CJ15/CE15-1)</f>
        <v>2.0441537203597759E-2</v>
      </c>
      <c r="CK64" s="655">
        <f>IF(ISERROR(CK15/CF15-1),"NA ",CK15/CF15-1)</f>
        <v>5.8720420683610941E-2</v>
      </c>
      <c r="CL64" s="655">
        <f>IF(ISERROR(CL15/CG15-1),"NA ",CL15/CG15-1)</f>
        <v>5.491105955143083E-2</v>
      </c>
      <c r="CM64" s="655">
        <f>IF(ISERROR(CM15/CH15-1),"NA ",CM15/CH15-1)</f>
        <v>0.13168724279835398</v>
      </c>
      <c r="CN64" s="507"/>
      <c r="CO64" s="655">
        <f>IF(ISERROR(CO15/CJ15-1),"NA ",CO15/CJ15-1)</f>
        <v>4.3269230769230838E-2</v>
      </c>
      <c r="CP64" s="655">
        <f>IF(ISERROR(CP15/CK15-1),"NA ",CP15/CK15-1)</f>
        <v>3.8079470198675525E-2</v>
      </c>
      <c r="CQ64" s="655">
        <f>IF(ISERROR(CQ15/CL15-1),"NA ",CQ15/CL15-1)</f>
        <v>-2.1994134897360684E-3</v>
      </c>
      <c r="CR64" s="655">
        <f>IF(ISERROR(CR15/CM15-1),"NA ",CR15/CM15-1)</f>
        <v>-9.9999999999999978E-2</v>
      </c>
      <c r="CS64" s="507"/>
      <c r="CT64" s="655">
        <f>IF(ISERROR(CT15/CO15-1),"NA ",CT15/CO15-1)</f>
        <v>1.1520737327188835E-2</v>
      </c>
      <c r="CU64" s="655">
        <f>IF(ISERROR(CU15/CP15-1),"NA ",CU15/CP15-1)</f>
        <v>1.2759170653907415E-2</v>
      </c>
      <c r="CV64" s="655">
        <f>IF(ISERROR(CV15/CQ15-1),"NA ",CV15/CQ15-1)</f>
        <v>-3.0124908155767849E-2</v>
      </c>
      <c r="CW64" s="655">
        <f>IF(ISERROR(CW15/CR15-1),"NA ",CW15/CR15-1)</f>
        <v>2.0202020202020332E-3</v>
      </c>
      <c r="CX64" s="581"/>
      <c r="CY64" s="655">
        <f>IF(ISERROR(CY15/CT15-1),"NA ",CY15/CT15-1)</f>
        <v>-4.7076689445709974E-2</v>
      </c>
      <c r="CZ64" s="655">
        <f>IF(ISERROR(CZ15/CU15-1),"NA ",CZ15/CU15-1)</f>
        <v>-2.2047244094488216E-2</v>
      </c>
      <c r="DA64" s="655">
        <f>IF(ISERROR(DA15/CV15-1),"NA ",DA15/CV15-1)</f>
        <v>4.2424242424242475E-2</v>
      </c>
      <c r="DB64" s="655">
        <f>IF(ISERROR(DB15/CW15-1),"NA ",DB15/CW15-1)</f>
        <v>1.4112903225806495E-2</v>
      </c>
      <c r="DC64" s="507"/>
      <c r="DD64" s="655">
        <f>IF(ISERROR(DD15/CY15-1),"NA ",DD15/CY15-1)</f>
        <v>2.9482071713147429E-2</v>
      </c>
      <c r="DE64" s="655">
        <f>IF(ISERROR(DE15/CZ15-1),"NA ",DE15/CZ15-1)</f>
        <v>2.657004830917864E-2</v>
      </c>
      <c r="DF64" s="655">
        <f>IF(ISERROR(DF15/DA15-1),"NA ",DF15/DA15-1)</f>
        <v>-3.6337209302325535E-2</v>
      </c>
      <c r="DG64" s="655">
        <f>IF(ISERROR(DG15/DB15-1),"NA ",DG15/DB15-1)</f>
        <v>-2.9158383035122637E-2</v>
      </c>
      <c r="DH64" s="507"/>
      <c r="DI64" s="655">
        <f>IF(ISERROR(DI15/DD15-1),"NA ",DI15/DD15-1)</f>
        <v>-8.5139318885448789E-3</v>
      </c>
      <c r="DJ64" s="655">
        <f>IF(ISERROR(DJ15/DE15-1),"NA ",DJ15/DE15-1)</f>
        <v>-2.5098039215686319E-2</v>
      </c>
      <c r="DK64" s="655">
        <f>IF(ISERROR(DK15/DF15-1),"NA ",DK15/DF15-1)</f>
        <v>-6.3348416289592757E-2</v>
      </c>
      <c r="DL64" s="655">
        <f>IF(ISERROR(DL15/DG15-1),"NA ",DL15/DG15-1)</f>
        <v>-8.3276450511945432E-2</v>
      </c>
      <c r="DM64" s="507"/>
      <c r="DN64" s="655">
        <f>IF(ISERROR(DN15/DI15-1),"NA ",DN15/DI15-1)</f>
        <v>-9.4457455113192812E-2</v>
      </c>
      <c r="DO64" s="655">
        <f>IF(ISERROR(DO15/DJ15-1),"NA ",DO15/DJ15-1)</f>
        <v>-0.15526950925181016</v>
      </c>
      <c r="DP64" s="655">
        <f>IF(ISERROR(DP15/DK15-1),"NA ",DP15/DK15-1)</f>
        <v>-0.12479871175523349</v>
      </c>
      <c r="DQ64" s="655">
        <f>IF(ISERROR(DQ15/DL15-1),"NA ",DQ15/DL15-1)</f>
        <v>-9.9776619508562869E-2</v>
      </c>
      <c r="DR64" s="507"/>
      <c r="DS64" s="655">
        <f>IF(ISERROR(DS15/DN15-1),"NA ",DS15/DN15-1)</f>
        <v>-7.0689655172413768E-2</v>
      </c>
      <c r="DT64" s="655">
        <f>IF(ISERROR(DT15/DO15-1),"NA ",DT15/DO15-1)</f>
        <v>-2.2857142857142909E-2</v>
      </c>
      <c r="DU64" s="655">
        <f>IF(ISERROR(DU15/DP15-1),"NA ",DU15/DP15-1)</f>
        <v>-7.4517019319227273E-2</v>
      </c>
      <c r="DV64" s="655">
        <f>IF(ISERROR(DV15/DQ15-1),"NA ",DV15/DQ15-1)</f>
        <v>-0.16956162117452445</v>
      </c>
      <c r="DW64" s="507"/>
      <c r="DX64" s="655">
        <f>IF(ISERROR(DX15/DS15-1),"NA ",DX15/DS15-1)</f>
        <v>-6.4007421150278243E-2</v>
      </c>
      <c r="DY64" s="655">
        <f>IF(ISERROR(DY15/DT15-1),"NA ",DY15/DT15-1)</f>
        <v>-6.0428849902534165E-2</v>
      </c>
      <c r="DZ64" s="655">
        <f>IF(ISERROR(DZ15/DU15-1),"NA ",DZ15/DU15-1)</f>
        <v>-1.7892644135188873E-2</v>
      </c>
      <c r="EA64" s="655">
        <f>IF(ISERROR(EA15/DV15-1),"NA ",EA15/DV15-1)</f>
        <v>2.7888446215139417E-2</v>
      </c>
      <c r="EB64" s="507"/>
      <c r="EC64" s="655">
        <f>IF(ISERROR(EC15/DX15-1),"NA ",EC15/DX15-1)</f>
        <v>-4.3607532210109046E-2</v>
      </c>
      <c r="ED64" s="655">
        <f>IF(ISERROR(ED15/DY15-1),"NA ",ED15/DY15-1)</f>
        <v>-6.5352697095435675E-2</v>
      </c>
      <c r="EE64" s="655">
        <f>IF(ISERROR(EE15/DZ15-1),"NA ",EE15/DZ15-1)</f>
        <v>-4.1497975708502E-2</v>
      </c>
      <c r="EF64" s="655">
        <f>IF(ISERROR(EF15/EA15-1),"NA ",EF15/EA15-1)</f>
        <v>-6.7829457364341095E-2</v>
      </c>
      <c r="EG64" s="507"/>
      <c r="EH64" s="655">
        <f>IF(ISERROR(EH15/EC15-1),"NA ",EH15/EC15-1)</f>
        <v>-9.6373056994818684E-2</v>
      </c>
      <c r="EI64" s="655">
        <f>IF(ISERROR(EI15/ED15-1),"NA ",EI15/ED15-1)</f>
        <v>-5.3274139844617041E-2</v>
      </c>
      <c r="EJ64" s="655">
        <f>IF(ISERROR(EJ15/EE15-1),"NA ",EJ15/EE15-1)</f>
        <v>-6.23020063357973E-2</v>
      </c>
      <c r="EK64" s="655">
        <f>IF(ISERROR(EK15/EF15-1),"NA ",EK15/EF15-1)</f>
        <v>-3.8461538461538436E-2</v>
      </c>
      <c r="EL64" s="507"/>
      <c r="EM64" s="655">
        <f>IF(ISERROR(EM15/EH15-1),"NA ",EM15/EH15-1)</f>
        <v>-3.3256880733944949E-2</v>
      </c>
      <c r="EN64" s="655">
        <f>IF(ISERROR(EN15/EI15-1),"NA ",EN15/EI15-1)</f>
        <v>-1.289566236811257E-2</v>
      </c>
      <c r="EO64" s="655">
        <f>IF(ISERROR(EO15/EJ15-1),"NA ",EO15/EJ15-1)</f>
        <v>-5.4054054054054057E-2</v>
      </c>
      <c r="EP64" s="655">
        <f>IF(ISERROR(EP15/EK15-1),"NA ",EP15/EK15-1)</f>
        <v>1.9459459459459483E-2</v>
      </c>
      <c r="EQ64" s="507"/>
      <c r="ER64" s="1480">
        <f>IF(ISERROR(ER15/EM15-1),"NA ",ER15/EM15-1)</f>
        <v>-2.0000000000000018E-2</v>
      </c>
      <c r="ES64" s="1480">
        <f>IF(ISERROR(ES15/EN15-1),"NA ",ES15/EN15-1)</f>
        <v>-2.5000000000000133E-2</v>
      </c>
      <c r="ET64" s="1480">
        <f>IF(ISERROR(ET15/EO15-1),"NA ",ET15/EO15-1)</f>
        <v>-2.0000000000000129E-2</v>
      </c>
      <c r="EU64" s="1480">
        <f>IF(ISERROR(EU15/EP15-1),"NA ",EU15/EP15-1)</f>
        <v>-3.5000000000000031E-2</v>
      </c>
      <c r="EV64" s="507"/>
      <c r="EW64" s="657" t="s">
        <v>147</v>
      </c>
      <c r="EX64" s="655" t="str">
        <f t="shared" ref="EX64:GA64" si="44">IF(ISERROR(EX15/EW15-1),"NA ",EX15/EW15-1)</f>
        <v xml:space="preserve">NA </v>
      </c>
      <c r="EY64" s="655" t="str">
        <f t="shared" si="44"/>
        <v xml:space="preserve">NA </v>
      </c>
      <c r="EZ64" s="655" t="str">
        <f t="shared" si="44"/>
        <v xml:space="preserve">NA </v>
      </c>
      <c r="FA64" s="655" t="str">
        <f t="shared" si="44"/>
        <v xml:space="preserve">NA </v>
      </c>
      <c r="FB64" s="655" t="str">
        <f t="shared" si="44"/>
        <v xml:space="preserve">NA </v>
      </c>
      <c r="FC64" s="655" t="str">
        <f t="shared" si="44"/>
        <v xml:space="preserve">NA </v>
      </c>
      <c r="FD64" s="655" t="str">
        <f t="shared" si="44"/>
        <v xml:space="preserve">NA </v>
      </c>
      <c r="FE64" s="655" t="str">
        <f t="shared" si="44"/>
        <v xml:space="preserve">NA </v>
      </c>
      <c r="FF64" s="655" t="str">
        <f t="shared" si="44"/>
        <v xml:space="preserve">NA </v>
      </c>
      <c r="FG64" s="655" t="str">
        <f t="shared" si="44"/>
        <v xml:space="preserve">NA </v>
      </c>
      <c r="FH64" s="655" t="str">
        <f t="shared" si="44"/>
        <v xml:space="preserve">NA </v>
      </c>
      <c r="FI64" s="655" t="str">
        <f t="shared" si="44"/>
        <v xml:space="preserve">NA </v>
      </c>
      <c r="FJ64" s="655" t="str">
        <f t="shared" si="44"/>
        <v xml:space="preserve">NA </v>
      </c>
      <c r="FK64" s="655">
        <f t="shared" si="44"/>
        <v>1.7623762376237639E-2</v>
      </c>
      <c r="FL64" s="655">
        <f t="shared" si="44"/>
        <v>-2.4129208017123926E-2</v>
      </c>
      <c r="FM64" s="657">
        <f t="shared" si="44"/>
        <v>1.9940179461615193E-2</v>
      </c>
      <c r="FN64" s="657">
        <f t="shared" si="44"/>
        <v>6.9403714565004826E-2</v>
      </c>
      <c r="FO64" s="655">
        <f t="shared" si="44"/>
        <v>-1.2431444241316258E-2</v>
      </c>
      <c r="FP64" s="655">
        <f t="shared" si="44"/>
        <v>-1.2958163643095322E-3</v>
      </c>
      <c r="FQ64" s="657">
        <f t="shared" si="44"/>
        <v>-2.4096385542168308E-3</v>
      </c>
      <c r="FR64" s="657">
        <f t="shared" si="44"/>
        <v>-4.4593088071348541E-3</v>
      </c>
      <c r="FS64" s="655">
        <f t="shared" si="44"/>
        <v>-4.6472564389697602E-2</v>
      </c>
      <c r="FT64" s="655">
        <f t="shared" si="44"/>
        <v>-0.11802701115678216</v>
      </c>
      <c r="FU64" s="655">
        <f t="shared" si="44"/>
        <v>-8.6995117620949802E-2</v>
      </c>
      <c r="FV64" s="655">
        <f t="shared" si="44"/>
        <v>-2.9411764705882359E-2</v>
      </c>
      <c r="FW64" s="655">
        <f t="shared" si="44"/>
        <v>-5.4595542198847991E-2</v>
      </c>
      <c r="FX64" s="655">
        <f t="shared" si="44"/>
        <v>-6.2781456953642345E-2</v>
      </c>
      <c r="FY64" s="655">
        <f t="shared" si="44"/>
        <v>-1.9785189372526824E-2</v>
      </c>
      <c r="FZ64" s="655">
        <f t="shared" si="44"/>
        <v>-2.5292675893887062E-2</v>
      </c>
      <c r="GA64" s="655">
        <f t="shared" si="44"/>
        <v>-3.0599999999999961E-2</v>
      </c>
      <c r="GB64" s="658">
        <f>IF(ISERROR(GB15/GA15-1),"NA ",GB15/GA15-1)</f>
        <v>-3.1000000000000028E-2</v>
      </c>
      <c r="GC64" s="655">
        <f>IF(ISERROR(GC15/GB15-1),"NA ",GC15/GB15-1)</f>
        <v>-1.9900000000000029E-2</v>
      </c>
      <c r="GD64" s="1458">
        <f>IF(ISERROR(GD15/GC15-1),"NA ",GD15/GC15-1)</f>
        <v>-1.9000000000000017E-2</v>
      </c>
      <c r="GE64" s="705"/>
    </row>
    <row r="65" spans="1:261">
      <c r="A65" s="500" t="s">
        <v>235</v>
      </c>
      <c r="B65" s="507"/>
      <c r="C65" s="655" t="s">
        <v>446</v>
      </c>
      <c r="D65" s="655" t="s">
        <v>446</v>
      </c>
      <c r="E65" s="655" t="s">
        <v>446</v>
      </c>
      <c r="F65" s="655" t="s">
        <v>446</v>
      </c>
      <c r="G65" s="507"/>
      <c r="H65" s="655">
        <f>((H18/C18)-1)</f>
        <v>-1.8099547511312264E-2</v>
      </c>
      <c r="I65" s="655">
        <f>((I18/D18)-1)</f>
        <v>-9.9999999999999978E-2</v>
      </c>
      <c r="J65" s="655">
        <f>((J18/E18)-1)</f>
        <v>-0.28260869565217395</v>
      </c>
      <c r="K65" s="655">
        <f>((K18/F18)-1)</f>
        <v>-0.34077079107505071</v>
      </c>
      <c r="L65" s="507"/>
      <c r="M65" s="655">
        <f>((M18/H18)-1)</f>
        <v>-0.36405529953917048</v>
      </c>
      <c r="N65" s="655">
        <f>((N18/I18)-1)</f>
        <v>-0.37777777777777777</v>
      </c>
      <c r="O65" s="655">
        <f>((O18/J18)-1)</f>
        <v>-2.5974025974025983E-2</v>
      </c>
      <c r="P65" s="655">
        <f>((P18/K18)-1)</f>
        <v>0.2615384615384615</v>
      </c>
      <c r="Q65" s="507"/>
      <c r="R65" s="655">
        <f>((R18/M18)-1)</f>
        <v>0.58695652173913038</v>
      </c>
      <c r="S65" s="655">
        <f>((S18/N18)-1)</f>
        <v>0.64285714285714279</v>
      </c>
      <c r="T65" s="655">
        <f>((T18/O18)-1)</f>
        <v>0.37333333333333329</v>
      </c>
      <c r="U65" s="655">
        <f>((U18/P18)-1)</f>
        <v>0.38536585365853648</v>
      </c>
      <c r="V65" s="507"/>
      <c r="W65" s="655">
        <f>((W18/R18)-1)</f>
        <v>0.16438356164383561</v>
      </c>
      <c r="X65" s="655">
        <f>((X18/S18)-1)</f>
        <v>0.23188405797101441</v>
      </c>
      <c r="Y65" s="655">
        <f>((Y18/T18)-1)</f>
        <v>0.24595469255663427</v>
      </c>
      <c r="Z65" s="655">
        <f>((Z18/U18)-1)</f>
        <v>0.11267605633802824</v>
      </c>
      <c r="AA65" s="507"/>
      <c r="AB65" s="655">
        <f>((AB18/W18)-1)</f>
        <v>0.18823529411764706</v>
      </c>
      <c r="AC65" s="655">
        <f>((AC18/X18)-1)</f>
        <v>0.19411764705882351</v>
      </c>
      <c r="AD65" s="655">
        <f>((AD18/Y18)-1)</f>
        <v>0.18701298701298708</v>
      </c>
      <c r="AE65" s="655">
        <f>((AE18/Z18)-1)</f>
        <v>5.2215189873417778E-2</v>
      </c>
      <c r="AF65" s="507"/>
      <c r="AG65" s="655">
        <f>((AG18/AB18)-1)</f>
        <v>-0.26732673267326734</v>
      </c>
      <c r="AH65" s="655">
        <f>((AH18/AC18)-1)</f>
        <v>-8.8669950738916259E-2</v>
      </c>
      <c r="AI65" s="655">
        <f>((AI18/AD18)-1)</f>
        <v>-0.14442013129102849</v>
      </c>
      <c r="AJ65" s="655">
        <f>((AJ18/AE18)-1)</f>
        <v>-0.22556390977443608</v>
      </c>
      <c r="AK65" s="507"/>
      <c r="AL65" s="655">
        <f>((AL18/AG18)-1)</f>
        <v>-0.16216216216216217</v>
      </c>
      <c r="AM65" s="655">
        <f>((AM18/AH18)-1)</f>
        <v>-0.17837837837837833</v>
      </c>
      <c r="AN65" s="655">
        <f>((AN18/AI18)-1)</f>
        <v>0.1483375959079285</v>
      </c>
      <c r="AO65" s="655">
        <f>((AO18/AJ18)-1)</f>
        <v>3.1067961165048619E-2</v>
      </c>
      <c r="AP65" s="507"/>
      <c r="AQ65" s="655">
        <f>((AQ18/AL18)-1)</f>
        <v>0.54838709677419351</v>
      </c>
      <c r="AR65" s="655">
        <f>((AR18/AM18)-1)</f>
        <v>0.60526315789473695</v>
      </c>
      <c r="AS65" s="655">
        <f>((AS18/AN18)-1)</f>
        <v>8.9086859688195963E-2</v>
      </c>
      <c r="AT65" s="655">
        <f>((AT18/AO18)-1)</f>
        <v>0.32956685499058391</v>
      </c>
      <c r="AU65" s="507"/>
      <c r="AV65" s="655">
        <f>((AV18/AQ18)-1)</f>
        <v>0.25710894672462192</v>
      </c>
      <c r="AW65" s="655">
        <f>((AW18/AR18)-1)</f>
        <v>1.2295081967213184E-2</v>
      </c>
      <c r="AX65" s="655">
        <f>((AX18/AS18)-1)</f>
        <v>-0.17586912065439675</v>
      </c>
      <c r="AY65" s="655">
        <f>((AY18/AT18)-1)</f>
        <v>-0.45892351274787535</v>
      </c>
      <c r="AZ65" s="507"/>
      <c r="BA65" s="655">
        <f>((BA18/AV18)-1)</f>
        <v>-0.21004813612778217</v>
      </c>
      <c r="BB65" s="655">
        <f>((BB18/AW18)-1)</f>
        <v>-0.16599190283400811</v>
      </c>
      <c r="BC65" s="655">
        <f>((BC18/AX18)-1)</f>
        <v>-0.35235732009925558</v>
      </c>
      <c r="BD65" s="655">
        <f>((BD18/AY18)-1)</f>
        <v>-0.26178010471204194</v>
      </c>
      <c r="BE65" s="507"/>
      <c r="BF65" s="655">
        <f>((BF18/BA18)-1)</f>
        <v>-0.20629370629370625</v>
      </c>
      <c r="BG65" s="655">
        <f>((BG18/BB18)-1)</f>
        <v>-0.56796116504854366</v>
      </c>
      <c r="BH65" s="655">
        <f>((BH18/BC18)-1)</f>
        <v>-0.88122605363984674</v>
      </c>
      <c r="BI65" s="655">
        <f>((BI18/BD18)-1)</f>
        <v>-0.61702127659574468</v>
      </c>
      <c r="BJ65" s="507"/>
      <c r="BK65" s="655">
        <f>((BK18/BF18)-1)</f>
        <v>-0.36563876651982374</v>
      </c>
      <c r="BL65" s="655">
        <f>((BL18/BG18)-1)</f>
        <v>-1.1235955056179776</v>
      </c>
      <c r="BM65" s="655">
        <f>((BM18/BH18)-1)</f>
        <v>3.354838709677419</v>
      </c>
      <c r="BN65" s="655">
        <f>((BN18/BI18)-1)</f>
        <v>1.1944444444444446</v>
      </c>
      <c r="BO65" s="507"/>
      <c r="BP65" s="655">
        <f>((BP18/BK18)-1)</f>
        <v>3.4722222222222321E-2</v>
      </c>
      <c r="BQ65" s="655">
        <f>((BQ18/BL18)-1)</f>
        <v>-2.8181818181818183</v>
      </c>
      <c r="BR65" s="655">
        <f>((BR18/BM18)-1)</f>
        <v>0.22962962962962963</v>
      </c>
      <c r="BS65" s="655">
        <f>((BS18/BN18)-1)</f>
        <v>0.29113924050632911</v>
      </c>
      <c r="BT65" s="507"/>
      <c r="BU65" s="655">
        <f>((BU18/BP18)-1)</f>
        <v>-0.3825503355704698</v>
      </c>
      <c r="BV65" s="655">
        <f>((BV18/BQ18)-1)</f>
        <v>2</v>
      </c>
      <c r="BW65" s="655">
        <f>((BW18/BR18)-1)</f>
        <v>0.2168674698795181</v>
      </c>
      <c r="BX65" s="655">
        <f>((BX18/BS18)-1)</f>
        <v>0.41176470588235303</v>
      </c>
      <c r="BY65" s="507"/>
      <c r="BZ65" s="655">
        <f>((BZ18/BU18)-1)</f>
        <v>1.5217391304347827</v>
      </c>
      <c r="CA65" s="655">
        <f>((CA18/BV18)-1)</f>
        <v>1.5666666666666669</v>
      </c>
      <c r="CB65" s="655">
        <f>((CB18/BW18)-1)</f>
        <v>0.69306930693069302</v>
      </c>
      <c r="CC65" s="655">
        <f>((CC18/BX18)-1)</f>
        <v>0.22453703703703698</v>
      </c>
      <c r="CD65" s="507"/>
      <c r="CE65" s="655">
        <f>((CE18/BZ18)-1)</f>
        <v>0.42241379310344818</v>
      </c>
      <c r="CF65" s="655">
        <f>((CF18/CA18)-1)</f>
        <v>0.47402597402597402</v>
      </c>
      <c r="CG65" s="655">
        <f>((CG18/CB18)-1)</f>
        <v>0.1871345029239766</v>
      </c>
      <c r="CH65" s="655">
        <f>((CH18/CC18)-1)</f>
        <v>0.26102835538752323</v>
      </c>
      <c r="CI65" s="507"/>
      <c r="CJ65" s="655">
        <f>((CJ18/CE18)-1)</f>
        <v>0.15454545454545454</v>
      </c>
      <c r="CK65" s="655">
        <f>((CK18/CF18)-1)</f>
        <v>0.22907488986784141</v>
      </c>
      <c r="CL65" s="655">
        <f>((CL18/CG18)-1)</f>
        <v>0.24137931034482762</v>
      </c>
      <c r="CM65" s="655">
        <f>((CM18/CH18)-1)</f>
        <v>0.11530182106001674</v>
      </c>
      <c r="CN65" s="507"/>
      <c r="CO65" s="655">
        <f>((CO18/CJ18)-1)</f>
        <v>9.7112860892388353E-2</v>
      </c>
      <c r="CP65" s="655">
        <f>((CP18/CK18)-1)</f>
        <v>0.17587813620071735</v>
      </c>
      <c r="CQ65" s="655">
        <f>((CQ18/CL18)-1)</f>
        <v>-0.18650793650793651</v>
      </c>
      <c r="CR65" s="655">
        <f>((CR18/CM18)-1)</f>
        <v>-2.9569892473118253E-2</v>
      </c>
      <c r="CS65" s="507"/>
      <c r="CT65" s="655">
        <f>((CT18/CO18)-1)</f>
        <v>-0.40669856459330145</v>
      </c>
      <c r="CU65" s="655">
        <f>((CU18/CP18)-1)</f>
        <v>-0.25912305300697969</v>
      </c>
      <c r="CV65" s="655">
        <f>((CV18/CQ18)-1)</f>
        <v>-0.39558615263572217</v>
      </c>
      <c r="CW65" s="655">
        <f>((CW18/CR18)-1)</f>
        <v>-0.45983379501385047</v>
      </c>
      <c r="CX65" s="581"/>
      <c r="CY65" s="655">
        <f>((CY18/CT18)-1)</f>
        <v>-0.57258064516129026</v>
      </c>
      <c r="CZ65" s="655">
        <f>((CZ18/CU18)-1)</f>
        <v>-0.72434733059189238</v>
      </c>
      <c r="DA65" s="655">
        <f>((DA18/CV18)-1)</f>
        <v>-0.56821702399083418</v>
      </c>
      <c r="DB65" s="655">
        <f>((DB18/CW18)-1)</f>
        <v>-1.7948717948717996E-2</v>
      </c>
      <c r="DC65" s="507"/>
      <c r="DD65" s="655">
        <f>((DD18/CY18)-1)</f>
        <v>0.46226415094339623</v>
      </c>
      <c r="DE65" s="655">
        <f>((DE18/CZ18)-1)</f>
        <v>0.41791044776119413</v>
      </c>
      <c r="DF65" s="655">
        <f>((DF18/DA18)-1)</f>
        <v>0.1588785046728971</v>
      </c>
      <c r="DG65" s="655">
        <f>((DG18/DB18)-1)</f>
        <v>0.27937336814621405</v>
      </c>
      <c r="DH65" s="507"/>
      <c r="DI65" s="655">
        <f>((DI18/DD18)-1)</f>
        <v>9.6774193548387011E-2</v>
      </c>
      <c r="DJ65" s="655">
        <f>((DJ18/DE18)-1)</f>
        <v>9.473684210526323E-2</v>
      </c>
      <c r="DK65" s="655">
        <f>((DK18/DF18)-1)</f>
        <v>-0.24193548387096775</v>
      </c>
      <c r="DL65" s="655">
        <f>((DL18/DG18)-1)</f>
        <v>-0.41224489795918362</v>
      </c>
      <c r="DM65" s="507"/>
      <c r="DN65" s="655">
        <f>((DN18/DI18)-1)</f>
        <v>-1.5705882352941176</v>
      </c>
      <c r="DO65" s="655">
        <f>((DO18/DJ18)-1)</f>
        <v>-3.1538461538461537</v>
      </c>
      <c r="DP65" s="655">
        <f>((DP18/DK18)-1)</f>
        <v>-4.3936170212765955</v>
      </c>
      <c r="DQ65" s="655">
        <f>((DQ18/DL18)-1)</f>
        <v>-3.4861111111111112</v>
      </c>
      <c r="DR65" s="507"/>
      <c r="DS65" s="655">
        <f>((DS18/DN18)-1)</f>
        <v>3.268041237113402</v>
      </c>
      <c r="DT65" s="655">
        <f>((DT18/DO18)-1)</f>
        <v>0.5535714285714286</v>
      </c>
      <c r="DU65" s="655">
        <f>((DU18/DP18)-1)</f>
        <v>0.11285266457680243</v>
      </c>
      <c r="DV65" s="655">
        <f>((DV18/DQ18)-1)</f>
        <v>-0.87709497206703912</v>
      </c>
      <c r="DW65" s="507"/>
      <c r="DX65" s="655">
        <f>((DX18/DS18)-1)</f>
        <v>-0.45652173913043481</v>
      </c>
      <c r="DY65" s="655">
        <f>((DY18/DT18)-1)</f>
        <v>-0.81321839080459768</v>
      </c>
      <c r="DZ65" s="655">
        <f>((DZ18/DU18)-1)</f>
        <v>-0.88169014084507047</v>
      </c>
      <c r="EA65" s="655">
        <f>((EA18/DV18)-1)</f>
        <v>-2.2613636363636367</v>
      </c>
      <c r="EB65" s="507"/>
      <c r="EC65" s="655">
        <f>((EC18/DX18)-1)</f>
        <v>-0.78333333333333333</v>
      </c>
      <c r="ED65" s="655">
        <f>((ED18/DY18)-1)</f>
        <v>-0.41538461538461535</v>
      </c>
      <c r="EE65" s="655">
        <f>((EE18/DZ18)-1)</f>
        <v>7.1428571428571397E-2</v>
      </c>
      <c r="EF65" s="655">
        <f>((EF18/EA18)-1)</f>
        <v>-0.88288288288288286</v>
      </c>
      <c r="EG65" s="507"/>
      <c r="EH65" s="655">
        <f>((EH18/EC18)-1)</f>
        <v>-1.4512820512820512</v>
      </c>
      <c r="EI65" s="655">
        <f>((EI18/ED18)-1)</f>
        <v>-3</v>
      </c>
      <c r="EJ65" s="655">
        <f>((EJ18/EE18)-1)</f>
        <v>-1.5111111111111111</v>
      </c>
      <c r="EK65" s="655">
        <f>((EK18/EF18)-1)</f>
        <v>20.76923076923077</v>
      </c>
      <c r="EL65" s="507"/>
      <c r="EM65" s="655">
        <f>((EM18/EH18)-1)</f>
        <v>4.1818181818181817</v>
      </c>
      <c r="EN65" s="655">
        <f>((EN18/EI18)-1)</f>
        <v>-0.19736842105262564</v>
      </c>
      <c r="EO65" s="655">
        <f>((EO18/EJ18)-1)</f>
        <v>-4.3478260869565215</v>
      </c>
      <c r="EP65" s="655">
        <f>((EP18/EK18)-1)</f>
        <v>-9.8939929328621945E-2</v>
      </c>
      <c r="EQ65" s="507"/>
      <c r="ER65" s="1480">
        <f>((ER18/EM18)-1)</f>
        <v>-0.80902863157894689</v>
      </c>
      <c r="ES65" s="1480">
        <f>((ES18/EN18)-1)</f>
        <v>0.82736498360654664</v>
      </c>
      <c r="ET65" s="1480">
        <f>((ET18/EO18)-1)</f>
        <v>-1.4112657142857143</v>
      </c>
      <c r="EU65" s="1480">
        <f>((EU18/EP18)-1)</f>
        <v>-0.31602793725490252</v>
      </c>
      <c r="EV65" s="507"/>
      <c r="EW65" s="657" t="s">
        <v>147</v>
      </c>
      <c r="EX65" s="655">
        <f t="shared" ref="EX65:FZ65" si="45">((EX18/EW18)-1)</f>
        <v>-0.23440134907251264</v>
      </c>
      <c r="EY65" s="655">
        <f t="shared" si="45"/>
        <v>-5.6167400881057317E-2</v>
      </c>
      <c r="EZ65" s="655">
        <f t="shared" si="45"/>
        <v>0.43990665110851812</v>
      </c>
      <c r="FA65" s="655">
        <f t="shared" si="45"/>
        <v>0.16855753646677463</v>
      </c>
      <c r="FB65" s="655">
        <f t="shared" si="45"/>
        <v>0.12898751733703184</v>
      </c>
      <c r="FC65" s="655">
        <f t="shared" si="45"/>
        <v>-0.19348894348894352</v>
      </c>
      <c r="FD65" s="655">
        <f t="shared" si="45"/>
        <v>3.8080731150038627E-3</v>
      </c>
      <c r="FE65" s="655">
        <f t="shared" si="45"/>
        <v>0.31031866464339908</v>
      </c>
      <c r="FF65" s="655">
        <f t="shared" si="45"/>
        <v>-0.19279248601233867</v>
      </c>
      <c r="FG65" s="655">
        <f t="shared" si="45"/>
        <v>-0.25755751394747106</v>
      </c>
      <c r="FH65" s="655">
        <f t="shared" si="45"/>
        <v>-0.56038647342995174</v>
      </c>
      <c r="FI65" s="655">
        <f t="shared" si="45"/>
        <v>8.5714285714285632E-2</v>
      </c>
      <c r="FJ65" s="655">
        <f t="shared" si="45"/>
        <v>0.26315789473684204</v>
      </c>
      <c r="FK65" s="655">
        <f t="shared" si="45"/>
        <v>0.25961538461538458</v>
      </c>
      <c r="FL65" s="655">
        <f t="shared" si="45"/>
        <v>0.5992366412213741</v>
      </c>
      <c r="FM65" s="657">
        <f t="shared" si="45"/>
        <v>0.29680509148766898</v>
      </c>
      <c r="FN65" s="657">
        <f t="shared" si="45"/>
        <v>0.17049182741502911</v>
      </c>
      <c r="FO65" s="655">
        <f t="shared" si="45"/>
        <v>-1.5686582809224192E-2</v>
      </c>
      <c r="FP65" s="655">
        <f t="shared" si="45"/>
        <v>-0.39892060603739266</v>
      </c>
      <c r="FQ65" s="657">
        <f t="shared" si="45"/>
        <v>-0.41268659534522156</v>
      </c>
      <c r="FR65" s="657">
        <f t="shared" si="45"/>
        <v>0.30316742081447967</v>
      </c>
      <c r="FS65" s="655">
        <f t="shared" si="45"/>
        <v>-0.2407407407407407</v>
      </c>
      <c r="FT65" s="655">
        <f t="shared" si="45"/>
        <v>-3.0670731707317072</v>
      </c>
      <c r="FU65" s="655">
        <f t="shared" si="45"/>
        <v>-0.11135693215339237</v>
      </c>
      <c r="FV65" s="655">
        <f t="shared" si="45"/>
        <v>-0.81659751037344397</v>
      </c>
      <c r="FW65" s="655">
        <f t="shared" si="45"/>
        <v>-0.46266968325791857</v>
      </c>
      <c r="FX65" s="655">
        <f t="shared" si="45"/>
        <v>-4.4021052631578943</v>
      </c>
      <c r="FY65" s="655">
        <f t="shared" si="45"/>
        <v>-0.12623762376237624</v>
      </c>
      <c r="FZ65" s="655">
        <f t="shared" si="45"/>
        <v>-3.8752589235130697E-2</v>
      </c>
      <c r="GA65" s="655">
        <f>((GA18/FZ18)-1)</f>
        <v>-0.21961984027168413</v>
      </c>
      <c r="GB65" s="658">
        <f>((GB18/GA18)-1)</f>
        <v>-9.7283858955586333E-2</v>
      </c>
      <c r="GC65" s="655">
        <f>((GC18/GB18)-1)</f>
        <v>-0.44162897267789902</v>
      </c>
      <c r="GD65" s="1458">
        <f>((GD18/GC18)-1)</f>
        <v>-1.0458092483570163</v>
      </c>
      <c r="GE65" s="587"/>
    </row>
    <row r="66" spans="1:261">
      <c r="A66" s="500" t="s">
        <v>242</v>
      </c>
      <c r="B66" s="507"/>
      <c r="C66" s="655" t="s">
        <v>446</v>
      </c>
      <c r="D66" s="655" t="s">
        <v>446</v>
      </c>
      <c r="E66" s="655" t="s">
        <v>446</v>
      </c>
      <c r="F66" s="655" t="s">
        <v>446</v>
      </c>
      <c r="G66" s="507"/>
      <c r="H66" s="655">
        <f>((H34/C34)-1)</f>
        <v>5.5555555555555358E-2</v>
      </c>
      <c r="I66" s="655">
        <f>((I34/D34)-1)</f>
        <v>-0.13888888888888884</v>
      </c>
      <c r="J66" s="655">
        <f>((J34/E34)-1)</f>
        <v>-0.32894736842105265</v>
      </c>
      <c r="K66" s="655">
        <f>((K34/F34)-1)</f>
        <v>-0.42537313432835822</v>
      </c>
      <c r="L66" s="507"/>
      <c r="M66" s="655">
        <f>((M34/H34)-1)</f>
        <v>-0.45614035087719296</v>
      </c>
      <c r="N66" s="655">
        <f>((N34/I34)-1)</f>
        <v>-0.67741935483870963</v>
      </c>
      <c r="O66" s="655">
        <f>((O34/J34)-1)</f>
        <v>-9.8039215686274495E-2</v>
      </c>
      <c r="P66" s="655">
        <f>((P34/K34)-1)</f>
        <v>0.49350649350649345</v>
      </c>
      <c r="Q66" s="507"/>
      <c r="R66" s="655">
        <f>((R34/M34)-1)</f>
        <v>0.67741935483870974</v>
      </c>
      <c r="S66" s="655">
        <f>((S34/N34)-1)</f>
        <v>2.0999999999999996</v>
      </c>
      <c r="T66" s="655">
        <f>((T34/O34)-1)</f>
        <v>0.52173913043478248</v>
      </c>
      <c r="U66" s="655">
        <f>((U34/P34)-1)</f>
        <v>0.23478260869565215</v>
      </c>
      <c r="V66" s="507"/>
      <c r="W66" s="655">
        <f>((W34/R34)-1)</f>
        <v>0.25</v>
      </c>
      <c r="X66" s="655">
        <f>((X34/S34)-1)</f>
        <v>0.35483870967741926</v>
      </c>
      <c r="Y66" s="655">
        <f>((Y34/T34)-1)</f>
        <v>0.25714285714285734</v>
      </c>
      <c r="Z66" s="655">
        <f>((Z34/U34)-1)</f>
        <v>0.1619718309859155</v>
      </c>
      <c r="AA66" s="507"/>
      <c r="AB66" s="655">
        <f>((AB34/W34)-1)</f>
        <v>0.29230769230769216</v>
      </c>
      <c r="AC66" s="655">
        <f>((AC34/X34)-1)</f>
        <v>0.21428571428571441</v>
      </c>
      <c r="AD66" s="655">
        <f>((AD34/Y34)-1)</f>
        <v>0.18181818181818188</v>
      </c>
      <c r="AE66" s="655">
        <f>((AE34/Z34)-1)</f>
        <v>6.0606060606060996E-3</v>
      </c>
      <c r="AF66" s="507"/>
      <c r="AG66" s="655">
        <f>((AG34/AB34)-1)</f>
        <v>-0.27380952380952384</v>
      </c>
      <c r="AH66" s="655">
        <f>((AH34/AC34)-1)</f>
        <v>-9.8039215686274495E-2</v>
      </c>
      <c r="AI66" s="655">
        <f>((AI34/AD34)-1)</f>
        <v>-8.6538461538461564E-2</v>
      </c>
      <c r="AJ66" s="655">
        <f>((AJ34/AE34)-1)</f>
        <v>-0.21084337349397586</v>
      </c>
      <c r="AK66" s="507"/>
      <c r="AL66" s="655">
        <f>((AL34/AG34)-1)</f>
        <v>-6.5573770491803351E-2</v>
      </c>
      <c r="AM66" s="655">
        <f>((AM34/AH34)-1)</f>
        <v>-0.19565217391304357</v>
      </c>
      <c r="AN66" s="655">
        <f>((AN34/AI34)-1)</f>
        <v>8.4210526315789513E-2</v>
      </c>
      <c r="AO66" s="655">
        <f>((AO34/AJ34)-1)</f>
        <v>-8.3969465648854991E-2</v>
      </c>
      <c r="AP66" s="507"/>
      <c r="AQ66" s="655">
        <f>((AQ34/AL34)-1)</f>
        <v>-7.0175438596491113E-2</v>
      </c>
      <c r="AR66" s="655">
        <f>((AR34/AM34)-1)</f>
        <v>2.7027027027026973E-2</v>
      </c>
      <c r="AS66" s="655">
        <f>((AS34/AN34)-1)</f>
        <v>-0.17475728155339809</v>
      </c>
      <c r="AT66" s="655">
        <f>((AT34/AO34)-1)</f>
        <v>8.3333333333333037E-3</v>
      </c>
      <c r="AU66" s="507"/>
      <c r="AV66" s="655">
        <f>((AV34/AQ34)-1)</f>
        <v>0.20754716981132071</v>
      </c>
      <c r="AW66" s="655">
        <f>((AW34/AR34)-1)</f>
        <v>-7.8947368421052655E-2</v>
      </c>
      <c r="AX66" s="655">
        <f>((AX34/AS34)-1)</f>
        <v>-0.19999999999999996</v>
      </c>
      <c r="AY66" s="655">
        <f>((AY34/AT34)-1)</f>
        <v>-0.4049586776859504</v>
      </c>
      <c r="AZ66" s="507"/>
      <c r="BA66" s="655">
        <f>((BA34/AV34)-1)</f>
        <v>-0.25</v>
      </c>
      <c r="BB66" s="655">
        <f>((BB34/AW34)-1)</f>
        <v>-0.31428571428571428</v>
      </c>
      <c r="BC66" s="655">
        <f>((BC34/AX34)-1)</f>
        <v>-0.5</v>
      </c>
      <c r="BD66" s="655">
        <f>((BD34/AY34)-1)</f>
        <v>-0.58333333333333326</v>
      </c>
      <c r="BE66" s="507"/>
      <c r="BF66" s="655">
        <f>((BF34/BA34)-1)</f>
        <v>-0.72916666666666663</v>
      </c>
      <c r="BG66" s="655">
        <f>((BG34/BB34)-1)</f>
        <v>-1.5833333333333335</v>
      </c>
      <c r="BH66" s="655">
        <f>((BH34/BC34)-1)</f>
        <v>-1.6764705882352939</v>
      </c>
      <c r="BI66" s="655">
        <f>((BI34/BD34)-1)</f>
        <v>-1.5666666666666669</v>
      </c>
      <c r="BJ66" s="507"/>
      <c r="BK66" s="655">
        <f>((BK34/BF34)-1)</f>
        <v>0.38461538461538458</v>
      </c>
      <c r="BL66" s="655">
        <f>((BL34/BG34)-1)</f>
        <v>0</v>
      </c>
      <c r="BM66" s="655">
        <f>((BM34/BH34)-1)</f>
        <v>-1.7826086956521738</v>
      </c>
      <c r="BN66" s="655">
        <f>((BN34/BI34)-1)</f>
        <v>-3</v>
      </c>
      <c r="BO66" s="507"/>
      <c r="BP66" s="655">
        <f>((BP34/BK34)-1)</f>
        <v>0.11111111111111116</v>
      </c>
      <c r="BQ66" s="655">
        <f>((BQ34/BL34)-1)</f>
        <v>-0.2857142857142857</v>
      </c>
      <c r="BR66" s="655">
        <f>((BR34/BM34)-1)</f>
        <v>0.2777777777777779</v>
      </c>
      <c r="BS66" s="655">
        <f>((BS34/BN34)-1)</f>
        <v>0.70588235294117618</v>
      </c>
      <c r="BT66" s="507"/>
      <c r="BU66" s="655">
        <f>((BU34/BP34)-1)</f>
        <v>-0.7</v>
      </c>
      <c r="BV66" s="655">
        <f>((BV34/BQ34)-1)</f>
        <v>-0.60000000000000009</v>
      </c>
      <c r="BW66" s="655">
        <f>((BW34/BR34)-1)</f>
        <v>0.39130434782608692</v>
      </c>
      <c r="BX66" s="655">
        <f>((BX34/BS34)-1)</f>
        <v>0.39655172413793127</v>
      </c>
      <c r="BY66" s="507"/>
      <c r="BZ66" s="655">
        <f>((BZ34/BU34)-1)</f>
        <v>5.3333333333333339</v>
      </c>
      <c r="CA66" s="655">
        <f>((CA34/BV34)-1)</f>
        <v>-6.5</v>
      </c>
      <c r="CB66" s="655">
        <f>((CB34/BW34)-1)</f>
        <v>0.5625</v>
      </c>
      <c r="CC66" s="655">
        <f>((CC34/BX34)-1)</f>
        <v>0.40740740740740722</v>
      </c>
      <c r="CD66" s="507"/>
      <c r="CE66" s="655">
        <f t="shared" ref="CE66:CH67" si="46">((CE34/BZ34)-1)</f>
        <v>0.6457990280017194</v>
      </c>
      <c r="CF66" s="655">
        <f t="shared" si="46"/>
        <v>1.096580168413817</v>
      </c>
      <c r="CG66" s="655">
        <f t="shared" si="46"/>
        <v>0.88254223652453745</v>
      </c>
      <c r="CH66" s="655">
        <f t="shared" si="46"/>
        <v>0.49654948354282835</v>
      </c>
      <c r="CI66" s="507"/>
      <c r="CJ66" s="655">
        <f t="shared" ref="CJ66:CM67" si="47">((CJ34/CE34)-1)</f>
        <v>0.43716196370800398</v>
      </c>
      <c r="CK66" s="655">
        <f t="shared" si="47"/>
        <v>0.62583302227112547</v>
      </c>
      <c r="CL66" s="655">
        <f t="shared" si="47"/>
        <v>0.33499316539738322</v>
      </c>
      <c r="CM66" s="655">
        <f t="shared" si="47"/>
        <v>0.18306578120138051</v>
      </c>
      <c r="CN66" s="507"/>
      <c r="CO66" s="655">
        <f t="shared" ref="CO66:CR67" si="48">((CO34/CJ34)-1)</f>
        <v>0.15246093558185136</v>
      </c>
      <c r="CP66" s="655">
        <f t="shared" si="48"/>
        <v>3.0273769720567723E-2</v>
      </c>
      <c r="CQ66" s="655">
        <f t="shared" si="48"/>
        <v>-0.18730711023442359</v>
      </c>
      <c r="CR66" s="655">
        <f t="shared" si="48"/>
        <v>-4.2006911458014051E-2</v>
      </c>
      <c r="CS66" s="507"/>
      <c r="CT66" s="655">
        <f t="shared" ref="CT66:CW67" si="49">((CT34/CO34)-1)</f>
        <v>-0.4805017880456377</v>
      </c>
      <c r="CU66" s="655">
        <f t="shared" si="49"/>
        <v>-0.32638291357968607</v>
      </c>
      <c r="CV66" s="655">
        <f t="shared" si="49"/>
        <v>-0.47925071057177804</v>
      </c>
      <c r="CW66" s="655">
        <f t="shared" si="49"/>
        <v>-0.51675098967486122</v>
      </c>
      <c r="CX66" s="581"/>
      <c r="CY66" s="655">
        <f t="shared" ref="CY66:DB67" si="50">((CY34/CT34)-1)</f>
        <v>-0.79138602005687764</v>
      </c>
      <c r="CZ66" s="655">
        <f t="shared" si="50"/>
        <v>-1.0050788821554839</v>
      </c>
      <c r="DA66" s="655">
        <f t="shared" si="50"/>
        <v>-0.78631777052557938</v>
      </c>
      <c r="DB66" s="655">
        <f t="shared" si="50"/>
        <v>-0.10614363512593616</v>
      </c>
      <c r="DC66" s="507"/>
      <c r="DD66" s="655">
        <f>((DD34/CY34)-1)</f>
        <v>1.2494949494949497</v>
      </c>
      <c r="DE66" s="661" t="s">
        <v>447</v>
      </c>
      <c r="DF66" s="655">
        <f>((DF34/DA34)-1)</f>
        <v>0.62825904121110177</v>
      </c>
      <c r="DG66" s="655">
        <f>((DG34/DB34)-1)</f>
        <v>0.40507040350603152</v>
      </c>
      <c r="DH66" s="507"/>
      <c r="DI66" s="655">
        <f t="shared" ref="DI66:DL67" si="51">((DI34/DD34)-1)</f>
        <v>0.18919637462235639</v>
      </c>
      <c r="DJ66" s="655">
        <f t="shared" si="51"/>
        <v>1.1682182715074045</v>
      </c>
      <c r="DK66" s="655">
        <f t="shared" si="51"/>
        <v>-0.39189361974172099</v>
      </c>
      <c r="DL66" s="655">
        <f t="shared" si="51"/>
        <v>-0.36891176727321673</v>
      </c>
      <c r="DM66" s="507"/>
      <c r="DN66" s="655">
        <f t="shared" ref="DN66:DQ67" si="52">((DN34/DI34)-1)</f>
        <v>-2.2966023350363285</v>
      </c>
      <c r="DO66" s="655">
        <f t="shared" si="52"/>
        <v>-7.1534331036475924</v>
      </c>
      <c r="DP66" s="655">
        <f t="shared" si="52"/>
        <v>-9.8315564421710224</v>
      </c>
      <c r="DQ66" s="655">
        <f t="shared" si="52"/>
        <v>-4.2909795017395531</v>
      </c>
      <c r="DR66" s="507"/>
      <c r="DS66" s="655">
        <f t="shared" ref="DS66:DV67" si="53">((DS34/DN34)-1)</f>
        <v>2.3752614824920419</v>
      </c>
      <c r="DT66" s="655">
        <f t="shared" si="53"/>
        <v>1.7529904574873938</v>
      </c>
      <c r="DU66" s="655">
        <f t="shared" si="53"/>
        <v>0.82642918899233564</v>
      </c>
      <c r="DV66" s="655">
        <f t="shared" si="53"/>
        <v>-0.72280171528584525</v>
      </c>
      <c r="DW66" s="507"/>
      <c r="DX66" s="655">
        <f t="shared" ref="DX66:EA67" si="54">((DX34/DS34)-1)</f>
        <v>0.79372738101991058</v>
      </c>
      <c r="DY66" s="655">
        <f t="shared" si="54"/>
        <v>-0.65436867561366152</v>
      </c>
      <c r="DZ66" s="655">
        <f t="shared" si="54"/>
        <v>-0.57588797760354815</v>
      </c>
      <c r="EA66" s="655">
        <f t="shared" si="54"/>
        <v>-0.41823894370967296</v>
      </c>
      <c r="EB66" s="507"/>
      <c r="EC66" s="655">
        <f t="shared" ref="EC66:EF67" si="55">((EC34/DX34)-1)</f>
        <v>-0.80456239230245685</v>
      </c>
      <c r="ED66" s="655">
        <f t="shared" si="55"/>
        <v>-0.39691333597150769</v>
      </c>
      <c r="EE66" s="655">
        <f t="shared" si="55"/>
        <v>-0.41835488805451249</v>
      </c>
      <c r="EF66" s="655">
        <f t="shared" si="55"/>
        <v>-0.25531132841266646</v>
      </c>
      <c r="EG66" s="507"/>
      <c r="EH66" s="655">
        <f t="shared" ref="EH66:EK67" si="56">((EH34/EC34)-1)</f>
        <v>-0.51954743931320302</v>
      </c>
      <c r="EI66" s="655">
        <f t="shared" si="56"/>
        <v>-0.59696969696969693</v>
      </c>
      <c r="EJ66" s="655">
        <f t="shared" si="56"/>
        <v>-0.51459735635259052</v>
      </c>
      <c r="EK66" s="655">
        <f t="shared" si="56"/>
        <v>-3.0903504411612523</v>
      </c>
      <c r="EL66" s="507"/>
      <c r="EM66" s="655">
        <f t="shared" ref="EM66:EP67" si="57">((EM34/EH34)-1)</f>
        <v>-1.2772457820337437</v>
      </c>
      <c r="EN66" s="655">
        <f t="shared" si="57"/>
        <v>-0.49565637065637869</v>
      </c>
      <c r="EO66" s="655">
        <f t="shared" si="57"/>
        <v>0.50360709290517858</v>
      </c>
      <c r="EP66" s="655">
        <f t="shared" si="57"/>
        <v>-7.007906865861413E-2</v>
      </c>
      <c r="EQ66" s="507"/>
      <c r="ER66" s="1480">
        <f t="shared" ref="ER66:ER67" si="58">((ER34/EM34)-1)</f>
        <v>-3.86060496777863</v>
      </c>
      <c r="ES66" s="1480">
        <f t="shared" ref="ES66:ES67" si="59">((ES34/EN34)-1)</f>
        <v>-2.0908474421655132</v>
      </c>
      <c r="ET66" s="1480">
        <f t="shared" ref="ET66:ET67" si="60">((ET34/EO34)-1)</f>
        <v>-0.57847844799974224</v>
      </c>
      <c r="EU66" s="1480">
        <f t="shared" ref="EU66:EU67" si="61">((EU34/EP34)-1)</f>
        <v>-0.50048672625698409</v>
      </c>
      <c r="EV66" s="507"/>
      <c r="EW66" s="657" t="s">
        <v>147</v>
      </c>
      <c r="EX66" s="655">
        <f t="shared" ref="EX66:FZ66" si="62">((EX34/EW34)-1)</f>
        <v>-0.27999999999999992</v>
      </c>
      <c r="EY66" s="655">
        <f t="shared" si="62"/>
        <v>-6.4814814814814881E-2</v>
      </c>
      <c r="EZ66" s="655">
        <f t="shared" si="62"/>
        <v>0.46039603960396036</v>
      </c>
      <c r="FA66" s="655">
        <f t="shared" si="62"/>
        <v>0.22033898305084731</v>
      </c>
      <c r="FB66" s="655">
        <f t="shared" si="62"/>
        <v>0.125</v>
      </c>
      <c r="FC66" s="655">
        <f t="shared" si="62"/>
        <v>-0.1777777777777777</v>
      </c>
      <c r="FD66" s="655">
        <f t="shared" si="62"/>
        <v>-4.8048048048048075E-2</v>
      </c>
      <c r="FE66" s="655">
        <f t="shared" si="62"/>
        <v>-6.3091482649842212E-2</v>
      </c>
      <c r="FF66" s="655">
        <f t="shared" si="62"/>
        <v>-0.19528619528619529</v>
      </c>
      <c r="FG66" s="655">
        <f t="shared" si="62"/>
        <v>-0.43096234309623427</v>
      </c>
      <c r="FH66" s="655">
        <f t="shared" si="62"/>
        <v>-1.3235294117647058</v>
      </c>
      <c r="FI66" s="655">
        <f t="shared" si="62"/>
        <v>-2.3181818181818183</v>
      </c>
      <c r="FJ66" s="655">
        <f t="shared" si="62"/>
        <v>0.62068965517241392</v>
      </c>
      <c r="FK66" s="655">
        <f t="shared" si="62"/>
        <v>0.27659574468085113</v>
      </c>
      <c r="FL66" s="655">
        <f t="shared" si="62"/>
        <v>0.8833333333333333</v>
      </c>
      <c r="FM66" s="657">
        <f t="shared" si="62"/>
        <v>0.60795073283542389</v>
      </c>
      <c r="FN66" s="657">
        <f t="shared" si="62"/>
        <v>0.34673832769275825</v>
      </c>
      <c r="FO66" s="655">
        <f t="shared" si="62"/>
        <v>-2.8981241470021457E-2</v>
      </c>
      <c r="FP66" s="655">
        <f t="shared" si="62"/>
        <v>-0.46881632596545952</v>
      </c>
      <c r="FQ66" s="657">
        <f t="shared" si="62"/>
        <v>-0.57538015967615619</v>
      </c>
      <c r="FR66" s="657">
        <f t="shared" si="62"/>
        <v>0.56204144758607821</v>
      </c>
      <c r="FS66" s="655">
        <f t="shared" si="62"/>
        <v>-0.22956167188230803</v>
      </c>
      <c r="FT66" s="655">
        <f t="shared" si="62"/>
        <v>-4.5616433682875055</v>
      </c>
      <c r="FU66" s="655">
        <f t="shared" si="62"/>
        <v>0.21185122152193592</v>
      </c>
      <c r="FV66" s="655">
        <f t="shared" si="62"/>
        <v>-0.54626460279270739</v>
      </c>
      <c r="FW66" s="655">
        <f t="shared" si="62"/>
        <v>-0.29247878620591394</v>
      </c>
      <c r="FX66" s="655">
        <f t="shared" si="62"/>
        <v>-1.0017875012234654</v>
      </c>
      <c r="FY66" s="1350" t="s">
        <v>366</v>
      </c>
      <c r="FZ66" s="655">
        <f t="shared" si="62"/>
        <v>-1.189752552792952</v>
      </c>
      <c r="GA66" s="1350" t="s">
        <v>366</v>
      </c>
      <c r="GB66" s="658">
        <f>((GB34/GA34)-1)</f>
        <v>1.0368072846712244</v>
      </c>
      <c r="GC66" s="655">
        <f>((GC34/GB34)-1)</f>
        <v>3.0865843127145132</v>
      </c>
      <c r="GD66" s="1458">
        <f>((GD34/GC34)-1)</f>
        <v>1.0083638927462863</v>
      </c>
      <c r="GE66" s="587"/>
    </row>
    <row r="67" spans="1:261" ht="13.5" customHeight="1">
      <c r="A67" s="500" t="s">
        <v>445</v>
      </c>
      <c r="B67" s="507"/>
      <c r="C67" s="655" t="s">
        <v>446</v>
      </c>
      <c r="D67" s="655" t="s">
        <v>446</v>
      </c>
      <c r="E67" s="655" t="s">
        <v>446</v>
      </c>
      <c r="F67" s="655" t="s">
        <v>446</v>
      </c>
      <c r="G67" s="507"/>
      <c r="H67" s="655" t="s">
        <v>446</v>
      </c>
      <c r="I67" s="655" t="s">
        <v>446</v>
      </c>
      <c r="J67" s="655" t="s">
        <v>446</v>
      </c>
      <c r="K67" s="655" t="s">
        <v>446</v>
      </c>
      <c r="L67" s="507"/>
      <c r="M67" s="655" t="s">
        <v>446</v>
      </c>
      <c r="N67" s="655" t="s">
        <v>446</v>
      </c>
      <c r="O67" s="655" t="s">
        <v>446</v>
      </c>
      <c r="P67" s="655" t="s">
        <v>446</v>
      </c>
      <c r="Q67" s="507"/>
      <c r="R67" s="655" t="s">
        <v>446</v>
      </c>
      <c r="S67" s="655" t="s">
        <v>446</v>
      </c>
      <c r="T67" s="655" t="s">
        <v>446</v>
      </c>
      <c r="U67" s="655" t="s">
        <v>446</v>
      </c>
      <c r="V67" s="507"/>
      <c r="W67" s="655" t="s">
        <v>446</v>
      </c>
      <c r="X67" s="655" t="s">
        <v>446</v>
      </c>
      <c r="Y67" s="655" t="s">
        <v>446</v>
      </c>
      <c r="Z67" s="655" t="s">
        <v>446</v>
      </c>
      <c r="AA67" s="507"/>
      <c r="AB67" s="655" t="s">
        <v>446</v>
      </c>
      <c r="AC67" s="655" t="s">
        <v>446</v>
      </c>
      <c r="AD67" s="655" t="s">
        <v>446</v>
      </c>
      <c r="AE67" s="655" t="s">
        <v>446</v>
      </c>
      <c r="AF67" s="507"/>
      <c r="AG67" s="655" t="s">
        <v>446</v>
      </c>
      <c r="AH67" s="655" t="s">
        <v>446</v>
      </c>
      <c r="AI67" s="655" t="s">
        <v>446</v>
      </c>
      <c r="AJ67" s="655" t="s">
        <v>446</v>
      </c>
      <c r="AK67" s="507"/>
      <c r="AL67" s="655" t="s">
        <v>446</v>
      </c>
      <c r="AM67" s="655" t="s">
        <v>446</v>
      </c>
      <c r="AN67" s="655" t="s">
        <v>446</v>
      </c>
      <c r="AO67" s="655" t="s">
        <v>446</v>
      </c>
      <c r="AP67" s="507"/>
      <c r="AQ67" s="655" t="s">
        <v>446</v>
      </c>
      <c r="AR67" s="655" t="s">
        <v>446</v>
      </c>
      <c r="AS67" s="655" t="s">
        <v>446</v>
      </c>
      <c r="AT67" s="655" t="s">
        <v>446</v>
      </c>
      <c r="AU67" s="507"/>
      <c r="AV67" s="655" t="s">
        <v>446</v>
      </c>
      <c r="AW67" s="655" t="s">
        <v>446</v>
      </c>
      <c r="AX67" s="655" t="s">
        <v>446</v>
      </c>
      <c r="AY67" s="655" t="s">
        <v>446</v>
      </c>
      <c r="AZ67" s="507"/>
      <c r="BA67" s="655" t="s">
        <v>446</v>
      </c>
      <c r="BB67" s="655" t="s">
        <v>446</v>
      </c>
      <c r="BC67" s="655" t="s">
        <v>446</v>
      </c>
      <c r="BD67" s="655" t="s">
        <v>446</v>
      </c>
      <c r="BE67" s="507"/>
      <c r="BF67" s="655" t="s">
        <v>446</v>
      </c>
      <c r="BG67" s="655" t="s">
        <v>446</v>
      </c>
      <c r="BH67" s="655" t="s">
        <v>446</v>
      </c>
      <c r="BI67" s="655" t="s">
        <v>446</v>
      </c>
      <c r="BJ67" s="507"/>
      <c r="BK67" s="655" t="s">
        <v>446</v>
      </c>
      <c r="BL67" s="655" t="s">
        <v>446</v>
      </c>
      <c r="BM67" s="655" t="s">
        <v>446</v>
      </c>
      <c r="BN67" s="655" t="s">
        <v>446</v>
      </c>
      <c r="BO67" s="507"/>
      <c r="BP67" s="655" t="s">
        <v>446</v>
      </c>
      <c r="BQ67" s="655" t="s">
        <v>446</v>
      </c>
      <c r="BR67" s="655" t="s">
        <v>446</v>
      </c>
      <c r="BS67" s="655" t="s">
        <v>446</v>
      </c>
      <c r="BT67" s="507"/>
      <c r="BU67" s="655" t="s">
        <v>446</v>
      </c>
      <c r="BV67" s="655" t="s">
        <v>446</v>
      </c>
      <c r="BW67" s="655" t="s">
        <v>446</v>
      </c>
      <c r="BX67" s="655" t="s">
        <v>446</v>
      </c>
      <c r="BY67" s="507"/>
      <c r="BZ67" s="655" t="s">
        <v>446</v>
      </c>
      <c r="CA67" s="655" t="s">
        <v>446</v>
      </c>
      <c r="CB67" s="655" t="s">
        <v>446</v>
      </c>
      <c r="CC67" s="655" t="s">
        <v>446</v>
      </c>
      <c r="CD67" s="507"/>
      <c r="CE67" s="655">
        <f t="shared" si="46"/>
        <v>0.56013567467900893</v>
      </c>
      <c r="CF67" s="655">
        <f t="shared" si="46"/>
        <v>0.77867917384451846</v>
      </c>
      <c r="CG67" s="655">
        <f t="shared" si="46"/>
        <v>0.88762960769870736</v>
      </c>
      <c r="CH67" s="655">
        <f t="shared" si="46"/>
        <v>0.47990318325716808</v>
      </c>
      <c r="CI67" s="507"/>
      <c r="CJ67" s="655">
        <f t="shared" si="47"/>
        <v>0.36581694708453338</v>
      </c>
      <c r="CK67" s="655">
        <f t="shared" si="47"/>
        <v>0.49506625450636665</v>
      </c>
      <c r="CL67" s="655">
        <f t="shared" si="47"/>
        <v>0.28019585743389097</v>
      </c>
      <c r="CM67" s="655">
        <f t="shared" si="47"/>
        <v>0.15463710358694205</v>
      </c>
      <c r="CN67" s="507"/>
      <c r="CO67" s="655">
        <f t="shared" si="48"/>
        <v>6.8488463473559413E-2</v>
      </c>
      <c r="CP67" s="655">
        <f t="shared" si="48"/>
        <v>-6.462139514643872E-2</v>
      </c>
      <c r="CQ67" s="655">
        <f t="shared" si="48"/>
        <v>-0.24706903366800503</v>
      </c>
      <c r="CR67" s="655">
        <f t="shared" si="48"/>
        <v>-7.8041716347125978E-2</v>
      </c>
      <c r="CS67" s="507"/>
      <c r="CT67" s="655">
        <f t="shared" si="49"/>
        <v>-0.53980362388539205</v>
      </c>
      <c r="CU67" s="655">
        <f t="shared" si="49"/>
        <v>-0.39232696273662981</v>
      </c>
      <c r="CV67" s="655">
        <f t="shared" si="49"/>
        <v>-0.53660170569788623</v>
      </c>
      <c r="CW67" s="655">
        <f t="shared" si="49"/>
        <v>-0.55114032957033721</v>
      </c>
      <c r="CX67" s="581"/>
      <c r="CY67" s="655">
        <f t="shared" si="50"/>
        <v>-0.27587050889682785</v>
      </c>
      <c r="CZ67" s="655">
        <f t="shared" si="50"/>
        <v>-0.55649601096492951</v>
      </c>
      <c r="DA67" s="655">
        <f t="shared" si="50"/>
        <v>-0.30377199022061141</v>
      </c>
      <c r="DB67" s="655">
        <f t="shared" si="50"/>
        <v>0.21987893410143711</v>
      </c>
      <c r="DC67" s="507"/>
      <c r="DD67" s="655">
        <f>((DD35/CY35)-1)</f>
        <v>0.22698006611817112</v>
      </c>
      <c r="DE67" s="655">
        <f>((DE35/CZ35)-1)</f>
        <v>0.25561209266611007</v>
      </c>
      <c r="DF67" s="655">
        <f>((DF35/DA35)-1)</f>
        <v>0.1080625410403393</v>
      </c>
      <c r="DG67" s="655">
        <f>((DG35/DB35)-1)</f>
        <v>0.29485404830384798</v>
      </c>
      <c r="DH67" s="507"/>
      <c r="DI67" s="655">
        <f t="shared" si="51"/>
        <v>-9.1832816470258649E-2</v>
      </c>
      <c r="DJ67" s="655">
        <f t="shared" si="51"/>
        <v>-0.1955241640067642</v>
      </c>
      <c r="DK67" s="655">
        <f t="shared" si="51"/>
        <v>-0.48088307670674257</v>
      </c>
      <c r="DL67" s="655">
        <f t="shared" si="51"/>
        <v>-0.39420237919711443</v>
      </c>
      <c r="DM67" s="507"/>
      <c r="DN67" s="655">
        <f t="shared" si="52"/>
        <v>-1.698445656285704</v>
      </c>
      <c r="DO67" s="655">
        <f t="shared" si="52"/>
        <v>-2.9141763563771566</v>
      </c>
      <c r="DP67" s="655">
        <f t="shared" si="52"/>
        <v>-6.2471453245694004</v>
      </c>
      <c r="DQ67" s="655">
        <f t="shared" si="52"/>
        <v>-3.4272615419072818</v>
      </c>
      <c r="DR67" s="507"/>
      <c r="DS67" s="655">
        <f t="shared" si="53"/>
        <v>4.216313200214973</v>
      </c>
      <c r="DT67" s="655">
        <f t="shared" si="53"/>
        <v>2.1934584371063499</v>
      </c>
      <c r="DU67" s="655">
        <f t="shared" si="53"/>
        <v>0.96155757364708072</v>
      </c>
      <c r="DV67" s="655">
        <f t="shared" si="53"/>
        <v>-0.65269067371879896</v>
      </c>
      <c r="DW67" s="507"/>
      <c r="DX67" s="655">
        <f t="shared" si="54"/>
        <v>-0.11935220375517597</v>
      </c>
      <c r="DY67" s="655">
        <f t="shared" si="54"/>
        <v>-0.36345119022284378</v>
      </c>
      <c r="DZ67" s="655">
        <f t="shared" si="54"/>
        <v>-0.57588797760354815</v>
      </c>
      <c r="EA67" s="655">
        <f t="shared" si="54"/>
        <v>-0.83031969191532129</v>
      </c>
      <c r="EB67" s="507"/>
      <c r="EC67" s="655">
        <f t="shared" si="55"/>
        <v>-0.50698670325221207</v>
      </c>
      <c r="ED67" s="655">
        <f t="shared" si="55"/>
        <v>-0.45251707095285798</v>
      </c>
      <c r="EE67" s="655">
        <f t="shared" si="55"/>
        <v>-0.39461427124041093</v>
      </c>
      <c r="EF67" s="655">
        <f t="shared" si="55"/>
        <v>-4.4425415315754737</v>
      </c>
      <c r="EG67" s="507"/>
      <c r="EH67" s="655">
        <f t="shared" si="56"/>
        <v>-0.44662819902610373</v>
      </c>
      <c r="EI67" s="655">
        <f t="shared" si="56"/>
        <v>-0.87315340909090911</v>
      </c>
      <c r="EJ67" s="655">
        <f t="shared" si="56"/>
        <v>-0.54755416446678395</v>
      </c>
      <c r="EK67" s="655">
        <f t="shared" si="56"/>
        <v>0.63109028781236964</v>
      </c>
      <c r="EL67" s="507"/>
      <c r="EM67" s="655">
        <f t="shared" si="57"/>
        <v>-1.1943578678174698</v>
      </c>
      <c r="EN67" s="655">
        <f t="shared" si="57"/>
        <v>0.76520270270267443</v>
      </c>
      <c r="EO67" s="655">
        <f t="shared" si="57"/>
        <v>0.5498719265330303</v>
      </c>
      <c r="EP67" s="655">
        <f t="shared" si="57"/>
        <v>-0.11611475832897966</v>
      </c>
      <c r="EQ67" s="507"/>
      <c r="ER67" s="1480">
        <f t="shared" si="58"/>
        <v>-3.86060496777863</v>
      </c>
      <c r="ES67" s="1480">
        <f t="shared" si="59"/>
        <v>-2.0908474421655132</v>
      </c>
      <c r="ET67" s="1480">
        <f t="shared" si="60"/>
        <v>-0.57847844799974224</v>
      </c>
      <c r="EU67" s="1480">
        <f t="shared" si="61"/>
        <v>-0.50048672625698409</v>
      </c>
      <c r="EV67" s="507"/>
      <c r="EW67" s="657" t="s">
        <v>147</v>
      </c>
      <c r="EX67" s="655" t="str">
        <f t="shared" ref="EX67:FZ67" si="63">IF(ISERROR(EX35/EW35-1),"NA ",EX35/EW35-1)</f>
        <v xml:space="preserve">NA </v>
      </c>
      <c r="EY67" s="655" t="str">
        <f t="shared" si="63"/>
        <v xml:space="preserve">NA </v>
      </c>
      <c r="EZ67" s="655" t="str">
        <f t="shared" si="63"/>
        <v xml:space="preserve">NA </v>
      </c>
      <c r="FA67" s="655" t="str">
        <f t="shared" si="63"/>
        <v xml:space="preserve">NA </v>
      </c>
      <c r="FB67" s="655" t="str">
        <f t="shared" si="63"/>
        <v xml:space="preserve">NA </v>
      </c>
      <c r="FC67" s="655" t="str">
        <f t="shared" si="63"/>
        <v xml:space="preserve">NA </v>
      </c>
      <c r="FD67" s="655" t="str">
        <f t="shared" si="63"/>
        <v xml:space="preserve">NA </v>
      </c>
      <c r="FE67" s="655" t="str">
        <f t="shared" si="63"/>
        <v xml:space="preserve">NA </v>
      </c>
      <c r="FF67" s="655" t="str">
        <f t="shared" si="63"/>
        <v xml:space="preserve">NA </v>
      </c>
      <c r="FG67" s="655" t="str">
        <f t="shared" si="63"/>
        <v xml:space="preserve">NA </v>
      </c>
      <c r="FH67" s="655" t="str">
        <f t="shared" si="63"/>
        <v xml:space="preserve">NA </v>
      </c>
      <c r="FI67" s="655" t="str">
        <f t="shared" si="63"/>
        <v xml:space="preserve">NA </v>
      </c>
      <c r="FJ67" s="655" t="str">
        <f t="shared" si="63"/>
        <v xml:space="preserve">NA </v>
      </c>
      <c r="FK67" s="655" t="str">
        <f t="shared" si="63"/>
        <v xml:space="preserve">NA </v>
      </c>
      <c r="FL67" s="655" t="str">
        <f t="shared" si="63"/>
        <v xml:space="preserve">NA </v>
      </c>
      <c r="FM67" s="657">
        <f t="shared" si="63"/>
        <v>0.61955643583329345</v>
      </c>
      <c r="FN67" s="657">
        <f t="shared" si="63"/>
        <v>0.29177217481497442</v>
      </c>
      <c r="FO67" s="655">
        <f t="shared" si="63"/>
        <v>-8.8313631964135775E-2</v>
      </c>
      <c r="FP67" s="655">
        <f t="shared" si="63"/>
        <v>-0.51999507360500474</v>
      </c>
      <c r="FQ67" s="657">
        <f t="shared" si="63"/>
        <v>-0.13379407687178912</v>
      </c>
      <c r="FR67" s="657">
        <f t="shared" si="63"/>
        <v>0.22175790496581649</v>
      </c>
      <c r="FS67" s="655">
        <f t="shared" si="63"/>
        <v>-0.31801151079812084</v>
      </c>
      <c r="FT67" s="655">
        <f t="shared" si="63"/>
        <v>-3.2494483591266778</v>
      </c>
      <c r="FU67" s="655">
        <f t="shared" si="63"/>
        <v>0.64258985210809572</v>
      </c>
      <c r="FV67" s="655">
        <f t="shared" si="63"/>
        <v>-0.62285450436803669</v>
      </c>
      <c r="FW67" s="655">
        <f t="shared" si="63"/>
        <v>-0.52669992662128085</v>
      </c>
      <c r="FX67" s="655">
        <f t="shared" si="63"/>
        <v>-1.0748348774759851</v>
      </c>
      <c r="FY67" s="655">
        <f t="shared" si="63"/>
        <v>1.8372227579556415</v>
      </c>
      <c r="FZ67" s="655">
        <f t="shared" si="63"/>
        <v>-0.67387681824946544</v>
      </c>
      <c r="GA67" s="1350" t="s">
        <v>366</v>
      </c>
      <c r="GB67" s="658">
        <f>IF(ISERROR(GB35/GA35-1),"NA ",GB35/GA35-1)</f>
        <v>1.0368072846712244</v>
      </c>
      <c r="GC67" s="655">
        <f>IF(ISERROR(GC35/GB35-1),"NA ",GC35/GB35-1)</f>
        <v>3.0865843127145132</v>
      </c>
      <c r="GD67" s="1458">
        <f>IF(ISERROR(GD35/GC35-1),"NA ",GD35/GC35-1)</f>
        <v>1.0083638927462863</v>
      </c>
    </row>
    <row r="68" spans="1:261" s="507" customFormat="1">
      <c r="A68" s="500" t="s">
        <v>245</v>
      </c>
      <c r="C68" s="655" t="s">
        <v>446</v>
      </c>
      <c r="D68" s="655" t="s">
        <v>446</v>
      </c>
      <c r="E68" s="655" t="s">
        <v>446</v>
      </c>
      <c r="F68" s="655" t="s">
        <v>446</v>
      </c>
      <c r="H68" s="655" t="str">
        <f>IF(ISERROR(H45/C45-1),"NA ",H45/C45-1)</f>
        <v xml:space="preserve">NA </v>
      </c>
      <c r="I68" s="655" t="str">
        <f>IF(ISERROR(I45/D45-1),"NA ",I45/D45-1)</f>
        <v xml:space="preserve">NA </v>
      </c>
      <c r="J68" s="655" t="str">
        <f>IF(ISERROR(J45/E45-1),"NA ",J45/E45-1)</f>
        <v xml:space="preserve">NA </v>
      </c>
      <c r="K68" s="655" t="str">
        <f>IF(ISERROR(K45/F45-1),"NA ",K45/F45-1)</f>
        <v xml:space="preserve">NA </v>
      </c>
      <c r="M68" s="655" t="str">
        <f>IF(ISERROR(M45/H45-1),"NA ",M45/H45-1)</f>
        <v xml:space="preserve">NA </v>
      </c>
      <c r="N68" s="655" t="str">
        <f>IF(ISERROR(N45/I45-1),"NA ",N45/I45-1)</f>
        <v xml:space="preserve">NA </v>
      </c>
      <c r="O68" s="655" t="str">
        <f>IF(ISERROR(O45/J45-1),"NA ",O45/J45-1)</f>
        <v xml:space="preserve">NA </v>
      </c>
      <c r="P68" s="655" t="str">
        <f>IF(ISERROR(P45/K45-1),"NA ",P45/K45-1)</f>
        <v xml:space="preserve">NA </v>
      </c>
      <c r="R68" s="655" t="str">
        <f>IF(ISERROR(R45/M45-1),"NA ",R45/M45-1)</f>
        <v xml:space="preserve">NA </v>
      </c>
      <c r="S68" s="655" t="str">
        <f>IF(ISERROR(S45/N45-1),"NA ",S45/N45-1)</f>
        <v xml:space="preserve">NA </v>
      </c>
      <c r="T68" s="655" t="str">
        <f>IF(ISERROR(T45/O45-1),"NA ",T45/O45-1)</f>
        <v xml:space="preserve">NA </v>
      </c>
      <c r="U68" s="655" t="str">
        <f>IF(ISERROR(U45/P45-1),"NA ",U45/P45-1)</f>
        <v xml:space="preserve">NA </v>
      </c>
      <c r="W68" s="655" t="str">
        <f>IF(ISERROR(W45/R45-1),"NA ",W45/R45-1)</f>
        <v xml:space="preserve">NA </v>
      </c>
      <c r="X68" s="655" t="str">
        <f>IF(ISERROR(X45/S45-1),"NA ",X45/S45-1)</f>
        <v xml:space="preserve">NA </v>
      </c>
      <c r="Y68" s="655" t="str">
        <f>IF(ISERROR(Y45/T45-1),"NA ",Y45/T45-1)</f>
        <v xml:space="preserve">NA </v>
      </c>
      <c r="Z68" s="655" t="str">
        <f>IF(ISERROR(Z45/U45-1),"NA ",Z45/U45-1)</f>
        <v xml:space="preserve">NA </v>
      </c>
      <c r="AB68" s="655" t="str">
        <f>IF(ISERROR(AB45/W45-1),"NA ",AB45/W45-1)</f>
        <v xml:space="preserve">NA </v>
      </c>
      <c r="AC68" s="655" t="str">
        <f>IF(ISERROR(AC45/X45-1),"NA ",AC45/X45-1)</f>
        <v xml:space="preserve">NA </v>
      </c>
      <c r="AD68" s="655" t="str">
        <f>IF(ISERROR(AD45/Y45-1),"NA ",AD45/Y45-1)</f>
        <v xml:space="preserve">NA </v>
      </c>
      <c r="AE68" s="655" t="str">
        <f>IF(ISERROR(AE45/Z45-1),"NA ",AE45/Z45-1)</f>
        <v xml:space="preserve">NA </v>
      </c>
      <c r="AG68" s="655" t="str">
        <f>IF(ISERROR(AG45/AB45-1),"NA ",AG45/AB45-1)</f>
        <v xml:space="preserve">NA </v>
      </c>
      <c r="AH68" s="655" t="str">
        <f>IF(ISERROR(AH45/AC45-1),"NA ",AH45/AC45-1)</f>
        <v xml:space="preserve">NA </v>
      </c>
      <c r="AI68" s="655" t="str">
        <f>IF(ISERROR(AI45/AD45-1),"NA ",AI45/AD45-1)</f>
        <v xml:space="preserve">NA </v>
      </c>
      <c r="AJ68" s="655" t="str">
        <f>IF(ISERROR(AJ45/AE45-1),"NA ",AJ45/AE45-1)</f>
        <v xml:space="preserve">NA </v>
      </c>
      <c r="AL68" s="655" t="str">
        <f>IF(ISERROR(AL45/AG45-1),"NA ",AL45/AG45-1)</f>
        <v xml:space="preserve">NA </v>
      </c>
      <c r="AM68" s="655" t="str">
        <f>IF(ISERROR(AM45/AH45-1),"NA ",AM45/AH45-1)</f>
        <v xml:space="preserve">NA </v>
      </c>
      <c r="AN68" s="655" t="str">
        <f>IF(ISERROR(AN45/AI45-1),"NA ",AN45/AI45-1)</f>
        <v xml:space="preserve">NA </v>
      </c>
      <c r="AO68" s="655" t="str">
        <f>IF(ISERROR(AO45/AJ45-1),"NA ",AO45/AJ45-1)</f>
        <v xml:space="preserve">NA </v>
      </c>
      <c r="AQ68" s="655" t="str">
        <f>IF(ISERROR(AQ45/AL45-1),"NA ",AQ45/AL45-1)</f>
        <v xml:space="preserve">NA </v>
      </c>
      <c r="AR68" s="655" t="str">
        <f>IF(ISERROR(AR45/AM45-1),"NA ",AR45/AM45-1)</f>
        <v xml:space="preserve">NA </v>
      </c>
      <c r="AS68" s="655" t="str">
        <f>IF(ISERROR(AS45/AN45-1),"NA ",AS45/AN45-1)</f>
        <v xml:space="preserve">NA </v>
      </c>
      <c r="AT68" s="655" t="str">
        <f>IF(ISERROR(AT45/AO45-1),"NA ",AT45/AO45-1)</f>
        <v xml:space="preserve">NA </v>
      </c>
      <c r="AV68" s="655" t="str">
        <f>IF(ISERROR(AV45/AQ45-1),"NA ",AV45/AQ45-1)</f>
        <v xml:space="preserve">NA </v>
      </c>
      <c r="AW68" s="655" t="str">
        <f>IF(ISERROR(AW45/AR45-1),"NA ",AW45/AR45-1)</f>
        <v xml:space="preserve">NA </v>
      </c>
      <c r="AX68" s="655" t="str">
        <f>IF(ISERROR(AX45/AS45-1),"NA ",AX45/AS45-1)</f>
        <v xml:space="preserve">NA </v>
      </c>
      <c r="AY68" s="655" t="str">
        <f>IF(ISERROR(AY45/AT45-1),"NA ",AY45/AT45-1)</f>
        <v xml:space="preserve">NA </v>
      </c>
      <c r="BA68" s="655" t="str">
        <f>IF(ISERROR(BA45/AV45-1),"NA ",BA45/AV45-1)</f>
        <v xml:space="preserve">NA </v>
      </c>
      <c r="BB68" s="655" t="str">
        <f>IF(ISERROR(BB45/AW45-1),"NA ",BB45/AW45-1)</f>
        <v xml:space="preserve">NA </v>
      </c>
      <c r="BC68" s="655" t="str">
        <f>IF(ISERROR(BC45/AX45-1),"NA ",BC45/AX45-1)</f>
        <v xml:space="preserve">NA </v>
      </c>
      <c r="BD68" s="655" t="str">
        <f>IF(ISERROR(BD45/AY45-1),"NA ",BD45/AY45-1)</f>
        <v xml:space="preserve">NA </v>
      </c>
      <c r="BF68" s="655" t="str">
        <f>IF(ISERROR(BF45/BA45-1),"NA ",BF45/BA45-1)</f>
        <v xml:space="preserve">NA </v>
      </c>
      <c r="BG68" s="655" t="str">
        <f>IF(ISERROR(BG45/BB45-1),"NA ",BG45/BB45-1)</f>
        <v xml:space="preserve">NA </v>
      </c>
      <c r="BH68" s="655" t="str">
        <f>IF(ISERROR(BH45/BC45-1),"NA ",BH45/BC45-1)</f>
        <v xml:space="preserve">NA </v>
      </c>
      <c r="BI68" s="655" t="str">
        <f>IF(ISERROR(BI45/BD45-1),"NA ",BI45/BD45-1)</f>
        <v xml:space="preserve">NA </v>
      </c>
      <c r="BK68" s="655" t="str">
        <f>IF(ISERROR(BK45/BF45-1),"NA ",BK45/BF45-1)</f>
        <v xml:space="preserve">NA </v>
      </c>
      <c r="BL68" s="655" t="str">
        <f>IF(ISERROR(BL45/BG45-1),"NA ",BL45/BG45-1)</f>
        <v xml:space="preserve">NA </v>
      </c>
      <c r="BM68" s="655" t="str">
        <f>IF(ISERROR(BM45/BH45-1),"NA ",BM45/BH45-1)</f>
        <v xml:space="preserve">NA </v>
      </c>
      <c r="BN68" s="655" t="str">
        <f>IF(ISERROR(BN45/BI45-1),"NA ",BN45/BI45-1)</f>
        <v xml:space="preserve">NA </v>
      </c>
      <c r="BP68" s="655" t="str">
        <f>IF(ISERROR(BP45/BK45-1),"NA ",BP45/BK45-1)</f>
        <v xml:space="preserve">NA </v>
      </c>
      <c r="BQ68" s="655" t="str">
        <f>IF(ISERROR(BQ45/BL45-1),"NA ",BQ45/BL45-1)</f>
        <v xml:space="preserve">NA </v>
      </c>
      <c r="BR68" s="655" t="str">
        <f>IF(ISERROR(BR45/BM45-1),"NA ",BR45/BM45-1)</f>
        <v xml:space="preserve">NA </v>
      </c>
      <c r="BS68" s="655" t="str">
        <f>IF(ISERROR(BS45/BN45-1),"NA ",BS45/BN45-1)</f>
        <v xml:space="preserve">NA </v>
      </c>
      <c r="BU68" s="655" t="str">
        <f>IF(ISERROR(BU45/BP45-1),"NA ",BU45/BP45-1)</f>
        <v xml:space="preserve">NA </v>
      </c>
      <c r="BV68" s="655" t="str">
        <f>IF(ISERROR(BV45/BQ45-1),"NA ",BV45/BQ45-1)</f>
        <v xml:space="preserve">NA </v>
      </c>
      <c r="BW68" s="655" t="str">
        <f>IF(ISERROR(BW45/BR45-1),"NA ",BW45/BR45-1)</f>
        <v xml:space="preserve">NA </v>
      </c>
      <c r="BX68" s="655" t="str">
        <f>IF(ISERROR(BX45/BS45-1),"NA ",BX45/BS45-1)</f>
        <v xml:space="preserve">NA </v>
      </c>
      <c r="BZ68" s="655" t="str">
        <f>IF(ISERROR(BZ45/BU45-1),"NA ",BZ45/BU45-1)</f>
        <v xml:space="preserve">NA </v>
      </c>
      <c r="CA68" s="655" t="str">
        <f>IF(ISERROR(CA45/BV45-1),"NA ",CA45/BV45-1)</f>
        <v xml:space="preserve">NA </v>
      </c>
      <c r="CB68" s="655" t="str">
        <f>IF(ISERROR(CB45/BW45-1),"NA ",CB45/BW45-1)</f>
        <v xml:space="preserve">NA </v>
      </c>
      <c r="CC68" s="655" t="str">
        <f>IF(ISERROR(CC45/BX45-1),"NA ",CC45/BX45-1)</f>
        <v xml:space="preserve">NA </v>
      </c>
      <c r="CE68" s="655">
        <f>IF(ISERROR(CE45/BZ45-1),"NA ",CE45/BZ45-1)</f>
        <v>0.31545741324921139</v>
      </c>
      <c r="CF68" s="655">
        <f>IF(ISERROR(CF45/CA45-1),"NA ",CF45/CA45-1)</f>
        <v>0.32911392405063289</v>
      </c>
      <c r="CG68" s="655">
        <f>IF(ISERROR(CG45/CB45-1),"NA ",CG45/CB45-1)</f>
        <v>0.16473317865429227</v>
      </c>
      <c r="CH68" s="655">
        <f>IF(ISERROR(CH45/CC45-1),"NA ",CH45/CC45-1)</f>
        <v>0.21724881141045937</v>
      </c>
      <c r="CJ68" s="655">
        <f>IF(ISERROR(CJ45/CE45-1),"NA ",CJ45/CE45-1)</f>
        <v>0.12470023980815337</v>
      </c>
      <c r="CK68" s="655">
        <f>IF(ISERROR(CK45/CF45-1),"NA ",CK45/CF45-1)</f>
        <v>0.16507936507936516</v>
      </c>
      <c r="CL68" s="655">
        <f>IF(ISERROR(CL45/CG45-1),"NA ",CL45/CG45-1)</f>
        <v>0.19920318725099606</v>
      </c>
      <c r="CM68" s="655">
        <f>IF(ISERROR(CM45/CH45-1),"NA ",CM45/CH45-1)</f>
        <v>0.11836726191406166</v>
      </c>
      <c r="CO68" s="655">
        <f>IF(ISERROR(CO45/CJ45-1),"NA ",CO45/CJ45-1)</f>
        <v>0.10447761194029859</v>
      </c>
      <c r="CP68" s="655">
        <f>IF(ISERROR(CP45/CK45-1),"NA ",CP45/CK45-1)</f>
        <v>0.16640326975476882</v>
      </c>
      <c r="CQ68" s="655">
        <f>IF(ISERROR(CQ45/CL45-1),"NA ",CQ45/CL45-1)</f>
        <v>-0.13621262458471761</v>
      </c>
      <c r="CR68" s="655">
        <f>IF(ISERROR(CR45/CM45-1),"NA ",CR45/CM45-1)</f>
        <v>-2.4447031431897526E-2</v>
      </c>
      <c r="CT68" s="655">
        <f>IF(ISERROR(CT45/CO45-1),"NA ",CT45/CO45-1)</f>
        <v>-0.30888030888030893</v>
      </c>
      <c r="CU68" s="655">
        <f>IF(ISERROR(CU45/CP45-1),"NA ",CU45/CP45-1)</f>
        <v>-0.16354918588081346</v>
      </c>
      <c r="CV68" s="655">
        <f>IF(ISERROR(CV45/CQ45-1),"NA ",CV45/CQ45-1)</f>
        <v>-0.29651985111662704</v>
      </c>
      <c r="CW68" s="655">
        <f>IF(ISERROR(CW45/CR45-1),"NA ",CW45/CR45-1)</f>
        <v>-0.38424821002386633</v>
      </c>
      <c r="CX68" s="581"/>
      <c r="CY68" s="655">
        <f>IF(ISERROR(CY45/CT45-1),"NA ",CY45/CT45-1)</f>
        <v>-0.36871508379888274</v>
      </c>
      <c r="CZ68" s="655">
        <f>IF(ISERROR(CZ45/CU45-1),"NA ",CZ45/CU45-1)</f>
        <v>-0.47494759949114651</v>
      </c>
      <c r="DA68" s="655">
        <f>IF(ISERROR(DA45/CV45-1),"NA ",DA45/CV45-1)</f>
        <v>-0.37125774904983044</v>
      </c>
      <c r="DB68" s="655">
        <f>IF(ISERROR(DB45/CW45-1),"NA ",DB45/CW45-1)</f>
        <v>-3.8759689922480689E-3</v>
      </c>
      <c r="DD68" s="655">
        <f>IF(ISERROR(DD45/CY45-1),"NA ",DD45/CY45-1)</f>
        <v>0.23893805309734506</v>
      </c>
      <c r="DE68" s="655">
        <f>IF(ISERROR(DE45/CZ45-1),"NA ",DE45/CZ45-1)</f>
        <v>0.17553191489361697</v>
      </c>
      <c r="DF68" s="655">
        <f>IF(ISERROR(DF45/DA45-1),"NA ",DF45/DA45-1)</f>
        <v>9.565217391304337E-2</v>
      </c>
      <c r="DG68" s="655">
        <f>IF(ISERROR(DG45/DB45-1),"NA ",DG45/DB45-1)</f>
        <v>0.21011673151750965</v>
      </c>
      <c r="DI68" s="655">
        <f>IF(ISERROR(DI45/DD45-1),"NA ",DI45/DD45-1)</f>
        <v>6.4285714285714279E-2</v>
      </c>
      <c r="DJ68" s="655">
        <f>IF(ISERROR(DJ45/DE45-1),"NA ",DJ45/DE45-1)</f>
        <v>4.9773755656108642E-2</v>
      </c>
      <c r="DK68" s="655">
        <f>IF(ISERROR(DK45/DF45-1),"NA ",DK45/DF45-1)</f>
        <v>-0.12301587301587302</v>
      </c>
      <c r="DL68" s="655">
        <f>IF(ISERROR(DL45/DG45-1),"NA ",DL45/DG45-1)</f>
        <v>-0.319935691318328</v>
      </c>
      <c r="DN68" s="655">
        <f>IF(ISERROR(DN45/DI45-1),"NA ",DN45/DI45-1)</f>
        <v>-0.90604026845637586</v>
      </c>
      <c r="DO68" s="655">
        <f>IF(ISERROR(DO45/DJ45-1),"NA ",DO45/DJ45-1)</f>
        <v>-1.4137931034482758</v>
      </c>
      <c r="DP68" s="655">
        <f>IF(ISERROR(DP45/DK45-1),"NA ",DP45/DK45-1)</f>
        <v>-1.8416289592760182</v>
      </c>
      <c r="DQ68" s="655">
        <f>IF(ISERROR(DQ45/DL45-1),"NA ",DQ45/DL45-1)</f>
        <v>-2.3215130023640662</v>
      </c>
      <c r="DS68" s="655">
        <f>IF(ISERROR(DS45/DN45-1),"NA ",DS45/DN45-1)</f>
        <v>-10.928571428571429</v>
      </c>
      <c r="DT68" s="655">
        <f>IF(ISERROR(DT45/DO45-1),"NA ",DT45/DO45-1)</f>
        <v>1.1354166666666665</v>
      </c>
      <c r="DU68" s="655">
        <f>IF(ISERROR(DU45/DP45-1),"NA ",DU45/DP45-1)</f>
        <v>4.3010752688172005E-2</v>
      </c>
      <c r="DV68" s="655">
        <f>IF(ISERROR(DV45/DQ45-1),"NA ",DV45/DQ45-1)</f>
        <v>-1.1305903398926656</v>
      </c>
      <c r="DX68" s="655">
        <f>IF(ISERROR(DX45/DS45-1),"NA ",DX45/DS45-1)</f>
        <v>-0.67985611510791366</v>
      </c>
      <c r="DY68" s="655">
        <f>IF(ISERROR(DY45/DT45-1),"NA ",DY45/DT45-1)</f>
        <v>-1.4390243902439024</v>
      </c>
      <c r="DZ68" s="655">
        <f>IF(ISERROR(DZ45/DU45-1),"NA ",DZ45/DU45-1)</f>
        <v>-1.5257731958762886</v>
      </c>
      <c r="EA68" s="655">
        <f>IF(ISERROR(EA45/DV45-1),"NA ",EA45/DV45-1)</f>
        <v>2.6712328767123288</v>
      </c>
      <c r="EC68" s="655">
        <f>IF(ISERROR(EC45/DX45-1),"NA ",EC45/DX45-1)</f>
        <v>-2.1825842696629216</v>
      </c>
      <c r="ED68" s="655">
        <f>IF(ISERROR(ED45/DY45-1),"NA ",ED45/DY45-1)</f>
        <v>0.27777777777777768</v>
      </c>
      <c r="EE68" s="655">
        <f>IF(ISERROR(EE45/DZ45-1),"NA ",EE45/DZ45-1)</f>
        <v>4.9019607843137303E-2</v>
      </c>
      <c r="EF68" s="655">
        <f>IF(ISERROR(EF45/EA45-1),"NA ",EF45/EA45-1)</f>
        <v>-0.36567164179104472</v>
      </c>
      <c r="EH68" s="655">
        <f>IF(ISERROR(EH45/EC45-1),"NA ",EH45/EC45-1)</f>
        <v>0.67220902612826605</v>
      </c>
      <c r="EI68" s="655">
        <f>IF(ISERROR(EI45/ED45-1),"NA ",EI45/ED45-1)</f>
        <v>0.99130434782608701</v>
      </c>
      <c r="EJ68" s="655">
        <f>IF(ISERROR(EJ45/EE45-1),"NA ",EJ45/EE45-1)</f>
        <v>0.60747663551401865</v>
      </c>
      <c r="EK68" s="655">
        <f>IF(ISERROR(EK45/EF45-1),"NA ",EK45/EF45-1)</f>
        <v>1.5647058823529414</v>
      </c>
      <c r="EM68" s="655">
        <f>IF(ISERROR(EM45/EH45-1),"NA ",EM45/EH45-1)</f>
        <v>0.47159090909090917</v>
      </c>
      <c r="EN68" s="655">
        <f>IF(ISERROR(EN45/EI45-1),"NA ",EN45/EI45-1)</f>
        <v>-0.10480349344977968</v>
      </c>
      <c r="EO68" s="655">
        <f>IF(ISERROR(EO45/EJ45-1),"NA ",EO45/EJ45-1)</f>
        <v>-0.36046511627906974</v>
      </c>
      <c r="EP68" s="655">
        <f>IF(ISERROR(EP45/EK45-1),"NA ",EP45/EK45-1)</f>
        <v>-7.1100917431192623E-2</v>
      </c>
      <c r="ER68" s="1480">
        <f>IF(ISERROR(ER45/EM45-1),"NA ",ER45/EM45-1)</f>
        <v>-0.36768055598455573</v>
      </c>
      <c r="ES68" s="1480">
        <f>IF(ISERROR(ES45/EN45-1),"NA ",ES45/EN45-1)</f>
        <v>0.21204519024390067</v>
      </c>
      <c r="ET68" s="1480">
        <f>IF(ISERROR(ET45/EO45-1),"NA ",ET45/EO45-1)</f>
        <v>0.51515872727272738</v>
      </c>
      <c r="EU68" s="1480">
        <f>IF(ISERROR(EU45/EP45-1),"NA ",EU45/EP45-1)</f>
        <v>-0.23601759012345713</v>
      </c>
      <c r="EW68" s="657" t="s">
        <v>147</v>
      </c>
      <c r="EX68" s="655" t="str">
        <f t="shared" ref="EX68:GA68" si="64">IF(ISERROR(EX45/EW45-1),"NA ",EX45/EW45-1)</f>
        <v xml:space="preserve">NA </v>
      </c>
      <c r="EY68" s="655" t="str">
        <f t="shared" si="64"/>
        <v xml:space="preserve">NA </v>
      </c>
      <c r="EZ68" s="655" t="str">
        <f t="shared" si="64"/>
        <v xml:space="preserve">NA </v>
      </c>
      <c r="FA68" s="655" t="str">
        <f t="shared" si="64"/>
        <v xml:space="preserve">NA </v>
      </c>
      <c r="FB68" s="655" t="str">
        <f t="shared" si="64"/>
        <v xml:space="preserve">NA </v>
      </c>
      <c r="FC68" s="655" t="str">
        <f t="shared" si="64"/>
        <v xml:space="preserve">NA </v>
      </c>
      <c r="FD68" s="655" t="str">
        <f t="shared" si="64"/>
        <v xml:space="preserve">NA </v>
      </c>
      <c r="FE68" s="655" t="str">
        <f t="shared" si="64"/>
        <v xml:space="preserve">NA </v>
      </c>
      <c r="FF68" s="655" t="str">
        <f t="shared" si="64"/>
        <v xml:space="preserve">NA </v>
      </c>
      <c r="FG68" s="655" t="str">
        <f t="shared" si="64"/>
        <v xml:space="preserve">NA </v>
      </c>
      <c r="FH68" s="655" t="str">
        <f t="shared" si="64"/>
        <v xml:space="preserve">NA </v>
      </c>
      <c r="FI68" s="655" t="str">
        <f t="shared" si="64"/>
        <v xml:space="preserve">NA </v>
      </c>
      <c r="FJ68" s="655" t="str">
        <f t="shared" si="64"/>
        <v xml:space="preserve">NA </v>
      </c>
      <c r="FK68" s="655">
        <f t="shared" si="64"/>
        <v>0.18864097363083165</v>
      </c>
      <c r="FL68" s="655">
        <f t="shared" si="64"/>
        <v>0.37883959044368609</v>
      </c>
      <c r="FM68" s="657">
        <f t="shared" si="64"/>
        <v>0.23891336633663296</v>
      </c>
      <c r="FN68" s="657">
        <f t="shared" si="64"/>
        <v>0.14730450870193312</v>
      </c>
      <c r="FO68" s="655">
        <f t="shared" si="64"/>
        <v>3.0779277318240261E-3</v>
      </c>
      <c r="FP68" s="655">
        <f t="shared" si="64"/>
        <v>-0.30650146157913927</v>
      </c>
      <c r="FQ68" s="657">
        <f t="shared" si="64"/>
        <v>-0.27528485037164652</v>
      </c>
      <c r="FR68" s="657">
        <f t="shared" si="64"/>
        <v>0.18739205526770286</v>
      </c>
      <c r="FS68" s="655">
        <f t="shared" si="64"/>
        <v>-0.14618181818181819</v>
      </c>
      <c r="FT68" s="655">
        <f t="shared" si="64"/>
        <v>-1.692504258943782</v>
      </c>
      <c r="FU68" s="655">
        <f t="shared" si="64"/>
        <v>-0.25707257072570722</v>
      </c>
      <c r="FV68" s="655">
        <f t="shared" si="64"/>
        <v>-1.6788079470198676</v>
      </c>
      <c r="FW68" s="655">
        <f t="shared" si="64"/>
        <v>0.21280487804878057</v>
      </c>
      <c r="FX68" s="655">
        <f t="shared" si="64"/>
        <v>1.0372046254399194</v>
      </c>
      <c r="FY68" s="655">
        <f t="shared" si="64"/>
        <v>-8.8845014807502509E-2</v>
      </c>
      <c r="FZ68" s="655">
        <f t="shared" si="64"/>
        <v>-3.7572767063923207E-2</v>
      </c>
      <c r="GA68" s="655">
        <f t="shared" si="64"/>
        <v>-9.3409491120064581E-2</v>
      </c>
      <c r="GB68" s="658">
        <f>IF(ISERROR(GB45/GA45-1),"NA ",GB45/GA45-1)</f>
        <v>-6.3203626581991967E-2</v>
      </c>
      <c r="GC68" s="655">
        <f>IF(ISERROR(GC45/GB45-1),"NA ",GC45/GB45-1)</f>
        <v>-0.16091578552765695</v>
      </c>
      <c r="GD68" s="1458">
        <f>IF(ISERROR(GD45/GC45-1),"NA ",GD45/GC45-1)</f>
        <v>-0.26249947296945719</v>
      </c>
      <c r="GF68"/>
      <c r="GG68"/>
      <c r="GH68"/>
      <c r="GI68"/>
      <c r="GJ68"/>
      <c r="GK68"/>
      <c r="GN68" s="398"/>
      <c r="GO68" s="398"/>
      <c r="GP68" s="398"/>
      <c r="GQ68" s="398"/>
      <c r="GR68" s="398"/>
      <c r="GS68" s="398"/>
      <c r="GT68" s="398"/>
      <c r="GU68" s="398"/>
      <c r="GV68" s="398"/>
      <c r="GW68" s="398"/>
      <c r="GX68" s="398"/>
      <c r="GY68" s="398"/>
      <c r="GZ68" s="398"/>
      <c r="HA68" s="398"/>
      <c r="HB68" s="398"/>
      <c r="HC68" s="398"/>
      <c r="HD68" s="398"/>
      <c r="HE68" s="398"/>
      <c r="HF68" s="398"/>
      <c r="HG68" s="398"/>
      <c r="HH68" s="398"/>
      <c r="HI68" s="398"/>
      <c r="HJ68" s="398"/>
      <c r="HK68" s="398"/>
      <c r="HL68" s="398"/>
      <c r="HM68" s="398"/>
      <c r="HN68" s="398"/>
      <c r="HO68" s="398"/>
      <c r="HP68" s="398"/>
      <c r="HQ68" s="398"/>
      <c r="HR68" s="398"/>
      <c r="HS68" s="398"/>
      <c r="HT68" s="398"/>
      <c r="HU68" s="398"/>
      <c r="HV68" s="398"/>
      <c r="HW68" s="398"/>
      <c r="HX68" s="398"/>
      <c r="HY68" s="398"/>
      <c r="HZ68" s="398"/>
      <c r="IA68" s="398"/>
      <c r="IB68" s="398"/>
      <c r="IC68" s="398"/>
      <c r="ID68" s="398"/>
      <c r="IE68" s="398"/>
      <c r="IF68" s="398"/>
      <c r="IG68" s="398"/>
      <c r="IH68" s="398"/>
      <c r="II68" s="398"/>
      <c r="IJ68" s="398"/>
      <c r="IK68" s="398"/>
      <c r="IL68" s="398"/>
      <c r="IM68" s="398"/>
      <c r="IN68" s="398"/>
      <c r="IO68" s="398"/>
      <c r="IP68" s="398"/>
      <c r="IQ68" s="398"/>
      <c r="IR68" s="398"/>
      <c r="IS68" s="398"/>
      <c r="IT68" s="398"/>
      <c r="IU68" s="398"/>
      <c r="IV68" s="398"/>
      <c r="IW68" s="398"/>
      <c r="IX68" s="398"/>
      <c r="IY68" s="398"/>
      <c r="IZ68" s="398"/>
      <c r="JA68" s="398"/>
    </row>
    <row r="69" spans="1:261">
      <c r="A69" s="662" t="s">
        <v>512</v>
      </c>
      <c r="B69" s="584"/>
      <c r="C69" s="663"/>
      <c r="D69" s="663"/>
      <c r="E69" s="663"/>
      <c r="F69" s="663"/>
      <c r="G69" s="584"/>
      <c r="H69" s="663"/>
      <c r="I69" s="663"/>
      <c r="J69" s="663"/>
      <c r="K69" s="663"/>
      <c r="L69" s="584"/>
      <c r="M69" s="663"/>
      <c r="N69" s="663"/>
      <c r="O69" s="663"/>
      <c r="P69" s="663"/>
      <c r="Q69" s="584"/>
      <c r="R69" s="663"/>
      <c r="S69" s="663"/>
      <c r="T69" s="663"/>
      <c r="U69" s="663"/>
      <c r="V69" s="584"/>
      <c r="W69" s="663"/>
      <c r="X69" s="663"/>
      <c r="Y69" s="663"/>
      <c r="Z69" s="663"/>
      <c r="AA69" s="584"/>
      <c r="AB69" s="663"/>
      <c r="AC69" s="663"/>
      <c r="AD69" s="663"/>
      <c r="AE69" s="663"/>
      <c r="AF69" s="584"/>
      <c r="AG69" s="663"/>
      <c r="AH69" s="663"/>
      <c r="AI69" s="663"/>
      <c r="AJ69" s="663"/>
      <c r="AK69" s="584"/>
      <c r="AL69" s="663"/>
      <c r="AM69" s="663"/>
      <c r="AN69" s="663"/>
      <c r="AO69" s="663"/>
      <c r="AP69" s="584"/>
      <c r="AQ69" s="663"/>
      <c r="AR69" s="663"/>
      <c r="AS69" s="663"/>
      <c r="AT69" s="663"/>
      <c r="AU69" s="584"/>
      <c r="AV69" s="663"/>
      <c r="AW69" s="663"/>
      <c r="AX69" s="663"/>
      <c r="AY69" s="663"/>
      <c r="AZ69" s="584"/>
      <c r="BA69" s="663"/>
      <c r="BB69" s="663"/>
      <c r="BC69" s="663"/>
      <c r="BD69" s="663"/>
      <c r="BE69" s="584"/>
      <c r="BF69" s="663"/>
      <c r="BG69" s="663"/>
      <c r="BH69" s="663"/>
      <c r="BI69" s="663"/>
      <c r="BJ69" s="584"/>
      <c r="BK69" s="663"/>
      <c r="BL69" s="663"/>
      <c r="BM69" s="663"/>
      <c r="BN69" s="663"/>
      <c r="BO69" s="584"/>
      <c r="BP69" s="663"/>
      <c r="BQ69" s="663"/>
      <c r="BR69" s="663"/>
      <c r="BS69" s="663"/>
      <c r="BT69" s="584"/>
      <c r="BU69" s="663"/>
      <c r="BV69" s="663"/>
      <c r="BW69" s="663"/>
      <c r="BX69" s="663"/>
      <c r="BY69" s="584"/>
      <c r="BZ69" s="663"/>
      <c r="CA69" s="663"/>
      <c r="CB69" s="663"/>
      <c r="CC69" s="663"/>
      <c r="CD69" s="584"/>
      <c r="CE69" s="663"/>
      <c r="CF69" s="663"/>
      <c r="CG69" s="663"/>
      <c r="CH69" s="663"/>
      <c r="CI69" s="584"/>
      <c r="CJ69" s="663"/>
      <c r="CK69" s="663"/>
      <c r="CL69" s="663"/>
      <c r="CM69" s="663"/>
      <c r="CN69" s="584"/>
      <c r="CO69" s="663"/>
      <c r="CP69" s="663"/>
      <c r="CQ69" s="663"/>
      <c r="CR69" s="663"/>
      <c r="CS69" s="584"/>
      <c r="CT69" s="663"/>
      <c r="CU69" s="663"/>
      <c r="CV69" s="663"/>
      <c r="CW69" s="663"/>
      <c r="CX69" s="664"/>
      <c r="CY69" s="663"/>
      <c r="CZ69" s="663"/>
      <c r="DA69" s="663"/>
      <c r="DB69" s="663"/>
      <c r="DC69" s="584"/>
      <c r="DD69" s="663"/>
      <c r="DE69" s="663"/>
      <c r="DF69" s="663"/>
      <c r="DG69" s="663"/>
      <c r="DH69" s="584"/>
      <c r="DI69" s="663"/>
      <c r="DJ69" s="663"/>
      <c r="DK69" s="663"/>
      <c r="DL69" s="663"/>
      <c r="DM69" s="584"/>
      <c r="DN69" s="663"/>
      <c r="DO69" s="663"/>
      <c r="DP69" s="663"/>
      <c r="DQ69" s="663"/>
      <c r="DR69" s="584"/>
      <c r="DS69" s="663"/>
      <c r="DT69" s="663"/>
      <c r="DU69" s="663"/>
      <c r="DV69" s="663"/>
      <c r="DW69" s="584"/>
      <c r="DX69" s="663"/>
      <c r="DY69" s="663"/>
      <c r="DZ69" s="663"/>
      <c r="EA69" s="663"/>
      <c r="EB69" s="584"/>
      <c r="EC69" s="663"/>
      <c r="ED69" s="663"/>
      <c r="EE69" s="663"/>
      <c r="EF69" s="663"/>
      <c r="EG69" s="584"/>
      <c r="EH69" s="663"/>
      <c r="EI69" s="663"/>
      <c r="EJ69" s="663"/>
      <c r="EK69" s="663"/>
      <c r="EL69" s="584"/>
      <c r="EM69" s="663"/>
      <c r="EN69" s="663"/>
      <c r="EO69" s="663"/>
      <c r="EP69" s="663"/>
      <c r="EQ69" s="584"/>
      <c r="ER69" s="663"/>
      <c r="ES69" s="663"/>
      <c r="ET69" s="663"/>
      <c r="EU69" s="663"/>
      <c r="EV69" s="584"/>
      <c r="EW69" s="665"/>
      <c r="EX69" s="663"/>
      <c r="EY69" s="663"/>
      <c r="EZ69" s="663"/>
      <c r="FA69" s="663"/>
      <c r="FB69" s="663"/>
      <c r="FC69" s="663"/>
      <c r="FD69" s="663"/>
      <c r="FE69" s="663"/>
      <c r="FF69" s="663"/>
      <c r="FG69" s="663"/>
      <c r="FH69" s="663"/>
      <c r="FI69" s="663"/>
      <c r="FJ69" s="663"/>
      <c r="FK69" s="663"/>
      <c r="FL69" s="663"/>
      <c r="FM69" s="665"/>
      <c r="FN69" s="665"/>
      <c r="FO69" s="663">
        <f t="shared" ref="FO69:GA69" si="65">FO47/FO10</f>
        <v>0.11114820969935034</v>
      </c>
      <c r="FP69" s="663">
        <f t="shared" si="65"/>
        <v>7.9239802223953756E-2</v>
      </c>
      <c r="FQ69" s="665">
        <f t="shared" si="65"/>
        <v>8.2918175186905627E-2</v>
      </c>
      <c r="FR69" s="665">
        <f t="shared" si="65"/>
        <v>8.986992510839574E-2</v>
      </c>
      <c r="FS69" s="663">
        <f t="shared" si="65"/>
        <v>7.3059096176129781E-2</v>
      </c>
      <c r="FT69" s="663">
        <f t="shared" si="65"/>
        <v>-3.8351944551405469E-2</v>
      </c>
      <c r="FU69" s="663">
        <f t="shared" si="65"/>
        <v>-4.2499367568934986E-2</v>
      </c>
      <c r="FV69" s="663">
        <f t="shared" si="65"/>
        <v>3.2308068858611406E-2</v>
      </c>
      <c r="FW69" s="663">
        <f t="shared" si="65"/>
        <v>5.5465346534653466E-2</v>
      </c>
      <c r="FX69" s="663">
        <f t="shared" si="65"/>
        <v>8.081613134613852E-2</v>
      </c>
      <c r="FY69" s="663">
        <f t="shared" si="65"/>
        <v>7.3804573804573809E-2</v>
      </c>
      <c r="FZ69" s="663">
        <f t="shared" si="65"/>
        <v>7.3694724497712541E-2</v>
      </c>
      <c r="GA69" s="663">
        <f t="shared" si="65"/>
        <v>6.8683229103257484E-2</v>
      </c>
      <c r="GB69" s="1272">
        <f>GB47/GB10</f>
        <v>6.6602355240142908E-2</v>
      </c>
      <c r="GC69" s="663">
        <f>GC47/GC10</f>
        <v>5.8290030108212057E-2</v>
      </c>
      <c r="GD69" s="1495">
        <f>GD47/GD10</f>
        <v>4.5405356619010899E-2</v>
      </c>
    </row>
    <row r="70" spans="1:261">
      <c r="GB70" s="507"/>
      <c r="GD70" s="1463"/>
    </row>
    <row r="71" spans="1:261">
      <c r="A71" s="666" t="s">
        <v>257</v>
      </c>
      <c r="B71" s="601"/>
      <c r="C71" s="601"/>
      <c r="D71" s="601"/>
      <c r="E71" s="601"/>
      <c r="F71" s="601"/>
      <c r="G71" s="601"/>
      <c r="H71" s="601"/>
      <c r="I71" s="601"/>
      <c r="J71" s="601"/>
      <c r="K71" s="601"/>
      <c r="L71" s="601"/>
      <c r="M71" s="601"/>
      <c r="N71" s="601"/>
      <c r="O71" s="601"/>
      <c r="P71" s="601"/>
      <c r="Q71" s="601"/>
      <c r="R71" s="601"/>
      <c r="S71" s="601"/>
      <c r="T71" s="601"/>
      <c r="U71" s="601"/>
      <c r="V71" s="601"/>
      <c r="W71" s="601"/>
      <c r="X71" s="601"/>
      <c r="Y71" s="601"/>
      <c r="Z71" s="601"/>
      <c r="AA71" s="601"/>
      <c r="AB71" s="601"/>
      <c r="AC71" s="601"/>
      <c r="AD71" s="601"/>
      <c r="AE71" s="601"/>
      <c r="AF71" s="601"/>
      <c r="AG71" s="601"/>
      <c r="AH71" s="601"/>
      <c r="AI71" s="601"/>
      <c r="AJ71" s="601"/>
      <c r="AK71" s="601"/>
      <c r="AL71" s="601"/>
      <c r="AM71" s="601"/>
      <c r="AN71" s="601"/>
      <c r="AO71" s="601"/>
      <c r="AP71" s="601"/>
      <c r="AQ71" s="601"/>
      <c r="AR71" s="601"/>
      <c r="AS71" s="601"/>
      <c r="AT71" s="601"/>
      <c r="AU71" s="601"/>
      <c r="AV71" s="601"/>
      <c r="AW71" s="601"/>
      <c r="AX71" s="601"/>
      <c r="AY71" s="601"/>
      <c r="AZ71" s="601"/>
      <c r="BA71" s="601"/>
      <c r="BB71" s="601"/>
      <c r="BC71" s="601"/>
      <c r="BD71" s="601"/>
      <c r="BE71" s="601"/>
      <c r="BF71" s="601"/>
      <c r="BG71" s="601"/>
      <c r="BH71" s="601"/>
      <c r="BI71" s="601"/>
      <c r="BJ71" s="601"/>
      <c r="BK71" s="601"/>
      <c r="BL71" s="601"/>
      <c r="BM71" s="601"/>
      <c r="BN71" s="601"/>
      <c r="BO71" s="601"/>
      <c r="BP71" s="601"/>
      <c r="BQ71" s="601"/>
      <c r="BR71" s="601"/>
      <c r="BS71" s="601"/>
      <c r="BT71" s="601"/>
      <c r="BU71" s="601"/>
      <c r="BV71" s="601"/>
      <c r="BW71" s="601"/>
      <c r="BX71" s="601"/>
      <c r="BY71" s="601"/>
      <c r="BZ71" s="601"/>
      <c r="CA71" s="601"/>
      <c r="CB71" s="601"/>
      <c r="CC71" s="601"/>
      <c r="CD71" s="601"/>
      <c r="CE71" s="601"/>
      <c r="CF71" s="601"/>
      <c r="CG71" s="601"/>
      <c r="CH71" s="601"/>
      <c r="CI71" s="601"/>
      <c r="CJ71" s="601"/>
      <c r="CK71" s="601"/>
      <c r="CL71" s="601"/>
      <c r="CM71" s="601"/>
      <c r="CN71" s="601"/>
      <c r="CO71" s="601"/>
      <c r="CP71" s="601"/>
      <c r="CQ71" s="601"/>
      <c r="CR71" s="601"/>
      <c r="CS71" s="601"/>
      <c r="CT71" s="601"/>
      <c r="CU71" s="667"/>
      <c r="CV71" s="667"/>
      <c r="CW71" s="667"/>
      <c r="CX71" s="667"/>
      <c r="DN71" s="668">
        <f>DO71-1</f>
        <v>2005</v>
      </c>
      <c r="DO71" s="668">
        <f>DP71-1</f>
        <v>2006</v>
      </c>
      <c r="DP71" s="668">
        <f>DQ71-1</f>
        <v>2007</v>
      </c>
      <c r="DQ71" s="668">
        <f>DS71-1</f>
        <v>2008</v>
      </c>
      <c r="DS71" s="668">
        <f>DT71-1</f>
        <v>2009</v>
      </c>
      <c r="DT71" s="668">
        <f>DU71-1</f>
        <v>2010</v>
      </c>
      <c r="DU71" s="668">
        <f>DV71-1</f>
        <v>2011</v>
      </c>
      <c r="DV71" s="668">
        <v>2012</v>
      </c>
      <c r="DW71" s="668"/>
      <c r="DX71" s="668">
        <v>2013</v>
      </c>
      <c r="EA71" s="507"/>
      <c r="ED71" s="507"/>
      <c r="EE71" s="507"/>
      <c r="EF71" s="507"/>
      <c r="EG71" s="601"/>
      <c r="EH71" s="668">
        <v>2014</v>
      </c>
      <c r="EI71" s="668">
        <v>2015</v>
      </c>
      <c r="EJ71" s="668">
        <v>2016</v>
      </c>
      <c r="EK71" s="1455">
        <v>2017</v>
      </c>
      <c r="EM71" s="1454"/>
      <c r="EN71" s="507"/>
      <c r="EO71" s="507"/>
      <c r="EP71" s="507"/>
      <c r="ER71" s="666" t="s">
        <v>257</v>
      </c>
      <c r="ES71" s="601"/>
      <c r="ET71" s="601"/>
      <c r="EU71" s="601"/>
      <c r="EV71" s="601"/>
      <c r="EW71" s="670">
        <f t="shared" ref="EW71:GA71" si="66">EW7</f>
        <v>1989</v>
      </c>
      <c r="EX71" s="667">
        <f t="shared" si="66"/>
        <v>1990</v>
      </c>
      <c r="EY71" s="667">
        <f t="shared" si="66"/>
        <v>1991</v>
      </c>
      <c r="EZ71" s="667">
        <f t="shared" si="66"/>
        <v>1992</v>
      </c>
      <c r="FA71" s="667">
        <f t="shared" si="66"/>
        <v>1993</v>
      </c>
      <c r="FB71" s="667">
        <f t="shared" si="66"/>
        <v>1994</v>
      </c>
      <c r="FC71" s="667">
        <f t="shared" si="66"/>
        <v>1995</v>
      </c>
      <c r="FD71" s="667">
        <f t="shared" si="66"/>
        <v>1996</v>
      </c>
      <c r="FE71" s="667">
        <f t="shared" si="66"/>
        <v>1997</v>
      </c>
      <c r="FF71" s="667">
        <f t="shared" si="66"/>
        <v>1998</v>
      </c>
      <c r="FG71" s="667">
        <f t="shared" si="66"/>
        <v>1999</v>
      </c>
      <c r="FH71" s="667">
        <f t="shared" si="66"/>
        <v>2000</v>
      </c>
      <c r="FI71" s="667" t="str">
        <f t="shared" si="66"/>
        <v>2001R</v>
      </c>
      <c r="FJ71" s="667" t="str">
        <f t="shared" si="66"/>
        <v>2002R</v>
      </c>
      <c r="FK71" s="667">
        <f t="shared" si="66"/>
        <v>2003</v>
      </c>
      <c r="FL71" s="667">
        <f t="shared" si="66"/>
        <v>2004</v>
      </c>
      <c r="FM71" s="667">
        <f t="shared" si="66"/>
        <v>2005</v>
      </c>
      <c r="FN71" s="667">
        <f t="shared" si="66"/>
        <v>2006</v>
      </c>
      <c r="FO71" s="667">
        <f t="shared" si="66"/>
        <v>2007</v>
      </c>
      <c r="FP71" s="667">
        <f t="shared" si="66"/>
        <v>2008</v>
      </c>
      <c r="FQ71" s="667">
        <f t="shared" si="66"/>
        <v>2009</v>
      </c>
      <c r="FR71" s="667">
        <f t="shared" si="66"/>
        <v>2010</v>
      </c>
      <c r="FS71" s="667">
        <f t="shared" si="66"/>
        <v>2011</v>
      </c>
      <c r="FT71" s="667">
        <f t="shared" si="66"/>
        <v>2012</v>
      </c>
      <c r="FU71" s="667">
        <f t="shared" si="66"/>
        <v>2013</v>
      </c>
      <c r="FV71" s="667">
        <f t="shared" si="66"/>
        <v>2014</v>
      </c>
      <c r="FW71" s="667">
        <f t="shared" si="66"/>
        <v>2015</v>
      </c>
      <c r="FX71" s="671">
        <f t="shared" si="66"/>
        <v>2016</v>
      </c>
      <c r="FY71" s="671">
        <f t="shared" si="66"/>
        <v>2017</v>
      </c>
      <c r="FZ71" s="671">
        <f t="shared" si="66"/>
        <v>2018</v>
      </c>
      <c r="GA71" s="671">
        <f t="shared" si="66"/>
        <v>2019</v>
      </c>
      <c r="GB71" s="669">
        <f>GB7</f>
        <v>2020</v>
      </c>
      <c r="GC71" s="671">
        <f>GC7</f>
        <v>2021</v>
      </c>
      <c r="GD71" s="1455">
        <f>GD7</f>
        <v>2022</v>
      </c>
    </row>
    <row r="72" spans="1:261">
      <c r="A72" s="500" t="s">
        <v>333</v>
      </c>
      <c r="B72" s="507"/>
      <c r="C72" s="507"/>
      <c r="D72" s="507"/>
      <c r="E72" s="507"/>
      <c r="F72" s="507"/>
      <c r="G72" s="507"/>
      <c r="H72" s="507"/>
      <c r="I72" s="507"/>
      <c r="J72" s="507"/>
      <c r="K72" s="507"/>
      <c r="L72" s="507"/>
      <c r="M72" s="507"/>
      <c r="N72" s="507"/>
      <c r="O72" s="507"/>
      <c r="P72" s="507"/>
      <c r="Q72" s="507"/>
      <c r="R72" s="507"/>
      <c r="S72" s="507"/>
      <c r="T72" s="507"/>
      <c r="U72" s="507"/>
      <c r="V72" s="507"/>
      <c r="W72" s="507"/>
      <c r="X72" s="507"/>
      <c r="Y72" s="507"/>
      <c r="Z72" s="507"/>
      <c r="AA72" s="507"/>
      <c r="AB72" s="507"/>
      <c r="AC72" s="507"/>
      <c r="AD72" s="507"/>
      <c r="AE72" s="507"/>
      <c r="AF72" s="507"/>
      <c r="AG72" s="507"/>
      <c r="AH72" s="507"/>
      <c r="AI72" s="507"/>
      <c r="AJ72" s="507"/>
      <c r="AK72" s="507"/>
      <c r="AL72" s="507"/>
      <c r="AM72" s="507"/>
      <c r="AN72" s="507"/>
      <c r="AO72" s="507"/>
      <c r="AP72" s="507"/>
      <c r="AQ72" s="507"/>
      <c r="AR72" s="507"/>
      <c r="AS72" s="507"/>
      <c r="AT72" s="507"/>
      <c r="AU72" s="507"/>
      <c r="AV72" s="507"/>
      <c r="AW72" s="507"/>
      <c r="AX72" s="507"/>
      <c r="AY72" s="507"/>
      <c r="AZ72" s="507"/>
      <c r="BA72" s="507"/>
      <c r="BB72" s="507"/>
      <c r="BC72" s="507"/>
      <c r="BD72" s="507"/>
      <c r="BE72" s="507"/>
      <c r="BF72" s="507"/>
      <c r="BG72" s="507"/>
      <c r="BH72" s="507"/>
      <c r="BI72" s="507"/>
      <c r="BJ72" s="507"/>
      <c r="BK72" s="507"/>
      <c r="BL72" s="507"/>
      <c r="BM72" s="507"/>
      <c r="BN72" s="507"/>
      <c r="BO72" s="507"/>
      <c r="BP72" s="507"/>
      <c r="BQ72" s="507"/>
      <c r="BR72" s="507"/>
      <c r="BS72" s="507"/>
      <c r="BT72" s="507"/>
      <c r="BU72" s="507"/>
      <c r="BV72" s="507"/>
      <c r="BW72" s="507"/>
      <c r="BX72" s="507"/>
      <c r="BY72" s="507"/>
      <c r="BZ72" s="507"/>
      <c r="CA72" s="507"/>
      <c r="CB72" s="507"/>
      <c r="CC72" s="507"/>
      <c r="CD72" s="507"/>
      <c r="CE72" s="507"/>
      <c r="CF72" s="507"/>
      <c r="CG72" s="507"/>
      <c r="CH72" s="507"/>
      <c r="CI72" s="507"/>
      <c r="CJ72" s="507"/>
      <c r="CK72" s="507"/>
      <c r="CL72" s="507"/>
      <c r="CM72" s="507"/>
      <c r="CN72" s="507"/>
      <c r="CO72" s="507"/>
      <c r="CP72" s="507"/>
      <c r="CQ72" s="507"/>
      <c r="CR72" s="507"/>
      <c r="CS72" s="507"/>
      <c r="CT72" s="507"/>
      <c r="CU72" s="507"/>
      <c r="CV72" s="507"/>
      <c r="CW72" s="507"/>
      <c r="CX72" s="672"/>
      <c r="DN72" s="673">
        <f>INDEX(turn!$R:$R,MATCH(DN71,turn!$B:$B,0)+5)</f>
        <v>3.2863623476041961</v>
      </c>
      <c r="DO72" s="673">
        <f>INDEX(turn!$R:$R,MATCH(DO71,turn!$B:$B,0)+5)</f>
        <v>3.3604023339816615</v>
      </c>
      <c r="DP72" s="673">
        <f>INDEX(turn!$R:$R,MATCH(DP71,turn!$B:$B,0)+5)</f>
        <v>3.1676711795071588</v>
      </c>
      <c r="DQ72" s="673">
        <f>INDEX(turn!$R:$R,MATCH(DQ71,turn!$B:$B,0)+5)</f>
        <v>3.0233794038949284</v>
      </c>
      <c r="DS72" s="673">
        <f>INDEX(turn!$R:$R,MATCH(DS71,turn!$B:$B,0)+5)</f>
        <v>3.119698130783366</v>
      </c>
      <c r="DT72" s="672">
        <f>INDEX(turn!$R:$R,MATCH(DT71,turn!$B:$B,0)+5)</f>
        <v>3.0001389081816918</v>
      </c>
      <c r="DU72" s="672">
        <f>INDEX(turn!$R:$R,MATCH(DU71,turn!$B:$B,0)+5)</f>
        <v>3.0006577353134629</v>
      </c>
      <c r="DV72" s="672">
        <f>INDEX(turn!$R:$R,MATCH(DV71,turn!$B:$B,0)+5)</f>
        <v>2.9257105143752837</v>
      </c>
      <c r="DW72" s="672"/>
      <c r="DX72" s="672">
        <f>INDEX(turn!$R:$R,MATCH(DX71,turn!$B:$B,0)+5)</f>
        <v>2.6200093940817286</v>
      </c>
      <c r="EA72" s="507"/>
      <c r="ED72" s="507"/>
      <c r="EE72" s="507"/>
      <c r="EF72" s="507"/>
      <c r="EG72" s="507"/>
      <c r="EH72" s="672">
        <f>INDEX(turn!$R:$R,MATCH(EH71,turn!$B:$B,0)+5)</f>
        <v>2.7047780126849896</v>
      </c>
      <c r="EI72" s="672">
        <f>INDEX(turn!$R:$R,MATCH(EI71,turn!$B:$B,0)+5)</f>
        <v>2.6534116583822867</v>
      </c>
      <c r="EJ72" s="672">
        <f>INDEX(turn!$R:$R,MATCH(EJ71,turn!$B:$B,0)+5)</f>
        <v>2.6068068957164199</v>
      </c>
      <c r="EK72" s="1456">
        <f>INDEX(turn!$R:$R,MATCH(EK71,turn!$B:$B,0)+5)</f>
        <v>2.7477939322632152</v>
      </c>
      <c r="EM72" s="507"/>
      <c r="EN72" s="507"/>
      <c r="EO72" s="507"/>
      <c r="EP72" s="507"/>
      <c r="ER72" s="500" t="s">
        <v>258</v>
      </c>
      <c r="ES72" s="507"/>
      <c r="ET72" s="507"/>
      <c r="EU72" s="507"/>
      <c r="EV72" s="507"/>
      <c r="EW72" s="674">
        <f>yrSales!D17</f>
        <v>1283</v>
      </c>
      <c r="EX72" s="674">
        <f>yrSales!E17</f>
        <v>1266</v>
      </c>
      <c r="EY72" s="674">
        <f>yrSales!F17</f>
        <v>1246</v>
      </c>
      <c r="EZ72" s="674">
        <f>yrSales!G17</f>
        <v>1233</v>
      </c>
      <c r="FA72" s="674">
        <f>yrSales!H17</f>
        <v>1238</v>
      </c>
      <c r="FB72" s="674">
        <f>yrSales!I17</f>
        <v>1228</v>
      </c>
      <c r="FC72" s="674">
        <f>yrSales!J17</f>
        <v>1203</v>
      </c>
      <c r="FD72" s="674">
        <f>yrSales!K17</f>
        <v>1169</v>
      </c>
      <c r="FE72" s="674">
        <f>yrSales!L17</f>
        <v>1176</v>
      </c>
      <c r="FF72" s="674">
        <f>yrSales!M17</f>
        <v>1157</v>
      </c>
      <c r="FG72" s="674">
        <f>yrSales!N17</f>
        <v>1123</v>
      </c>
      <c r="FH72" s="674">
        <f>yrSales!O17</f>
        <v>1097</v>
      </c>
      <c r="FI72" s="674">
        <f>yrSales!P17</f>
        <v>1069</v>
      </c>
      <c r="FJ72" s="674">
        <f>yrSales!Q17</f>
        <v>1043</v>
      </c>
      <c r="FK72" s="674">
        <f>yrSales!R17</f>
        <v>1020</v>
      </c>
      <c r="FL72" s="674">
        <f>yrSales!S17</f>
        <v>1017</v>
      </c>
      <c r="FM72" s="674">
        <f>yrSales!T17</f>
        <v>1019</v>
      </c>
      <c r="FN72" s="674">
        <f>yrSales!U17</f>
        <v>1033</v>
      </c>
      <c r="FO72" s="674">
        <f>yrSales!V17</f>
        <v>1067</v>
      </c>
      <c r="FP72" s="674">
        <f>yrSales!W17</f>
        <v>1093</v>
      </c>
      <c r="FQ72" s="674">
        <f>yrSales!X17</f>
        <v>1108</v>
      </c>
      <c r="FR72" s="674">
        <f>yrSales!Y17</f>
        <v>1106</v>
      </c>
      <c r="FS72" s="674">
        <f>yrSales!Z17</f>
        <v>1102</v>
      </c>
      <c r="FT72" s="674">
        <f>yrSales!AA17</f>
        <v>1104</v>
      </c>
      <c r="FU72" s="674">
        <f>yrSales!AB17</f>
        <v>1094</v>
      </c>
      <c r="FV72" s="674">
        <f>yrSales!AC17</f>
        <v>1062</v>
      </c>
      <c r="FW72" s="674">
        <f>yrSales!AD17</f>
        <v>1021</v>
      </c>
      <c r="FX72" s="674">
        <f>yrSales!AE17</f>
        <v>1014</v>
      </c>
      <c r="FY72" s="674">
        <f>yrSales!AF17</f>
        <v>872</v>
      </c>
      <c r="FZ72" s="674">
        <f>yrSales!AG17</f>
        <v>857</v>
      </c>
      <c r="GA72" s="674">
        <f>yrSales!AH17</f>
        <v>817</v>
      </c>
      <c r="GB72" s="1273">
        <f>yrSales!AI17</f>
        <v>777</v>
      </c>
      <c r="GC72" s="674">
        <f>yrSales!AJ17</f>
        <v>737</v>
      </c>
      <c r="GD72" s="1496">
        <f>yrSales!AK17</f>
        <v>697</v>
      </c>
    </row>
    <row r="73" spans="1:261">
      <c r="A73" s="500" t="s">
        <v>334</v>
      </c>
      <c r="B73" s="507"/>
      <c r="C73" s="507"/>
      <c r="D73" s="507"/>
      <c r="E73" s="507"/>
      <c r="F73" s="507"/>
      <c r="G73" s="507"/>
      <c r="H73" s="507"/>
      <c r="I73" s="507"/>
      <c r="J73" s="507"/>
      <c r="K73" s="507"/>
      <c r="L73" s="507"/>
      <c r="M73" s="507"/>
      <c r="N73" s="507"/>
      <c r="O73" s="507"/>
      <c r="P73" s="507"/>
      <c r="Q73" s="507"/>
      <c r="R73" s="507"/>
      <c r="S73" s="507"/>
      <c r="T73" s="507"/>
      <c r="U73" s="507"/>
      <c r="V73" s="507"/>
      <c r="W73" s="507"/>
      <c r="X73" s="507"/>
      <c r="Y73" s="507"/>
      <c r="Z73" s="507"/>
      <c r="AA73" s="507"/>
      <c r="AB73" s="507"/>
      <c r="AC73" s="507"/>
      <c r="AD73" s="507"/>
      <c r="AE73" s="507"/>
      <c r="AF73" s="507"/>
      <c r="AG73" s="507"/>
      <c r="AH73" s="507"/>
      <c r="AI73" s="507"/>
      <c r="AJ73" s="507"/>
      <c r="AK73" s="507"/>
      <c r="AL73" s="507"/>
      <c r="AM73" s="507"/>
      <c r="AN73" s="507"/>
      <c r="AO73" s="507"/>
      <c r="AP73" s="507"/>
      <c r="AQ73" s="507"/>
      <c r="AR73" s="507"/>
      <c r="AS73" s="507"/>
      <c r="AT73" s="507"/>
      <c r="AU73" s="507"/>
      <c r="AV73" s="507"/>
      <c r="AW73" s="507"/>
      <c r="AX73" s="507"/>
      <c r="AY73" s="507"/>
      <c r="AZ73" s="507"/>
      <c r="BA73" s="507"/>
      <c r="BB73" s="507"/>
      <c r="BC73" s="507"/>
      <c r="BD73" s="507"/>
      <c r="BE73" s="507"/>
      <c r="BF73" s="507"/>
      <c r="BG73" s="507"/>
      <c r="BH73" s="507"/>
      <c r="BI73" s="507"/>
      <c r="BJ73" s="507"/>
      <c r="BK73" s="507"/>
      <c r="BL73" s="507"/>
      <c r="BM73" s="507"/>
      <c r="BN73" s="507"/>
      <c r="BO73" s="507"/>
      <c r="BP73" s="507"/>
      <c r="BQ73" s="507"/>
      <c r="BR73" s="507"/>
      <c r="BS73" s="507"/>
      <c r="BT73" s="507"/>
      <c r="BU73" s="507"/>
      <c r="BV73" s="507"/>
      <c r="BW73" s="507"/>
      <c r="BX73" s="507"/>
      <c r="BY73" s="507"/>
      <c r="BZ73" s="507"/>
      <c r="CA73" s="507"/>
      <c r="CB73" s="507"/>
      <c r="CC73" s="507"/>
      <c r="CD73" s="507"/>
      <c r="CE73" s="507"/>
      <c r="CF73" s="507"/>
      <c r="CG73" s="507"/>
      <c r="CH73" s="507"/>
      <c r="CI73" s="507"/>
      <c r="CJ73" s="507"/>
      <c r="CK73" s="507"/>
      <c r="CL73" s="507"/>
      <c r="CM73" s="507"/>
      <c r="CN73" s="507"/>
      <c r="CO73" s="507"/>
      <c r="CP73" s="507"/>
      <c r="CQ73" s="507"/>
      <c r="CR73" s="507"/>
      <c r="CS73" s="507"/>
      <c r="CT73" s="507"/>
      <c r="CU73" s="507"/>
      <c r="CV73" s="507"/>
      <c r="CW73" s="507"/>
      <c r="CX73" s="581"/>
      <c r="DC73" s="656"/>
      <c r="DN73" s="656">
        <f>bal!W83</f>
        <v>0.364797507788162</v>
      </c>
      <c r="DO73" s="656">
        <f>bal!X83</f>
        <v>0.40176470588235297</v>
      </c>
      <c r="DP73" s="656">
        <f>bal!Y83</f>
        <v>0.40428453721505081</v>
      </c>
      <c r="DQ73" s="656">
        <f>bal!Z83</f>
        <v>0.36637005216324026</v>
      </c>
      <c r="DS73" s="656">
        <f>bal!AA83</f>
        <v>0.40542328042328041</v>
      </c>
      <c r="DT73" s="656">
        <f>bal!AB83</f>
        <v>0.35262994086523497</v>
      </c>
      <c r="DU73" s="656">
        <f>bal!AC83</f>
        <v>0.35048010973936899</v>
      </c>
      <c r="DV73" s="656">
        <f>bal!AD83</f>
        <v>0.49636907304570699</v>
      </c>
      <c r="DW73" s="656"/>
      <c r="DX73" s="656">
        <f>bal!AE83</f>
        <v>0.32299829642248723</v>
      </c>
      <c r="EA73" s="507"/>
      <c r="ED73" s="507"/>
      <c r="EE73" s="507"/>
      <c r="EF73" s="507"/>
      <c r="EG73" s="507"/>
      <c r="EH73" s="656">
        <f>bal!AF83</f>
        <v>0.37594268476621417</v>
      </c>
      <c r="EI73" s="656">
        <f>bal!AG83</f>
        <v>0.33994854832782068</v>
      </c>
      <c r="EJ73" s="656">
        <f>bal!AH83</f>
        <v>0.34232655921513666</v>
      </c>
      <c r="EK73" s="1457">
        <f>bal!AI83</f>
        <v>0.35228095582910934</v>
      </c>
      <c r="EM73" s="507"/>
      <c r="EN73" s="507"/>
      <c r="EO73" s="507"/>
      <c r="EP73" s="507"/>
      <c r="ER73" s="500" t="s">
        <v>259</v>
      </c>
      <c r="ES73" s="507"/>
      <c r="ET73" s="507"/>
      <c r="EU73" s="507"/>
      <c r="EV73" s="507"/>
      <c r="EW73" s="674">
        <f>yrSales!D30</f>
        <v>114.5</v>
      </c>
      <c r="EX73" s="674">
        <f>yrSales!E30</f>
        <v>114.4</v>
      </c>
      <c r="EY73" s="674">
        <f>yrSales!F30</f>
        <v>113.9</v>
      </c>
      <c r="EZ73" s="674">
        <f>yrSales!G30</f>
        <v>113</v>
      </c>
      <c r="FA73" s="674">
        <f>yrSales!H30</f>
        <v>114.3</v>
      </c>
      <c r="FB73" s="674">
        <f>yrSales!I30</f>
        <v>117.2</v>
      </c>
      <c r="FC73" s="674">
        <f>yrSales!J30</f>
        <v>118.4</v>
      </c>
      <c r="FD73" s="674">
        <f>yrSales!K30</f>
        <v>116</v>
      </c>
      <c r="FE73" s="674">
        <f>yrSales!L30</f>
        <v>114.7</v>
      </c>
      <c r="FF73" s="674">
        <f>yrSales!M30</f>
        <v>112.3</v>
      </c>
      <c r="FG73" s="674">
        <f>yrSales!N30</f>
        <v>108.3</v>
      </c>
      <c r="FH73" s="674">
        <f>yrSales!O30</f>
        <v>105.6</v>
      </c>
      <c r="FI73" s="674">
        <f>yrSales!P30</f>
        <v>106</v>
      </c>
      <c r="FJ73" s="674">
        <f>yrSales!Q30</f>
        <v>103.3</v>
      </c>
      <c r="FK73" s="674">
        <f>yrSales!R30</f>
        <v>101.1</v>
      </c>
      <c r="FL73" s="674">
        <f>yrSales!S30</f>
        <v>101.3</v>
      </c>
      <c r="FM73" s="674">
        <f>yrSales!T30</f>
        <v>101.4</v>
      </c>
      <c r="FN73" s="674">
        <f>yrSales!U30</f>
        <v>103.1</v>
      </c>
      <c r="FO73" s="674">
        <f>yrSales!V30</f>
        <v>106.6</v>
      </c>
      <c r="FP73" s="674">
        <f>yrSales!W30</f>
        <v>109.9</v>
      </c>
      <c r="FQ73" s="674">
        <f>yrSales!X30</f>
        <v>111.7</v>
      </c>
      <c r="FR73" s="674">
        <f>yrSales!Y30</f>
        <v>111.6</v>
      </c>
      <c r="FS73" s="674">
        <f>yrSales!Z30</f>
        <v>111.2</v>
      </c>
      <c r="FT73" s="674">
        <f>yrSales!AA30</f>
        <v>111.6</v>
      </c>
      <c r="FU73" s="674">
        <f>yrSales!AB30</f>
        <v>110.69021739130434</v>
      </c>
      <c r="FV73" s="674">
        <f>yrSales!AC30</f>
        <v>107.45543478260869</v>
      </c>
      <c r="FW73" s="674">
        <f>yrSales!AD30</f>
        <v>103.20978260869565</v>
      </c>
      <c r="FX73" s="674">
        <f>yrSales!AE30</f>
        <v>103.3</v>
      </c>
      <c r="FY73" s="674">
        <f>yrSales!AF30</f>
        <v>95.6</v>
      </c>
      <c r="FZ73" s="674">
        <f>yrSales!AG30</f>
        <v>93.955504587155957</v>
      </c>
      <c r="GA73" s="674">
        <f>yrSales!AH30</f>
        <v>89.57018348623852</v>
      </c>
      <c r="GB73" s="1273">
        <f>yrSales!AI30</f>
        <v>85.184862385321082</v>
      </c>
      <c r="GC73" s="674">
        <f>yrSales!AJ30</f>
        <v>80.799541284403659</v>
      </c>
      <c r="GD73" s="1496">
        <f>yrSales!AK30</f>
        <v>76.414220183486222</v>
      </c>
    </row>
    <row r="74" spans="1:261">
      <c r="A74" s="500" t="s">
        <v>335</v>
      </c>
      <c r="B74" s="507"/>
      <c r="C74" s="507"/>
      <c r="D74" s="507"/>
      <c r="E74" s="507"/>
      <c r="F74" s="507"/>
      <c r="G74" s="507"/>
      <c r="H74" s="507"/>
      <c r="I74" s="507"/>
      <c r="J74" s="507"/>
      <c r="K74" s="507"/>
      <c r="L74" s="507"/>
      <c r="M74" s="507"/>
      <c r="N74" s="507"/>
      <c r="O74" s="507"/>
      <c r="P74" s="507"/>
      <c r="Q74" s="507"/>
      <c r="R74" s="507"/>
      <c r="S74" s="507"/>
      <c r="T74" s="507"/>
      <c r="U74" s="507"/>
      <c r="V74" s="507"/>
      <c r="W74" s="507"/>
      <c r="X74" s="507"/>
      <c r="Y74" s="507"/>
      <c r="Z74" s="507"/>
      <c r="AA74" s="507"/>
      <c r="AB74" s="507"/>
      <c r="AC74" s="507"/>
      <c r="AD74" s="507"/>
      <c r="AE74" s="507"/>
      <c r="AF74" s="507"/>
      <c r="AG74" s="507"/>
      <c r="AH74" s="507"/>
      <c r="AI74" s="507"/>
      <c r="AJ74" s="507"/>
      <c r="AK74" s="507"/>
      <c r="AL74" s="507"/>
      <c r="AM74" s="507"/>
      <c r="AN74" s="507"/>
      <c r="AO74" s="507"/>
      <c r="AP74" s="507"/>
      <c r="AQ74" s="507"/>
      <c r="AR74" s="507"/>
      <c r="AS74" s="507"/>
      <c r="AT74" s="507"/>
      <c r="AU74" s="507"/>
      <c r="AV74" s="507"/>
      <c r="AW74" s="507"/>
      <c r="AX74" s="507"/>
      <c r="AY74" s="507"/>
      <c r="AZ74" s="507"/>
      <c r="BA74" s="507"/>
      <c r="BB74" s="507"/>
      <c r="BC74" s="507"/>
      <c r="BD74" s="507"/>
      <c r="BE74" s="507"/>
      <c r="BF74" s="507"/>
      <c r="BG74" s="507"/>
      <c r="BH74" s="507"/>
      <c r="BI74" s="507"/>
      <c r="BJ74" s="507"/>
      <c r="BK74" s="507"/>
      <c r="BL74" s="507"/>
      <c r="BM74" s="507"/>
      <c r="BN74" s="507"/>
      <c r="BO74" s="507"/>
      <c r="BP74" s="507"/>
      <c r="BQ74" s="507"/>
      <c r="BR74" s="507"/>
      <c r="BS74" s="507"/>
      <c r="BT74" s="507"/>
      <c r="BU74" s="507"/>
      <c r="BV74" s="507"/>
      <c r="BW74" s="507"/>
      <c r="BX74" s="507"/>
      <c r="BY74" s="507"/>
      <c r="BZ74" s="507"/>
      <c r="CA74" s="507"/>
      <c r="CB74" s="507"/>
      <c r="CC74" s="507"/>
      <c r="CD74" s="507"/>
      <c r="CE74" s="507"/>
      <c r="CF74" s="507"/>
      <c r="CG74" s="507"/>
      <c r="CH74" s="507"/>
      <c r="CI74" s="507"/>
      <c r="CJ74" s="507"/>
      <c r="CK74" s="507"/>
      <c r="CL74" s="507"/>
      <c r="CM74" s="507"/>
      <c r="CN74" s="507"/>
      <c r="CO74" s="507"/>
      <c r="CP74" s="507"/>
      <c r="CQ74" s="507"/>
      <c r="CR74" s="507"/>
      <c r="CS74" s="507"/>
      <c r="CT74" s="507"/>
      <c r="CU74" s="507"/>
      <c r="CV74" s="507"/>
      <c r="CW74" s="507"/>
      <c r="CX74" s="581"/>
      <c r="DC74" s="659"/>
      <c r="DN74" s="656">
        <f>INDEX(dtc!53:53,MATCH(DN71,dtc!5:5,0))</f>
        <v>0.77762602197292308</v>
      </c>
      <c r="DO74" s="656">
        <f>INDEX(dtc!53:53,MATCH(DO71,dtc!5:5,0))</f>
        <v>0.69874036353315283</v>
      </c>
      <c r="DP74" s="656">
        <f>INDEX(dtc!53:53,MATCH(DP71,dtc!5:5,0))</f>
        <v>0.57152815021607928</v>
      </c>
      <c r="DQ74" s="656">
        <f>INDEX(dtc!53:53,MATCH(DQ71,dtc!5:5,0))</f>
        <v>0.66027763757069136</v>
      </c>
      <c r="DS74" s="656">
        <f>INDEX(dtc!53:53,MATCH(DS71,dtc!5:5,0))</f>
        <v>0.65751839604508278</v>
      </c>
      <c r="DT74" s="656">
        <f>INDEX(dtc!53:53,MATCH(DT71,dtc!5:5,0))</f>
        <v>0.52199917214199831</v>
      </c>
      <c r="DU74" s="656">
        <f>INDEX(dtc!53:53,MATCH(DU71,dtc!5:5,0))</f>
        <v>0.55344140486586835</v>
      </c>
      <c r="DV74" s="655">
        <f>INDEX(dtc!53:53,MATCH(DV71,dtc!5:5,0))</f>
        <v>0.57093624353819639</v>
      </c>
      <c r="DW74" s="655"/>
      <c r="DX74" s="655">
        <f>INDEX(dtc!53:53,MATCH(DX71,dtc!5:5,0))</f>
        <v>0.78084483479715605</v>
      </c>
      <c r="EA74" s="507"/>
      <c r="ED74" s="507"/>
      <c r="EE74" s="507"/>
      <c r="EF74" s="507"/>
      <c r="EG74" s="507"/>
      <c r="EH74" s="655">
        <f>INDEX(dtc!53:53,MATCH(EH71,dtc!5:5,0))</f>
        <v>0.90086493679308055</v>
      </c>
      <c r="EI74" s="655">
        <f>INDEX(dtc!53:53,MATCH(EI71,dtc!5:5,0))</f>
        <v>0.92155735151158402</v>
      </c>
      <c r="EJ74" s="655">
        <f>INDEX(dtc!53:53,MATCH(EJ71,dtc!5:5,0))</f>
        <v>0.90814319433516921</v>
      </c>
      <c r="EK74" s="1458">
        <f>INDEX(dtc!53:53,MATCH(EK71,dtc!5:5,0))</f>
        <v>0.81167271134806274</v>
      </c>
      <c r="EM74" s="507"/>
      <c r="EN74" s="507"/>
      <c r="EO74" s="507"/>
      <c r="EP74" s="507"/>
      <c r="ER74" s="500" t="s">
        <v>260</v>
      </c>
      <c r="ES74" s="507"/>
      <c r="ET74" s="507"/>
      <c r="EU74" s="507"/>
      <c r="EV74" s="507"/>
      <c r="EW74" s="655" t="s">
        <v>446</v>
      </c>
      <c r="EX74" s="656">
        <f t="shared" ref="EX74:GA74" si="67">EX73/EW73-1</f>
        <v>-8.7336244541480479E-4</v>
      </c>
      <c r="EY74" s="656">
        <f t="shared" si="67"/>
        <v>-4.3706293706293753E-3</v>
      </c>
      <c r="EZ74" s="656">
        <f t="shared" si="67"/>
        <v>-7.9016681299386438E-3</v>
      </c>
      <c r="FA74" s="656">
        <f t="shared" si="67"/>
        <v>1.1504424778761013E-2</v>
      </c>
      <c r="FB74" s="656">
        <f t="shared" si="67"/>
        <v>2.5371828521434825E-2</v>
      </c>
      <c r="FC74" s="656">
        <f t="shared" si="67"/>
        <v>1.0238907849829282E-2</v>
      </c>
      <c r="FD74" s="656">
        <f t="shared" si="67"/>
        <v>-2.0270270270270285E-2</v>
      </c>
      <c r="FE74" s="656">
        <f t="shared" si="67"/>
        <v>-1.1206896551724133E-2</v>
      </c>
      <c r="FF74" s="656">
        <f t="shared" si="67"/>
        <v>-2.0924149956408122E-2</v>
      </c>
      <c r="FG74" s="656">
        <f t="shared" si="67"/>
        <v>-3.5618878005342802E-2</v>
      </c>
      <c r="FH74" s="656">
        <f t="shared" si="67"/>
        <v>-2.4930747922437657E-2</v>
      </c>
      <c r="FI74" s="656">
        <f t="shared" si="67"/>
        <v>3.7878787878788955E-3</v>
      </c>
      <c r="FJ74" s="656">
        <f t="shared" si="67"/>
        <v>-2.5471698113207597E-2</v>
      </c>
      <c r="FK74" s="656">
        <f t="shared" si="67"/>
        <v>-2.1297192642788065E-2</v>
      </c>
      <c r="FL74" s="656">
        <f t="shared" si="67"/>
        <v>1.9782393669633969E-3</v>
      </c>
      <c r="FM74" s="656">
        <f t="shared" si="67"/>
        <v>9.8716683119448589E-4</v>
      </c>
      <c r="FN74" s="656">
        <f t="shared" si="67"/>
        <v>1.6765285996055201E-2</v>
      </c>
      <c r="FO74" s="656">
        <f t="shared" si="67"/>
        <v>3.3947623666343407E-2</v>
      </c>
      <c r="FP74" s="656">
        <f t="shared" si="67"/>
        <v>3.0956848030018858E-2</v>
      </c>
      <c r="FQ74" s="656">
        <f t="shared" si="67"/>
        <v>1.6378525932666088E-2</v>
      </c>
      <c r="FR74" s="656">
        <f t="shared" si="67"/>
        <v>-8.9525514771715553E-4</v>
      </c>
      <c r="FS74" s="656">
        <f t="shared" si="67"/>
        <v>-3.5842293906809264E-3</v>
      </c>
      <c r="FT74" s="656">
        <f t="shared" si="67"/>
        <v>3.597122302158251E-3</v>
      </c>
      <c r="FU74" s="656">
        <f t="shared" si="67"/>
        <v>-8.152173913043459E-3</v>
      </c>
      <c r="FV74" s="656">
        <f t="shared" si="67"/>
        <v>-2.9223744292237397E-2</v>
      </c>
      <c r="FW74" s="656">
        <f t="shared" si="67"/>
        <v>-3.9510818438381889E-2</v>
      </c>
      <c r="FX74" s="656">
        <f t="shared" si="67"/>
        <v>8.7411666824643852E-4</v>
      </c>
      <c r="FY74" s="656">
        <f t="shared" si="67"/>
        <v>-7.4540174249758007E-2</v>
      </c>
      <c r="FZ74" s="656">
        <f t="shared" si="67"/>
        <v>-1.7201834862385357E-2</v>
      </c>
      <c r="GA74" s="656">
        <f t="shared" si="67"/>
        <v>-4.6674445740956916E-2</v>
      </c>
      <c r="GB74" s="675">
        <f>GB73/GA73-1</f>
        <v>-4.8959608323133508E-2</v>
      </c>
      <c r="GC74" s="656">
        <f>GC73/GB73-1</f>
        <v>-5.1480051480051414E-2</v>
      </c>
      <c r="GD74" s="1457">
        <f>GD73/GC73-1</f>
        <v>-5.427408412483048E-2</v>
      </c>
    </row>
    <row r="75" spans="1:261">
      <c r="A75" s="662" t="s">
        <v>336</v>
      </c>
      <c r="B75" s="584"/>
      <c r="C75" s="584"/>
      <c r="D75" s="584"/>
      <c r="E75" s="584"/>
      <c r="F75" s="584"/>
      <c r="G75" s="584"/>
      <c r="H75" s="584"/>
      <c r="I75" s="584"/>
      <c r="J75" s="584"/>
      <c r="K75" s="584"/>
      <c r="L75" s="584"/>
      <c r="M75" s="584"/>
      <c r="N75" s="584"/>
      <c r="O75" s="584"/>
      <c r="P75" s="584"/>
      <c r="Q75" s="584"/>
      <c r="R75" s="584"/>
      <c r="S75" s="584"/>
      <c r="T75" s="584"/>
      <c r="U75" s="584"/>
      <c r="V75" s="584"/>
      <c r="W75" s="584"/>
      <c r="X75" s="584"/>
      <c r="Y75" s="584"/>
      <c r="Z75" s="584"/>
      <c r="AA75" s="584"/>
      <c r="AB75" s="584"/>
      <c r="AC75" s="584"/>
      <c r="AD75" s="584"/>
      <c r="AE75" s="584"/>
      <c r="AF75" s="584"/>
      <c r="AG75" s="584"/>
      <c r="AH75" s="584"/>
      <c r="AI75" s="584"/>
      <c r="AJ75" s="584"/>
      <c r="AK75" s="584"/>
      <c r="AL75" s="584"/>
      <c r="AM75" s="584"/>
      <c r="AN75" s="584"/>
      <c r="AO75" s="584"/>
      <c r="AP75" s="584"/>
      <c r="AQ75" s="584"/>
      <c r="AR75" s="584"/>
      <c r="AS75" s="584"/>
      <c r="AT75" s="584"/>
      <c r="AU75" s="584"/>
      <c r="AV75" s="584"/>
      <c r="AW75" s="584"/>
      <c r="AX75" s="584"/>
      <c r="AY75" s="584"/>
      <c r="AZ75" s="584"/>
      <c r="BA75" s="584"/>
      <c r="BB75" s="584"/>
      <c r="BC75" s="584"/>
      <c r="BD75" s="584"/>
      <c r="BE75" s="584"/>
      <c r="BF75" s="584"/>
      <c r="BG75" s="584"/>
      <c r="BH75" s="584"/>
      <c r="BI75" s="584"/>
      <c r="BJ75" s="584"/>
      <c r="BK75" s="584"/>
      <c r="BL75" s="584"/>
      <c r="BM75" s="584"/>
      <c r="BN75" s="584"/>
      <c r="BO75" s="584"/>
      <c r="BP75" s="584"/>
      <c r="BQ75" s="584"/>
      <c r="BR75" s="584"/>
      <c r="BS75" s="584"/>
      <c r="BT75" s="584"/>
      <c r="BU75" s="584"/>
      <c r="BV75" s="584"/>
      <c r="BW75" s="584"/>
      <c r="BX75" s="584"/>
      <c r="BY75" s="584"/>
      <c r="BZ75" s="584"/>
      <c r="CA75" s="584"/>
      <c r="CB75" s="584"/>
      <c r="CC75" s="584"/>
      <c r="CD75" s="584"/>
      <c r="CE75" s="584"/>
      <c r="CF75" s="584"/>
      <c r="CG75" s="584"/>
      <c r="CH75" s="584"/>
      <c r="CI75" s="584"/>
      <c r="CJ75" s="584"/>
      <c r="CK75" s="584"/>
      <c r="CL75" s="584"/>
      <c r="CM75" s="584"/>
      <c r="CN75" s="584"/>
      <c r="CO75" s="584"/>
      <c r="CP75" s="584"/>
      <c r="CQ75" s="584"/>
      <c r="CR75" s="584"/>
      <c r="CS75" s="584"/>
      <c r="CT75" s="584"/>
      <c r="CU75" s="584"/>
      <c r="CV75" s="584"/>
      <c r="CW75" s="584"/>
      <c r="CX75" s="664"/>
      <c r="DC75" s="676"/>
      <c r="DN75" s="677">
        <f>flow!W8/((bal!V47+bal!W47)/2)</f>
        <v>0.24568944610397891</v>
      </c>
      <c r="DO75" s="677">
        <f>flow!X8/((bal!W47+bal!X47)/2)</f>
        <v>0.27848433286006541</v>
      </c>
      <c r="DP75" s="677">
        <f>flow!Y8/((bal!X47+bal!Y47)/2)</f>
        <v>0.23061207679777462</v>
      </c>
      <c r="DQ75" s="677">
        <f>flow!Z8/((bal!Y47+bal!Z47)/2)</f>
        <v>0.12068086611005177</v>
      </c>
      <c r="DS75" s="677">
        <f>flow!AA8/((bal!Z47+bal!AA47)/2)</f>
        <v>5.6338798939087852E-2</v>
      </c>
      <c r="DT75" s="677">
        <f>flow!AB8/((bal!AA47+bal!AB47)/2)</f>
        <v>7.6001642946054201E-2</v>
      </c>
      <c r="DU75" s="677">
        <f>flow!AC8/((bal!AB47+bal!AC47)/2)</f>
        <v>-3.2038581480572176E-2</v>
      </c>
      <c r="DV75" s="677">
        <f>flow!AD8/((bal!AC47+bal!AD47)/2)</f>
        <v>-0.27434758067718162</v>
      </c>
      <c r="DW75" s="677"/>
      <c r="DX75" s="677">
        <f>flow!AE8/((bal!AD47+bal!AE47)/2)</f>
        <v>-0.44359220198146371</v>
      </c>
      <c r="EA75" s="507"/>
      <c r="ED75" s="507"/>
      <c r="EE75" s="507"/>
      <c r="EF75" s="507"/>
      <c r="EG75" s="584"/>
      <c r="EH75" s="677">
        <f>flow!AF8/((bal!AE47+bal!AF47)/2)</f>
        <v>-0.3083383323335333</v>
      </c>
      <c r="EI75" s="677">
        <f>flow!AG8/((bal!AF47+bal!AG47)/2)</f>
        <v>-0.31833695314923982</v>
      </c>
      <c r="EJ75" s="677">
        <f>flow!AH8/((bal!AG47+bal!AH47)/2)</f>
        <v>7.5103266992114157E-4</v>
      </c>
      <c r="EK75" s="1459">
        <f>flow!AJ8/((bal!AH47+bal!AI47)/2)</f>
        <v>1.6333945115257126E-2</v>
      </c>
      <c r="EM75" s="507"/>
      <c r="EN75" s="507"/>
      <c r="EO75" s="507"/>
      <c r="EP75" s="507"/>
      <c r="ER75" s="500" t="s">
        <v>261</v>
      </c>
      <c r="ES75" s="507"/>
      <c r="ET75" s="507"/>
      <c r="EU75" s="507"/>
      <c r="EV75" s="507"/>
      <c r="EW75" s="674">
        <f>yrSales!D33*1000</f>
        <v>88246.628131021193</v>
      </c>
      <c r="EX75" s="674">
        <f>yrSales!E33*1000</f>
        <v>89760.690466849745</v>
      </c>
      <c r="EY75" s="674">
        <f>yrSales!F33*1000</f>
        <v>90684.713375796186</v>
      </c>
      <c r="EZ75" s="674">
        <f>yrSales!G33*1000</f>
        <v>91165.792658329956</v>
      </c>
      <c r="FA75" s="674">
        <f>yrSales!H33*1000</f>
        <v>92513.152569809798</v>
      </c>
      <c r="FB75" s="674">
        <f>yrSales!I33*1000</f>
        <v>95052.716950527174</v>
      </c>
      <c r="FC75" s="674">
        <f>yrSales!J33*1000</f>
        <v>97408.473879062134</v>
      </c>
      <c r="FD75" s="674">
        <f>yrSales!K33*1000</f>
        <v>97807.757166947718</v>
      </c>
      <c r="FE75" s="674">
        <f>yrSales!L33*1000</f>
        <v>97825.15991471216</v>
      </c>
      <c r="FF75" s="674">
        <f>yrSales!M33*1000</f>
        <v>96270.895842263169</v>
      </c>
      <c r="FG75" s="674">
        <f>yrSales!N33*1000</f>
        <v>95000</v>
      </c>
      <c r="FH75" s="674">
        <f>yrSales!O33*1000</f>
        <v>95135.135135135133</v>
      </c>
      <c r="FI75" s="674">
        <f>yrSales!P33*1000</f>
        <v>97381.717960496084</v>
      </c>
      <c r="FJ75" s="674">
        <f>yrSales!Q33*1000</f>
        <v>97821.969696969696</v>
      </c>
      <c r="FK75" s="674">
        <f>yrSales!R33*1000</f>
        <v>98012.603005332028</v>
      </c>
      <c r="FL75" s="674">
        <f>yrSales!S33*1000</f>
        <v>99459.99018163966</v>
      </c>
      <c r="FM75" s="674">
        <f>yrSales!T33*1000</f>
        <v>99607.072691552079</v>
      </c>
      <c r="FN75" s="674">
        <f>yrSales!U33*1000</f>
        <v>100487.32943469784</v>
      </c>
      <c r="FO75" s="674">
        <f>yrSales!V33*1000</f>
        <v>101523.80952380951</v>
      </c>
      <c r="FP75" s="674">
        <f>yrSales!W33*1000</f>
        <v>101759.25925925926</v>
      </c>
      <c r="FQ75" s="674">
        <f>yrSales!X33*1000</f>
        <v>101499.31849159473</v>
      </c>
      <c r="FR75" s="674">
        <f>yrSales!Y33*1000</f>
        <v>100813.0081300813</v>
      </c>
      <c r="FS75" s="674">
        <f>yrSales!Z33*1000</f>
        <v>100724.63768115942</v>
      </c>
      <c r="FT75" s="674">
        <f>yrSales!AA33*1000</f>
        <v>101178.60380779691</v>
      </c>
      <c r="FU75" s="674">
        <f>yrSales!AB33*1000</f>
        <v>100719.03311310678</v>
      </c>
      <c r="FV75" s="674">
        <f>yrSales!AC33*1000</f>
        <v>99680.366217633287</v>
      </c>
      <c r="FW75" s="674">
        <f>yrSales!AD33*1000</f>
        <v>99097.246863846041</v>
      </c>
      <c r="FX75" s="674">
        <f>yrSales!AE33*1000</f>
        <v>101523.34152334153</v>
      </c>
      <c r="FY75" s="674">
        <f>yrSales!AF33*1000</f>
        <v>101378.57900318132</v>
      </c>
      <c r="FZ75" s="674">
        <f>yrSales!AG33*1000</f>
        <v>108681.90235645571</v>
      </c>
      <c r="GA75" s="674">
        <f>yrSales!AH33*1000</f>
        <v>107013.36139335547</v>
      </c>
      <c r="GB75" s="1273">
        <f>yrSales!AI33*1000</f>
        <v>106881.88505059107</v>
      </c>
      <c r="GC75" s="674">
        <f>yrSales!AJ33*1000</f>
        <v>106736.51424623998</v>
      </c>
      <c r="GD75" s="1496">
        <f>yrSales!AK33*1000</f>
        <v>106574.92354740058</v>
      </c>
    </row>
    <row r="76" spans="1:261">
      <c r="DJ76" s="507"/>
      <c r="DK76" s="507"/>
      <c r="DL76" s="507"/>
      <c r="DR76" s="507"/>
      <c r="DS76" s="507"/>
      <c r="DT76" s="507"/>
      <c r="DU76" s="507"/>
      <c r="DV76" s="507"/>
      <c r="DW76" s="507"/>
      <c r="DX76" s="507"/>
      <c r="DY76" s="507"/>
      <c r="DZ76" s="507"/>
      <c r="EA76" s="507"/>
      <c r="EC76" s="507"/>
      <c r="ED76" s="507"/>
      <c r="EE76" s="507"/>
      <c r="EF76" s="507"/>
      <c r="EH76" s="507"/>
      <c r="EI76" s="507"/>
      <c r="EJ76" s="507"/>
      <c r="EK76" s="507"/>
      <c r="EM76" s="507"/>
      <c r="EN76" s="507"/>
      <c r="EO76" s="507"/>
      <c r="EP76" s="507"/>
      <c r="ER76" s="500" t="s">
        <v>687</v>
      </c>
      <c r="ES76" s="507"/>
      <c r="ET76" s="507"/>
      <c r="EU76" s="507"/>
      <c r="EV76" s="507"/>
      <c r="EW76" s="698">
        <f>yrSales!D36</f>
        <v>141.55526430755788</v>
      </c>
      <c r="EX76" s="698">
        <f>yrSales!E36</f>
        <v>157.35255570117954</v>
      </c>
      <c r="EY76" s="698">
        <f>yrSales!F36</f>
        <v>166.29872974156811</v>
      </c>
      <c r="EZ76" s="698">
        <f>yrSales!G36</f>
        <v>179.63860731599823</v>
      </c>
      <c r="FA76" s="698">
        <f>yrSales!H36</f>
        <v>180.92388913330399</v>
      </c>
      <c r="FB76" s="698">
        <f>yrSales!I36</f>
        <v>195.6976241900648</v>
      </c>
      <c r="FC76" s="698">
        <f>yrSales!J36</f>
        <v>250.26485568760609</v>
      </c>
      <c r="FD76" s="698">
        <f>yrSales!K36</f>
        <v>251.17747440273038</v>
      </c>
      <c r="FE76" s="698">
        <f>yrSales!L36</f>
        <v>275.18855656697008</v>
      </c>
      <c r="FF76" s="698">
        <f>yrSales!M36</f>
        <v>280.5814977973568</v>
      </c>
      <c r="FG76" s="698">
        <f>yrSales!N36</f>
        <v>290.15412511332732</v>
      </c>
      <c r="FH76" s="698">
        <f>yrSales!O36</f>
        <v>302.44974287050024</v>
      </c>
      <c r="FI76" s="698">
        <f>yrSales!P36</f>
        <v>163.44480073293633</v>
      </c>
      <c r="FJ76" s="698">
        <f>yrSales!Q36</f>
        <v>166.11562350692785</v>
      </c>
      <c r="FK76" s="698">
        <f>yrSales!R36</f>
        <v>171.36007827788652</v>
      </c>
      <c r="FL76" s="698">
        <f>yrSales!S36</f>
        <v>178.81422924901187</v>
      </c>
      <c r="FM76" s="698">
        <f>yrSales!T36</f>
        <v>185.30916625555008</v>
      </c>
      <c r="FN76" s="698">
        <f>yrSales!U36</f>
        <v>194.67078728606356</v>
      </c>
      <c r="FO76" s="698">
        <f>yrSales!V36</f>
        <v>189.38483547925608</v>
      </c>
      <c r="FP76" s="698">
        <f>yrSales!W36</f>
        <v>170.77628155848396</v>
      </c>
      <c r="FQ76" s="698">
        <f>yrSales!X36</f>
        <v>158.47905714526505</v>
      </c>
      <c r="FR76" s="699">
        <f>yrSales!Y36</f>
        <v>159.05956112852664</v>
      </c>
      <c r="FS76" s="699">
        <f>yrSales!Z36</f>
        <v>154.9371633752244</v>
      </c>
      <c r="FT76" s="699">
        <f>yrSales!AA36</f>
        <v>116.56193895870736</v>
      </c>
      <c r="FU76" s="699">
        <f>yrSales!AB36</f>
        <v>106.69835262362658</v>
      </c>
      <c r="FV76" s="699">
        <f>yrSales!AC36</f>
        <v>112.3744606216429</v>
      </c>
      <c r="FW76" s="699">
        <f>yrSales!AD36</f>
        <v>119.85841949930861</v>
      </c>
      <c r="FX76" s="699">
        <f>yrSales!AE36</f>
        <v>121.51482454247352</v>
      </c>
      <c r="FY76" s="699">
        <f>yrSales!AF36</f>
        <v>125.75163398692811</v>
      </c>
      <c r="FZ76" s="699">
        <f>yrSales!AG36</f>
        <v>127.18233665915676</v>
      </c>
      <c r="GA76" s="699">
        <f>yrSales!AH36</f>
        <v>127.7800936414548</v>
      </c>
      <c r="GB76" s="1274">
        <f>yrSales!AI36</f>
        <v>129.63929400393795</v>
      </c>
      <c r="GC76" s="699">
        <f>yrSales!AJ36</f>
        <v>130.85790336757501</v>
      </c>
      <c r="GD76" s="1497">
        <f>yrSales!AK36</f>
        <v>130.80556020622797</v>
      </c>
    </row>
    <row r="77" spans="1:261">
      <c r="EH77" s="507"/>
      <c r="EI77" s="507"/>
      <c r="EJ77" s="507"/>
      <c r="EK77" s="507"/>
      <c r="EM77" s="507"/>
      <c r="EN77" s="507"/>
      <c r="EO77" s="507"/>
      <c r="EP77" s="507"/>
      <c r="ER77" s="662" t="s">
        <v>686</v>
      </c>
      <c r="ES77" s="584"/>
      <c r="ET77" s="584"/>
      <c r="EU77" s="584"/>
      <c r="EV77" s="584"/>
      <c r="EW77" s="697"/>
      <c r="EX77" s="697"/>
      <c r="EY77" s="697"/>
      <c r="EZ77" s="697">
        <f>yrSales!E7/yrSales!E27</f>
        <v>129.68982088248143</v>
      </c>
      <c r="FA77" s="697">
        <f>yrSales!F7/yrSales!F27</f>
        <v>135.51467367498904</v>
      </c>
      <c r="FB77" s="697">
        <f>yrSales!G7/yrSales!G27</f>
        <v>148.52664609960334</v>
      </c>
      <c r="FC77" s="697">
        <f>yrSales!H7/yrSales!H27</f>
        <v>148.02463704355478</v>
      </c>
      <c r="FD77" s="697">
        <f>yrSales!I7/yrSales!I27</f>
        <v>163.11015118790496</v>
      </c>
      <c r="FE77" s="697">
        <f>yrSales!J7/yrSales!J27</f>
        <v>217.02801358234294</v>
      </c>
      <c r="FF77" s="697">
        <f>yrSales!K7/yrSales!K27</f>
        <v>217.99061433447099</v>
      </c>
      <c r="FG77" s="697">
        <f>yrSales!L7/yrSales!L27</f>
        <v>237.99739921976595</v>
      </c>
      <c r="FH77" s="697">
        <f>yrSales!M7/yrSales!M27</f>
        <v>243.81497797356829</v>
      </c>
      <c r="FI77" s="697">
        <f>yrSales!P7/yrSales!P27</f>
        <v>132.75309207512598</v>
      </c>
      <c r="FJ77" s="697">
        <f>yrSales!Q7/yrSales!Q27</f>
        <v>141.15640707118968</v>
      </c>
      <c r="FK77" s="697">
        <f>yrSales!R7/yrSales!R27</f>
        <v>144.9608610567515</v>
      </c>
      <c r="FL77" s="697">
        <f>yrSales!S7/yrSales!S27</f>
        <v>151.74901185770753</v>
      </c>
      <c r="FM77" s="697">
        <f>yrSales!T7/yrSales!T27</f>
        <v>157.31623088307845</v>
      </c>
      <c r="FN77" s="697">
        <f>yrSales!U7/yrSales!U27</f>
        <v>165.77995110024449</v>
      </c>
      <c r="FO77" s="697">
        <f>yrSales!V7/yrSales!V27</f>
        <v>162.25150214592276</v>
      </c>
      <c r="FP77" s="697">
        <f>yrSales!W7/yrSales!W27</f>
        <v>146.73743274603228</v>
      </c>
      <c r="FQ77" s="697">
        <f>yrSales!X7/yrSales!X27</f>
        <v>136.41048007093397</v>
      </c>
      <c r="FR77" s="697">
        <f>yrSales!Y7/yrSales!Y27</f>
        <v>139.01586092755093</v>
      </c>
      <c r="FS77" s="697">
        <f>yrSales!Z7/yrSales!Z27</f>
        <v>135.76164323446352</v>
      </c>
      <c r="FT77" s="697">
        <f>yrSales!AA7/yrSales!AA27</f>
        <v>107.38330341113105</v>
      </c>
      <c r="FU77" s="697">
        <f>yrSales!AB7/yrSales!AB27</f>
        <v>96.990323069625987</v>
      </c>
      <c r="FV77" s="697">
        <f>yrSales!AC7/yrSales!AC27</f>
        <v>101.15273187937855</v>
      </c>
      <c r="FW77" s="697">
        <f>yrSales!AD7/yrSales!AD27</f>
        <v>106.49519290637319</v>
      </c>
      <c r="FX77" s="697">
        <f>yrSales!AE7/yrSales!AE27</f>
        <v>105.41303199888152</v>
      </c>
      <c r="FY77" s="697">
        <f>yrSales!AF7/yrSales!AF27</f>
        <v>105.85740856426787</v>
      </c>
      <c r="FZ77" s="697">
        <f>yrSales!AG7/yrSales!AG27</f>
        <v>104.21989307460485</v>
      </c>
      <c r="GA77" s="697">
        <f>yrSales!AH7/yrSales!AH27</f>
        <v>102.16585818488046</v>
      </c>
      <c r="GB77" s="1275">
        <f>yrSales!AI7/yrSales!AI27</f>
        <v>100.58754458947755</v>
      </c>
      <c r="GC77" s="697">
        <f>yrSales!AJ7/yrSales!AJ27</f>
        <v>98.435844001228304</v>
      </c>
      <c r="GD77" s="1498">
        <f>yrSales!AK7/yrSales!AK27</f>
        <v>94.520889527366165</v>
      </c>
    </row>
    <row r="78" spans="1:261">
      <c r="A78" s="679" t="s">
        <v>139</v>
      </c>
    </row>
    <row r="79" spans="1:261">
      <c r="A79" s="679"/>
    </row>
    <row r="80" spans="1:261">
      <c r="A80" s="398" t="s">
        <v>155</v>
      </c>
      <c r="BU80" s="680">
        <f>INDEX(stores!$E$6:$E$138,MATCH(BU$6,stores!$B$6:$B$138)+3)</f>
        <v>1099</v>
      </c>
      <c r="BV80" s="680">
        <f>INDEX(stores!$E$6:$E$138,MATCH(BV$6,stores!$B$6:$B$138)+6)</f>
        <v>1096</v>
      </c>
      <c r="BW80" s="680">
        <f>INDEX(stores!$E$6:$E$138,MATCH(BW$6,stores!$B$6:$B$138)+9)</f>
        <v>1096</v>
      </c>
      <c r="BX80" s="680">
        <f>INDEX(stores!$E$6:$E$138,MATCH(BX$6,stores!$B$6:$B$138)+12)</f>
        <v>1020</v>
      </c>
      <c r="BZ80" s="680">
        <f>INDEX(stores!$E$6:$E$138,MATCH(BZ$6,stores!$B$6:$B$138)+3)</f>
        <v>1021</v>
      </c>
      <c r="CA80" s="680">
        <f>INDEX(stores!$E$6:$E$138,MATCH(CA$6,stores!$B$6:$B$138)+6)</f>
        <v>1018</v>
      </c>
      <c r="CB80" s="680">
        <f>INDEX(stores!$E$6:$E$138,MATCH(CB$6,stores!$B$6:$B$138)+9)</f>
        <v>1018</v>
      </c>
      <c r="CC80" s="680">
        <f>INDEX(stores!$E$6:$E$138,MATCH(CC$6,stores!$B$6:$B$138)+12)</f>
        <v>1017</v>
      </c>
      <c r="CE80" s="680">
        <f>INDEX(stores!$E$6:$E$138,MATCH(CE$6,stores!$B$6:$B$138)+3)</f>
        <v>1015</v>
      </c>
      <c r="CF80" s="680">
        <f>INDEX(stores!$E$6:$E$138,MATCH(CF$6,stores!$B$6:$B$138)+6)</f>
        <v>1015</v>
      </c>
      <c r="CG80" s="680">
        <f>INDEX(stores!$E$6:$E$138,MATCH(CG$6,stores!$B$6:$B$138)+9)</f>
        <v>1017</v>
      </c>
      <c r="CH80" s="680">
        <f>INDEX(stores!$E$6:$E$138,MATCH(CH$6,stores!$B$6:$B$138)+12)</f>
        <v>1019</v>
      </c>
      <c r="CJ80" s="680">
        <f>INDEX(stores!$E$6:$E$138,MATCH(CJ$6,stores!$B$6:$B$138)+3)</f>
        <v>1021</v>
      </c>
      <c r="CK80" s="680">
        <f>INDEX(stores!$E$6:$E$138,MATCH(CK$6,stores!$B$6:$B$138)+6)</f>
        <v>1021</v>
      </c>
      <c r="CL80" s="680">
        <f>INDEX(stores!$E$6:$E$138,MATCH(CL$6,stores!$B$6:$B$138)+9)</f>
        <v>1037</v>
      </c>
      <c r="CM80" s="680">
        <f>INDEX(stores!$E$6:$E$138,MATCH(CM$6,stores!$B$6:$B$138)+12)</f>
        <v>1033</v>
      </c>
      <c r="CO80" s="680">
        <f>INDEX(stores!$E$6:$E$138,MATCH(CO$6,stores!$B$6:$B$138)+3)</f>
        <v>1039</v>
      </c>
      <c r="CP80" s="680">
        <f>INDEX(stores!$E$6:$E$138,MATCH(CP$6,stores!$B$6:$B$138)+6)</f>
        <v>1048</v>
      </c>
      <c r="CQ80" s="680">
        <f>INDEX(stores!$E$6:$E$138,MATCH(CQ$6,stores!$B$6:$B$138)+9)</f>
        <v>1067</v>
      </c>
      <c r="CR80" s="680">
        <f>INDEX(stores!$E$6:$E$138,MATCH(CR$6,stores!$B$6:$B$138)+12)</f>
        <v>1067</v>
      </c>
      <c r="CT80" s="680">
        <f>INDEX(stores!$E$6:$E$138,MATCH(CT$6,stores!$B$6:$B$138)+3)</f>
        <v>1078</v>
      </c>
      <c r="CU80" s="680">
        <f>INDEX(stores!$E$6:$E$138,MATCH(CU$6,stores!$B$6:$B$138)+6)</f>
        <v>1083</v>
      </c>
      <c r="CV80" s="680">
        <f>INDEX(stores!$E$6:$E$138,MATCH(CV$6,stores!$B$6:$B$138)+9)</f>
        <v>1093</v>
      </c>
      <c r="CW80" s="680">
        <f>INDEX(stores!$E$6:$E$138,MATCH(CW$6,stores!$B$6:$B$138)+12)</f>
        <v>1093</v>
      </c>
      <c r="CY80" s="680">
        <f>INDEX(stores!$E$6:$E$138,MATCH(CY$6,stores!$B$6:$B$138)+3)</f>
        <v>1101</v>
      </c>
      <c r="CZ80" s="680">
        <f>INDEX(stores!$E$6:$E$138,MATCH(CZ$6,stores!$B$6:$B$138)+6)</f>
        <v>1106</v>
      </c>
      <c r="DA80" s="680">
        <f>INDEX(stores!$E$6:$E$138,MATCH(DA$6,stores!$B$6:$B$138)+9)</f>
        <v>1109</v>
      </c>
      <c r="DB80" s="680">
        <f>INDEX(stores!$E$6:$E$138,MATCH(DB$6,stores!$B$6:$B$138)+12)</f>
        <v>1108</v>
      </c>
      <c r="DD80" s="680">
        <f>INDEX(stores!$E$6:$E$138,MATCH(DD$6,stores!$B$6:$B$138)+3)</f>
        <v>1109</v>
      </c>
      <c r="DE80" s="680">
        <f>INDEX(stores!$E$6:$E$138,MATCH(DE$6,stores!$B$6:$B$138)+6)</f>
        <v>1107</v>
      </c>
      <c r="DF80" s="680">
        <f>INDEX(stores!$E$6:$E$138,MATCH(DF$6,stores!$B$6:$B$138)+9)</f>
        <v>1107</v>
      </c>
      <c r="DG80" s="680">
        <f>INDEX(stores!$E$6:$E$138,MATCH(DG$6,stores!$B$6:$B$138)+12)</f>
        <v>1106</v>
      </c>
      <c r="DI80" s="680">
        <f>INDEX(stores!$E$6:$E$138,MATCH(DI$6,stores!$B$6:$B$138)+3)</f>
        <v>1108</v>
      </c>
      <c r="DJ80" s="680">
        <f>INDEX(stores!$E$6:$E$138,MATCH(DJ$6,stores!$B$6:$B$138)+6)</f>
        <v>1103</v>
      </c>
      <c r="DK80" s="680">
        <f>INDEX(stores!$E$6:$E$138,MATCH(DK$6,stores!$B$6:$B$138)+9)</f>
        <v>1104</v>
      </c>
      <c r="DL80" s="680">
        <f>INDEX(stores!$E$6:$E$138,MATCH(DL$6,stores!$B$6:$B$138)+12)</f>
        <v>1102</v>
      </c>
      <c r="DN80" s="680">
        <f>INDEX(stores!$E$6:$E$138,MATCH(DN$6,stores!$B$6:$B$138)+1)</f>
        <v>1103</v>
      </c>
      <c r="DO80" s="680">
        <f>INDEX(stores!$E$6:$E$138,MATCH(DO$6,stores!$B$6:$B$138)+2)</f>
        <v>1101</v>
      </c>
      <c r="DP80" s="680">
        <f>INDEX(stores!$E$6:$E$138,MATCH(DP$6,stores!$B$6:$B$138)+3)</f>
        <v>1105</v>
      </c>
      <c r="DQ80" s="681">
        <f>INDEX(stores!$E$6:$E$138,MATCH(DQ$6,stores!$B$6:$B$138)+4)</f>
        <v>1104</v>
      </c>
      <c r="DS80" s="680">
        <f>INDEX(stores!$E$6:$E$138,MATCH(DS$6,stores!$B$6:$B$138)+1)</f>
        <v>1103</v>
      </c>
      <c r="DT80" s="680">
        <f>INDEX(stores!$E$6:$E$138,MATCH(DT$6,stores!$B$6:$B$138)+2)</f>
        <v>1101</v>
      </c>
      <c r="DU80" s="680">
        <f>INDEX(stores!$E$6:$E$138,MATCH(DU$6,stores!$B$6:$B$138)+3)</f>
        <v>1105</v>
      </c>
      <c r="DV80" s="680">
        <f>INDEX(stores!$E$6:$E$138,MATCH(DV$6,stores!$B$6:$B$138)+4)</f>
        <v>1104</v>
      </c>
      <c r="DX80" s="680">
        <f>INDEX(stores!$E$6:$E$138,MATCH(DX$6,stores!$B$6:$B$138)+1)</f>
        <v>1103</v>
      </c>
      <c r="DY80" s="680">
        <f>INDEX(stores!$E$6:$E$138,MATCH(DY$6,stores!$B$6:$B$138)+2)</f>
        <v>1101</v>
      </c>
      <c r="DZ80" s="680">
        <f>INDEX(stores!$E$6:$E$138,MATCH(DZ$6,stores!$B$6:$B$138)+3)</f>
        <v>1105</v>
      </c>
      <c r="EA80" s="680">
        <f>INDEX(stores!$E$6:$E$138,MATCH(EA$6,stores!$B$6:$B$138)+4)</f>
        <v>1104</v>
      </c>
      <c r="EC80" s="680">
        <f>INDEX(stores!$E$6:$E$138,MATCH(EC$6,stores!$B$6:$B$138)+1)</f>
        <v>1103</v>
      </c>
      <c r="ED80" s="680">
        <f>INDEX(stores!$E$6:$E$138,MATCH(ED$6,stores!$B$6:$B$138)+2)</f>
        <v>1101</v>
      </c>
      <c r="EE80" s="680">
        <f>INDEX(stores!$E$6:$E$138,MATCH(EE$6,stores!$B$6:$B$138)+3)</f>
        <v>1105</v>
      </c>
      <c r="EF80" s="680">
        <f>INDEX(stores!$E$6:$E$138,MATCH(EF$6,stores!$B$6:$B$138)+4)</f>
        <v>1104</v>
      </c>
      <c r="EH80" s="680">
        <f>INDEX(stores!$E$6:$E$138,MATCH(EH$6,stores!$B$6:$B$138)+1)</f>
        <v>1103</v>
      </c>
      <c r="EI80" s="680">
        <f>INDEX(stores!$E$6:$E$138,MATCH(EI$6,stores!$B$6:$B$138)+2)</f>
        <v>1101</v>
      </c>
      <c r="EJ80" s="680">
        <f>INDEX(stores!$E$6:$E$138,MATCH(EJ$6,stores!$B$6:$B$138)+3)</f>
        <v>1105</v>
      </c>
      <c r="EK80" s="680">
        <f>INDEX(stores!$E$6:$E$138,MATCH(EK$6,stores!$B$6:$B$138)+4)</f>
        <v>1104</v>
      </c>
      <c r="EM80" s="680">
        <f>INDEX(stores!$E$6:$E$138,MATCH(EM$6,stores!$B$6:$B$138)+1)</f>
        <v>1103</v>
      </c>
      <c r="EN80" s="680">
        <f>INDEX(stores!$E$6:$E$138,MATCH(EN$6,stores!$B$6:$B$138)+2)</f>
        <v>1101</v>
      </c>
      <c r="EO80" s="680">
        <f>INDEX(stores!$E$6:$E$138,MATCH(EO$6,stores!$B$6:$B$138)+3)</f>
        <v>1105</v>
      </c>
      <c r="EP80" s="680">
        <f>INDEX(stores!$E$6:$E$138,MATCH(EP$6,stores!$B$6:$B$138)+4)</f>
        <v>1104</v>
      </c>
      <c r="ER80" s="680">
        <f>INDEX(stores!$E$6:$E$138,MATCH(ER$6,stores!$B$6:$B$138)+1)</f>
        <v>1103</v>
      </c>
      <c r="ES80" s="680">
        <f>INDEX(stores!$E$6:$E$138,MATCH(ES$6,stores!$B$6:$B$138)+2)</f>
        <v>1101</v>
      </c>
      <c r="ET80" s="680">
        <f>INDEX(stores!$E$6:$E$138,MATCH(ET$6,stores!$B$6:$B$138)+3)</f>
        <v>1105</v>
      </c>
      <c r="EU80" s="680">
        <f>INDEX(stores!$E$6:$E$138,MATCH(EU$6,stores!$B$6:$B$138)+4)</f>
        <v>1104</v>
      </c>
      <c r="EV80" s="680"/>
      <c r="EW80" s="680">
        <f>EW72</f>
        <v>1283</v>
      </c>
      <c r="EX80" s="680">
        <f t="shared" ref="EX80:FW80" si="68">EX72</f>
        <v>1266</v>
      </c>
      <c r="EY80" s="680">
        <f t="shared" si="68"/>
        <v>1246</v>
      </c>
      <c r="EZ80" s="680">
        <f t="shared" si="68"/>
        <v>1233</v>
      </c>
      <c r="FA80" s="680">
        <f t="shared" si="68"/>
        <v>1238</v>
      </c>
      <c r="FB80" s="680">
        <f t="shared" si="68"/>
        <v>1228</v>
      </c>
      <c r="FC80" s="680">
        <f t="shared" si="68"/>
        <v>1203</v>
      </c>
      <c r="FD80" s="680">
        <f t="shared" si="68"/>
        <v>1169</v>
      </c>
      <c r="FE80" s="680">
        <f t="shared" si="68"/>
        <v>1176</v>
      </c>
      <c r="FF80" s="680">
        <f t="shared" si="68"/>
        <v>1157</v>
      </c>
      <c r="FG80" s="680">
        <f t="shared" si="68"/>
        <v>1123</v>
      </c>
      <c r="FH80" s="680">
        <f t="shared" si="68"/>
        <v>1097</v>
      </c>
      <c r="FI80" s="680">
        <f t="shared" si="68"/>
        <v>1069</v>
      </c>
      <c r="FJ80" s="680">
        <f t="shared" si="68"/>
        <v>1043</v>
      </c>
      <c r="FK80" s="680">
        <f t="shared" si="68"/>
        <v>1020</v>
      </c>
      <c r="FL80" s="680">
        <f t="shared" si="68"/>
        <v>1017</v>
      </c>
      <c r="FM80" s="680">
        <f t="shared" si="68"/>
        <v>1019</v>
      </c>
      <c r="FN80" s="680">
        <f t="shared" si="68"/>
        <v>1033</v>
      </c>
      <c r="FO80" s="680">
        <f t="shared" si="68"/>
        <v>1067</v>
      </c>
      <c r="FP80" s="680">
        <f t="shared" si="68"/>
        <v>1093</v>
      </c>
      <c r="FQ80" s="680">
        <f t="shared" si="68"/>
        <v>1108</v>
      </c>
      <c r="FR80" s="680">
        <f t="shared" si="68"/>
        <v>1106</v>
      </c>
      <c r="FS80" s="680">
        <f t="shared" si="68"/>
        <v>1102</v>
      </c>
      <c r="FT80" s="680">
        <f t="shared" si="68"/>
        <v>1104</v>
      </c>
      <c r="FU80" s="680">
        <f t="shared" si="68"/>
        <v>1094</v>
      </c>
      <c r="FV80" s="680">
        <f t="shared" si="68"/>
        <v>1062</v>
      </c>
      <c r="FW80" s="680">
        <f t="shared" si="68"/>
        <v>1021</v>
      </c>
      <c r="FX80" s="680">
        <f t="shared" ref="FX80:FZ81" si="69">FX72</f>
        <v>1014</v>
      </c>
      <c r="FY80" s="680">
        <f t="shared" si="69"/>
        <v>872</v>
      </c>
      <c r="FZ80" s="680">
        <f t="shared" si="69"/>
        <v>857</v>
      </c>
      <c r="GA80" s="680">
        <f t="shared" ref="GA80:GC81" si="70">GA72</f>
        <v>817</v>
      </c>
      <c r="GB80" s="680">
        <f t="shared" si="70"/>
        <v>777</v>
      </c>
      <c r="GC80" s="680">
        <f t="shared" si="70"/>
        <v>737</v>
      </c>
      <c r="GD80" s="1499">
        <f t="shared" ref="GD80" si="71">GD72</f>
        <v>697</v>
      </c>
    </row>
    <row r="81" spans="1:187">
      <c r="A81" s="398" t="s">
        <v>459</v>
      </c>
      <c r="F81" s="682">
        <f>INDEX(qtrSales!$AA:$AA,MATCH(sumry!F6,qtrSales!$A:$A,0)+4)</f>
        <v>112.8</v>
      </c>
      <c r="G81" s="682"/>
      <c r="H81" s="682">
        <f>INDEX(qtrSales!$AA:$AA,MATCH(sumry!H6,qtrSales!$A:$A,0)+1)</f>
        <v>113.2</v>
      </c>
      <c r="I81" s="682">
        <f>INDEX(qtrSales!$AA:$AA,MATCH(sumry!I6,qtrSales!$A:$A,0)+2)</f>
        <v>113.60000000000001</v>
      </c>
      <c r="J81" s="682">
        <f>INDEX(qtrSales!$AA:$AA,MATCH(sumry!J6,qtrSales!$A:$A,0)+3)</f>
        <v>114.00000000000001</v>
      </c>
      <c r="K81" s="682">
        <f>INDEX(qtrSales!$AA:$AA,MATCH(sumry!K6,qtrSales!$A:$A,0)+4)</f>
        <v>114.4</v>
      </c>
      <c r="M81" s="682">
        <f>INDEX(qtrSales!$AA:$AA,MATCH(sumry!M6,qtrSales!$A:$A,0)+1)</f>
        <v>114.42500000000001</v>
      </c>
      <c r="N81" s="682">
        <f>INDEX(qtrSales!$AA:$AA,MATCH(sumry!N6,qtrSales!$A:$A,0)+2)</f>
        <v>114.45000000000002</v>
      </c>
      <c r="O81" s="682">
        <f>INDEX(qtrSales!$AA:$AA,MATCH(sumry!O6,qtrSales!$A:$A,0)+3)</f>
        <v>114.47500000000002</v>
      </c>
      <c r="P81" s="682">
        <f>INDEX(qtrSales!$AA:$AA,MATCH(sumry!P6,qtrSales!$A:$A,0)+4)</f>
        <v>114.5</v>
      </c>
      <c r="R81" s="682">
        <f>INDEX(qtrSales!$AA:$AA,MATCH(sumry!R6,qtrSales!$A:$A,0)+1)</f>
        <v>114.47499999999999</v>
      </c>
      <c r="S81" s="682">
        <f>INDEX(qtrSales!$AA:$AA,MATCH(sumry!S6,qtrSales!$A:$A,0)+2)</f>
        <v>114.44999999999999</v>
      </c>
      <c r="T81" s="682">
        <f>INDEX(qtrSales!$AA:$AA,MATCH(sumry!T6,qtrSales!$A:$A,0)+3)</f>
        <v>114.42499999999998</v>
      </c>
      <c r="U81" s="682">
        <f>INDEX(qtrSales!$AA:$AA,MATCH(sumry!U6,qtrSales!$A:$A,0)+4)</f>
        <v>114.4</v>
      </c>
      <c r="W81" s="682">
        <f>INDEX(qtrSales!$AA:$AA,MATCH(sumry!W6,qtrSales!$A:$A,0)+1)</f>
        <v>114.27500000000001</v>
      </c>
      <c r="X81" s="682">
        <f>INDEX(qtrSales!$AA:$AA,MATCH(sumry!X6,qtrSales!$A:$A,0)+2)</f>
        <v>114.15</v>
      </c>
      <c r="Y81" s="682">
        <f>INDEX(qtrSales!$AA:$AA,MATCH(sumry!Y6,qtrSales!$A:$A,0)+3)</f>
        <v>114.02500000000001</v>
      </c>
      <c r="Z81" s="682">
        <f>INDEX(qtrSales!$AA:$AA,MATCH(sumry!Z6,qtrSales!$A:$A,0)+4)</f>
        <v>113.9</v>
      </c>
      <c r="AB81" s="682">
        <f>INDEX(qtrSales!$AA:$AA,MATCH(sumry!AB6,qtrSales!$A:$A,0)+1)</f>
        <v>113.67500000000001</v>
      </c>
      <c r="AC81" s="682">
        <f>INDEX(qtrSales!$AA:$AA,MATCH(sumry!AC6,qtrSales!$A:$A,0)+2)</f>
        <v>113.45000000000002</v>
      </c>
      <c r="AD81" s="682">
        <f>INDEX(qtrSales!$AA:$AA,MATCH(sumry!AD6,qtrSales!$A:$A,0)+3)</f>
        <v>113.22500000000002</v>
      </c>
      <c r="AE81" s="682">
        <f>INDEX(qtrSales!$AA:$AA,MATCH(sumry!AE6,qtrSales!$A:$A,0)+4)</f>
        <v>113</v>
      </c>
      <c r="AG81" s="682">
        <f>INDEX(qtrSales!$AA:$AA,MATCH(sumry!AG6,qtrSales!$A:$A,0)+1)</f>
        <v>113.325</v>
      </c>
      <c r="AH81" s="682">
        <f>INDEX(qtrSales!$AA:$AA,MATCH(sumry!AH6,qtrSales!$A:$A,0)+2)</f>
        <v>113.65</v>
      </c>
      <c r="AI81" s="682">
        <f>INDEX(qtrSales!$AA:$AA,MATCH(sumry!AI6,qtrSales!$A:$A,0)+3)</f>
        <v>113.97500000000001</v>
      </c>
      <c r="AJ81" s="682">
        <f>INDEX(qtrSales!$AA:$AA,MATCH(sumry!AJ6,qtrSales!$A:$A,0)+4)</f>
        <v>114.3</v>
      </c>
      <c r="AL81" s="682">
        <f>INDEX(qtrSales!$AA:$AA,MATCH(sumry!AL6,qtrSales!$A:$A,0)+1)</f>
        <v>115.02500000000001</v>
      </c>
      <c r="AM81" s="682">
        <f>INDEX(qtrSales!$AA:$AA,MATCH(sumry!AM6,qtrSales!$A:$A,0)+2)</f>
        <v>115.75</v>
      </c>
      <c r="AN81" s="682">
        <f>INDEX(qtrSales!$AA:$AA,MATCH(sumry!AN6,qtrSales!$A:$A,0)+3)</f>
        <v>116.47499999999999</v>
      </c>
      <c r="AO81" s="682">
        <f>INDEX(qtrSales!$AA:$AA,MATCH(sumry!AO6,qtrSales!$A:$A,0)+4)</f>
        <v>117.2</v>
      </c>
      <c r="AQ81" s="682">
        <f>INDEX(qtrSales!$AA:$AA,MATCH(sumry!AQ6,qtrSales!$A:$A,0)+1)</f>
        <v>117.5</v>
      </c>
      <c r="AR81" s="682">
        <f>INDEX(qtrSales!$AA:$AA,MATCH(sumry!AR6,qtrSales!$A:$A,0)+2)</f>
        <v>117.8</v>
      </c>
      <c r="AS81" s="682">
        <f>INDEX(qtrSales!$AA:$AA,MATCH(sumry!AS6,qtrSales!$A:$A,0)+3)</f>
        <v>118.1</v>
      </c>
      <c r="AT81" s="682">
        <f>INDEX(qtrSales!$AA:$AA,MATCH(sumry!AT6,qtrSales!$A:$A,0)+4)</f>
        <v>118.4</v>
      </c>
      <c r="AV81" s="682">
        <f>INDEX(qtrSales!$AA:$AA,MATCH(sumry!AV6,qtrSales!$A:$A,0)+1)</f>
        <v>117.80000000000001</v>
      </c>
      <c r="AW81" s="682">
        <f>INDEX(qtrSales!$AA:$AA,MATCH(sumry!AW6,qtrSales!$A:$A,0)+2)</f>
        <v>117.20000000000002</v>
      </c>
      <c r="AX81" s="682">
        <f>INDEX(qtrSales!$AA:$AA,MATCH(sumry!AX6,qtrSales!$A:$A,0)+3)</f>
        <v>116.60000000000002</v>
      </c>
      <c r="AY81" s="682">
        <f>INDEX(qtrSales!$AA:$AA,MATCH(sumry!AY6,qtrSales!$A:$A,0)+4)</f>
        <v>116</v>
      </c>
      <c r="BA81" s="682">
        <f>INDEX(qtrSales!$AA:$AA,MATCH(sumry!BA6,qtrSales!$A:$A,0)+1)</f>
        <v>115.675</v>
      </c>
      <c r="BB81" s="682">
        <f>INDEX(qtrSales!$AA:$AA,MATCH(sumry!BB6,qtrSales!$A:$A,0)+2)</f>
        <v>115.35</v>
      </c>
      <c r="BC81" s="682">
        <f>INDEX(qtrSales!$AA:$AA,MATCH(sumry!BC6,qtrSales!$A:$A,0)+3)</f>
        <v>115.02499999999999</v>
      </c>
      <c r="BD81" s="682">
        <f>INDEX(qtrSales!$AA:$AA,MATCH(sumry!BD6,qtrSales!$A:$A,0)+4)</f>
        <v>114.7</v>
      </c>
      <c r="BF81" s="682">
        <f>INDEX(qtrSales!$AA:$AA,MATCH(sumry!BF6,qtrSales!$A:$A,0)+1)</f>
        <v>114.1</v>
      </c>
      <c r="BG81" s="682">
        <f>INDEX(qtrSales!$AA:$AA,MATCH(sumry!BG6,qtrSales!$A:$A,0)+2)</f>
        <v>113.5</v>
      </c>
      <c r="BH81" s="682">
        <f>INDEX(qtrSales!$AA:$AA,MATCH(sumry!BH6,qtrSales!$A:$A,0)+3)</f>
        <v>112.9</v>
      </c>
      <c r="BI81" s="682">
        <f>INDEX(qtrSales!$AA:$AA,MATCH(sumry!BI6,qtrSales!$A:$A,0)+4)</f>
        <v>112.3</v>
      </c>
      <c r="BK81" s="682">
        <f>INDEX(qtrSales!$AA:$AA,MATCH(sumry!BK6,qtrSales!$A:$A,0)+1)</f>
        <v>110.72499999999999</v>
      </c>
      <c r="BL81" s="682">
        <f>INDEX(qtrSales!$AA:$AA,MATCH(sumry!BL6,qtrSales!$A:$A,0)+2)</f>
        <v>109.14999999999999</v>
      </c>
      <c r="BM81" s="682">
        <f>INDEX(qtrSales!$AA:$AA,MATCH(sumry!BM6,qtrSales!$A:$A,0)+3)</f>
        <v>107.57499999999999</v>
      </c>
      <c r="BN81" s="682">
        <f>INDEX(qtrSales!$AA:$AA,MATCH(sumry!BN6,qtrSales!$A:$A,0)+4)</f>
        <v>106</v>
      </c>
      <c r="BP81" s="682">
        <f>INDEX(qtrSales!$AA:$AA,MATCH(sumry!BP6,qtrSales!$A:$A,0)+1)</f>
        <v>105.325</v>
      </c>
      <c r="BQ81" s="682">
        <f>INDEX(qtrSales!$AA:$AA,MATCH(sumry!BQ6,qtrSales!$A:$A,0)+2)</f>
        <v>104.65</v>
      </c>
      <c r="BR81" s="682">
        <f>INDEX(qtrSales!$AA:$AA,MATCH(sumry!BR6,qtrSales!$A:$A,0)+3)</f>
        <v>103.97500000000001</v>
      </c>
      <c r="BS81" s="682">
        <f>INDEX(qtrSales!$AA:$AA,MATCH(sumry!BS6,qtrSales!$A:$A,0)+4)</f>
        <v>103.3</v>
      </c>
      <c r="BU81" s="682">
        <f>INDEX(qtrSales!$AA:$AA,MATCH(sumry!BU6,qtrSales!$A:$A,0)+1)</f>
        <v>102.75</v>
      </c>
      <c r="BV81" s="682">
        <f>INDEX(qtrSales!$AA:$AA,MATCH(sumry!BV6,qtrSales!$A:$A,0)+2)</f>
        <v>102.2</v>
      </c>
      <c r="BW81" s="682">
        <f>INDEX(qtrSales!$AA:$AA,MATCH(sumry!BW6,qtrSales!$A:$A,0)+3)</f>
        <v>101.65</v>
      </c>
      <c r="BX81" s="682">
        <f>INDEX(qtrSales!$AA:$AA,MATCH(sumry!BX6,qtrSales!$A:$A,0)+4)</f>
        <v>101.1</v>
      </c>
      <c r="BZ81" s="682">
        <f>INDEX(qtrSales!$AA:$AA,MATCH(sumry!BZ6,qtrSales!$A:$A,0)+1)</f>
        <v>101.14999999999999</v>
      </c>
      <c r="CA81" s="682">
        <f>INDEX(qtrSales!$AA:$AA,MATCH(sumry!CA6,qtrSales!$A:$A,0)+2)</f>
        <v>101.19999999999999</v>
      </c>
      <c r="CB81" s="682">
        <f>INDEX(qtrSales!$AA:$AA,MATCH(sumry!CB6,qtrSales!$A:$A,0)+3)</f>
        <v>101.24999999999999</v>
      </c>
      <c r="CC81" s="682">
        <f>INDEX(qtrSales!$AA:$AA,MATCH(sumry!CC6,qtrSales!$A:$A,0)+4)</f>
        <v>101.3</v>
      </c>
      <c r="CE81" s="682">
        <f>INDEX(qtrSales!$AA:$AA,MATCH(sumry!CE6,qtrSales!$A:$A,0)+1)</f>
        <v>101.325</v>
      </c>
      <c r="CF81" s="682">
        <f>INDEX(qtrSales!$AA:$AA,MATCH(sumry!CF6,qtrSales!$A:$A,0)+2)</f>
        <v>101.35000000000001</v>
      </c>
      <c r="CG81" s="682">
        <f>INDEX(qtrSales!$AA:$AA,MATCH(sumry!CG6,qtrSales!$A:$A,0)+3)</f>
        <v>101.37500000000001</v>
      </c>
      <c r="CH81" s="682">
        <f>INDEX(qtrSales!$AA:$AA,MATCH(sumry!CH6,qtrSales!$A:$A,0)+4)</f>
        <v>101.4</v>
      </c>
      <c r="CJ81" s="682">
        <f>INDEX(qtrSales!$AA:$AA,MATCH(sumry!CJ6,qtrSales!$A:$A,0)+1)</f>
        <v>101.825</v>
      </c>
      <c r="CK81" s="682">
        <f>INDEX(qtrSales!$AA:$AA,MATCH(sumry!CK6,qtrSales!$A:$A,0)+2)</f>
        <v>102.25</v>
      </c>
      <c r="CL81" s="682">
        <f>INDEX(qtrSales!$AA:$AA,MATCH(sumry!CL6,qtrSales!$A:$A,0)+3)</f>
        <v>102.675</v>
      </c>
      <c r="CM81" s="682">
        <f>INDEX(qtrSales!$AA:$AA,MATCH(sumry!CM6,qtrSales!$A:$A,0)+4)</f>
        <v>103.1</v>
      </c>
      <c r="CO81" s="682">
        <f>INDEX(qtrSales!$AA:$AA,MATCH(sumry!CO6,qtrSales!$A:$A,0)+1)</f>
        <v>103.97499999999999</v>
      </c>
      <c r="CP81" s="682">
        <f>INDEX(qtrSales!$AA:$AA,MATCH(sumry!CP6,qtrSales!$A:$A,0)+2)</f>
        <v>104.85</v>
      </c>
      <c r="CQ81" s="682">
        <f>INDEX(qtrSales!$AA:$AA,MATCH(sumry!CQ6,qtrSales!$A:$A,0)+3)</f>
        <v>105.72499999999999</v>
      </c>
      <c r="CR81" s="682">
        <f>INDEX(qtrSales!$AA:$AA,MATCH(sumry!CR6,qtrSales!$A:$A,0)+4)</f>
        <v>106.6</v>
      </c>
      <c r="CT81" s="682">
        <f>INDEX(qtrSales!$AA:$AA,MATCH(sumry!CT6,qtrSales!$A:$A,0)+1)</f>
        <v>107.425</v>
      </c>
      <c r="CU81" s="682">
        <f>INDEX(qtrSales!$AA:$AA,MATCH(sumry!CU6,qtrSales!$A:$A,0)+2)</f>
        <v>108.25</v>
      </c>
      <c r="CV81" s="682">
        <f>INDEX(qtrSales!$AA:$AA,MATCH(sumry!CV6,qtrSales!$A:$A,0)+3)</f>
        <v>109.075</v>
      </c>
      <c r="CW81" s="682">
        <f>INDEX(qtrSales!$AA:$AA,MATCH(sumry!CW6,qtrSales!$A:$A,0)+4)</f>
        <v>109.9</v>
      </c>
      <c r="CY81" s="682">
        <f>INDEX(qtrSales!$AA:$AA,MATCH(sumry!CY6,qtrSales!$A:$A,0)+1)</f>
        <v>110.35000000000001</v>
      </c>
      <c r="CZ81" s="682">
        <f>INDEX(qtrSales!$AA:$AA,MATCH(sumry!CZ6,qtrSales!$A:$A,0)+2)</f>
        <v>110.80000000000001</v>
      </c>
      <c r="DA81" s="682">
        <f>INDEX(qtrSales!$AA:$AA,MATCH(sumry!DA6,qtrSales!$A:$A,0)+3)</f>
        <v>111.25000000000001</v>
      </c>
      <c r="DB81" s="682">
        <f>INDEX(qtrSales!$AA:$AA,MATCH(sumry!DB6,qtrSales!$A:$A,0)+4)</f>
        <v>111.7</v>
      </c>
      <c r="DD81" s="682">
        <f>INDEX(qtrSales!$AA:$AA,MATCH(sumry!DD6,qtrSales!$A:$A,0)+1)</f>
        <v>111.675</v>
      </c>
      <c r="DE81" s="682">
        <f>INDEX(qtrSales!$AA:$AA,MATCH(sumry!DE6,qtrSales!$A:$A,0)+2)</f>
        <v>111.64999999999999</v>
      </c>
      <c r="DF81" s="682">
        <f>INDEX(qtrSales!$AA:$AA,MATCH(sumry!DF6,qtrSales!$A:$A,0)+3)</f>
        <v>111.62499999999999</v>
      </c>
      <c r="DG81" s="682">
        <f>INDEX(qtrSales!$AA:$AA,MATCH(sumry!DG6,qtrSales!$A:$A,0)+4)</f>
        <v>111.6</v>
      </c>
      <c r="DI81" s="682">
        <f>INDEX(qtrSales!$AA:$AA,MATCH(sumry!DI6,qtrSales!$A:$A,0)+1)</f>
        <v>111.5</v>
      </c>
      <c r="DJ81" s="682">
        <f>INDEX(qtrSales!$AA:$AA,MATCH(sumry!DJ6,qtrSales!$A:$A,0)+2)</f>
        <v>111.4</v>
      </c>
      <c r="DK81" s="682">
        <f>INDEX(qtrSales!$AA:$AA,MATCH(sumry!DK6,qtrSales!$A:$A,0)+3)</f>
        <v>111.30000000000001</v>
      </c>
      <c r="DL81" s="682">
        <f>INDEX(qtrSales!$AA:$AA,MATCH(sumry!DL6,qtrSales!$A:$A,0)+4)</f>
        <v>111.2</v>
      </c>
      <c r="DN81" s="682">
        <f>INDEX(qtrSales!$AA:$AA,MATCH(sumry!DN6,qtrSales!$A:$A,0)+1)</f>
        <v>111.30090744101634</v>
      </c>
      <c r="DO81" s="682">
        <f>INDEX(qtrSales!$AA:$AA,MATCH(sumry!DO6,qtrSales!$A:$A,0)+2)</f>
        <v>111.09909255898366</v>
      </c>
      <c r="DP81" s="682">
        <f>INDEX(qtrSales!$AA:$AA,MATCH(sumry!DP6,qtrSales!$A:$A,0)+3)</f>
        <v>111.502722323049</v>
      </c>
      <c r="DQ81" s="683">
        <f>INDEX(qtrSales!$AA:$AA,MATCH(sumry!DQ6,qtrSales!$A:$A,0)+4)</f>
        <v>111.6</v>
      </c>
      <c r="DS81" s="682">
        <f>INDEX(qtrSales!$AA:$AA,MATCH(sumry!DS6,qtrSales!$A:$A,0)+1)</f>
        <v>111.39782608695653</v>
      </c>
      <c r="DT81" s="682">
        <f>INDEX(qtrSales!$AA:$AA,MATCH(sumry!DT6,qtrSales!$A:$A,0)+2)</f>
        <v>110.69021739130434</v>
      </c>
      <c r="DU81" s="682">
        <f>INDEX(qtrSales!$AA:$AA,MATCH(sumry!DU6,qtrSales!$A:$A,0)+3)</f>
        <v>110.69021739130434</v>
      </c>
      <c r="DV81" s="682">
        <f>INDEX(qtrSales!$AA:$AA,MATCH(sumry!DV6,qtrSales!$A:$A,0)+4)</f>
        <v>110.69021739130434</v>
      </c>
      <c r="DX81" s="682">
        <f>INDEX(qtrSales!$AA:$AA,MATCH(sumry!DX6,qtrSales!$A:$A,0)+1)</f>
        <v>110.38695652173912</v>
      </c>
      <c r="DY81" s="682">
        <f>INDEX(qtrSales!$AA:$AA,MATCH(sumry!DY6,qtrSales!$A:$A,0)+2)</f>
        <v>107.35434782608695</v>
      </c>
      <c r="DZ81" s="682">
        <f>INDEX(qtrSales!$AA:$AA,MATCH(sumry!DZ6,qtrSales!$A:$A,0)+3)</f>
        <v>107.45543478260869</v>
      </c>
      <c r="EA81" s="682">
        <f>INDEX(qtrSales!$AA:$AA,MATCH(sumry!EA6,qtrSales!$A:$A,0)+4)</f>
        <v>107.45543478260869</v>
      </c>
      <c r="EC81" s="682">
        <f>INDEX(qtrSales!$AA:$AA,MATCH(sumry!EC6,qtrSales!$A:$A,0)+1)</f>
        <v>103.41195652173913</v>
      </c>
      <c r="ED81" s="682">
        <f>INDEX(qtrSales!$AA:$AA,MATCH(sumry!ED6,qtrSales!$A:$A,0)+2)</f>
        <v>103.41195652173913</v>
      </c>
      <c r="EE81" s="682">
        <f>INDEX(qtrSales!$AA:$AA,MATCH(sumry!EE6,qtrSales!$A:$A,0)+3)</f>
        <v>103.41195652173913</v>
      </c>
      <c r="EF81" s="682">
        <f>INDEX(qtrSales!$AA:$AA,MATCH(sumry!EF6,qtrSales!$A:$A,0)+4)</f>
        <v>103.20978260869565</v>
      </c>
      <c r="EH81" s="682">
        <f>INDEX(qtrSales!$AA:$AA,MATCH(sumry!EH6,qtrSales!$A:$A,0)+1)</f>
        <v>102.50217391304348</v>
      </c>
      <c r="EI81" s="682">
        <f>INDEX(qtrSales!$AA:$AA,MATCH(sumry!EI6,qtrSales!$A:$A,0)+2)</f>
        <v>102.50217391304348</v>
      </c>
      <c r="EJ81" s="682">
        <f>INDEX(qtrSales!$AA:$AA,MATCH(sumry!EJ6,qtrSales!$A:$A,0)+3)</f>
        <v>102.50217391304348</v>
      </c>
      <c r="EK81" s="682">
        <f>INDEX(qtrSales!$AA:$AA,MATCH(sumry!EK6,qtrSales!$A:$A,0)+4)</f>
        <v>103.3</v>
      </c>
      <c r="EM81" s="682">
        <f>INDEX(qtrSales!$AA:$AA,MATCH(sumry!EM6,qtrSales!$A:$A,0)+1)</f>
        <v>103.3</v>
      </c>
      <c r="EN81" s="682">
        <f>INDEX(qtrSales!$AA:$AA,MATCH(sumry!EN6,qtrSales!$A:$A,0)+2)</f>
        <v>96</v>
      </c>
      <c r="EO81" s="682">
        <f>INDEX(qtrSales!$AA:$AA,MATCH(sumry!EO6,qtrSales!$A:$A,0)+3)</f>
        <v>96</v>
      </c>
      <c r="EP81" s="682">
        <f>INDEX(qtrSales!$AA:$AA,MATCH(sumry!EP6,qtrSales!$A:$A,0)+4)</f>
        <v>95.6</v>
      </c>
      <c r="ER81" s="682">
        <f>INDEX(qtrSales!$AA:$AA,MATCH(sumry!ER6,qtrSales!$A:$A,0)+1)</f>
        <v>94.72293577981651</v>
      </c>
      <c r="ES81" s="682">
        <f>INDEX(qtrSales!$AA:$AA,MATCH(sumry!ES6,qtrSales!$A:$A,0)+2)</f>
        <v>93.955504587155957</v>
      </c>
      <c r="ET81" s="682">
        <f>INDEX(qtrSales!$AA:$AA,MATCH(sumry!ET6,qtrSales!$A:$A,0)+3)</f>
        <v>93.955504587155957</v>
      </c>
      <c r="EU81" s="682">
        <f>INDEX(qtrSales!$AA:$AA,MATCH(sumry!EU6,qtrSales!$A:$A,0)+4)</f>
        <v>93.955504587155957</v>
      </c>
      <c r="EW81" s="682">
        <f>EW73</f>
        <v>114.5</v>
      </c>
      <c r="EX81" s="682">
        <f t="shared" ref="EX81:FW81" si="72">EX73</f>
        <v>114.4</v>
      </c>
      <c r="EY81" s="682">
        <f t="shared" si="72"/>
        <v>113.9</v>
      </c>
      <c r="EZ81" s="682">
        <f t="shared" si="72"/>
        <v>113</v>
      </c>
      <c r="FA81" s="682">
        <f t="shared" si="72"/>
        <v>114.3</v>
      </c>
      <c r="FB81" s="682">
        <f t="shared" si="72"/>
        <v>117.2</v>
      </c>
      <c r="FC81" s="682">
        <f t="shared" si="72"/>
        <v>118.4</v>
      </c>
      <c r="FD81" s="682">
        <f t="shared" si="72"/>
        <v>116</v>
      </c>
      <c r="FE81" s="682">
        <f t="shared" si="72"/>
        <v>114.7</v>
      </c>
      <c r="FF81" s="682">
        <f t="shared" si="72"/>
        <v>112.3</v>
      </c>
      <c r="FG81" s="682">
        <f t="shared" si="72"/>
        <v>108.3</v>
      </c>
      <c r="FH81" s="682">
        <f t="shared" si="72"/>
        <v>105.6</v>
      </c>
      <c r="FI81" s="682">
        <f t="shared" si="72"/>
        <v>106</v>
      </c>
      <c r="FJ81" s="682">
        <f t="shared" si="72"/>
        <v>103.3</v>
      </c>
      <c r="FK81" s="682">
        <f t="shared" si="72"/>
        <v>101.1</v>
      </c>
      <c r="FL81" s="682">
        <f t="shared" si="72"/>
        <v>101.3</v>
      </c>
      <c r="FM81" s="682">
        <f t="shared" si="72"/>
        <v>101.4</v>
      </c>
      <c r="FN81" s="682">
        <f t="shared" si="72"/>
        <v>103.1</v>
      </c>
      <c r="FO81" s="682">
        <f t="shared" si="72"/>
        <v>106.6</v>
      </c>
      <c r="FP81" s="682">
        <f t="shared" si="72"/>
        <v>109.9</v>
      </c>
      <c r="FQ81" s="682">
        <f t="shared" si="72"/>
        <v>111.7</v>
      </c>
      <c r="FR81" s="682">
        <f t="shared" si="72"/>
        <v>111.6</v>
      </c>
      <c r="FS81" s="682">
        <f t="shared" si="72"/>
        <v>111.2</v>
      </c>
      <c r="FT81" s="682">
        <f t="shared" si="72"/>
        <v>111.6</v>
      </c>
      <c r="FU81" s="682">
        <f t="shared" si="72"/>
        <v>110.69021739130434</v>
      </c>
      <c r="FV81" s="682">
        <f t="shared" si="72"/>
        <v>107.45543478260869</v>
      </c>
      <c r="FW81" s="682">
        <f t="shared" si="72"/>
        <v>103.20978260869565</v>
      </c>
      <c r="FX81" s="682">
        <f t="shared" si="69"/>
        <v>103.3</v>
      </c>
      <c r="FY81" s="682">
        <f t="shared" si="69"/>
        <v>95.6</v>
      </c>
      <c r="FZ81" s="682">
        <f t="shared" si="69"/>
        <v>93.955504587155957</v>
      </c>
      <c r="GA81" s="682">
        <f t="shared" si="70"/>
        <v>89.57018348623852</v>
      </c>
      <c r="GB81" s="682">
        <f t="shared" si="70"/>
        <v>85.184862385321082</v>
      </c>
      <c r="GC81" s="682">
        <f t="shared" si="70"/>
        <v>80.799541284403659</v>
      </c>
      <c r="GD81" s="1500">
        <f t="shared" ref="GD81" si="73">GD73</f>
        <v>76.414220183486222</v>
      </c>
    </row>
    <row r="82" spans="1:187">
      <c r="A82" s="398" t="s">
        <v>52</v>
      </c>
      <c r="F82" s="678">
        <v>0.35</v>
      </c>
      <c r="G82" s="678"/>
      <c r="H82" s="678">
        <v>0.35</v>
      </c>
      <c r="I82" s="678">
        <v>0.35</v>
      </c>
      <c r="J82" s="678">
        <v>0.35</v>
      </c>
      <c r="K82" s="678">
        <v>0.35</v>
      </c>
      <c r="L82" s="678"/>
      <c r="M82" s="678">
        <v>0.35</v>
      </c>
      <c r="N82" s="678">
        <v>0.35</v>
      </c>
      <c r="O82" s="678">
        <v>0.35</v>
      </c>
      <c r="P82" s="678">
        <v>0.35</v>
      </c>
      <c r="Q82" s="678"/>
      <c r="R82" s="678">
        <v>0.35</v>
      </c>
      <c r="S82" s="678">
        <v>0.35</v>
      </c>
      <c r="T82" s="678">
        <v>0.35</v>
      </c>
      <c r="U82" s="678">
        <v>0.35</v>
      </c>
      <c r="V82" s="678"/>
      <c r="W82" s="678">
        <v>0.35</v>
      </c>
      <c r="X82" s="678">
        <v>0.35</v>
      </c>
      <c r="Y82" s="678">
        <v>0.35</v>
      </c>
      <c r="Z82" s="678">
        <v>0.35</v>
      </c>
      <c r="AA82" s="678"/>
      <c r="AB82" s="678">
        <v>0.35</v>
      </c>
      <c r="AC82" s="678">
        <v>0.35</v>
      </c>
      <c r="AD82" s="678">
        <v>0.35</v>
      </c>
      <c r="AE82" s="678">
        <v>0.35</v>
      </c>
      <c r="AF82" s="678"/>
      <c r="AG82" s="678">
        <v>0.35</v>
      </c>
      <c r="AH82" s="678">
        <v>0.35</v>
      </c>
      <c r="AI82" s="678">
        <v>0.35</v>
      </c>
      <c r="AJ82" s="678">
        <v>0.35</v>
      </c>
      <c r="AL82" s="678">
        <v>0.35</v>
      </c>
      <c r="AM82" s="678">
        <v>0.35</v>
      </c>
      <c r="AN82" s="678">
        <v>0.35</v>
      </c>
      <c r="AO82" s="678">
        <v>0.35</v>
      </c>
      <c r="AP82" s="678"/>
      <c r="AQ82" s="678">
        <v>0.35</v>
      </c>
      <c r="AR82" s="678">
        <v>0.35</v>
      </c>
      <c r="AS82" s="678">
        <v>0.35</v>
      </c>
      <c r="AT82" s="678">
        <v>0.35</v>
      </c>
      <c r="AV82" s="678">
        <v>0.35</v>
      </c>
      <c r="AW82" s="678">
        <v>0.35</v>
      </c>
      <c r="AX82" s="678">
        <v>0.35</v>
      </c>
      <c r="AY82" s="678">
        <v>0.35</v>
      </c>
      <c r="AZ82" s="678"/>
      <c r="BA82" s="678">
        <v>0.35</v>
      </c>
      <c r="BB82" s="678">
        <v>0.35</v>
      </c>
      <c r="BC82" s="678">
        <v>0.35</v>
      </c>
      <c r="BD82" s="678">
        <v>0.35</v>
      </c>
      <c r="BF82" s="678">
        <v>0.35</v>
      </c>
      <c r="BG82" s="678">
        <v>0.35</v>
      </c>
      <c r="BH82" s="678">
        <v>0.35</v>
      </c>
      <c r="BI82" s="678">
        <v>0.35</v>
      </c>
      <c r="BJ82" s="678"/>
      <c r="BK82" s="678">
        <v>0.35</v>
      </c>
      <c r="BL82" s="678">
        <v>0.35</v>
      </c>
      <c r="BM82" s="678">
        <v>0.35</v>
      </c>
      <c r="BN82" s="678">
        <v>0.35</v>
      </c>
      <c r="BP82" s="678">
        <v>0.35</v>
      </c>
      <c r="BQ82" s="678">
        <v>0.35</v>
      </c>
      <c r="BR82" s="678">
        <v>0.35</v>
      </c>
      <c r="BS82" s="678">
        <v>0.35</v>
      </c>
      <c r="BT82" s="678"/>
      <c r="BU82" s="678">
        <v>0.35</v>
      </c>
      <c r="BV82" s="678">
        <v>0.35</v>
      </c>
      <c r="BW82" s="678">
        <v>0.35</v>
      </c>
      <c r="BX82" s="678">
        <v>0.35</v>
      </c>
      <c r="BZ82" s="678">
        <v>0.35</v>
      </c>
      <c r="CA82" s="678">
        <v>0.35</v>
      </c>
      <c r="CB82" s="678">
        <v>0.35</v>
      </c>
      <c r="CC82" s="678">
        <v>0.35</v>
      </c>
      <c r="CD82" s="678"/>
      <c r="CE82" s="678">
        <v>0.35</v>
      </c>
      <c r="CF82" s="678">
        <v>0.35</v>
      </c>
      <c r="CG82" s="678">
        <v>0.35</v>
      </c>
      <c r="CH82" s="678">
        <v>0.35</v>
      </c>
      <c r="CJ82" s="678">
        <v>0.35</v>
      </c>
      <c r="CK82" s="678">
        <v>0.35</v>
      </c>
      <c r="CL82" s="678">
        <v>0.35</v>
      </c>
      <c r="CM82" s="678">
        <v>0.35</v>
      </c>
      <c r="CN82" s="678"/>
      <c r="CO82" s="678">
        <v>0.35</v>
      </c>
      <c r="CP82" s="678">
        <v>0.35</v>
      </c>
      <c r="CQ82" s="678">
        <v>0.35</v>
      </c>
      <c r="CR82" s="678">
        <v>0.35</v>
      </c>
      <c r="CT82" s="678">
        <v>0.35</v>
      </c>
      <c r="CU82" s="678">
        <v>0.35</v>
      </c>
      <c r="CV82" s="678">
        <v>0.35</v>
      </c>
      <c r="CW82" s="678">
        <v>0.35</v>
      </c>
      <c r="CX82" s="678"/>
      <c r="CY82" s="678">
        <v>0.35</v>
      </c>
      <c r="CZ82" s="678">
        <v>0.35</v>
      </c>
      <c r="DA82" s="678">
        <v>0.35</v>
      </c>
      <c r="DB82" s="678">
        <v>0.35</v>
      </c>
      <c r="DD82" s="678">
        <v>0.35</v>
      </c>
      <c r="DE82" s="678">
        <v>0.35</v>
      </c>
      <c r="DF82" s="678">
        <v>0.35</v>
      </c>
      <c r="DG82" s="678">
        <v>0.35</v>
      </c>
      <c r="DI82" s="678">
        <v>0.35</v>
      </c>
      <c r="DJ82" s="678">
        <v>0.35</v>
      </c>
      <c r="DK82" s="678">
        <v>0.35</v>
      </c>
      <c r="DL82" s="678">
        <v>0.35</v>
      </c>
      <c r="DN82" s="678">
        <v>0.35</v>
      </c>
      <c r="DO82" s="678">
        <v>0.35</v>
      </c>
      <c r="DP82" s="678">
        <v>0.35</v>
      </c>
      <c r="DQ82" s="653">
        <v>0.35</v>
      </c>
      <c r="DS82" s="678">
        <v>0.35</v>
      </c>
      <c r="DT82" s="678">
        <v>0.35</v>
      </c>
      <c r="DU82" s="678">
        <v>0.35</v>
      </c>
      <c r="DV82" s="678">
        <v>0.35</v>
      </c>
      <c r="DX82" s="678">
        <v>0.35</v>
      </c>
      <c r="DY82" s="678">
        <v>0.35</v>
      </c>
      <c r="DZ82" s="678">
        <v>0.35</v>
      </c>
      <c r="EA82" s="678">
        <v>0.35</v>
      </c>
      <c r="EC82" s="678">
        <v>0.35</v>
      </c>
      <c r="ED82" s="678">
        <v>0.35</v>
      </c>
      <c r="EE82" s="678">
        <v>0.35</v>
      </c>
      <c r="EF82" s="678">
        <v>0.35</v>
      </c>
      <c r="EH82" s="678">
        <v>0.35</v>
      </c>
      <c r="EI82" s="678">
        <v>0.35</v>
      </c>
      <c r="EJ82" s="678">
        <v>0.35</v>
      </c>
      <c r="EK82" s="678">
        <v>0.35</v>
      </c>
      <c r="EM82" s="678">
        <v>0.35</v>
      </c>
      <c r="EN82" s="678">
        <v>0.35</v>
      </c>
      <c r="EO82" s="678">
        <v>0.35</v>
      </c>
      <c r="EP82" s="678">
        <v>0.35</v>
      </c>
      <c r="ER82" s="678">
        <v>0.35</v>
      </c>
      <c r="ES82" s="678">
        <v>0.35</v>
      </c>
      <c r="ET82" s="678">
        <v>0.35</v>
      </c>
      <c r="EU82" s="678">
        <v>0.35</v>
      </c>
      <c r="EW82" s="678">
        <v>0.35</v>
      </c>
      <c r="EX82" s="678">
        <v>0.35</v>
      </c>
      <c r="EY82" s="678">
        <v>0.35</v>
      </c>
      <c r="EZ82" s="678">
        <v>0.35</v>
      </c>
      <c r="FA82" s="678">
        <v>0.35</v>
      </c>
      <c r="FB82" s="678">
        <v>0.35</v>
      </c>
      <c r="FC82" s="678">
        <v>0.35</v>
      </c>
      <c r="FD82" s="678">
        <v>0.35</v>
      </c>
      <c r="FE82" s="678">
        <v>0.35</v>
      </c>
      <c r="FF82" s="678">
        <v>0.35</v>
      </c>
      <c r="FG82" s="678">
        <v>0.35</v>
      </c>
      <c r="FH82" s="678">
        <v>0.35</v>
      </c>
      <c r="FI82" s="678">
        <v>0.35</v>
      </c>
      <c r="FJ82" s="678">
        <v>0.35</v>
      </c>
      <c r="FK82" s="678">
        <v>0.35</v>
      </c>
      <c r="FL82" s="678">
        <v>0.35</v>
      </c>
      <c r="FM82" s="678">
        <v>0.35</v>
      </c>
      <c r="FN82" s="678">
        <v>0.35</v>
      </c>
      <c r="FO82" s="678">
        <v>0.35</v>
      </c>
      <c r="FP82" s="678">
        <v>0.35</v>
      </c>
      <c r="FQ82" s="678">
        <v>0.35</v>
      </c>
      <c r="FR82" s="678">
        <v>0.35</v>
      </c>
      <c r="FS82" s="678">
        <v>0.35</v>
      </c>
      <c r="FT82" s="678">
        <v>0.35</v>
      </c>
      <c r="FU82" s="678">
        <v>0.35</v>
      </c>
      <c r="FV82" s="678">
        <v>0.35</v>
      </c>
      <c r="FW82" s="678">
        <v>0.35</v>
      </c>
      <c r="FX82" s="678">
        <v>0.35</v>
      </c>
      <c r="FY82" s="678">
        <v>0.35</v>
      </c>
      <c r="FZ82" s="678">
        <v>0.21</v>
      </c>
      <c r="GA82" s="678">
        <v>0.21</v>
      </c>
      <c r="GB82" s="678">
        <v>0.21</v>
      </c>
      <c r="GC82" s="678">
        <v>0.21</v>
      </c>
      <c r="GD82" s="196">
        <v>0.21</v>
      </c>
      <c r="GE82" s="678"/>
    </row>
    <row r="84" spans="1:187" customFormat="1" ht="11.1" customHeight="1"/>
    <row r="87" spans="1:187">
      <c r="FY87" s="1131"/>
      <c r="FZ87" s="1131"/>
      <c r="GA87" s="1131"/>
    </row>
    <row r="96" spans="1:187">
      <c r="FX96" s="685"/>
    </row>
    <row r="97" spans="180:180">
      <c r="FX97" s="685"/>
    </row>
  </sheetData>
  <phoneticPr fontId="10" type="noConversion"/>
  <printOptions horizontalCentered="1" verticalCentered="1"/>
  <pageMargins left="0" right="0" top="0" bottom="0" header="0" footer="0"/>
  <pageSetup paperSize="5" scale="83" orientation="landscape"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7:AH106"/>
  <sheetViews>
    <sheetView zoomScaleNormal="100" workbookViewId="0"/>
  </sheetViews>
  <sheetFormatPr defaultRowHeight="12.75" outlineLevelRow="1" outlineLevelCol="1"/>
  <cols>
    <col min="3" max="3" width="25.28515625" customWidth="1"/>
    <col min="4" max="4" width="11.28515625" hidden="1" customWidth="1" outlineLevel="1"/>
    <col min="5" max="5" width="1.7109375" hidden="1" customWidth="1" outlineLevel="1"/>
    <col min="6" max="6" width="11.28515625" hidden="1" customWidth="1" outlineLevel="1"/>
    <col min="7" max="7" width="1.7109375" customWidth="1" collapsed="1"/>
    <col min="8" max="8" width="10.28515625" hidden="1" customWidth="1"/>
    <col min="9" max="9" width="1.7109375" customWidth="1"/>
    <col min="10" max="10" width="10.28515625" hidden="1" customWidth="1"/>
    <col min="11" max="11" width="1.7109375" customWidth="1"/>
    <col min="12" max="12" width="12.7109375" customWidth="1"/>
    <col min="13" max="13" width="1.7109375" customWidth="1"/>
    <col min="14" max="14" width="12.7109375" hidden="1" customWidth="1"/>
    <col min="15" max="15" width="1.7109375" style="397" hidden="1" customWidth="1"/>
    <col min="16" max="16" width="0.140625" style="396" customWidth="1"/>
    <col min="17" max="17" width="12.7109375" customWidth="1"/>
    <col min="18" max="18" width="1.5703125" style="396" customWidth="1"/>
    <col min="19" max="19" width="12.7109375" customWidth="1"/>
    <col min="20" max="20" width="15.28515625" bestFit="1" customWidth="1"/>
    <col min="22" max="22" width="10.28515625" bestFit="1" customWidth="1"/>
    <col min="23" max="23" width="19" customWidth="1"/>
    <col min="24" max="24" width="13.28515625" customWidth="1"/>
  </cols>
  <sheetData>
    <row r="7" spans="3:23" ht="15" hidden="1" outlineLevel="1">
      <c r="C7" s="189"/>
      <c r="D7" s="201" t="s">
        <v>531</v>
      </c>
      <c r="E7" s="202" t="s">
        <v>357</v>
      </c>
      <c r="F7" s="201" t="s">
        <v>532</v>
      </c>
      <c r="G7" s="202" t="s">
        <v>357</v>
      </c>
      <c r="H7" s="201" t="s">
        <v>533</v>
      </c>
      <c r="I7" s="202" t="s">
        <v>357</v>
      </c>
      <c r="J7" s="201" t="s">
        <v>534</v>
      </c>
      <c r="K7" s="202" t="s">
        <v>357</v>
      </c>
      <c r="L7" s="201" t="s">
        <v>535</v>
      </c>
      <c r="M7" s="1537"/>
      <c r="N7" s="1537"/>
      <c r="O7" s="1279" t="s">
        <v>357</v>
      </c>
      <c r="P7" s="417"/>
      <c r="Q7" s="201" t="s">
        <v>536</v>
      </c>
      <c r="R7" s="417"/>
      <c r="S7" s="198" t="s">
        <v>357</v>
      </c>
    </row>
    <row r="8" spans="3:23" ht="5.25" hidden="1" customHeight="1" outlineLevel="1" thickBot="1">
      <c r="C8" s="189"/>
      <c r="D8" s="189"/>
      <c r="E8" s="189"/>
      <c r="F8" s="189"/>
      <c r="G8" s="189"/>
      <c r="H8" s="189"/>
      <c r="I8" s="189"/>
      <c r="J8" s="189"/>
      <c r="K8" s="189"/>
      <c r="L8" s="189"/>
      <c r="M8" s="189"/>
      <c r="N8" s="189"/>
      <c r="O8" s="1280"/>
      <c r="P8" s="421"/>
      <c r="Q8" s="189"/>
      <c r="R8" s="421"/>
    </row>
    <row r="9" spans="3:23" s="190" customFormat="1" ht="15.75" hidden="1" outlineLevel="1" thickBot="1">
      <c r="C9" s="212" t="s">
        <v>530</v>
      </c>
      <c r="D9" s="217">
        <f>'yrP&amp;L'!AA19</f>
        <v>0.3470157874470543</v>
      </c>
      <c r="E9" s="217"/>
      <c r="F9" s="217">
        <f>'yrP&amp;L'!AB19</f>
        <v>0.34690952019563198</v>
      </c>
      <c r="G9" s="217"/>
      <c r="H9" s="217">
        <f>'yrP&amp;L'!AC17</f>
        <v>0.32577302765766503</v>
      </c>
      <c r="I9" s="217"/>
      <c r="J9" s="218">
        <f>'yrP&amp;L'!AD17</f>
        <v>0.299009900990099</v>
      </c>
      <c r="K9" s="217"/>
      <c r="L9" s="217">
        <f>'yrP&amp;L'!AE17</f>
        <v>0.2819797561170001</v>
      </c>
      <c r="M9" s="217"/>
      <c r="N9" s="217"/>
      <c r="O9" s="1281"/>
      <c r="P9" s="418"/>
      <c r="Q9" s="217">
        <f>'yrP&amp;L'!AF17</f>
        <v>0.2773068926915081</v>
      </c>
      <c r="R9" s="418"/>
      <c r="S9" s="198"/>
    </row>
    <row r="10" spans="3:23" ht="5.0999999999999996" hidden="1" customHeight="1" outlineLevel="1">
      <c r="C10" s="189"/>
      <c r="D10" s="203"/>
      <c r="E10" s="203"/>
      <c r="F10" s="203"/>
      <c r="G10" s="203"/>
      <c r="H10" s="203"/>
      <c r="I10" s="203"/>
      <c r="J10" s="203"/>
      <c r="K10" s="203"/>
      <c r="L10" s="203"/>
      <c r="M10" s="203"/>
      <c r="N10" s="203"/>
      <c r="O10" s="1282"/>
      <c r="P10" s="422"/>
      <c r="Q10" s="203"/>
      <c r="R10" s="422"/>
      <c r="S10" s="197"/>
    </row>
    <row r="11" spans="3:23" ht="14.25" hidden="1" outlineLevel="1">
      <c r="C11" s="189" t="s">
        <v>529</v>
      </c>
      <c r="D11" s="204">
        <v>0.33863265386586761</v>
      </c>
      <c r="E11" s="204" t="s">
        <v>357</v>
      </c>
      <c r="F11" s="204">
        <v>0.30084278786516222</v>
      </c>
      <c r="G11" s="204" t="s">
        <v>357</v>
      </c>
      <c r="H11" s="204">
        <v>0.27715293384493195</v>
      </c>
      <c r="I11" s="204" t="s">
        <v>357</v>
      </c>
      <c r="J11" s="204">
        <v>0.26958620383439957</v>
      </c>
      <c r="K11" s="204" t="s">
        <v>357</v>
      </c>
      <c r="L11" s="204">
        <v>0</v>
      </c>
      <c r="M11" s="204"/>
      <c r="N11" s="204"/>
      <c r="O11" s="1283" t="s">
        <v>357</v>
      </c>
      <c r="P11" s="423"/>
      <c r="Q11" s="204">
        <v>0</v>
      </c>
      <c r="R11" s="423"/>
      <c r="S11" s="199" t="s">
        <v>357</v>
      </c>
      <c r="T11" s="200"/>
    </row>
    <row r="12" spans="3:23" ht="5.0999999999999996" hidden="1" customHeight="1" outlineLevel="1">
      <c r="C12" s="189"/>
      <c r="D12" s="205"/>
      <c r="E12" s="205"/>
      <c r="F12" s="205"/>
      <c r="G12" s="205"/>
      <c r="H12" s="205"/>
      <c r="I12" s="205"/>
      <c r="J12" s="205"/>
      <c r="K12" s="205"/>
      <c r="L12" s="205"/>
      <c r="M12" s="205"/>
      <c r="N12" s="205"/>
      <c r="O12" s="1284"/>
      <c r="P12" s="424"/>
      <c r="Q12" s="205"/>
      <c r="R12" s="424"/>
      <c r="S12" s="200"/>
      <c r="T12" s="200"/>
    </row>
    <row r="13" spans="3:23" s="8" customFormat="1" ht="14.25" hidden="1" outlineLevel="1">
      <c r="C13" s="206" t="s">
        <v>509</v>
      </c>
      <c r="D13" s="207">
        <f>(D9-D11)*10000</f>
        <v>83.831335811866964</v>
      </c>
      <c r="E13" s="208"/>
      <c r="F13" s="207">
        <f>(F9-F11)*10000</f>
        <v>460.66732330469762</v>
      </c>
      <c r="G13" s="208"/>
      <c r="H13" s="207">
        <f>(H9-H11)*10000</f>
        <v>486.2009381273308</v>
      </c>
      <c r="I13" s="208"/>
      <c r="J13" s="207">
        <f>(J9-J11)*10000</f>
        <v>294.23697155699426</v>
      </c>
      <c r="K13" s="208"/>
      <c r="L13" s="209" t="s">
        <v>357</v>
      </c>
      <c r="M13" s="209"/>
      <c r="N13" s="209"/>
      <c r="O13" s="1285" t="s">
        <v>357</v>
      </c>
      <c r="P13" s="425"/>
      <c r="Q13" s="209" t="s">
        <v>357</v>
      </c>
      <c r="R13" s="425"/>
      <c r="S13" s="194" t="s">
        <v>357</v>
      </c>
      <c r="T13" s="194"/>
      <c r="W13" s="235">
        <f>AVERAGE(D13,F13,H13,J13)</f>
        <v>331.23414220022244</v>
      </c>
    </row>
    <row r="14" spans="3:23" ht="9" hidden="1" customHeight="1" outlineLevel="1" thickBot="1">
      <c r="C14" s="189"/>
      <c r="D14" s="205"/>
      <c r="E14" s="205"/>
      <c r="F14" s="205"/>
      <c r="G14" s="205"/>
      <c r="H14" s="205"/>
      <c r="I14" s="205"/>
      <c r="J14" s="205"/>
      <c r="K14" s="205"/>
      <c r="L14" s="205"/>
      <c r="M14" s="205"/>
      <c r="N14" s="205"/>
      <c r="O14" s="1284"/>
      <c r="P14" s="424"/>
      <c r="Q14" s="205"/>
      <c r="R14" s="424"/>
      <c r="S14" s="200"/>
      <c r="T14" s="200"/>
    </row>
    <row r="15" spans="3:23" s="190" customFormat="1" ht="15.75" hidden="1" outlineLevel="1" thickBot="1">
      <c r="C15" s="212" t="s">
        <v>510</v>
      </c>
      <c r="D15" s="213">
        <f>'yrP&amp;L'!AA72</f>
        <v>-3.4945255474452557</v>
      </c>
      <c r="E15" s="214"/>
      <c r="F15" s="213">
        <f>'yrP&amp;L'!AB72</f>
        <v>-5.7400722021660648</v>
      </c>
      <c r="G15" s="214"/>
      <c r="H15" s="213">
        <f>'yrP&amp;L'!AC72</f>
        <v>-2.1648423756491755</v>
      </c>
      <c r="I15" s="214"/>
      <c r="J15" s="215">
        <f>'yrP&amp;L'!AD72</f>
        <v>-1.0246200552481153</v>
      </c>
      <c r="K15" s="214"/>
      <c r="L15" s="213">
        <f>'yrP&amp;L'!AE72</f>
        <v>7.6677316293929709E-2</v>
      </c>
      <c r="M15" s="213"/>
      <c r="N15" s="213"/>
      <c r="O15" s="1286"/>
      <c r="P15" s="419"/>
      <c r="Q15" s="213">
        <f>'yrP&amp;L'!AF72</f>
        <v>0.21755062680810031</v>
      </c>
      <c r="R15" s="419"/>
      <c r="S15" s="193"/>
      <c r="T15" s="193"/>
    </row>
    <row r="16" spans="3:23" ht="5.0999999999999996" hidden="1" customHeight="1" outlineLevel="1">
      <c r="C16" s="189"/>
      <c r="D16" s="189"/>
      <c r="E16" s="189"/>
      <c r="F16" s="189"/>
      <c r="G16" s="189"/>
      <c r="H16" s="189"/>
      <c r="I16" s="189"/>
      <c r="J16" s="189"/>
      <c r="K16" s="189"/>
      <c r="L16" s="189"/>
      <c r="M16" s="189"/>
      <c r="N16" s="189"/>
      <c r="O16" s="1280"/>
      <c r="P16" s="421"/>
      <c r="Q16" s="189"/>
      <c r="R16" s="421"/>
    </row>
    <row r="17" spans="3:24" ht="14.25" hidden="1" outlineLevel="1">
      <c r="C17" s="189" t="s">
        <v>511</v>
      </c>
      <c r="D17" s="210">
        <v>-1.8297157627495806</v>
      </c>
      <c r="E17" s="210"/>
      <c r="F17" s="210">
        <v>-0.147582472863096</v>
      </c>
      <c r="G17" s="210"/>
      <c r="H17" s="210">
        <v>1.2951595636702538</v>
      </c>
      <c r="I17" s="210"/>
      <c r="J17" s="210">
        <v>1.7463993508669857</v>
      </c>
      <c r="K17" s="210"/>
      <c r="L17" s="204">
        <v>0</v>
      </c>
      <c r="M17" s="204"/>
      <c r="N17" s="204"/>
      <c r="O17" s="1283" t="s">
        <v>357</v>
      </c>
      <c r="P17" s="423"/>
      <c r="Q17" s="204">
        <v>0</v>
      </c>
      <c r="R17" s="423"/>
    </row>
    <row r="18" spans="3:24" ht="5.0999999999999996" hidden="1" customHeight="1" outlineLevel="1">
      <c r="C18" s="189"/>
      <c r="D18" s="189"/>
      <c r="E18" s="189"/>
      <c r="F18" s="189"/>
      <c r="G18" s="189"/>
      <c r="H18" s="189"/>
      <c r="I18" s="189"/>
      <c r="J18" s="189"/>
      <c r="K18" s="189"/>
      <c r="L18" s="189"/>
      <c r="M18" s="189"/>
      <c r="N18" s="189"/>
      <c r="O18" s="1280"/>
      <c r="P18" s="421"/>
      <c r="Q18" s="189"/>
      <c r="R18" s="421"/>
    </row>
    <row r="19" spans="3:24" s="8" customFormat="1" ht="14.25" hidden="1" outlineLevel="1">
      <c r="C19" s="206" t="s">
        <v>509</v>
      </c>
      <c r="D19" s="211">
        <f>D15-D17</f>
        <v>-1.6648097846956751</v>
      </c>
      <c r="E19" s="206"/>
      <c r="F19" s="211">
        <f>F15-F17</f>
        <v>-5.5924897293029687</v>
      </c>
      <c r="G19" s="206"/>
      <c r="H19" s="211">
        <f>H15-H17</f>
        <v>-3.4600019393194295</v>
      </c>
      <c r="I19" s="206"/>
      <c r="J19" s="211">
        <f>J15-J17</f>
        <v>-2.771019406115101</v>
      </c>
      <c r="K19" s="206"/>
      <c r="L19" s="211"/>
      <c r="M19" s="211"/>
      <c r="N19" s="211"/>
      <c r="O19" s="1287"/>
      <c r="P19" s="426"/>
      <c r="Q19" s="211"/>
      <c r="R19" s="426"/>
      <c r="X19" s="8">
        <f>354/12000</f>
        <v>2.9499999999999998E-2</v>
      </c>
    </row>
    <row r="20" spans="3:24" hidden="1" outlineLevel="1"/>
    <row r="21" spans="3:24" hidden="1" outlineLevel="1"/>
    <row r="22" spans="3:24" hidden="1" outlineLevel="1">
      <c r="C22" s="190" t="s">
        <v>537</v>
      </c>
      <c r="D22" s="7">
        <f>'yrP&amp;L'!AA15</f>
        <v>4506</v>
      </c>
      <c r="F22" s="7">
        <f>'yrP&amp;L'!AB15</f>
        <v>4114</v>
      </c>
      <c r="H22" s="7">
        <f>'yrP&amp;L'!AC15</f>
        <v>3993</v>
      </c>
      <c r="J22" s="7">
        <f>'yrP&amp;L'!AD15</f>
        <v>3775</v>
      </c>
      <c r="K22" s="7">
        <f>'yrP&amp;L'!AE15</f>
        <v>3538</v>
      </c>
    </row>
    <row r="23" spans="3:24" hidden="1" outlineLevel="1">
      <c r="C23" t="s">
        <v>538</v>
      </c>
      <c r="D23" s="7">
        <v>4294.37</v>
      </c>
      <c r="F23" s="7">
        <v>3641.7169066338465</v>
      </c>
      <c r="H23" s="7">
        <v>3493.3044915390451</v>
      </c>
      <c r="J23" s="7">
        <v>3521.6159468819305</v>
      </c>
    </row>
    <row r="24" spans="3:24" hidden="1" outlineLevel="1">
      <c r="D24" s="7">
        <f>D22-D23</f>
        <v>211.63000000000011</v>
      </c>
      <c r="F24" s="7">
        <f>F22-F23</f>
        <v>472.28309336615348</v>
      </c>
      <c r="H24" s="7">
        <f>H22-H23</f>
        <v>499.6955084609549</v>
      </c>
      <c r="J24" s="7">
        <f>J22-J23</f>
        <v>253.38405311806946</v>
      </c>
    </row>
    <row r="25" spans="3:24" collapsed="1">
      <c r="C25" s="216" t="s">
        <v>513</v>
      </c>
    </row>
    <row r="26" spans="3:24" ht="15">
      <c r="C26" s="216"/>
      <c r="D26" s="265" t="s">
        <v>614</v>
      </c>
      <c r="E26" s="202" t="s">
        <v>357</v>
      </c>
      <c r="F26" s="265" t="s">
        <v>615</v>
      </c>
      <c r="G26" s="202" t="s">
        <v>357</v>
      </c>
      <c r="H26" s="201" t="s">
        <v>519</v>
      </c>
      <c r="I26" s="266" t="s">
        <v>357</v>
      </c>
      <c r="J26" s="201" t="s">
        <v>518</v>
      </c>
      <c r="K26" s="202" t="s">
        <v>357</v>
      </c>
      <c r="L26" s="202" t="s">
        <v>357</v>
      </c>
      <c r="M26" s="202"/>
      <c r="N26" s="202"/>
      <c r="O26" s="1279" t="s">
        <v>357</v>
      </c>
      <c r="P26" s="417"/>
      <c r="Q26" s="202" t="s">
        <v>357</v>
      </c>
      <c r="R26" s="417"/>
      <c r="S26" s="202" t="s">
        <v>357</v>
      </c>
      <c r="T26" s="202" t="s">
        <v>357</v>
      </c>
      <c r="U26" s="198" t="s">
        <v>357</v>
      </c>
    </row>
    <row r="27" spans="3:24">
      <c r="C27" t="s">
        <v>514</v>
      </c>
      <c r="D27" s="219">
        <v>6.69</v>
      </c>
      <c r="F27" s="219">
        <v>6.7</v>
      </c>
      <c r="H27" s="219">
        <v>5.3962502500317111</v>
      </c>
      <c r="J27" s="219">
        <v>5.5349635886520989</v>
      </c>
    </row>
    <row r="28" spans="3:24">
      <c r="C28" t="s">
        <v>515</v>
      </c>
      <c r="D28" s="219">
        <v>6.33</v>
      </c>
      <c r="F28" s="219">
        <v>6.4</v>
      </c>
      <c r="H28" s="219">
        <v>5.552877530148824</v>
      </c>
      <c r="J28" s="219">
        <v>6.1051785077013427</v>
      </c>
    </row>
    <row r="29" spans="3:24" s="220" customFormat="1" collapsed="1">
      <c r="C29" s="220" t="s">
        <v>616</v>
      </c>
      <c r="D29" s="221">
        <f>AVERAGE(D27:D28)</f>
        <v>6.51</v>
      </c>
      <c r="F29" s="221">
        <f>AVERAGE(F27:F28)</f>
        <v>6.5500000000000007</v>
      </c>
      <c r="H29" s="221">
        <f>AVERAGE(H27:H28)</f>
        <v>5.474563890090268</v>
      </c>
      <c r="J29" s="221">
        <f>AVERAGE(J27:J28)</f>
        <v>5.8200710481767208</v>
      </c>
      <c r="O29" s="412"/>
      <c r="P29" s="405"/>
      <c r="R29" s="405"/>
    </row>
    <row r="30" spans="3:24">
      <c r="C30" t="s">
        <v>516</v>
      </c>
      <c r="D30" s="219">
        <v>8.4499999999999993</v>
      </c>
      <c r="F30" s="219">
        <v>8.5</v>
      </c>
      <c r="H30" s="219">
        <v>6.9787216556296219</v>
      </c>
      <c r="J30" s="219">
        <v>7.019394503439937</v>
      </c>
    </row>
    <row r="31" spans="3:24" outlineLevel="1">
      <c r="C31" t="s">
        <v>517</v>
      </c>
      <c r="D31" s="219">
        <v>6.5381667318562569</v>
      </c>
      <c r="F31" s="219">
        <v>6.5381667318562569</v>
      </c>
      <c r="H31" s="219">
        <v>7.3661586221621338</v>
      </c>
      <c r="J31" s="219">
        <v>8.0253874513926409</v>
      </c>
    </row>
    <row r="32" spans="3:24" s="220" customFormat="1" ht="13.5" thickBot="1">
      <c r="C32" s="220" t="s">
        <v>520</v>
      </c>
      <c r="D32" s="221">
        <f>AVERAGE(D27:D28,D30)</f>
        <v>7.1566666666666663</v>
      </c>
      <c r="F32" s="221">
        <f>AVERAGE(F27:F28,F30)</f>
        <v>7.2</v>
      </c>
      <c r="H32" s="221">
        <f>AVERAGE(H27:H28,H30)</f>
        <v>5.9759498119367196</v>
      </c>
      <c r="J32" s="221">
        <f>AVERAGE(J27:J28,J30)</f>
        <v>6.2198455332644587</v>
      </c>
      <c r="O32" s="412"/>
      <c r="P32" s="405"/>
      <c r="R32" s="405"/>
    </row>
    <row r="33" spans="3:34" hidden="1" outlineLevel="1"/>
    <row r="34" spans="3:34" hidden="1" outlineLevel="1">
      <c r="D34" s="6"/>
    </row>
    <row r="35" spans="3:34" ht="15" hidden="1" outlineLevel="1">
      <c r="C35" s="189"/>
      <c r="D35" s="201" t="str">
        <f>F7</f>
        <v>FY13e</v>
      </c>
      <c r="E35" s="202" t="s">
        <v>357</v>
      </c>
      <c r="F35" s="201" t="str">
        <f>H7</f>
        <v>FY14e</v>
      </c>
      <c r="G35" s="202" t="s">
        <v>357</v>
      </c>
      <c r="H35" s="201" t="str">
        <f>J7</f>
        <v>FY15e</v>
      </c>
      <c r="I35" s="202" t="s">
        <v>357</v>
      </c>
      <c r="J35" s="201" t="str">
        <f>L7</f>
        <v>FY16e</v>
      </c>
      <c r="K35" s="202" t="s">
        <v>357</v>
      </c>
      <c r="L35" s="710" t="str">
        <f>Q7</f>
        <v>FY17e</v>
      </c>
      <c r="M35" s="1538"/>
      <c r="N35" s="1538"/>
      <c r="O35" s="707"/>
      <c r="P35" s="1288"/>
      <c r="Q35" s="710" t="s">
        <v>485</v>
      </c>
      <c r="R35" s="1288"/>
      <c r="S35" s="710" t="s">
        <v>481</v>
      </c>
    </row>
    <row r="36" spans="3:34" ht="13.5" hidden="1" outlineLevel="1" thickBot="1">
      <c r="C36" t="s">
        <v>512</v>
      </c>
      <c r="D36" s="7">
        <f>sumry!FU47</f>
        <v>-504</v>
      </c>
      <c r="F36" s="7">
        <f>sumry!FV47</f>
        <v>396</v>
      </c>
      <c r="H36" s="7">
        <f>sumry!FW47</f>
        <v>700.25</v>
      </c>
      <c r="J36" s="7">
        <f>sumry!FX47</f>
        <v>1014</v>
      </c>
      <c r="L36" s="241">
        <f>sumry!FY47</f>
        <v>923</v>
      </c>
      <c r="M36" s="241"/>
      <c r="N36" s="241"/>
      <c r="P36" s="435"/>
      <c r="Q36" s="234">
        <v>1300</v>
      </c>
      <c r="R36" s="427"/>
      <c r="S36" s="234">
        <v>850</v>
      </c>
    </row>
    <row r="37" spans="3:34" ht="13.5" hidden="1" outlineLevel="1" thickBot="1">
      <c r="C37" t="s">
        <v>521</v>
      </c>
      <c r="D37" s="226">
        <v>7</v>
      </c>
      <c r="E37" s="227"/>
      <c r="F37" s="226">
        <v>7</v>
      </c>
      <c r="G37" s="227"/>
      <c r="H37" s="226">
        <v>7</v>
      </c>
      <c r="I37" s="227"/>
      <c r="J37" s="226">
        <v>7</v>
      </c>
      <c r="K37" s="227"/>
      <c r="L37" s="245">
        <v>7</v>
      </c>
      <c r="M37" s="231"/>
      <c r="N37" s="231"/>
      <c r="P37" s="401"/>
      <c r="Q37" s="231">
        <v>8.5</v>
      </c>
      <c r="R37" s="401"/>
      <c r="S37" s="231">
        <v>6.5</v>
      </c>
    </row>
    <row r="38" spans="3:34" hidden="1" outlineLevel="1">
      <c r="C38" t="s">
        <v>522</v>
      </c>
      <c r="D38" s="222">
        <v>0.11</v>
      </c>
      <c r="E38" s="223"/>
      <c r="F38" s="222">
        <v>0.11</v>
      </c>
      <c r="G38" s="223"/>
      <c r="H38" s="222">
        <v>0.11</v>
      </c>
      <c r="I38" s="223"/>
      <c r="J38" s="222">
        <v>0.11</v>
      </c>
      <c r="K38" s="222"/>
      <c r="L38" s="222">
        <v>0.11</v>
      </c>
      <c r="M38" s="222"/>
      <c r="N38" s="222"/>
      <c r="P38" s="428"/>
      <c r="Q38" s="222">
        <v>0.11</v>
      </c>
      <c r="R38" s="428"/>
      <c r="S38" s="222">
        <v>0.11</v>
      </c>
    </row>
    <row r="39" spans="3:34" hidden="1" outlineLevel="1">
      <c r="C39" t="s">
        <v>523</v>
      </c>
      <c r="D39" s="224">
        <v>0</v>
      </c>
      <c r="E39" s="223"/>
      <c r="F39" s="223">
        <f>H39-1</f>
        <v>1</v>
      </c>
      <c r="G39" s="223"/>
      <c r="H39" s="223">
        <f>J39-1</f>
        <v>2</v>
      </c>
      <c r="I39" s="223"/>
      <c r="J39" s="223">
        <f>L39-1</f>
        <v>3</v>
      </c>
      <c r="K39" s="223"/>
      <c r="L39" s="223">
        <v>4</v>
      </c>
      <c r="M39" s="223"/>
      <c r="N39" s="223"/>
      <c r="P39" s="402"/>
      <c r="Q39" s="223">
        <v>3.75</v>
      </c>
      <c r="R39" s="402"/>
      <c r="S39" s="223">
        <v>3.75</v>
      </c>
      <c r="T39" s="223"/>
    </row>
    <row r="40" spans="3:34" ht="3" hidden="1" customHeight="1" outlineLevel="1">
      <c r="D40" s="224"/>
      <c r="E40" s="223"/>
      <c r="F40" s="223"/>
      <c r="G40" s="223"/>
      <c r="H40" s="223"/>
      <c r="I40" s="223"/>
      <c r="J40" s="223"/>
      <c r="K40" s="223"/>
      <c r="L40" s="223"/>
      <c r="M40" s="223"/>
      <c r="N40" s="223"/>
      <c r="P40" s="402"/>
    </row>
    <row r="41" spans="3:34" s="8" customFormat="1" hidden="1" outlineLevel="1">
      <c r="C41" s="8" t="s">
        <v>524</v>
      </c>
      <c r="D41" s="225">
        <f>D37*D36/((1+D38)^D39)</f>
        <v>-3528</v>
      </c>
      <c r="F41" s="225">
        <f>F37*F36/((1+F38)^F39)</f>
        <v>2497.2972972972971</v>
      </c>
      <c r="H41" s="225">
        <f>H37*H36/((1+H38)^H39)</f>
        <v>3978.3702621540451</v>
      </c>
      <c r="J41" s="225">
        <f>J37*J36/((1+J38)^J39)</f>
        <v>5189.9964244741441</v>
      </c>
      <c r="L41" s="225">
        <f>L37*L36/((1+L38)^L39)</f>
        <v>4256.0608239508456</v>
      </c>
      <c r="M41" s="225"/>
      <c r="N41" s="225"/>
      <c r="O41" s="687"/>
      <c r="P41" s="403"/>
      <c r="Q41" s="225">
        <f>Q37*Q36/((1+Q38)^Q39)</f>
        <v>7471.3848523598572</v>
      </c>
      <c r="R41" s="403"/>
      <c r="S41" s="225">
        <f>S37*S36/((1+S38)^S39)</f>
        <v>3735.6924261799286</v>
      </c>
      <c r="T41" s="242">
        <f>-5153.80560492858+L41</f>
        <v>-897.74478097773408</v>
      </c>
    </row>
    <row r="42" spans="3:34" ht="3" hidden="1" customHeight="1" outlineLevel="1">
      <c r="D42" s="224"/>
      <c r="E42" s="223"/>
      <c r="F42" s="223"/>
      <c r="G42" s="223"/>
      <c r="H42" s="223"/>
      <c r="I42" s="223"/>
      <c r="J42" s="223"/>
      <c r="K42" s="223"/>
      <c r="L42" s="223"/>
      <c r="M42" s="223"/>
      <c r="N42" s="223"/>
      <c r="P42" s="402"/>
    </row>
    <row r="43" spans="3:34" hidden="1" outlineLevel="1">
      <c r="C43" t="s">
        <v>566</v>
      </c>
      <c r="D43" s="234">
        <f>dtc!AF8+2250-242.782*145%</f>
        <v>2718.9661000000001</v>
      </c>
      <c r="F43" s="7">
        <f>D43</f>
        <v>2718.9661000000001</v>
      </c>
      <c r="H43" s="7">
        <f>F43</f>
        <v>2718.9661000000001</v>
      </c>
      <c r="J43" s="7">
        <f>H43</f>
        <v>2718.9661000000001</v>
      </c>
      <c r="L43" s="7">
        <f>J43</f>
        <v>2718.9661000000001</v>
      </c>
      <c r="M43" s="7"/>
      <c r="N43" s="7"/>
      <c r="P43" s="429"/>
      <c r="Q43" s="7">
        <f>L43</f>
        <v>2718.9661000000001</v>
      </c>
      <c r="R43" s="429"/>
      <c r="S43" s="7">
        <f>Q43</f>
        <v>2718.9661000000001</v>
      </c>
      <c r="T43" s="7">
        <f>-525+S43</f>
        <v>2193.9661000000001</v>
      </c>
    </row>
    <row r="44" spans="3:34" ht="13.5" hidden="1" outlineLevel="1" thickBot="1">
      <c r="C44" t="s">
        <v>567</v>
      </c>
      <c r="D44" s="234">
        <f>dtc!AF26+2250-242.782</f>
        <v>5833.2179999999998</v>
      </c>
      <c r="F44" s="7">
        <f>D44</f>
        <v>5833.2179999999998</v>
      </c>
      <c r="H44" s="7">
        <f>F44</f>
        <v>5833.2179999999998</v>
      </c>
      <c r="J44" s="7">
        <f>H44</f>
        <v>5833.2179999999998</v>
      </c>
      <c r="L44" s="7">
        <f>J44</f>
        <v>5833.2179999999998</v>
      </c>
      <c r="M44" s="7"/>
      <c r="N44" s="7"/>
      <c r="P44" s="429"/>
      <c r="Q44" s="7">
        <f>L44</f>
        <v>5833.2179999999998</v>
      </c>
      <c r="R44" s="429"/>
      <c r="S44" s="7">
        <f>Q44</f>
        <v>5833.2179999999998</v>
      </c>
      <c r="T44" s="7">
        <f>2965-S44</f>
        <v>-2868.2179999999998</v>
      </c>
    </row>
    <row r="45" spans="3:34" s="8" customFormat="1" ht="13.5" hidden="1" outlineLevel="1" thickBot="1">
      <c r="C45" s="8" t="s">
        <v>525</v>
      </c>
      <c r="D45" s="225">
        <f>D44-D43</f>
        <v>3114.2518999999998</v>
      </c>
      <c r="F45" s="225">
        <f>F44-F43</f>
        <v>3114.2518999999998</v>
      </c>
      <c r="H45" s="225">
        <f>H44-H43</f>
        <v>3114.2518999999998</v>
      </c>
      <c r="J45" s="225">
        <f>J44-J43</f>
        <v>3114.2518999999998</v>
      </c>
      <c r="L45" s="225">
        <f>L44-L43</f>
        <v>3114.2518999999998</v>
      </c>
      <c r="M45" s="225"/>
      <c r="N45" s="225"/>
      <c r="O45" s="687"/>
      <c r="P45" s="403"/>
      <c r="Q45" s="225">
        <f>L45</f>
        <v>3114.2518999999998</v>
      </c>
      <c r="R45" s="403"/>
      <c r="S45" s="225">
        <f>Q45</f>
        <v>3114.2518999999998</v>
      </c>
      <c r="AB45" s="264">
        <f>L68</f>
        <v>3.4429451481273929</v>
      </c>
      <c r="AC45" s="252">
        <v>5</v>
      </c>
      <c r="AD45" s="253">
        <v>5.5</v>
      </c>
      <c r="AE45" s="253">
        <v>6</v>
      </c>
      <c r="AF45" s="254">
        <v>6.5</v>
      </c>
      <c r="AG45" s="254">
        <v>7</v>
      </c>
      <c r="AH45" s="255">
        <v>7.5</v>
      </c>
    </row>
    <row r="46" spans="3:34" ht="3" hidden="1" customHeight="1" outlineLevel="1">
      <c r="D46" s="224"/>
      <c r="E46" s="223"/>
      <c r="F46" s="223"/>
      <c r="G46" s="223"/>
      <c r="H46" s="223"/>
      <c r="I46" s="223"/>
      <c r="J46" s="223"/>
      <c r="K46" s="223"/>
      <c r="L46" s="223"/>
      <c r="M46" s="223"/>
      <c r="N46" s="223"/>
      <c r="P46" s="402"/>
      <c r="AB46" s="256">
        <v>7.0000000000000007E-2</v>
      </c>
      <c r="AC46" s="258">
        <f t="dataTable" ref="AC46:AH52" dt2D="1" dtr="0" r1="D55" r2="D66"/>
        <v>3.4429451481273929</v>
      </c>
      <c r="AD46" s="259">
        <v>3.4429451481273929</v>
      </c>
      <c r="AE46" s="259">
        <v>3.4429451481273929</v>
      </c>
      <c r="AF46" s="259">
        <v>3.4429451481273929</v>
      </c>
      <c r="AG46" s="259">
        <v>3.4429451481273929</v>
      </c>
      <c r="AH46" s="260">
        <v>3.4429451481273929</v>
      </c>
    </row>
    <row r="47" spans="3:34" s="8" customFormat="1" hidden="1" outlineLevel="1">
      <c r="C47" s="8" t="s">
        <v>526</v>
      </c>
      <c r="D47" s="225">
        <f>D41-D45</f>
        <v>-6642.2518999999993</v>
      </c>
      <c r="F47" s="225">
        <f>F41-F45</f>
        <v>-616.95460270270269</v>
      </c>
      <c r="H47" s="225">
        <f>H41-H45</f>
        <v>864.11836215404537</v>
      </c>
      <c r="J47" s="225">
        <f>J41-J45</f>
        <v>2075.7445244741443</v>
      </c>
      <c r="L47" s="225">
        <f>L41-L45</f>
        <v>1141.8089239508458</v>
      </c>
      <c r="M47" s="225"/>
      <c r="N47" s="225"/>
      <c r="O47" s="687"/>
      <c r="P47" s="403"/>
      <c r="Q47" s="232">
        <f>Q41-Q45</f>
        <v>4357.1329523598579</v>
      </c>
      <c r="R47" s="403"/>
      <c r="S47" s="232">
        <f>S41-S45</f>
        <v>621.44052617992884</v>
      </c>
      <c r="T47" s="225">
        <f>T43+T41+T44</f>
        <v>-1571.9966809777338</v>
      </c>
      <c r="AB47" s="256">
        <v>0.09</v>
      </c>
      <c r="AC47" s="258">
        <v>3.4429451481273929</v>
      </c>
      <c r="AD47" s="259">
        <v>3.4429451481273929</v>
      </c>
      <c r="AE47" s="259">
        <v>3.4429451481273929</v>
      </c>
      <c r="AF47" s="259">
        <v>3.4429451481273929</v>
      </c>
      <c r="AG47" s="259">
        <v>3.4429451481273929</v>
      </c>
      <c r="AH47" s="260">
        <v>3.4429451481273929</v>
      </c>
    </row>
    <row r="48" spans="3:34" ht="13.5" hidden="1" outlineLevel="1" thickBot="1">
      <c r="C48" t="s">
        <v>527</v>
      </c>
      <c r="D48">
        <f>'qtrP&amp;L'!DC222</f>
        <v>219.4</v>
      </c>
      <c r="F48">
        <f>D48</f>
        <v>219.4</v>
      </c>
      <c r="H48">
        <f>F48</f>
        <v>219.4</v>
      </c>
      <c r="J48">
        <f>H48</f>
        <v>219.4</v>
      </c>
      <c r="L48">
        <f>J48-1</f>
        <v>218.4</v>
      </c>
      <c r="Q48" s="6">
        <f>L48</f>
        <v>218.4</v>
      </c>
      <c r="S48" s="6">
        <f>Q48</f>
        <v>218.4</v>
      </c>
      <c r="T48">
        <f>L48</f>
        <v>218.4</v>
      </c>
      <c r="AB48" s="256">
        <v>0.11</v>
      </c>
      <c r="AC48" s="258">
        <v>3.4429451481273929</v>
      </c>
      <c r="AD48" s="259">
        <v>3.4429451481273929</v>
      </c>
      <c r="AE48" s="259">
        <v>3.4429451481273929</v>
      </c>
      <c r="AF48" s="259">
        <v>3.4429451481273929</v>
      </c>
      <c r="AG48" s="259">
        <v>3.4429451481273929</v>
      </c>
      <c r="AH48" s="260">
        <v>3.4429451481273929</v>
      </c>
    </row>
    <row r="49" spans="3:34" ht="13.5" hidden="1" outlineLevel="1" thickBot="1">
      <c r="C49" s="228" t="s">
        <v>528</v>
      </c>
      <c r="D49" s="229">
        <f>D47/D48</f>
        <v>-30.274621239744754</v>
      </c>
      <c r="E49" s="229"/>
      <c r="F49" s="229">
        <f>F47/F48</f>
        <v>-2.8120082165118627</v>
      </c>
      <c r="G49" s="229"/>
      <c r="H49" s="229">
        <f>H47/H48</f>
        <v>3.9385522431816105</v>
      </c>
      <c r="I49" s="229"/>
      <c r="J49" s="229">
        <f>J47/J48</f>
        <v>9.4610051252239948</v>
      </c>
      <c r="K49" s="229"/>
      <c r="L49" s="230">
        <f>L47/L48</f>
        <v>5.2280628386027734</v>
      </c>
      <c r="M49" s="233"/>
      <c r="N49" s="233"/>
      <c r="P49" s="420"/>
      <c r="Q49" s="233">
        <f>Q47/Q48</f>
        <v>19.950242455860156</v>
      </c>
      <c r="R49" s="420"/>
      <c r="S49" s="233">
        <f>S47/S48</f>
        <v>2.8454236546700038</v>
      </c>
      <c r="T49">
        <f>T47/T48</f>
        <v>-7.1977870008137996</v>
      </c>
      <c r="AB49" s="256">
        <v>0.13</v>
      </c>
      <c r="AC49" s="258">
        <v>3.4429451481273929</v>
      </c>
      <c r="AD49" s="259">
        <v>3.4429451481273929</v>
      </c>
      <c r="AE49" s="259">
        <v>3.4429451481273929</v>
      </c>
      <c r="AF49" s="259">
        <v>3.4429451481273929</v>
      </c>
      <c r="AG49" s="259">
        <v>3.4429451481273929</v>
      </c>
      <c r="AH49" s="260">
        <v>3.4429451481273929</v>
      </c>
    </row>
    <row r="50" spans="3:34" ht="13.5" collapsed="1" thickBot="1">
      <c r="Q50" s="694"/>
      <c r="S50" s="6"/>
      <c r="AB50" s="256">
        <v>0.15</v>
      </c>
      <c r="AC50" s="258">
        <v>3.4429451481273929</v>
      </c>
      <c r="AD50" s="259">
        <v>3.4429451481273929</v>
      </c>
      <c r="AE50" s="259">
        <v>3.4429451481273929</v>
      </c>
      <c r="AF50" s="267">
        <v>3.4429451481273929</v>
      </c>
      <c r="AG50" s="259">
        <v>3.4429451481273929</v>
      </c>
      <c r="AH50" s="260">
        <v>3.4429451481273929</v>
      </c>
    </row>
    <row r="51" spans="3:34" s="6" customFormat="1">
      <c r="C51" s="240"/>
      <c r="D51" s="233"/>
      <c r="E51" s="233"/>
      <c r="F51" s="233"/>
      <c r="G51" s="233"/>
      <c r="H51" s="233"/>
      <c r="I51" s="233"/>
      <c r="J51" s="233"/>
      <c r="K51" s="233"/>
      <c r="L51" s="233"/>
      <c r="M51" s="233"/>
      <c r="N51" s="233"/>
      <c r="O51" s="396"/>
      <c r="P51" s="420"/>
      <c r="Q51" s="233"/>
      <c r="R51" s="420"/>
      <c r="S51" s="233"/>
      <c r="U51" s="250"/>
      <c r="V51" s="251"/>
      <c r="AB51" s="256">
        <v>0.17</v>
      </c>
      <c r="AC51" s="258">
        <v>3.4429451481273929</v>
      </c>
      <c r="AD51" s="259">
        <v>3.4429451481273929</v>
      </c>
      <c r="AE51" s="259">
        <v>3.4429451481273929</v>
      </c>
      <c r="AF51" s="259">
        <v>3.4429451481273929</v>
      </c>
      <c r="AG51" s="259">
        <v>3.4429451481273929</v>
      </c>
      <c r="AH51" s="260">
        <v>3.4429451481273929</v>
      </c>
    </row>
    <row r="52" spans="3:34" s="6" customFormat="1" ht="13.5" thickBot="1">
      <c r="O52" s="396"/>
      <c r="P52" s="396"/>
      <c r="R52" s="396"/>
      <c r="AB52" s="257">
        <v>0.19</v>
      </c>
      <c r="AC52" s="261">
        <v>3.4429451481273929</v>
      </c>
      <c r="AD52" s="262">
        <v>3.4429451481273929</v>
      </c>
      <c r="AE52" s="262">
        <v>3.4429451481273929</v>
      </c>
      <c r="AF52" s="262">
        <v>3.4429451481273929</v>
      </c>
      <c r="AG52" s="262">
        <v>3.4429451481273929</v>
      </c>
      <c r="AH52" s="263">
        <v>3.4429451481273929</v>
      </c>
    </row>
    <row r="53" spans="3:34" s="6" customFormat="1" ht="15">
      <c r="C53" s="491" t="s">
        <v>632</v>
      </c>
      <c r="D53" s="492" t="s">
        <v>612</v>
      </c>
      <c r="E53" s="493" t="s">
        <v>357</v>
      </c>
      <c r="F53" s="492" t="str">
        <f>F35</f>
        <v>FY14e</v>
      </c>
      <c r="G53" s="493" t="s">
        <v>357</v>
      </c>
      <c r="H53" s="494" t="str">
        <f>H35</f>
        <v>FY15e</v>
      </c>
      <c r="I53" s="495" t="s">
        <v>357</v>
      </c>
      <c r="J53" s="494" t="str">
        <f>J35</f>
        <v>FY16e</v>
      </c>
      <c r="K53" s="495" t="s">
        <v>357</v>
      </c>
      <c r="L53" s="710" t="s">
        <v>710</v>
      </c>
      <c r="M53" s="1538"/>
      <c r="N53" s="710" t="s">
        <v>710</v>
      </c>
      <c r="O53" s="707"/>
      <c r="P53" s="1288"/>
      <c r="Q53" s="710" t="s">
        <v>485</v>
      </c>
      <c r="R53" s="1288"/>
      <c r="S53" s="710" t="s">
        <v>481</v>
      </c>
      <c r="U53" s="200" t="s">
        <v>675</v>
      </c>
      <c r="V53" s="574" t="s">
        <v>677</v>
      </c>
      <c r="W53" s="574" t="s">
        <v>676</v>
      </c>
      <c r="X53" s="575" t="s">
        <v>678</v>
      </c>
      <c r="Y53" s="575" t="s">
        <v>524</v>
      </c>
    </row>
    <row r="54" spans="3:34" ht="13.5" thickBot="1">
      <c r="C54" s="496" t="s">
        <v>512</v>
      </c>
      <c r="D54" s="497">
        <f>sumry!FU47</f>
        <v>-504</v>
      </c>
      <c r="E54" s="405"/>
      <c r="F54" s="497">
        <f>sumry!FV47</f>
        <v>396</v>
      </c>
      <c r="G54" s="405"/>
      <c r="H54" s="430">
        <f>sumry!FW47</f>
        <v>700.25</v>
      </c>
      <c r="I54" s="498"/>
      <c r="J54" s="430">
        <f>sumry!FX47</f>
        <v>1014</v>
      </c>
      <c r="K54" s="498"/>
      <c r="L54" s="430">
        <f>sumry!$GA$47</f>
        <v>805.3427854626342</v>
      </c>
      <c r="M54" s="430"/>
      <c r="N54" s="430">
        <f>sumry!GA47</f>
        <v>805.3427854626342</v>
      </c>
      <c r="O54" s="498"/>
      <c r="P54" s="430"/>
      <c r="Q54" s="430">
        <f>BullBaseBear!$R$70</f>
        <v>874.8939561079045</v>
      </c>
      <c r="R54" s="430"/>
      <c r="S54" s="499">
        <f>BullBaseBear!$R$113</f>
        <v>470.0663648155745</v>
      </c>
      <c r="U54" s="576">
        <f>sumry!FY41</f>
        <v>311.10000000000002</v>
      </c>
      <c r="V54" s="576">
        <v>3.92</v>
      </c>
      <c r="W54" s="577">
        <f>dtc!AJ23</f>
        <v>4678</v>
      </c>
      <c r="X54" s="576">
        <f>dtc!AJ11</f>
        <v>900.00003340150124</v>
      </c>
      <c r="Y54" s="576">
        <v>6857</v>
      </c>
    </row>
    <row r="55" spans="3:34" ht="13.5" thickBot="1">
      <c r="C55" s="500" t="s">
        <v>521</v>
      </c>
      <c r="D55" s="399">
        <v>6.5</v>
      </c>
      <c r="E55" s="400"/>
      <c r="F55" s="401">
        <f>D55</f>
        <v>6.5</v>
      </c>
      <c r="G55" s="400"/>
      <c r="H55" s="411">
        <v>5</v>
      </c>
      <c r="I55" s="431"/>
      <c r="J55" s="411">
        <v>5</v>
      </c>
      <c r="K55" s="408"/>
      <c r="L55" s="1581">
        <v>5.5</v>
      </c>
      <c r="M55" s="1349"/>
      <c r="N55" s="1349">
        <v>5</v>
      </c>
      <c r="O55" s="431"/>
      <c r="P55" s="411"/>
      <c r="Q55" s="411">
        <v>6</v>
      </c>
      <c r="R55" s="411"/>
      <c r="S55" s="501">
        <v>4.5</v>
      </c>
    </row>
    <row r="56" spans="3:34">
      <c r="C56" s="502" t="s">
        <v>524</v>
      </c>
      <c r="D56" s="403">
        <f>D55*D54</f>
        <v>-3276</v>
      </c>
      <c r="E56" s="503"/>
      <c r="F56" s="403">
        <f>F55*F54</f>
        <v>2574</v>
      </c>
      <c r="G56" s="503"/>
      <c r="H56" s="409">
        <f>H55*H54</f>
        <v>3501.25</v>
      </c>
      <c r="I56" s="504"/>
      <c r="J56" s="409">
        <f>J55*J54</f>
        <v>5070</v>
      </c>
      <c r="K56" s="504"/>
      <c r="L56" s="409">
        <f>L55*L54</f>
        <v>4429.3853200444883</v>
      </c>
      <c r="M56" s="409"/>
      <c r="N56" s="409">
        <f>N55*N54</f>
        <v>4026.7139273131711</v>
      </c>
      <c r="O56" s="504"/>
      <c r="P56" s="409"/>
      <c r="Q56" s="409">
        <f>Q55*Q54</f>
        <v>5249.3637366474268</v>
      </c>
      <c r="R56" s="409"/>
      <c r="S56" s="505">
        <f>S55*S54</f>
        <v>2115.2986416700851</v>
      </c>
      <c r="U56" s="242"/>
      <c r="X56" t="s">
        <v>679</v>
      </c>
      <c r="Y56" s="7">
        <f>Y54/Y59</f>
        <v>1142.8333333333333</v>
      </c>
      <c r="Z56">
        <f>Y56/1000</f>
        <v>1.1428333333333334</v>
      </c>
    </row>
    <row r="57" spans="3:34">
      <c r="C57" s="500"/>
      <c r="D57" s="406"/>
      <c r="E57" s="406"/>
      <c r="F57" s="406"/>
      <c r="G57" s="406"/>
      <c r="H57" s="434"/>
      <c r="I57" s="431"/>
      <c r="J57" s="434"/>
      <c r="K57" s="434"/>
      <c r="L57" s="434"/>
      <c r="M57" s="434"/>
      <c r="N57" s="434"/>
      <c r="O57" s="431"/>
      <c r="P57" s="434"/>
      <c r="Q57" s="431"/>
      <c r="R57" s="431"/>
      <c r="S57" s="506"/>
    </row>
    <row r="58" spans="3:34">
      <c r="C58" s="500" t="s">
        <v>606</v>
      </c>
      <c r="D58" s="435">
        <f>bal!AE9</f>
        <v>1515</v>
      </c>
      <c r="E58" s="435"/>
      <c r="F58" s="435">
        <f>bal!AF9</f>
        <v>1318.0000334015012</v>
      </c>
      <c r="G58" s="507"/>
      <c r="H58" s="432">
        <f>bal!AG9</f>
        <v>900.00003340150124</v>
      </c>
      <c r="I58" s="431"/>
      <c r="J58" s="432">
        <f>bal!AH9</f>
        <v>887.00003340150124</v>
      </c>
      <c r="K58" s="431"/>
      <c r="L58" s="432">
        <f>bal!$AJ$9</f>
        <v>480.76522355638974</v>
      </c>
      <c r="M58" s="432"/>
      <c r="N58" s="432">
        <f>bal!$AJ$9</f>
        <v>480.76522355638974</v>
      </c>
      <c r="O58" s="431"/>
      <c r="P58" s="432"/>
      <c r="Q58" s="432">
        <f>L58</f>
        <v>480.76522355638974</v>
      </c>
      <c r="R58" s="432"/>
      <c r="S58" s="508">
        <f>Q58</f>
        <v>480.76522355638974</v>
      </c>
      <c r="U58" s="7"/>
      <c r="X58" t="s">
        <v>680</v>
      </c>
    </row>
    <row r="59" spans="3:34">
      <c r="C59" s="500" t="s">
        <v>607</v>
      </c>
      <c r="D59" s="435">
        <f>bal!AE33</f>
        <v>4901</v>
      </c>
      <c r="E59" s="435"/>
      <c r="F59" s="435">
        <f>bal!AF33</f>
        <v>5360</v>
      </c>
      <c r="G59" s="507"/>
      <c r="H59" s="432">
        <f>bal!AG33</f>
        <v>4678</v>
      </c>
      <c r="I59" s="431"/>
      <c r="J59" s="432">
        <f>bal!AH33</f>
        <v>4558</v>
      </c>
      <c r="K59" s="431"/>
      <c r="L59" s="432">
        <f>bal!$AJ$33</f>
        <v>3827</v>
      </c>
      <c r="M59" s="432"/>
      <c r="N59" s="432">
        <f>bal!$AJ$33</f>
        <v>3827</v>
      </c>
      <c r="O59" s="431"/>
      <c r="P59" s="432"/>
      <c r="Q59" s="432">
        <f>L59</f>
        <v>3827</v>
      </c>
      <c r="R59" s="432"/>
      <c r="S59" s="508">
        <f>Q59</f>
        <v>3827</v>
      </c>
      <c r="U59" s="7"/>
      <c r="X59" t="s">
        <v>681</v>
      </c>
      <c r="Y59">
        <v>6</v>
      </c>
    </row>
    <row r="60" spans="3:34">
      <c r="C60" s="502" t="s">
        <v>525</v>
      </c>
      <c r="D60" s="403">
        <f>D59-D58</f>
        <v>3386</v>
      </c>
      <c r="E60" s="503"/>
      <c r="F60" s="403">
        <f>F59-F58</f>
        <v>4041.9999665984988</v>
      </c>
      <c r="G60" s="503"/>
      <c r="H60" s="409">
        <f>H59-H58</f>
        <v>3777.9999665984988</v>
      </c>
      <c r="I60" s="504"/>
      <c r="J60" s="409">
        <f>J59-J58</f>
        <v>3670.9999665984988</v>
      </c>
      <c r="K60" s="504"/>
      <c r="L60" s="409">
        <f>L59-L58</f>
        <v>3346.2347764436104</v>
      </c>
      <c r="M60" s="409"/>
      <c r="N60" s="409">
        <f>N59-N58</f>
        <v>3346.2347764436104</v>
      </c>
      <c r="O60" s="504"/>
      <c r="P60" s="409"/>
      <c r="Q60" s="409">
        <f>L60</f>
        <v>3346.2347764436104</v>
      </c>
      <c r="R60" s="409"/>
      <c r="S60" s="505">
        <f>Q60</f>
        <v>3346.2347764436104</v>
      </c>
      <c r="T60" s="8"/>
      <c r="U60" s="7"/>
    </row>
    <row r="61" spans="3:34">
      <c r="C61" s="500"/>
      <c r="D61" s="406"/>
      <c r="E61" s="406"/>
      <c r="F61" s="406"/>
      <c r="G61" s="406"/>
      <c r="H61" s="434"/>
      <c r="I61" s="431"/>
      <c r="J61" s="434"/>
      <c r="K61" s="434"/>
      <c r="L61" s="434"/>
      <c r="M61" s="434"/>
      <c r="N61" s="434"/>
      <c r="O61" s="431"/>
      <c r="P61" s="434"/>
      <c r="Q61" s="431"/>
      <c r="R61" s="431"/>
      <c r="S61" s="506"/>
      <c r="U61" s="7"/>
    </row>
    <row r="62" spans="3:34">
      <c r="C62" s="502" t="s">
        <v>526</v>
      </c>
      <c r="D62" s="403">
        <f>D56-D60</f>
        <v>-6662</v>
      </c>
      <c r="E62" s="503"/>
      <c r="F62" s="403">
        <f>F56-F60</f>
        <v>-1467.9999665984988</v>
      </c>
      <c r="G62" s="503"/>
      <c r="H62" s="409">
        <f>H56-H60</f>
        <v>-276.74996659849876</v>
      </c>
      <c r="I62" s="504"/>
      <c r="J62" s="409">
        <f>J56-J60</f>
        <v>1399.0000334015012</v>
      </c>
      <c r="K62" s="504"/>
      <c r="L62" s="409">
        <f>L56-L60</f>
        <v>1083.1505436008779</v>
      </c>
      <c r="M62" s="409"/>
      <c r="N62" s="409">
        <f>N56-N60</f>
        <v>680.47915086956073</v>
      </c>
      <c r="O62" s="504"/>
      <c r="P62" s="409"/>
      <c r="Q62" s="409">
        <f>Q56-Q60</f>
        <v>1903.1289602038164</v>
      </c>
      <c r="R62" s="409"/>
      <c r="S62" s="505">
        <f>S56-S60</f>
        <v>-1230.9361347735253</v>
      </c>
      <c r="T62" s="225"/>
    </row>
    <row r="63" spans="3:34">
      <c r="C63" s="500" t="s">
        <v>608</v>
      </c>
      <c r="D63" s="509">
        <f>'yrP&amp;L'!AB78</f>
        <v>249.3</v>
      </c>
      <c r="E63" s="509"/>
      <c r="F63" s="509">
        <f>'yrP&amp;L'!AC78</f>
        <v>305.2</v>
      </c>
      <c r="G63" s="509"/>
      <c r="H63" s="410">
        <f>'yrP&amp;L'!AD78</f>
        <v>305.89999999999998</v>
      </c>
      <c r="I63" s="410"/>
      <c r="J63" s="410">
        <f>'yrP&amp;L'!AE78</f>
        <v>313</v>
      </c>
      <c r="K63" s="410"/>
      <c r="L63" s="410">
        <f>sumry!$FZ$41</f>
        <v>314.60000000000002</v>
      </c>
      <c r="M63" s="410"/>
      <c r="N63" s="410">
        <f>sumry!$GA$41</f>
        <v>314.60000000000002</v>
      </c>
      <c r="O63" s="410"/>
      <c r="P63" s="410"/>
      <c r="Q63" s="410">
        <f>L63</f>
        <v>314.60000000000002</v>
      </c>
      <c r="R63" s="410"/>
      <c r="S63" s="510">
        <f>Q63</f>
        <v>314.60000000000002</v>
      </c>
    </row>
    <row r="64" spans="3:34" hidden="1" outlineLevel="1">
      <c r="C64" s="569" t="s">
        <v>609</v>
      </c>
      <c r="D64" s="570">
        <f>D62/D63</f>
        <v>-26.722823906939428</v>
      </c>
      <c r="E64" s="570"/>
      <c r="F64" s="570">
        <f>F62/F63</f>
        <v>-4.8099605720789604</v>
      </c>
      <c r="G64" s="570"/>
      <c r="H64" s="571">
        <f>H62/H63</f>
        <v>-0.90470731153481132</v>
      </c>
      <c r="I64" s="571"/>
      <c r="J64" s="571">
        <f>J62/J63</f>
        <v>4.4696486690143811</v>
      </c>
      <c r="K64" s="571"/>
      <c r="L64" s="572">
        <f>L62/L63</f>
        <v>3.4429451481273929</v>
      </c>
      <c r="M64" s="572"/>
      <c r="N64" s="572">
        <f>N62/N63</f>
        <v>2.1629979366483174</v>
      </c>
      <c r="O64" s="572"/>
      <c r="P64" s="572"/>
      <c r="Q64" s="572">
        <f>Q62/Q63</f>
        <v>6.0493609669542794</v>
      </c>
      <c r="R64" s="572"/>
      <c r="S64" s="573">
        <f>S62/S63</f>
        <v>-3.9127022720073907</v>
      </c>
    </row>
    <row r="65" spans="3:29" ht="4.5" hidden="1" customHeight="1" outlineLevel="1" thickBot="1">
      <c r="C65" s="502"/>
      <c r="D65" s="403"/>
      <c r="E65" s="503"/>
      <c r="F65" s="403"/>
      <c r="G65" s="503"/>
      <c r="H65" s="409"/>
      <c r="I65" s="504"/>
      <c r="J65" s="409"/>
      <c r="K65" s="504"/>
      <c r="L65" s="409"/>
      <c r="M65" s="409"/>
      <c r="N65" s="409"/>
      <c r="O65" s="504"/>
      <c r="P65" s="409"/>
      <c r="Q65" s="409"/>
      <c r="R65" s="409"/>
      <c r="S65" s="505"/>
      <c r="T65" s="225"/>
    </row>
    <row r="66" spans="3:29" ht="13.5" hidden="1" outlineLevel="1" thickBot="1">
      <c r="C66" s="500" t="s">
        <v>522</v>
      </c>
      <c r="D66" s="407">
        <f>AC79</f>
        <v>7.2818714555765593E-2</v>
      </c>
      <c r="E66" s="406"/>
      <c r="F66" s="511">
        <f>D66</f>
        <v>7.2818714555765593E-2</v>
      </c>
      <c r="G66" s="406"/>
      <c r="H66" s="433">
        <f>AC79</f>
        <v>7.2818714555765593E-2</v>
      </c>
      <c r="I66" s="431"/>
      <c r="J66" s="433">
        <f>H66</f>
        <v>7.2818714555765593E-2</v>
      </c>
      <c r="K66" s="512"/>
      <c r="L66" s="433"/>
      <c r="M66" s="433"/>
      <c r="N66" s="433"/>
      <c r="O66" s="431"/>
      <c r="P66" s="433"/>
      <c r="Q66" s="433"/>
      <c r="R66" s="433"/>
      <c r="S66" s="513"/>
    </row>
    <row r="67" spans="3:29" hidden="1" outlineLevel="1">
      <c r="C67" s="500" t="s">
        <v>523</v>
      </c>
      <c r="D67" s="406">
        <v>0</v>
      </c>
      <c r="E67" s="406"/>
      <c r="F67" s="406">
        <v>0</v>
      </c>
      <c r="G67" s="406"/>
      <c r="H67" s="431">
        <v>0</v>
      </c>
      <c r="I67" s="431"/>
      <c r="J67" s="431">
        <v>0</v>
      </c>
      <c r="K67" s="431"/>
      <c r="L67" s="397"/>
      <c r="M67" s="397"/>
      <c r="N67" s="397"/>
      <c r="O67" s="431"/>
      <c r="P67" s="516">
        <v>0</v>
      </c>
      <c r="Q67" s="514">
        <v>0</v>
      </c>
      <c r="R67" s="431"/>
      <c r="S67" s="515">
        <v>0</v>
      </c>
      <c r="T67" s="249"/>
      <c r="X67">
        <f>X70/X79</f>
        <v>0.68301350715190856</v>
      </c>
    </row>
    <row r="68" spans="3:29" collapsed="1">
      <c r="C68" s="413" t="s">
        <v>613</v>
      </c>
      <c r="D68" s="414">
        <f>D64/((1+D66)^D67)</f>
        <v>-26.722823906939428</v>
      </c>
      <c r="E68" s="414"/>
      <c r="F68" s="414">
        <f>F64/((1+F66)^F67)</f>
        <v>-4.8099605720789604</v>
      </c>
      <c r="G68" s="414"/>
      <c r="H68" s="415">
        <f>H64/((1+H66)^H67)</f>
        <v>-0.90470731153481132</v>
      </c>
      <c r="I68" s="415"/>
      <c r="J68" s="415">
        <f>J64/((1+J66)^J67)</f>
        <v>4.4696486690143811</v>
      </c>
      <c r="K68" s="415"/>
      <c r="L68" s="415">
        <f>L64/((1+L66)^K67)</f>
        <v>3.4429451481273929</v>
      </c>
      <c r="M68" s="415"/>
      <c r="N68" s="415">
        <f>N64/((1+N66)^M67)</f>
        <v>2.1629979366483174</v>
      </c>
      <c r="O68" s="1289"/>
      <c r="P68" s="1289"/>
      <c r="Q68" s="415">
        <f>Q64/((1+Q66)^Q67)</f>
        <v>6.0493609669542794</v>
      </c>
      <c r="R68" s="1289"/>
      <c r="S68" s="416">
        <f>S64/((1+S66)^S67)</f>
        <v>-3.9127022720073907</v>
      </c>
    </row>
    <row r="69" spans="3:29">
      <c r="Q69">
        <v>6</v>
      </c>
      <c r="S69">
        <v>1</v>
      </c>
    </row>
    <row r="70" spans="3:29">
      <c r="W70" s="469" t="s">
        <v>635</v>
      </c>
      <c r="X70" s="470">
        <f>bal!AG33+bal!AG28+bal!AG29</f>
        <v>4805</v>
      </c>
      <c r="Y70" s="470"/>
      <c r="Z70" s="470" t="s">
        <v>636</v>
      </c>
      <c r="AA70" s="470"/>
      <c r="AB70" s="471"/>
      <c r="AC70" s="472">
        <v>2.4E-2</v>
      </c>
    </row>
    <row r="71" spans="3:29">
      <c r="W71" s="473" t="s">
        <v>637</v>
      </c>
      <c r="X71" s="458">
        <f>bal!AG9</f>
        <v>900.00003340150124</v>
      </c>
      <c r="Y71" s="463"/>
      <c r="Z71" s="463" t="s">
        <v>638</v>
      </c>
      <c r="AA71" s="463"/>
      <c r="AB71" s="474"/>
      <c r="AC71" s="475">
        <v>5.8999999999999997E-2</v>
      </c>
    </row>
    <row r="72" spans="3:29">
      <c r="W72" s="476" t="s">
        <v>639</v>
      </c>
      <c r="X72" s="477">
        <f>X70-X71</f>
        <v>3904.9999665984988</v>
      </c>
      <c r="Y72" s="477"/>
      <c r="Z72" s="463" t="s">
        <v>640</v>
      </c>
      <c r="AA72" s="477"/>
      <c r="AB72" s="474"/>
      <c r="AC72" s="478">
        <v>1.2</v>
      </c>
    </row>
    <row r="73" spans="3:29">
      <c r="L73" s="7"/>
      <c r="M73" s="7"/>
      <c r="N73" s="7"/>
      <c r="T73" s="2"/>
      <c r="W73" s="479" t="s">
        <v>641</v>
      </c>
      <c r="X73" s="480">
        <v>0.09</v>
      </c>
      <c r="Y73" s="463"/>
      <c r="Z73" s="463" t="s">
        <v>642</v>
      </c>
      <c r="AA73" s="463"/>
      <c r="AB73" s="474"/>
      <c r="AC73" s="475">
        <f>AC70+AC72*(AC71)</f>
        <v>9.4799999999999995E-2</v>
      </c>
    </row>
    <row r="74" spans="3:29">
      <c r="T74" s="2"/>
      <c r="W74" s="479" t="s">
        <v>643</v>
      </c>
      <c r="X74" s="481">
        <f>X73*(1-0.35)</f>
        <v>5.8499999999999996E-2</v>
      </c>
      <c r="Y74" s="463"/>
      <c r="Z74" s="463"/>
      <c r="AA74" s="463"/>
      <c r="AB74" s="463"/>
      <c r="AC74" s="482"/>
    </row>
    <row r="75" spans="3:29">
      <c r="C75" s="246"/>
      <c r="W75" s="473"/>
      <c r="X75" s="463"/>
      <c r="Y75" s="463"/>
      <c r="Z75" s="463"/>
      <c r="AA75" s="463"/>
      <c r="AB75" s="463"/>
      <c r="AC75" s="482"/>
    </row>
    <row r="76" spans="3:29">
      <c r="T76" s="2"/>
      <c r="W76" s="473" t="s">
        <v>644</v>
      </c>
      <c r="X76" s="463">
        <f>sumry!$FX$41</f>
        <v>313</v>
      </c>
      <c r="Y76" s="463"/>
      <c r="Z76" s="463"/>
      <c r="AA76" s="483"/>
      <c r="AB76" s="484"/>
      <c r="AC76" s="485"/>
    </row>
    <row r="77" spans="3:29">
      <c r="C77" s="246"/>
      <c r="T77" s="2"/>
      <c r="W77" s="473" t="s">
        <v>645</v>
      </c>
      <c r="X77" s="486">
        <v>10</v>
      </c>
      <c r="Y77" s="463"/>
      <c r="Z77" s="487"/>
      <c r="AA77" s="488"/>
      <c r="AB77" s="484"/>
      <c r="AC77" s="485"/>
    </row>
    <row r="78" spans="3:29">
      <c r="C78" s="1433"/>
      <c r="L78" s="192"/>
      <c r="W78" s="476" t="s">
        <v>646</v>
      </c>
      <c r="X78" s="477">
        <f>X76*X77</f>
        <v>3130</v>
      </c>
      <c r="Y78" s="463"/>
      <c r="Z78" s="484"/>
      <c r="AA78" s="488"/>
      <c r="AB78" s="484"/>
      <c r="AC78" s="485"/>
    </row>
    <row r="79" spans="3:29">
      <c r="C79" s="1433" t="s">
        <v>678</v>
      </c>
      <c r="L79" s="192">
        <f>dtc!AN9</f>
        <v>314</v>
      </c>
      <c r="W79" s="476" t="s">
        <v>647</v>
      </c>
      <c r="X79" s="477">
        <f>X72+X78</f>
        <v>7034.9999665984988</v>
      </c>
      <c r="Y79" s="463"/>
      <c r="Z79" s="460" t="s">
        <v>648</v>
      </c>
      <c r="AA79" s="461"/>
      <c r="AB79" s="461"/>
      <c r="AC79" s="462">
        <f>(X70/(X70+X78))*X74 + (X78/(X70+X78))*AC73</f>
        <v>7.2818714555765593E-2</v>
      </c>
    </row>
    <row r="80" spans="3:29">
      <c r="C80" s="1433" t="s">
        <v>676</v>
      </c>
      <c r="L80" s="192">
        <f>bal!AI33+bal!AI28</f>
        <v>4232</v>
      </c>
      <c r="W80" s="489"/>
      <c r="X80" s="458"/>
      <c r="Y80" s="458"/>
      <c r="Z80" s="458"/>
      <c r="AA80" s="458"/>
      <c r="AB80" s="458"/>
      <c r="AC80" s="490"/>
    </row>
    <row r="81" spans="3:27">
      <c r="C81" s="1433" t="s">
        <v>713</v>
      </c>
      <c r="L81" s="192">
        <v>272.03399999999999</v>
      </c>
      <c r="S81" s="188"/>
      <c r="AA81" s="397"/>
    </row>
    <row r="82" spans="3:27">
      <c r="C82" s="1551" t="s">
        <v>714</v>
      </c>
      <c r="D82" s="1552"/>
      <c r="E82" s="1552"/>
      <c r="F82" s="1552"/>
      <c r="G82" s="1552"/>
      <c r="H82" s="1552"/>
      <c r="I82" s="1552"/>
      <c r="J82" s="1552"/>
      <c r="K82" s="1552"/>
      <c r="L82" s="1555">
        <f>-L79+L80+(8*L81)</f>
        <v>6094.2719999999999</v>
      </c>
      <c r="S82" s="188"/>
      <c r="AA82" s="397"/>
    </row>
    <row r="83" spans="3:27">
      <c r="L83" s="192"/>
      <c r="AA83" s="397"/>
    </row>
    <row r="84" spans="3:27">
      <c r="C84" s="1433" t="s">
        <v>715</v>
      </c>
      <c r="L84" s="192">
        <f>sumry!FY47</f>
        <v>923</v>
      </c>
      <c r="AA84" s="397"/>
    </row>
    <row r="85" spans="3:27">
      <c r="C85" s="1433" t="s">
        <v>713</v>
      </c>
      <c r="L85" s="192">
        <f>L81</f>
        <v>272.03399999999999</v>
      </c>
      <c r="AA85" s="397"/>
    </row>
    <row r="86" spans="3:27">
      <c r="C86" s="1551" t="s">
        <v>704</v>
      </c>
      <c r="D86" s="1552"/>
      <c r="E86" s="1552"/>
      <c r="F86" s="1552"/>
      <c r="G86" s="1552"/>
      <c r="H86" s="1552"/>
      <c r="I86" s="1552"/>
      <c r="J86" s="1552"/>
      <c r="K86" s="1552"/>
      <c r="L86" s="1553">
        <f>SUM(L84:L85)</f>
        <v>1195.0340000000001</v>
      </c>
      <c r="AA86" s="397"/>
    </row>
    <row r="87" spans="3:27">
      <c r="C87" s="1433"/>
      <c r="AA87" s="397"/>
    </row>
    <row r="88" spans="3:27">
      <c r="C88" s="1433"/>
      <c r="AA88" s="397"/>
    </row>
    <row r="89" spans="3:27">
      <c r="C89" s="1433" t="s">
        <v>716</v>
      </c>
      <c r="L89" s="1554">
        <f>L82/(L84+L81)</f>
        <v>5.0996641099751132</v>
      </c>
      <c r="AA89" s="397"/>
    </row>
    <row r="90" spans="3:27">
      <c r="AA90" s="397"/>
    </row>
    <row r="91" spans="3:27">
      <c r="AA91" s="397"/>
    </row>
    <row r="92" spans="3:27">
      <c r="AA92" s="397"/>
    </row>
    <row r="93" spans="3:27">
      <c r="AA93" s="397"/>
    </row>
    <row r="94" spans="3:27">
      <c r="AA94" s="397"/>
    </row>
    <row r="95" spans="3:27">
      <c r="T95" s="456"/>
      <c r="U95" s="456"/>
      <c r="V95" s="456"/>
      <c r="W95" s="456"/>
      <c r="X95" s="456"/>
      <c r="Y95" s="456"/>
      <c r="Z95" s="456"/>
      <c r="AA95" s="397"/>
    </row>
    <row r="96" spans="3:27">
      <c r="T96" s="464"/>
      <c r="U96" s="464"/>
      <c r="V96" s="456"/>
      <c r="W96" s="456"/>
      <c r="X96" s="456"/>
      <c r="Y96" s="456"/>
      <c r="Z96" s="456"/>
      <c r="AA96" s="397"/>
    </row>
    <row r="97" spans="20:27">
      <c r="T97" s="465"/>
      <c r="U97" s="465"/>
      <c r="V97" s="456"/>
      <c r="W97" s="456"/>
      <c r="X97" s="456"/>
      <c r="Y97" s="456"/>
      <c r="Z97" s="456"/>
      <c r="AA97" s="397"/>
    </row>
    <row r="98" spans="20:27">
      <c r="T98" s="464"/>
      <c r="U98" s="464"/>
      <c r="V98" s="459"/>
      <c r="W98" s="459"/>
      <c r="X98" s="459"/>
      <c r="Y98" s="459"/>
      <c r="Z98" s="459"/>
      <c r="AA98" s="397"/>
    </row>
    <row r="99" spans="20:27">
      <c r="T99" s="464"/>
      <c r="U99" s="464"/>
      <c r="V99" s="456"/>
      <c r="W99" s="456"/>
      <c r="X99" s="456"/>
      <c r="Y99" s="456"/>
      <c r="Z99" s="456"/>
      <c r="AA99" s="397"/>
    </row>
    <row r="100" spans="20:27">
      <c r="T100" s="464"/>
      <c r="U100" s="464"/>
      <c r="V100" s="456"/>
      <c r="W100" s="456"/>
      <c r="X100" s="456"/>
      <c r="Y100" s="456"/>
      <c r="Z100" s="456"/>
      <c r="AA100" s="397"/>
    </row>
    <row r="101" spans="20:27">
      <c r="T101" s="464"/>
      <c r="U101" s="466"/>
      <c r="V101" s="456"/>
      <c r="W101" s="456"/>
      <c r="X101" s="456"/>
      <c r="Y101" s="456"/>
      <c r="Z101" s="456"/>
      <c r="AA101" s="397"/>
    </row>
    <row r="102" spans="20:27">
      <c r="T102" s="465"/>
      <c r="U102" s="465"/>
      <c r="V102" s="456"/>
      <c r="W102" s="456"/>
      <c r="X102" s="456"/>
      <c r="Y102" s="456"/>
      <c r="Z102" s="456"/>
      <c r="AA102" s="397"/>
    </row>
    <row r="103" spans="20:27">
      <c r="T103" s="465"/>
      <c r="U103" s="467"/>
      <c r="V103" s="456"/>
      <c r="W103" s="456"/>
      <c r="X103" s="456"/>
      <c r="Y103" s="456"/>
      <c r="Z103" s="456"/>
      <c r="AA103" s="397"/>
    </row>
    <row r="104" spans="20:27">
      <c r="T104" s="464"/>
      <c r="U104" s="468"/>
      <c r="V104" s="457"/>
      <c r="W104" s="457"/>
      <c r="X104" s="457"/>
      <c r="Y104" s="457"/>
      <c r="Z104" s="457"/>
      <c r="AA104" s="397"/>
    </row>
    <row r="105" spans="20:27">
      <c r="T105" s="465"/>
      <c r="U105" s="467"/>
      <c r="V105" s="457"/>
      <c r="W105" s="457"/>
      <c r="X105" s="457"/>
      <c r="Y105" s="457"/>
      <c r="Z105" s="457"/>
      <c r="AA105" s="397"/>
    </row>
    <row r="106" spans="20:27">
      <c r="T106" s="439"/>
      <c r="U106" s="440"/>
      <c r="V106" s="440"/>
      <c r="W106" s="440"/>
      <c r="X106" s="440"/>
      <c r="Y106" s="440"/>
      <c r="Z106" s="440"/>
    </row>
  </sheetData>
  <phoneticPr fontId="10" type="noConversion"/>
  <conditionalFormatting sqref="AC46:AH52">
    <cfRule type="cellIs" dxfId="4" priority="1" stopIfTrue="1" operator="greaterThan">
      <formula>8</formula>
    </cfRule>
  </conditionalFormatting>
  <printOptions horizontalCentered="1" verticalCentered="1"/>
  <pageMargins left="0" right="0" top="0" bottom="0" header="0" footer="0"/>
  <pageSetup paperSize="5" scale="95"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3:AE191"/>
  <sheetViews>
    <sheetView zoomScale="85" zoomScaleNormal="85" workbookViewId="0"/>
  </sheetViews>
  <sheetFormatPr defaultRowHeight="12.75" outlineLevelRow="1" outlineLevelCol="1"/>
  <cols>
    <col min="1" max="1" width="33.140625" style="398" customWidth="1"/>
    <col min="2" max="2" width="1" style="398" customWidth="1"/>
    <col min="3" max="5" width="9.140625" style="398" hidden="1" customWidth="1" outlineLevel="1"/>
    <col min="6" max="7" width="10.28515625" style="398" hidden="1" customWidth="1" outlineLevel="1"/>
    <col min="8" max="8" width="10.140625" style="398" hidden="1" customWidth="1" outlineLevel="1"/>
    <col min="9" max="9" width="10.5703125" style="398" hidden="1" customWidth="1" outlineLevel="1"/>
    <col min="10" max="10" width="10" style="398" hidden="1" customWidth="1" outlineLevel="1"/>
    <col min="11" max="11" width="10.28515625" style="398" bestFit="1" customWidth="1" collapsed="1"/>
    <col min="12" max="13" width="10.28515625" style="398" bestFit="1" customWidth="1"/>
    <col min="14" max="14" width="10.7109375" style="398" customWidth="1"/>
    <col min="15" max="15" width="10.5703125" style="398" customWidth="1"/>
    <col min="16" max="20" width="10.28515625" style="398" bestFit="1" customWidth="1"/>
    <col min="21" max="21" width="11.7109375" style="398" customWidth="1"/>
    <col min="22" max="23" width="9.140625" style="398"/>
    <col min="24" max="24" width="10.5703125" style="398" bestFit="1" customWidth="1"/>
    <col min="25" max="25" width="10.7109375" style="398" bestFit="1" customWidth="1"/>
    <col min="26" max="26" width="9.5703125" style="398" bestFit="1" customWidth="1"/>
    <col min="27" max="27" width="10.5703125" style="398" bestFit="1" customWidth="1"/>
    <col min="28" max="16384" width="9.140625" style="398"/>
  </cols>
  <sheetData>
    <row r="3" spans="1:24">
      <c r="A3" s="404" t="s">
        <v>543</v>
      </c>
      <c r="B3" s="1337"/>
      <c r="C3" s="1339" t="s">
        <v>544</v>
      </c>
      <c r="D3" s="1339" t="s">
        <v>545</v>
      </c>
      <c r="E3" s="1339" t="s">
        <v>546</v>
      </c>
      <c r="F3" s="1339" t="s">
        <v>547</v>
      </c>
      <c r="G3" s="1339" t="s">
        <v>548</v>
      </c>
      <c r="H3" s="1339" t="s">
        <v>549</v>
      </c>
      <c r="I3" s="1339" t="s">
        <v>482</v>
      </c>
      <c r="J3" s="1339" t="s">
        <v>483</v>
      </c>
      <c r="K3" s="1339" t="s">
        <v>550</v>
      </c>
      <c r="L3" s="1339" t="s">
        <v>611</v>
      </c>
      <c r="M3" s="1339" t="s">
        <v>630</v>
      </c>
      <c r="N3" s="1339" t="s">
        <v>551</v>
      </c>
      <c r="O3" s="1339" t="s">
        <v>552</v>
      </c>
      <c r="P3" s="1339" t="s">
        <v>553</v>
      </c>
      <c r="Q3" s="1339" t="s">
        <v>624</v>
      </c>
      <c r="R3" s="1339" t="s">
        <v>629</v>
      </c>
      <c r="S3" s="1339" t="s">
        <v>695</v>
      </c>
      <c r="T3" s="1339" t="s">
        <v>709</v>
      </c>
      <c r="U3" s="1339" t="s">
        <v>708</v>
      </c>
      <c r="V3" s="1338"/>
    </row>
    <row r="4" spans="1:24">
      <c r="A4" s="1088" t="s">
        <v>230</v>
      </c>
      <c r="C4" s="606" t="s">
        <v>143</v>
      </c>
      <c r="D4" s="606" t="s">
        <v>143</v>
      </c>
      <c r="E4" s="606" t="s">
        <v>143</v>
      </c>
      <c r="F4" s="606" t="s">
        <v>143</v>
      </c>
      <c r="G4" s="606" t="s">
        <v>143</v>
      </c>
      <c r="H4" s="606" t="s">
        <v>143</v>
      </c>
      <c r="I4" s="606" t="s">
        <v>143</v>
      </c>
      <c r="J4" s="606" t="s">
        <v>143</v>
      </c>
      <c r="K4" s="606" t="s">
        <v>143</v>
      </c>
      <c r="L4" s="606" t="s">
        <v>143</v>
      </c>
      <c r="M4" s="606" t="s">
        <v>143</v>
      </c>
      <c r="N4" s="606" t="s">
        <v>143</v>
      </c>
      <c r="O4" s="606" t="s">
        <v>143</v>
      </c>
      <c r="P4" s="606" t="s">
        <v>143</v>
      </c>
      <c r="Q4" s="606" t="s">
        <v>143</v>
      </c>
      <c r="R4" s="606" t="s">
        <v>143</v>
      </c>
      <c r="S4" s="606" t="s">
        <v>143</v>
      </c>
      <c r="T4" s="606" t="s">
        <v>143</v>
      </c>
      <c r="U4" s="606" t="s">
        <v>143</v>
      </c>
      <c r="V4" s="606"/>
    </row>
    <row r="6" spans="1:24">
      <c r="A6" s="1320" t="s">
        <v>231</v>
      </c>
      <c r="C6" s="1321">
        <f>'yrP&amp;L'!S7</f>
        <v>18096</v>
      </c>
      <c r="D6" s="1321">
        <f>'yrP&amp;L'!T7</f>
        <v>18781.083999999999</v>
      </c>
      <c r="E6" s="1321">
        <f>'yrP&amp;L'!U7</f>
        <v>19905.088</v>
      </c>
      <c r="F6" s="1321">
        <f>'yrP&amp;L'!V7</f>
        <v>19857</v>
      </c>
      <c r="G6" s="1321">
        <f>'yrP&amp;L'!W7</f>
        <v>18486.532478705889</v>
      </c>
      <c r="H6" s="1321">
        <f>'yrP&amp;L'!X7</f>
        <v>17559.479531695368</v>
      </c>
      <c r="I6" s="1321">
        <f>'yrP&amp;L'!Y7</f>
        <v>17759</v>
      </c>
      <c r="J6" s="1321">
        <f>'yrP&amp;L'!Z7</f>
        <v>17260</v>
      </c>
      <c r="K6" s="1321">
        <f>'yrP&amp;L'!AA7</f>
        <v>12985</v>
      </c>
      <c r="L6" s="1321">
        <f>'yrP&amp;L'!AB7</f>
        <v>11859</v>
      </c>
      <c r="M6" s="1321">
        <f>'yrP&amp;L'!AC7</f>
        <v>12257</v>
      </c>
      <c r="N6" s="1321">
        <f>'yrP&amp;L'!AD7</f>
        <v>12625</v>
      </c>
      <c r="O6" s="1321">
        <f>'yrP&amp;L'!AE7</f>
        <v>12547</v>
      </c>
      <c r="P6" s="1321">
        <f>'yrP&amp;L'!AF7</f>
        <v>12506</v>
      </c>
      <c r="Q6" s="1321">
        <f>'yrP&amp;L'!AG7</f>
        <v>12054.056</v>
      </c>
      <c r="R6" s="1321">
        <f>'yrP&amp;L'!AH7</f>
        <v>11725.464803815385</v>
      </c>
      <c r="S6" s="1321">
        <f>'yrP&amp;L'!AI7</f>
        <v>11327.560385207391</v>
      </c>
      <c r="T6" s="1321">
        <f>'yrP&amp;L'!AJ7</f>
        <v>10860.185527968701</v>
      </c>
      <c r="U6" s="1321">
        <f>'yrP&amp;L'!AK7</f>
        <v>10282.217070467816</v>
      </c>
      <c r="V6" s="1321"/>
    </row>
    <row r="7" spans="1:24" hidden="1" outlineLevel="1">
      <c r="A7" s="1320"/>
      <c r="C7" s="1322"/>
      <c r="D7" s="1322"/>
      <c r="E7" s="1322"/>
      <c r="F7" s="1322"/>
      <c r="G7" s="1322"/>
      <c r="H7" s="1322"/>
      <c r="I7" s="1322"/>
      <c r="J7" s="1322"/>
      <c r="K7" s="1322"/>
      <c r="L7" s="1322"/>
      <c r="M7" s="1322"/>
    </row>
    <row r="8" spans="1:24" hidden="1" outlineLevel="1">
      <c r="A8" s="1320" t="s">
        <v>232</v>
      </c>
      <c r="C8" s="1321">
        <f>'yrP&amp;L'!S11</f>
        <v>11322</v>
      </c>
      <c r="D8" s="1321">
        <f>'yrP&amp;L'!T11</f>
        <v>11591</v>
      </c>
      <c r="E8" s="1321">
        <f>'yrP&amp;L'!U11</f>
        <v>12094.088</v>
      </c>
      <c r="F8" s="1321">
        <f>'yrP&amp;L'!V11</f>
        <v>12195.93</v>
      </c>
      <c r="G8" s="1321">
        <f>'yrP&amp;L'!W11</f>
        <v>11570.472978705891</v>
      </c>
      <c r="H8" s="1321">
        <f>'yrP&amp;L'!X11</f>
        <v>10649.479531695368</v>
      </c>
      <c r="I8" s="1321">
        <f>'yrP&amp;L'!Y11</f>
        <v>10799</v>
      </c>
      <c r="J8" s="1321">
        <f>'yrP&amp;L'!Z11</f>
        <v>10835</v>
      </c>
      <c r="K8" s="1321">
        <f>'yrP&amp;L'!AA11</f>
        <v>8866</v>
      </c>
      <c r="L8" s="1321">
        <f>'yrP&amp;L'!AB11</f>
        <v>8367</v>
      </c>
      <c r="M8" s="1321">
        <f>'yrP&amp;L'!AC11</f>
        <v>7996</v>
      </c>
      <c r="N8" s="1321">
        <f>'yrP&amp;L'!AD11</f>
        <v>8074</v>
      </c>
      <c r="O8" s="1321">
        <f>'yrP&amp;L'!AE11</f>
        <v>8071</v>
      </c>
      <c r="P8" s="1321">
        <f>'yrP&amp;L'!AF11</f>
        <v>8174</v>
      </c>
      <c r="Q8" s="1321">
        <f>'yrP&amp;L'!AG11</f>
        <v>7801.4506640000018</v>
      </c>
      <c r="R8" s="1321">
        <f>'yrP&amp;L'!AH11</f>
        <v>7599.2737393527505</v>
      </c>
      <c r="S8" s="1321">
        <f>'yrP&amp;L'!AI11</f>
        <v>7353.8522020766386</v>
      </c>
      <c r="T8" s="1321">
        <f>'yrP&amp;L'!AJ11</f>
        <v>7071.0667972604215</v>
      </c>
      <c r="U8" s="1321">
        <f>'yrP&amp;L'!AK11</f>
        <v>6718.4006338436702</v>
      </c>
      <c r="V8" s="1321"/>
    </row>
    <row r="9" spans="1:24" hidden="1" outlineLevel="1">
      <c r="A9" s="1320"/>
      <c r="C9" s="1322"/>
      <c r="D9" s="1322"/>
      <c r="E9" s="1322"/>
      <c r="F9" s="1322"/>
      <c r="G9" s="1322"/>
      <c r="H9" s="1322"/>
      <c r="I9" s="1322"/>
      <c r="J9" s="1322"/>
      <c r="K9" s="1322"/>
      <c r="L9" s="1322"/>
      <c r="M9" s="1322"/>
    </row>
    <row r="10" spans="1:24" collapsed="1">
      <c r="A10" s="1320" t="s">
        <v>233</v>
      </c>
      <c r="C10" s="1321">
        <f t="shared" ref="C10:N10" si="0">C6-C8</f>
        <v>6774</v>
      </c>
      <c r="D10" s="1321">
        <f t="shared" si="0"/>
        <v>7190.0839999999989</v>
      </c>
      <c r="E10" s="1321">
        <f t="shared" si="0"/>
        <v>7811</v>
      </c>
      <c r="F10" s="1321">
        <f t="shared" si="0"/>
        <v>7661.07</v>
      </c>
      <c r="G10" s="1321">
        <f t="shared" si="0"/>
        <v>6916.0594999999976</v>
      </c>
      <c r="H10" s="1321">
        <f t="shared" si="0"/>
        <v>6910</v>
      </c>
      <c r="I10" s="1321">
        <f t="shared" si="0"/>
        <v>6960</v>
      </c>
      <c r="J10" s="1321">
        <f t="shared" si="0"/>
        <v>6425</v>
      </c>
      <c r="K10" s="1321">
        <f>K6-K8</f>
        <v>4119</v>
      </c>
      <c r="L10" s="1321">
        <f t="shared" si="0"/>
        <v>3492</v>
      </c>
      <c r="M10" s="1321">
        <f t="shared" si="0"/>
        <v>4261</v>
      </c>
      <c r="N10" s="1321">
        <f t="shared" si="0"/>
        <v>4551</v>
      </c>
      <c r="O10" s="1321">
        <f t="shared" ref="O10:Q10" si="1">O6-O8</f>
        <v>4476</v>
      </c>
      <c r="P10" s="1321">
        <f t="shared" si="1"/>
        <v>4332</v>
      </c>
      <c r="Q10" s="1321">
        <f t="shared" si="1"/>
        <v>4252.6053359999987</v>
      </c>
      <c r="R10" s="1321">
        <f t="shared" ref="R10:T10" si="2">R6-R8</f>
        <v>4126.1910644626341</v>
      </c>
      <c r="S10" s="1321">
        <f t="shared" si="2"/>
        <v>3973.7081831307523</v>
      </c>
      <c r="T10" s="1321">
        <f t="shared" si="2"/>
        <v>3789.1187307082791</v>
      </c>
      <c r="U10" s="1321">
        <f t="shared" ref="U10" si="3">U6-U8</f>
        <v>3563.8164366241454</v>
      </c>
      <c r="V10" s="1321"/>
    </row>
    <row r="11" spans="1:24">
      <c r="A11" s="1320" t="s">
        <v>458</v>
      </c>
      <c r="C11" s="1322">
        <f>'yrP&amp;L'!S36</f>
        <v>5505</v>
      </c>
      <c r="D11" s="1322">
        <f>'yrP&amp;L'!T36</f>
        <v>5614</v>
      </c>
      <c r="E11" s="1322">
        <f>'yrP&amp;L'!U36</f>
        <v>5937</v>
      </c>
      <c r="F11" s="1322">
        <f>'yrP&amp;L'!V36</f>
        <v>5829</v>
      </c>
      <c r="G11" s="1322">
        <f>'yrP&amp;L'!W36</f>
        <v>5805</v>
      </c>
      <c r="H11" s="1322">
        <f>'yrP&amp;L'!X36</f>
        <v>6242</v>
      </c>
      <c r="I11" s="1322">
        <f>'yrP&amp;L'!Y36</f>
        <v>6124</v>
      </c>
      <c r="J11" s="1322">
        <f>'yrP&amp;L'!Z36</f>
        <v>5748</v>
      </c>
      <c r="K11" s="1322">
        <f>'yrP&amp;L'!AA36</f>
        <v>5402</v>
      </c>
      <c r="L11" s="1322">
        <f>'yrP&amp;L'!AB36</f>
        <v>4852</v>
      </c>
      <c r="M11" s="1322">
        <f>'yrP&amp;L'!AC36</f>
        <v>4630</v>
      </c>
      <c r="N11" s="1322">
        <f>'yrP&amp;L'!AD36</f>
        <v>4613.75</v>
      </c>
      <c r="O11" s="1322">
        <f>'yrP&amp;L'!AE36</f>
        <v>4166</v>
      </c>
      <c r="P11" s="1322">
        <f>'yrP&amp;L'!AF36</f>
        <v>4057</v>
      </c>
      <c r="Q11" s="1322">
        <f>'yrP&amp;L'!AG36</f>
        <v>3973.2849999999999</v>
      </c>
      <c r="R11" s="1322">
        <f>'yrP&amp;L'!AH36</f>
        <v>3861.3922064558892</v>
      </c>
      <c r="S11" s="1322">
        <f>'yrP&amp;L'!AI36</f>
        <v>3734.6699798779359</v>
      </c>
      <c r="T11" s="1322">
        <f>'yrP&amp;L'!AJ36</f>
        <v>3655.6467235887749</v>
      </c>
      <c r="U11" s="1322">
        <f>'yrP&amp;L'!AK36</f>
        <v>3569.9306889469922</v>
      </c>
      <c r="V11" s="1322"/>
    </row>
    <row r="12" spans="1:24">
      <c r="A12" s="1320" t="s">
        <v>555</v>
      </c>
      <c r="C12" s="1322">
        <f>'yrP&amp;L'!S39</f>
        <v>12</v>
      </c>
      <c r="D12" s="1322">
        <f>'yrP&amp;L'!T39</f>
        <v>-54</v>
      </c>
      <c r="E12" s="1322">
        <f>'yrP&amp;L'!U39</f>
        <v>-34</v>
      </c>
      <c r="F12" s="1322">
        <f>'yrP&amp;L'!V39</f>
        <v>-46</v>
      </c>
      <c r="G12" s="1322">
        <f>'yrP&amp;L'!W39</f>
        <v>-17.809677419354838</v>
      </c>
      <c r="H12" s="1322">
        <f>'yrP&amp;L'!X39</f>
        <v>5</v>
      </c>
      <c r="I12" s="1322">
        <f>'yrP&amp;L'!Y39</f>
        <v>-28</v>
      </c>
      <c r="J12" s="1322">
        <f>'yrP&amp;L'!Z39</f>
        <v>21</v>
      </c>
      <c r="K12" s="1322">
        <f>'yrP&amp;L'!AA39</f>
        <v>73</v>
      </c>
      <c r="L12" s="1322">
        <f>'yrP&amp;L'!AB39</f>
        <v>-155</v>
      </c>
      <c r="M12" s="1322">
        <f>'yrP&amp;L'!AC39</f>
        <v>-148</v>
      </c>
      <c r="N12" s="1322">
        <f>'yrP&amp;L'!AD39</f>
        <v>56</v>
      </c>
      <c r="O12" s="1322">
        <f>'yrP&amp;L'!AE39</f>
        <v>-94</v>
      </c>
      <c r="P12" s="1322">
        <f>'yrP&amp;L'!AF39</f>
        <v>-78</v>
      </c>
      <c r="Q12" s="1322">
        <f>'yrP&amp;L'!AG39</f>
        <v>-60</v>
      </c>
      <c r="R12" s="1322">
        <f>'yrP&amp;L'!AH39</f>
        <v>0</v>
      </c>
      <c r="S12" s="1322">
        <f>'yrP&amp;L'!AI39</f>
        <v>0</v>
      </c>
      <c r="T12" s="1322">
        <f>'yrP&amp;L'!AJ39</f>
        <v>0</v>
      </c>
      <c r="U12" s="1322">
        <f>'yrP&amp;L'!AK39</f>
        <v>0</v>
      </c>
      <c r="V12" s="1322"/>
    </row>
    <row r="13" spans="1:24">
      <c r="A13" s="1323" t="s">
        <v>235</v>
      </c>
      <c r="C13" s="1321">
        <f>C10-C11-C12</f>
        <v>1257</v>
      </c>
      <c r="D13" s="1321">
        <f t="shared" ref="D13:N13" si="4">D10-D11-D12</f>
        <v>1630.0839999999989</v>
      </c>
      <c r="E13" s="1321">
        <f t="shared" si="4"/>
        <v>1908</v>
      </c>
      <c r="F13" s="1321">
        <f t="shared" si="4"/>
        <v>1878.0699999999997</v>
      </c>
      <c r="G13" s="1321">
        <f t="shared" si="4"/>
        <v>1128.8691774193524</v>
      </c>
      <c r="H13" s="1321">
        <f t="shared" si="4"/>
        <v>663</v>
      </c>
      <c r="I13" s="1321">
        <f t="shared" si="4"/>
        <v>864</v>
      </c>
      <c r="J13" s="1321">
        <f t="shared" si="4"/>
        <v>656</v>
      </c>
      <c r="K13" s="1321">
        <f t="shared" si="4"/>
        <v>-1356</v>
      </c>
      <c r="L13" s="1321">
        <f t="shared" si="4"/>
        <v>-1205</v>
      </c>
      <c r="M13" s="1321">
        <f t="shared" si="4"/>
        <v>-221</v>
      </c>
      <c r="N13" s="1321">
        <f t="shared" si="4"/>
        <v>-118.75</v>
      </c>
      <c r="O13" s="1321">
        <f t="shared" ref="O13:Q13" si="5">O10-O11-O12</f>
        <v>404</v>
      </c>
      <c r="P13" s="1321">
        <f t="shared" si="5"/>
        <v>353</v>
      </c>
      <c r="Q13" s="1321">
        <f t="shared" si="5"/>
        <v>339.32033599999886</v>
      </c>
      <c r="R13" s="1321">
        <f t="shared" ref="R13:T13" si="6">R10-R11-R12</f>
        <v>264.79885800674492</v>
      </c>
      <c r="S13" s="1321">
        <f t="shared" si="6"/>
        <v>239.0382032528164</v>
      </c>
      <c r="T13" s="1321">
        <f t="shared" si="6"/>
        <v>133.47200711950427</v>
      </c>
      <c r="U13" s="1321">
        <f t="shared" ref="U13" si="7">U10-U11-U12</f>
        <v>-6.1142523228468235</v>
      </c>
      <c r="V13" s="1321"/>
    </row>
    <row r="14" spans="1:24" hidden="1" outlineLevel="1">
      <c r="A14" s="1320"/>
      <c r="C14" s="1322"/>
      <c r="D14" s="1322"/>
      <c r="E14" s="1322"/>
      <c r="F14" s="1322"/>
      <c r="G14" s="1322"/>
      <c r="H14" s="1322"/>
      <c r="I14" s="1322"/>
      <c r="J14" s="1322"/>
      <c r="K14" s="1322"/>
      <c r="L14" s="1322"/>
      <c r="M14" s="1322"/>
      <c r="X14" s="398" t="s">
        <v>694</v>
      </c>
    </row>
    <row r="15" spans="1:24" hidden="1" outlineLevel="1">
      <c r="A15" s="1320" t="s">
        <v>554</v>
      </c>
      <c r="C15" s="1322">
        <f>'yrP&amp;L'!S47</f>
        <v>223</v>
      </c>
      <c r="D15" s="1322">
        <f>'yrP&amp;L'!T47</f>
        <v>169</v>
      </c>
      <c r="E15" s="1322">
        <f>'yrP&amp;L'!U47</f>
        <v>130</v>
      </c>
      <c r="F15" s="1322">
        <f>'yrP&amp;L'!V47</f>
        <v>153</v>
      </c>
      <c r="G15" s="1322">
        <f>'yrP&amp;L'!W47</f>
        <v>225</v>
      </c>
      <c r="H15" s="1322">
        <f>'yrP&amp;L'!X47</f>
        <v>260</v>
      </c>
      <c r="I15" s="1322">
        <f>'yrP&amp;L'!Y47</f>
        <v>231</v>
      </c>
      <c r="J15" s="1322">
        <f>'yrP&amp;L'!Z47</f>
        <v>226.6783730736779</v>
      </c>
      <c r="K15" s="1322">
        <f>'yrP&amp;L'!AA47</f>
        <v>226</v>
      </c>
      <c r="L15" s="1322">
        <f>'yrP&amp;L'!AB47</f>
        <v>352</v>
      </c>
      <c r="M15" s="1322">
        <f>'yrP&amp;L'!AC47</f>
        <v>406</v>
      </c>
      <c r="N15" s="1322">
        <f>'yrP&amp;L'!AD47</f>
        <v>405</v>
      </c>
      <c r="O15" s="1322">
        <f>'yrP&amp;L'!AE47</f>
        <v>363</v>
      </c>
      <c r="P15" s="1322">
        <f>'yrP&amp;L'!AF47</f>
        <v>325</v>
      </c>
      <c r="Q15" s="1322">
        <f>'yrP&amp;L'!AG47</f>
        <v>300</v>
      </c>
      <c r="R15" s="1322">
        <f>'yrP&amp;L'!AH47</f>
        <v>280</v>
      </c>
      <c r="S15" s="1322">
        <f>'yrP&amp;L'!AI47</f>
        <v>270</v>
      </c>
      <c r="T15" s="1322">
        <f>'yrP&amp;L'!AJ47</f>
        <v>260</v>
      </c>
      <c r="U15" s="1322">
        <f>'yrP&amp;L'!AK47</f>
        <v>248</v>
      </c>
      <c r="V15" s="1322"/>
    </row>
    <row r="16" spans="1:24" hidden="1" outlineLevel="1">
      <c r="A16" s="1320" t="s">
        <v>556</v>
      </c>
      <c r="C16" s="1322">
        <f>'yrP&amp;L'!S50</f>
        <v>29</v>
      </c>
      <c r="D16" s="1322">
        <f>'yrP&amp;L'!T50</f>
        <v>17</v>
      </c>
      <c r="E16" s="1322">
        <f>'yrP&amp;L'!U50</f>
        <v>-16</v>
      </c>
      <c r="F16" s="1322">
        <f>'yrP&amp;L'!V50</f>
        <v>5</v>
      </c>
      <c r="G16" s="1322">
        <f>'yrP&amp;L'!W50</f>
        <v>1</v>
      </c>
      <c r="H16" s="1322">
        <f>'yrP&amp;L'!X50</f>
        <v>0</v>
      </c>
      <c r="I16" s="1322">
        <f>'yrP&amp;L'!Y50</f>
        <v>20</v>
      </c>
      <c r="J16" s="1322">
        <f>'yrP&amp;L'!Z50</f>
        <v>658</v>
      </c>
      <c r="K16" s="1322">
        <f>'yrP&amp;L'!AA50</f>
        <v>-46</v>
      </c>
      <c r="L16" s="1322">
        <f>'yrP&amp;L'!AB50</f>
        <v>329</v>
      </c>
      <c r="M16" s="1322">
        <f>'yrP&amp;L'!AC50</f>
        <v>121</v>
      </c>
      <c r="N16" s="1322">
        <f>'yrP&amp;L'!AD50</f>
        <v>41</v>
      </c>
      <c r="O16" s="1322">
        <f>'yrP&amp;L'!AE50</f>
        <v>39</v>
      </c>
      <c r="P16" s="1322">
        <f>'yrP&amp;L'!AF50</f>
        <v>41</v>
      </c>
      <c r="Q16" s="1322">
        <f>'yrP&amp;L'!AG50</f>
        <v>0</v>
      </c>
      <c r="R16" s="1322">
        <f>'yrP&amp;L'!AH50</f>
        <v>0</v>
      </c>
      <c r="S16" s="1322">
        <f>'yrP&amp;L'!AI50</f>
        <v>0</v>
      </c>
      <c r="T16" s="1322">
        <f>'yrP&amp;L'!AJ50</f>
        <v>0</v>
      </c>
      <c r="U16" s="1322">
        <f>'yrP&amp;L'!AK50</f>
        <v>0</v>
      </c>
      <c r="V16" s="1322"/>
    </row>
    <row r="17" spans="1:27" hidden="1" outlineLevel="1">
      <c r="A17" s="1323" t="s">
        <v>236</v>
      </c>
      <c r="C17" s="1321">
        <f>C13-C15-C16</f>
        <v>1005</v>
      </c>
      <c r="D17" s="1321">
        <f t="shared" ref="D17:N17" si="8">D13-D15-D16</f>
        <v>1444.0839999999989</v>
      </c>
      <c r="E17" s="1321">
        <f t="shared" si="8"/>
        <v>1794</v>
      </c>
      <c r="F17" s="1321">
        <f t="shared" si="8"/>
        <v>1720.0699999999997</v>
      </c>
      <c r="G17" s="1321">
        <f t="shared" si="8"/>
        <v>902.86917741935235</v>
      </c>
      <c r="H17" s="1321">
        <f t="shared" si="8"/>
        <v>403</v>
      </c>
      <c r="I17" s="1321">
        <f t="shared" si="8"/>
        <v>613</v>
      </c>
      <c r="J17" s="1321">
        <f t="shared" si="8"/>
        <v>-228.6783730736779</v>
      </c>
      <c r="K17" s="1321">
        <f t="shared" si="8"/>
        <v>-1536</v>
      </c>
      <c r="L17" s="1321">
        <f t="shared" si="8"/>
        <v>-1886</v>
      </c>
      <c r="M17" s="1321">
        <f t="shared" si="8"/>
        <v>-748</v>
      </c>
      <c r="N17" s="1321">
        <f t="shared" si="8"/>
        <v>-564.75</v>
      </c>
      <c r="O17" s="1321">
        <f t="shared" ref="O17:Q17" si="9">O13-O15-O16</f>
        <v>2</v>
      </c>
      <c r="P17" s="1321">
        <f t="shared" si="9"/>
        <v>-13</v>
      </c>
      <c r="Q17" s="1321">
        <f t="shared" si="9"/>
        <v>39.320335999998861</v>
      </c>
      <c r="R17" s="1321">
        <f t="shared" ref="R17:T17" si="10">R13-R15-R16</f>
        <v>-15.201141993255078</v>
      </c>
      <c r="S17" s="1321">
        <f t="shared" si="10"/>
        <v>-30.961796747183598</v>
      </c>
      <c r="T17" s="1321">
        <f t="shared" si="10"/>
        <v>-126.52799288049573</v>
      </c>
      <c r="U17" s="1321">
        <f t="shared" ref="U17" si="11">U13-U15-U16</f>
        <v>-254.11425232284682</v>
      </c>
      <c r="V17" s="1321"/>
      <c r="Z17" s="1324"/>
      <c r="AA17" s="1325"/>
    </row>
    <row r="18" spans="1:27" hidden="1" outlineLevel="1">
      <c r="A18" s="1320"/>
      <c r="C18" s="1322"/>
      <c r="D18" s="1322"/>
      <c r="E18" s="1322"/>
      <c r="F18" s="1322"/>
      <c r="G18" s="1322"/>
      <c r="H18" s="1322"/>
      <c r="I18" s="1322"/>
      <c r="J18" s="1322"/>
      <c r="K18" s="1322"/>
      <c r="L18" s="1322"/>
      <c r="M18" s="1322"/>
    </row>
    <row r="19" spans="1:27" collapsed="1">
      <c r="A19" s="1320" t="s">
        <v>237</v>
      </c>
      <c r="C19" s="1322">
        <f>'yrP&amp;L'!S56</f>
        <v>347.63</v>
      </c>
      <c r="D19" s="1322">
        <f>'yrP&amp;L'!T56</f>
        <v>515.96840520446096</v>
      </c>
      <c r="E19" s="1322">
        <f>'yrP&amp;L'!U56</f>
        <v>657.61206896551721</v>
      </c>
      <c r="F19" s="1322">
        <f>'yrP&amp;L'!V56</f>
        <v>650</v>
      </c>
      <c r="G19" s="1322">
        <f>'yrP&amp;L'!W56</f>
        <v>340.27129677419322</v>
      </c>
      <c r="H19" s="1322">
        <f>'yrP&amp;L'!X56</f>
        <v>153.41800000000001</v>
      </c>
      <c r="I19" s="1322">
        <f>'yrP&amp;L'!Y56</f>
        <v>214.52</v>
      </c>
      <c r="J19" s="1322">
        <f>'yrP&amp;L'!Z56</f>
        <v>-77</v>
      </c>
      <c r="K19" s="1322">
        <f>'yrP&amp;L'!AA56</f>
        <v>-551</v>
      </c>
      <c r="L19" s="1322">
        <f>'yrP&amp;L'!AB56</f>
        <v>-498</v>
      </c>
      <c r="M19" s="1322">
        <f>'yrP&amp;L'!AC56</f>
        <v>23</v>
      </c>
      <c r="N19" s="1322">
        <f>'yrP&amp;L'!AD56</f>
        <v>-18</v>
      </c>
      <c r="O19" s="1322">
        <f>'yrP&amp;L'!AE56</f>
        <v>1</v>
      </c>
      <c r="P19" s="1322">
        <f>'yrP&amp;L'!AF56</f>
        <v>-80.680000000000007</v>
      </c>
      <c r="Q19" s="1322">
        <f>'yrP&amp;L'!AG56</f>
        <v>17</v>
      </c>
      <c r="R19" s="1322">
        <f>'yrP&amp;L'!AH56</f>
        <v>0</v>
      </c>
      <c r="S19" s="1322">
        <f>'yrP&amp;L'!AI56</f>
        <v>0</v>
      </c>
      <c r="T19" s="1322">
        <f>'yrP&amp;L'!AJ56</f>
        <v>0</v>
      </c>
      <c r="U19" s="1322">
        <f>'yrP&amp;L'!AK56</f>
        <v>0</v>
      </c>
      <c r="V19" s="1322"/>
    </row>
    <row r="20" spans="1:27" hidden="1" outlineLevel="1">
      <c r="A20" s="1320"/>
      <c r="C20" s="1322"/>
      <c r="D20" s="1322"/>
      <c r="E20" s="1322"/>
      <c r="F20" s="1322"/>
      <c r="G20" s="1322"/>
      <c r="H20" s="1322"/>
      <c r="I20" s="1322"/>
      <c r="J20" s="1322"/>
      <c r="K20" s="1322"/>
      <c r="L20" s="1322"/>
      <c r="M20" s="1322"/>
    </row>
    <row r="21" spans="1:27" hidden="1" outlineLevel="1">
      <c r="A21" s="1320"/>
      <c r="C21" s="1322"/>
      <c r="D21" s="1322"/>
      <c r="E21" s="1322"/>
      <c r="F21" s="1322"/>
      <c r="G21" s="1322"/>
      <c r="H21" s="1322"/>
      <c r="I21" s="1322"/>
      <c r="J21" s="1322"/>
      <c r="K21" s="1322"/>
      <c r="L21" s="1322"/>
      <c r="M21" s="1322"/>
    </row>
    <row r="22" spans="1:27" hidden="1" outlineLevel="1">
      <c r="A22" s="1320"/>
      <c r="C22" s="1322"/>
      <c r="D22" s="1322"/>
      <c r="E22" s="1322"/>
      <c r="F22" s="1322"/>
      <c r="G22" s="1322"/>
      <c r="H22" s="1322"/>
      <c r="I22" s="1322"/>
      <c r="J22" s="1322"/>
      <c r="K22" s="1322"/>
      <c r="L22" s="1322"/>
      <c r="M22" s="1322"/>
    </row>
    <row r="23" spans="1:27" hidden="1" outlineLevel="1">
      <c r="A23" s="1320" t="s">
        <v>238</v>
      </c>
      <c r="C23" s="1321">
        <f>C17-C19</f>
        <v>657.37</v>
      </c>
      <c r="D23" s="1321">
        <f t="shared" ref="D23:N23" si="12">D17-D19</f>
        <v>928.11559479553796</v>
      </c>
      <c r="E23" s="1321">
        <f t="shared" si="12"/>
        <v>1136.3879310344828</v>
      </c>
      <c r="F23" s="1321">
        <f t="shared" si="12"/>
        <v>1070.0699999999997</v>
      </c>
      <c r="G23" s="1321">
        <f t="shared" si="12"/>
        <v>562.59788064515919</v>
      </c>
      <c r="H23" s="1321">
        <f t="shared" si="12"/>
        <v>249.58199999999999</v>
      </c>
      <c r="I23" s="1321">
        <f t="shared" si="12"/>
        <v>398.48</v>
      </c>
      <c r="J23" s="1321">
        <f>J17-J19</f>
        <v>-151.6783730736779</v>
      </c>
      <c r="K23" s="1321">
        <f>K17-K19</f>
        <v>-985</v>
      </c>
      <c r="L23" s="1321">
        <f t="shared" si="12"/>
        <v>-1388</v>
      </c>
      <c r="M23" s="1321">
        <f t="shared" si="12"/>
        <v>-771</v>
      </c>
      <c r="N23" s="1321">
        <f t="shared" si="12"/>
        <v>-546.75</v>
      </c>
      <c r="O23" s="1321">
        <f t="shared" ref="O23:Q23" si="13">O17-O19</f>
        <v>1</v>
      </c>
      <c r="P23" s="1321">
        <f t="shared" si="13"/>
        <v>67.680000000000007</v>
      </c>
      <c r="Q23" s="1321">
        <f t="shared" si="13"/>
        <v>22.320335999998861</v>
      </c>
      <c r="R23" s="1321">
        <f t="shared" ref="R23:T23" si="14">R17-R19</f>
        <v>-15.201141993255078</v>
      </c>
      <c r="S23" s="1321">
        <f t="shared" si="14"/>
        <v>-30.961796747183598</v>
      </c>
      <c r="T23" s="1321">
        <f t="shared" si="14"/>
        <v>-126.52799288049573</v>
      </c>
      <c r="U23" s="1321">
        <f t="shared" ref="U23" si="15">U17-U19</f>
        <v>-254.11425232284682</v>
      </c>
      <c r="V23" s="1321"/>
    </row>
    <row r="24" spans="1:27" hidden="1" outlineLevel="1">
      <c r="A24" s="1320"/>
      <c r="C24" s="1322"/>
      <c r="D24" s="1322"/>
      <c r="E24" s="1322"/>
      <c r="F24" s="1322"/>
      <c r="G24" s="1322"/>
      <c r="H24" s="1322"/>
      <c r="I24" s="1322"/>
      <c r="J24" s="1322"/>
      <c r="K24" s="1322"/>
      <c r="L24" s="1322"/>
      <c r="M24" s="1322"/>
    </row>
    <row r="25" spans="1:27" collapsed="1">
      <c r="A25" s="952" t="s">
        <v>242</v>
      </c>
      <c r="B25" s="952"/>
      <c r="C25" s="1319">
        <f t="shared" ref="C25:L25" si="16">C23/C26</f>
        <v>2.173662891626023</v>
      </c>
      <c r="D25" s="1319">
        <f t="shared" si="16"/>
        <v>3.6339686562080575</v>
      </c>
      <c r="E25" s="1319">
        <f t="shared" si="16"/>
        <v>4.894004870949539</v>
      </c>
      <c r="F25" s="1319">
        <f t="shared" si="16"/>
        <v>4.7521705340290872</v>
      </c>
      <c r="G25" s="1319">
        <f t="shared" si="16"/>
        <v>2.5242754039042476</v>
      </c>
      <c r="H25" s="1319">
        <f t="shared" si="16"/>
        <v>1.0718574189392314</v>
      </c>
      <c r="I25" s="1319">
        <f t="shared" si="16"/>
        <v>1.6742857142857144</v>
      </c>
      <c r="J25" s="1319">
        <f t="shared" si="16"/>
        <v>-0.69769260843458092</v>
      </c>
      <c r="K25" s="1319">
        <f>K23/K26</f>
        <v>-4.4936131386861318</v>
      </c>
      <c r="L25" s="1319">
        <f t="shared" si="16"/>
        <v>-5.5675892498997186</v>
      </c>
      <c r="M25" s="1319">
        <f>M23/M26</f>
        <v>-2.5262123197903015</v>
      </c>
      <c r="N25" s="1319">
        <f>N23/N26</f>
        <v>-1.7873488067996079</v>
      </c>
      <c r="O25" s="1319">
        <f t="shared" ref="O25:Q25" si="17">O23/O26</f>
        <v>3.1948881789137379E-3</v>
      </c>
      <c r="P25" s="1319">
        <f t="shared" si="17"/>
        <v>0.21755062680810031</v>
      </c>
      <c r="Q25" s="1319">
        <f t="shared" si="17"/>
        <v>7.0948302606480801E-2</v>
      </c>
      <c r="R25" s="1319">
        <f t="shared" ref="R25" si="18">R23/R26</f>
        <v>-4.8318951027511367E-2</v>
      </c>
      <c r="S25" s="1319">
        <f t="shared" ref="S25:T25" si="19">S23/S26</f>
        <v>-9.8416391440507303E-2</v>
      </c>
      <c r="T25" s="1319">
        <f t="shared" si="19"/>
        <v>-0.40218688137474801</v>
      </c>
      <c r="U25" s="1319">
        <f t="shared" ref="U25" si="20">U23/U26</f>
        <v>-0.80773761068927785</v>
      </c>
      <c r="V25" s="1451"/>
    </row>
    <row r="26" spans="1:27">
      <c r="A26" s="1320" t="s">
        <v>240</v>
      </c>
      <c r="C26" s="1322">
        <f>'yrP&amp;L'!S78</f>
        <v>302.42500000000001</v>
      </c>
      <c r="D26" s="1322">
        <f>'yrP&amp;L'!T78</f>
        <v>255.4</v>
      </c>
      <c r="E26" s="1322">
        <f>'yrP&amp;L'!U78</f>
        <v>232.2</v>
      </c>
      <c r="F26" s="1322">
        <f>'yrP&amp;L'!V78</f>
        <v>225.17500000000001</v>
      </c>
      <c r="G26" s="1322">
        <f>'yrP&amp;L'!W78</f>
        <v>222.875</v>
      </c>
      <c r="H26" s="1322">
        <f>'yrP&amp;L'!X78</f>
        <v>232.85</v>
      </c>
      <c r="I26" s="1322">
        <f>'yrP&amp;L'!Y78</f>
        <v>238</v>
      </c>
      <c r="J26" s="1322">
        <f>'yrP&amp;L'!Z78</f>
        <v>217.4</v>
      </c>
      <c r="K26" s="1322">
        <f>'yrP&amp;L'!AA78</f>
        <v>219.2</v>
      </c>
      <c r="L26" s="1322">
        <f>'yrP&amp;L'!AB78</f>
        <v>249.3</v>
      </c>
      <c r="M26" s="1322">
        <f>'yrP&amp;L'!AC78</f>
        <v>305.2</v>
      </c>
      <c r="N26" s="1322">
        <f>'yrP&amp;L'!AD78</f>
        <v>305.89999999999998</v>
      </c>
      <c r="O26" s="1322">
        <f>'yrP&amp;L'!AE78</f>
        <v>313</v>
      </c>
      <c r="P26" s="1322">
        <f>'yrP&amp;L'!AF78</f>
        <v>311.10000000000002</v>
      </c>
      <c r="Q26" s="1322">
        <f>'yrP&amp;L'!AG78</f>
        <v>314.60000000000002</v>
      </c>
      <c r="R26" s="1322">
        <f>'yrP&amp;L'!AH78</f>
        <v>314.60000000000002</v>
      </c>
      <c r="S26" s="1322">
        <f>'yrP&amp;L'!AI78</f>
        <v>314.60000000000002</v>
      </c>
      <c r="T26" s="1322">
        <f>'yrP&amp;L'!AJ78</f>
        <v>314.60000000000002</v>
      </c>
      <c r="U26" s="1322">
        <f>'yrP&amp;L'!AK78</f>
        <v>314.60000000000002</v>
      </c>
      <c r="V26" s="1322"/>
    </row>
    <row r="27" spans="1:27" outlineLevel="1">
      <c r="A27" s="1320"/>
      <c r="C27" s="1322"/>
      <c r="D27" s="1322"/>
      <c r="E27" s="1322"/>
      <c r="F27" s="1322"/>
      <c r="G27" s="1322"/>
      <c r="H27" s="1322"/>
      <c r="I27" s="1322"/>
      <c r="J27" s="1322"/>
      <c r="K27" s="1322"/>
      <c r="L27" s="1322"/>
      <c r="M27" s="1322"/>
    </row>
    <row r="28" spans="1:27" outlineLevel="1">
      <c r="A28" s="1320" t="s">
        <v>486</v>
      </c>
      <c r="C28" s="1322">
        <f>'yrP&amp;L'!S31</f>
        <v>359</v>
      </c>
      <c r="D28" s="1322">
        <f>'yrP&amp;L'!T31</f>
        <v>372</v>
      </c>
      <c r="E28" s="1322">
        <f>'yrP&amp;L'!U31</f>
        <v>389</v>
      </c>
      <c r="F28" s="1322">
        <f>'yrP&amp;L'!V31</f>
        <v>426</v>
      </c>
      <c r="G28" s="1322">
        <f>'yrP&amp;L'!W31</f>
        <v>469</v>
      </c>
      <c r="H28" s="1322">
        <f>'yrP&amp;L'!X31</f>
        <v>495</v>
      </c>
      <c r="I28" s="1322">
        <f>'yrP&amp;L'!Y31</f>
        <v>511</v>
      </c>
      <c r="J28" s="1322">
        <f>'yrP&amp;L'!Z31</f>
        <v>518</v>
      </c>
      <c r="K28" s="1322">
        <f>'yrP&amp;L'!AA31</f>
        <v>543</v>
      </c>
      <c r="L28" s="1322">
        <f>'yrP&amp;L'!AB31</f>
        <v>601</v>
      </c>
      <c r="M28" s="1322">
        <f>'yrP&amp;L'!AC31</f>
        <v>631</v>
      </c>
      <c r="N28" s="1322">
        <f>'yrP&amp;L'!AD31</f>
        <v>616</v>
      </c>
      <c r="O28" s="1322">
        <f>'yrP&amp;L'!AE31</f>
        <v>609</v>
      </c>
      <c r="P28" s="1322">
        <f>'yrP&amp;L'!AF31</f>
        <v>570</v>
      </c>
      <c r="Q28" s="1322">
        <f>'yrP&amp;L'!AG31</f>
        <v>549</v>
      </c>
      <c r="R28" s="1322">
        <f>'yrP&amp;L'!AH31</f>
        <v>540.54392745588927</v>
      </c>
      <c r="S28" s="1322">
        <f>'yrP&amp;L'!AI31</f>
        <v>515.40399752693622</v>
      </c>
      <c r="T28" s="1322">
        <f>'yrP&amp;L'!AJ31</f>
        <v>499.56853428656024</v>
      </c>
      <c r="U28" s="1322">
        <f>'yrP&amp;L'!AK31</f>
        <v>472.98198524151951</v>
      </c>
      <c r="V28" s="1322"/>
    </row>
    <row r="29" spans="1:27" outlineLevel="1">
      <c r="A29" s="1320" t="s">
        <v>245</v>
      </c>
      <c r="C29" s="1321">
        <f>C13+C28</f>
        <v>1616</v>
      </c>
      <c r="D29" s="1321">
        <f t="shared" ref="D29:N29" si="21">D13+D28</f>
        <v>2002.0839999999989</v>
      </c>
      <c r="E29" s="1321">
        <f t="shared" si="21"/>
        <v>2297</v>
      </c>
      <c r="F29" s="1321">
        <f t="shared" si="21"/>
        <v>2304.0699999999997</v>
      </c>
      <c r="G29" s="1321">
        <f t="shared" si="21"/>
        <v>1597.8691774193524</v>
      </c>
      <c r="H29" s="1321">
        <f t="shared" si="21"/>
        <v>1158</v>
      </c>
      <c r="I29" s="1321">
        <f t="shared" si="21"/>
        <v>1375</v>
      </c>
      <c r="J29" s="1321">
        <f t="shared" si="21"/>
        <v>1174</v>
      </c>
      <c r="K29" s="1321">
        <f t="shared" si="21"/>
        <v>-813</v>
      </c>
      <c r="L29" s="1321">
        <f t="shared" si="21"/>
        <v>-604</v>
      </c>
      <c r="M29" s="1321">
        <f t="shared" si="21"/>
        <v>410</v>
      </c>
      <c r="N29" s="1321">
        <f t="shared" si="21"/>
        <v>497.25</v>
      </c>
      <c r="O29" s="1321">
        <f t="shared" ref="O29:Q29" si="22">O13+O28</f>
        <v>1013</v>
      </c>
      <c r="P29" s="1321">
        <f t="shared" si="22"/>
        <v>923</v>
      </c>
      <c r="Q29" s="1321">
        <f t="shared" si="22"/>
        <v>888.32033599999886</v>
      </c>
      <c r="R29" s="1321">
        <f t="shared" ref="R29:T29" si="23">R13+R28</f>
        <v>805.3427854626342</v>
      </c>
      <c r="S29" s="1321">
        <f t="shared" si="23"/>
        <v>754.44220077975262</v>
      </c>
      <c r="T29" s="1321">
        <f t="shared" si="23"/>
        <v>633.04054140606445</v>
      </c>
      <c r="U29" s="1321">
        <f t="shared" ref="U29" si="24">U13+U28</f>
        <v>466.86773291867269</v>
      </c>
      <c r="V29" s="1321"/>
      <c r="X29" s="1325"/>
    </row>
    <row r="30" spans="1:27">
      <c r="A30" s="1320"/>
      <c r="C30" s="1322"/>
      <c r="D30" s="1322"/>
      <c r="E30" s="1322"/>
      <c r="F30" s="1322"/>
      <c r="G30" s="1322"/>
      <c r="H30" s="1322"/>
      <c r="I30" s="1322"/>
      <c r="J30" s="1322"/>
      <c r="K30" s="1322"/>
      <c r="L30" s="1322"/>
      <c r="M30" s="1322"/>
      <c r="X30" s="1325"/>
    </row>
    <row r="31" spans="1:27">
      <c r="A31" s="1326" t="s">
        <v>246</v>
      </c>
      <c r="C31" s="1322"/>
      <c r="D31" s="1322"/>
      <c r="E31" s="1322"/>
      <c r="F31" s="1322"/>
      <c r="G31" s="1322"/>
      <c r="H31" s="1322"/>
      <c r="I31" s="1322"/>
      <c r="J31" s="1322"/>
      <c r="K31" s="1322"/>
      <c r="L31" s="1322"/>
      <c r="M31" s="1322"/>
      <c r="X31" s="1325"/>
    </row>
    <row r="32" spans="1:27">
      <c r="A32" s="1320" t="s">
        <v>247</v>
      </c>
      <c r="C32" s="1327">
        <f>C10/C6</f>
        <v>0.37433687002652521</v>
      </c>
      <c r="D32" s="1327">
        <f t="shared" ref="D32:M32" si="25">D10/D6</f>
        <v>0.38283647525350506</v>
      </c>
      <c r="E32" s="1327">
        <f t="shared" si="25"/>
        <v>0.39241223148573873</v>
      </c>
      <c r="F32" s="1327">
        <f t="shared" si="25"/>
        <v>0.38581205620184317</v>
      </c>
      <c r="G32" s="1327">
        <f t="shared" si="25"/>
        <v>0.3741133989279174</v>
      </c>
      <c r="H32" s="1327">
        <f t="shared" si="25"/>
        <v>0.39351963636093257</v>
      </c>
      <c r="I32" s="1327">
        <f t="shared" si="25"/>
        <v>0.39191395911931975</v>
      </c>
      <c r="J32" s="1327">
        <f t="shared" si="25"/>
        <v>0.37224797219003475</v>
      </c>
      <c r="K32" s="1327">
        <f>K10/K6</f>
        <v>0.31721216788602236</v>
      </c>
      <c r="L32" s="1327">
        <f t="shared" si="25"/>
        <v>0.2944599038704781</v>
      </c>
      <c r="M32" s="1327">
        <f t="shared" si="25"/>
        <v>0.34763808435995758</v>
      </c>
      <c r="N32" s="1327">
        <f t="shared" ref="N32" si="26">N10/N6</f>
        <v>0.36047524752475246</v>
      </c>
      <c r="O32" s="1327">
        <f t="shared" ref="O32:Q32" si="27">O10/O6</f>
        <v>0.35673866262851678</v>
      </c>
      <c r="P32" s="1327">
        <f t="shared" si="27"/>
        <v>0.34639373100911564</v>
      </c>
      <c r="Q32" s="1327">
        <f t="shared" si="27"/>
        <v>0.35279455612285182</v>
      </c>
      <c r="R32" s="1327">
        <f t="shared" ref="R32:T32" si="28">R10/R6</f>
        <v>0.35190000000000005</v>
      </c>
      <c r="S32" s="1327">
        <f t="shared" si="28"/>
        <v>0.35079999999999995</v>
      </c>
      <c r="T32" s="1327">
        <f t="shared" si="28"/>
        <v>0.34889999999999993</v>
      </c>
      <c r="U32" s="1327">
        <f t="shared" ref="U32" si="29">U10/U6</f>
        <v>0.34660000000000002</v>
      </c>
      <c r="V32" s="1327"/>
    </row>
    <row r="33" spans="1:22">
      <c r="A33" s="1320" t="s">
        <v>248</v>
      </c>
      <c r="C33" s="1327">
        <f>C11/C6</f>
        <v>0.30421087533156499</v>
      </c>
      <c r="D33" s="1327">
        <f t="shared" ref="D33:M33" si="30">D11/D6</f>
        <v>0.29891778344636549</v>
      </c>
      <c r="E33" s="1327">
        <f t="shared" si="30"/>
        <v>0.29826544851246073</v>
      </c>
      <c r="F33" s="1327">
        <f t="shared" si="30"/>
        <v>0.29354887445233419</v>
      </c>
      <c r="G33" s="1327">
        <f t="shared" si="30"/>
        <v>0.31401237666861614</v>
      </c>
      <c r="H33" s="1327">
        <f t="shared" si="30"/>
        <v>0.35547750653617094</v>
      </c>
      <c r="I33" s="1327">
        <f t="shared" si="30"/>
        <v>0.34483923644349346</v>
      </c>
      <c r="J33" s="1327">
        <f t="shared" si="30"/>
        <v>0.33302433371958284</v>
      </c>
      <c r="K33" s="1327">
        <f>K11/K6</f>
        <v>0.41601848286484405</v>
      </c>
      <c r="L33" s="1327">
        <f t="shared" si="30"/>
        <v>0.40914073699300108</v>
      </c>
      <c r="M33" s="1327">
        <f t="shared" si="30"/>
        <v>0.37774333034184548</v>
      </c>
      <c r="N33" s="1327">
        <f t="shared" ref="N33" si="31">N11/N6</f>
        <v>0.36544554455445544</v>
      </c>
      <c r="O33" s="1327">
        <f t="shared" ref="O33:Q33" si="32">O11/O6</f>
        <v>0.33203156132940143</v>
      </c>
      <c r="P33" s="1327">
        <f t="shared" si="32"/>
        <v>0.32440428594274751</v>
      </c>
      <c r="Q33" s="1327">
        <f t="shared" si="32"/>
        <v>0.32962224499371828</v>
      </c>
      <c r="R33" s="1327">
        <f t="shared" ref="R33:T33" si="33">R11/R6</f>
        <v>0.32931677089674255</v>
      </c>
      <c r="S33" s="1327">
        <f t="shared" si="33"/>
        <v>0.32969764475985708</v>
      </c>
      <c r="T33" s="1327">
        <f t="shared" si="33"/>
        <v>0.33660996989178787</v>
      </c>
      <c r="U33" s="1327">
        <f t="shared" ref="U33" si="34">U11/U6</f>
        <v>0.34719464338098915</v>
      </c>
      <c r="V33" s="1327"/>
    </row>
    <row r="34" spans="1:22">
      <c r="A34" s="1320" t="s">
        <v>249</v>
      </c>
      <c r="C34" s="1327">
        <f t="shared" ref="C34:N34" si="35">C13/C6</f>
        <v>6.9462864721485412E-2</v>
      </c>
      <c r="D34" s="1327">
        <f t="shared" si="35"/>
        <v>8.6793925206872985E-2</v>
      </c>
      <c r="E34" s="1327">
        <f t="shared" si="35"/>
        <v>9.5854888961053583E-2</v>
      </c>
      <c r="F34" s="1327">
        <f t="shared" si="35"/>
        <v>9.4579745178022853E-2</v>
      </c>
      <c r="G34" s="1327">
        <f t="shared" si="35"/>
        <v>6.1064408845718614E-2</v>
      </c>
      <c r="H34" s="1327">
        <f t="shared" si="35"/>
        <v>3.775738334403738E-2</v>
      </c>
      <c r="I34" s="1327">
        <f t="shared" si="35"/>
        <v>4.8651388028605212E-2</v>
      </c>
      <c r="J34" s="1327">
        <f t="shared" si="35"/>
        <v>3.8006952491309386E-2</v>
      </c>
      <c r="K34" s="1327">
        <f t="shared" si="35"/>
        <v>-0.10442818636888718</v>
      </c>
      <c r="L34" s="1327">
        <f t="shared" si="35"/>
        <v>-0.10161059111223543</v>
      </c>
      <c r="M34" s="1327">
        <f t="shared" si="35"/>
        <v>-1.8030513176144243E-2</v>
      </c>
      <c r="N34" s="1327">
        <f t="shared" si="35"/>
        <v>-9.4059405940594056E-3</v>
      </c>
      <c r="O34" s="1327">
        <f t="shared" ref="O34:Q34" si="36">O13/O6</f>
        <v>3.2198932015621261E-2</v>
      </c>
      <c r="P34" s="1327">
        <f t="shared" si="36"/>
        <v>2.8226451303374381E-2</v>
      </c>
      <c r="Q34" s="1327">
        <f t="shared" si="36"/>
        <v>2.8149888800914718E-2</v>
      </c>
      <c r="R34" s="1327">
        <f t="shared" ref="R34:T34" si="37">R13/R6</f>
        <v>2.2583229103257486E-2</v>
      </c>
      <c r="S34" s="1327">
        <f t="shared" si="37"/>
        <v>2.1102355240142909E-2</v>
      </c>
      <c r="T34" s="1327">
        <f t="shared" si="37"/>
        <v>1.2290030108212065E-2</v>
      </c>
      <c r="U34" s="1327">
        <f t="shared" ref="U34" si="38">U13/U6</f>
        <v>-5.9464338098910025E-4</v>
      </c>
      <c r="V34" s="1327"/>
    </row>
    <row r="35" spans="1:22">
      <c r="A35" s="1320" t="s">
        <v>251</v>
      </c>
      <c r="C35" s="1327">
        <f>C19/C17</f>
        <v>0.34590049751243779</v>
      </c>
      <c r="D35" s="1327">
        <f t="shared" ref="D35:M35" si="39">D19/D17</f>
        <v>0.35729805551786553</v>
      </c>
      <c r="E35" s="1327">
        <f t="shared" si="39"/>
        <v>0.36656191135201627</v>
      </c>
      <c r="F35" s="1327">
        <f t="shared" si="39"/>
        <v>0.37789159743498818</v>
      </c>
      <c r="G35" s="1327">
        <f t="shared" si="39"/>
        <v>0.37687774185268114</v>
      </c>
      <c r="H35" s="1327">
        <f t="shared" si="39"/>
        <v>0.38068982630272952</v>
      </c>
      <c r="I35" s="1327">
        <f t="shared" si="39"/>
        <v>0.34995106035889073</v>
      </c>
      <c r="J35" s="1327">
        <f t="shared" si="39"/>
        <v>0.33671745589685198</v>
      </c>
      <c r="K35" s="1327">
        <f>K19/K17</f>
        <v>0.35872395833333331</v>
      </c>
      <c r="L35" s="1327">
        <f t="shared" si="39"/>
        <v>0.26405090137857901</v>
      </c>
      <c r="M35" s="1327">
        <f t="shared" si="39"/>
        <v>-3.074866310160428E-2</v>
      </c>
      <c r="N35" s="1327">
        <f t="shared" ref="N35" si="40">N19/N17</f>
        <v>3.1872509960159362E-2</v>
      </c>
      <c r="O35" s="1327">
        <f t="shared" ref="O35:Q35" si="41">O19/O17</f>
        <v>0.5</v>
      </c>
      <c r="P35" s="1327">
        <f t="shared" si="41"/>
        <v>6.206153846153847</v>
      </c>
      <c r="Q35" s="1327">
        <f t="shared" si="41"/>
        <v>0.43234625462001375</v>
      </c>
      <c r="R35" s="1327">
        <f t="shared" ref="R35:T35" si="42">R19/R17</f>
        <v>0</v>
      </c>
      <c r="S35" s="1327">
        <f t="shared" si="42"/>
        <v>0</v>
      </c>
      <c r="T35" s="1327">
        <f t="shared" si="42"/>
        <v>0</v>
      </c>
      <c r="U35" s="1327">
        <f t="shared" ref="U35" si="43">U19/U17</f>
        <v>0</v>
      </c>
      <c r="V35" s="1327"/>
    </row>
    <row r="36" spans="1:22">
      <c r="A36" s="1320"/>
      <c r="C36" s="1322"/>
      <c r="D36" s="1322"/>
      <c r="E36" s="1322"/>
      <c r="F36" s="1322"/>
      <c r="G36" s="1322"/>
      <c r="H36" s="1322"/>
      <c r="I36" s="1322"/>
      <c r="J36" s="1322"/>
      <c r="K36" s="1322"/>
      <c r="L36" s="1322"/>
      <c r="M36" s="1322"/>
    </row>
    <row r="37" spans="1:22">
      <c r="A37" s="1326" t="s">
        <v>254</v>
      </c>
      <c r="C37" s="1322"/>
      <c r="D37" s="1322"/>
      <c r="E37" s="1322"/>
      <c r="F37" s="1322"/>
      <c r="G37" s="1322"/>
      <c r="H37" s="1322"/>
      <c r="I37" s="1322"/>
      <c r="J37" s="1322"/>
      <c r="K37" s="1322"/>
      <c r="L37" s="1322"/>
      <c r="M37" s="1322"/>
    </row>
    <row r="38" spans="1:22">
      <c r="A38" s="1320" t="s">
        <v>152</v>
      </c>
      <c r="C38" s="1328" t="s">
        <v>147</v>
      </c>
      <c r="D38" s="1327">
        <f>((D6/C6)-1)</f>
        <v>3.7858311229000741E-2</v>
      </c>
      <c r="E38" s="1327">
        <f t="shared" ref="E38:M38" si="44">((E6/D6)-1)</f>
        <v>5.9847663745074664E-2</v>
      </c>
      <c r="F38" s="1327">
        <f t="shared" si="44"/>
        <v>-2.4158647276515399E-3</v>
      </c>
      <c r="G38" s="1327">
        <f t="shared" si="44"/>
        <v>-6.9016846517304331E-2</v>
      </c>
      <c r="H38" s="1327">
        <f t="shared" si="44"/>
        <v>-5.0147476173715511E-2</v>
      </c>
      <c r="I38" s="1327">
        <f t="shared" si="44"/>
        <v>1.1362550236440283E-2</v>
      </c>
      <c r="J38" s="1327">
        <f t="shared" si="44"/>
        <v>-2.809842896559489E-2</v>
      </c>
      <c r="K38" s="1327">
        <f t="shared" si="44"/>
        <v>-0.24768250289687133</v>
      </c>
      <c r="L38" s="1327">
        <f t="shared" si="44"/>
        <v>-8.6715440893338491E-2</v>
      </c>
      <c r="M38" s="1327">
        <f t="shared" si="44"/>
        <v>3.3561008516738378E-2</v>
      </c>
      <c r="N38" s="1327">
        <f t="shared" ref="N38" si="45">((N6/M6)-1)</f>
        <v>3.0023659949416581E-2</v>
      </c>
      <c r="O38" s="1327">
        <f t="shared" ref="O38" si="46">((O6/N6)-1)</f>
        <v>-6.1782178217821837E-3</v>
      </c>
      <c r="P38" s="1327">
        <f t="shared" ref="P38" si="47">((P6/O6)-1)</f>
        <v>-3.2677133976248829E-3</v>
      </c>
      <c r="Q38" s="1327">
        <f t="shared" ref="Q38" si="48">((Q6/P6)-1)</f>
        <v>-3.6138173676635188E-2</v>
      </c>
      <c r="R38" s="1327">
        <f t="shared" ref="R38" si="49">((R6/Q6)-1)</f>
        <v>-2.7259803354540257E-2</v>
      </c>
      <c r="S38" s="1327">
        <f t="shared" ref="S38" si="50">((S6/R6)-1)</f>
        <v>-3.3935065710872125E-2</v>
      </c>
      <c r="T38" s="1327">
        <f t="shared" ref="T38:U38" si="51">((T6/S6)-1)</f>
        <v>-4.1259974905897057E-2</v>
      </c>
      <c r="U38" s="1327">
        <f t="shared" si="51"/>
        <v>-5.3219022457067444E-2</v>
      </c>
      <c r="V38" s="1327"/>
    </row>
    <row r="39" spans="1:22">
      <c r="A39" s="1320" t="s">
        <v>255</v>
      </c>
      <c r="C39" s="1327">
        <f>yrSales!S39</f>
        <v>4.9000000000000002E-2</v>
      </c>
      <c r="D39" s="1327">
        <f>yrSales!T39</f>
        <v>2.8999999999999998E-2</v>
      </c>
      <c r="E39" s="1327">
        <f>yrSales!U39</f>
        <v>4.9625677213785739E-2</v>
      </c>
      <c r="F39" s="1327">
        <f>yrSales!V39</f>
        <v>3.7257893941683045E-3</v>
      </c>
      <c r="G39" s="1327">
        <f>yrSales!W39</f>
        <v>-8.5000000000000006E-2</v>
      </c>
      <c r="H39" s="1327">
        <f>yrSales!X39</f>
        <v>-6.3080360850075165E-2</v>
      </c>
      <c r="I39" s="1327">
        <f>yrSales!Y39</f>
        <v>2.4532615502896971E-2</v>
      </c>
      <c r="J39" s="1327">
        <f>yrSales!Z39</f>
        <v>2E-3</v>
      </c>
      <c r="K39" s="1327">
        <f>yrSales!AA39</f>
        <v>-0.252</v>
      </c>
      <c r="L39" s="1327">
        <f>yrSales!AB39</f>
        <v>-6.8476178429884488E-2</v>
      </c>
      <c r="M39" s="1327">
        <f>yrSales!AC39</f>
        <v>4.4000000000000004E-2</v>
      </c>
      <c r="N39" s="1327">
        <f>yrSales!AD39</f>
        <v>4.4999999999999998E-2</v>
      </c>
      <c r="O39" s="1327">
        <f>yrSales!AE39</f>
        <v>0</v>
      </c>
      <c r="P39" s="1327">
        <f>yrSales!AF39</f>
        <v>1E-3</v>
      </c>
      <c r="Q39" s="1327">
        <f>yrSales!AG39</f>
        <v>7.0517956777370215E-3</v>
      </c>
      <c r="R39" s="1327">
        <f>yrSales!AH39</f>
        <v>-1.4999999999999999E-2</v>
      </c>
      <c r="S39" s="1327">
        <f>yrSales!AI39</f>
        <v>-1.4999999999999999E-2</v>
      </c>
      <c r="T39" s="1327">
        <f>yrSales!AJ39</f>
        <v>-0.02</v>
      </c>
      <c r="U39" s="1327">
        <f>yrSales!AK39</f>
        <v>-0.02</v>
      </c>
      <c r="V39" s="1327"/>
    </row>
    <row r="40" spans="1:22">
      <c r="A40" s="1320" t="s">
        <v>234</v>
      </c>
      <c r="C40" s="1329" t="s">
        <v>147</v>
      </c>
      <c r="D40" s="1327">
        <f t="shared" ref="D40:M40" si="52">((D11/C11)-1)</f>
        <v>1.9800181653042648E-2</v>
      </c>
      <c r="E40" s="1327">
        <f t="shared" si="52"/>
        <v>5.753473459209113E-2</v>
      </c>
      <c r="F40" s="1327">
        <f t="shared" si="52"/>
        <v>-1.8191005558362838E-2</v>
      </c>
      <c r="G40" s="1327">
        <f t="shared" si="52"/>
        <v>-4.1173443129182141E-3</v>
      </c>
      <c r="H40" s="1327">
        <f t="shared" si="52"/>
        <v>7.5279931093884533E-2</v>
      </c>
      <c r="I40" s="1327">
        <f t="shared" si="52"/>
        <v>-1.8904197372636933E-2</v>
      </c>
      <c r="J40" s="1327">
        <f t="shared" si="52"/>
        <v>-6.1397779229261928E-2</v>
      </c>
      <c r="K40" s="1327">
        <f t="shared" si="52"/>
        <v>-6.019485038274186E-2</v>
      </c>
      <c r="L40" s="1327">
        <f t="shared" si="52"/>
        <v>-0.10181414291003332</v>
      </c>
      <c r="M40" s="1327">
        <f t="shared" si="52"/>
        <v>-4.5754328112118658E-2</v>
      </c>
      <c r="N40" s="1327">
        <f>((N11/M11)-1)</f>
        <v>-3.5097192224622376E-3</v>
      </c>
      <c r="O40" s="1327">
        <f t="shared" ref="O40:Q40" si="53">((O11/N11)-1)</f>
        <v>-9.7046870766729909E-2</v>
      </c>
      <c r="P40" s="1327">
        <f t="shared" si="53"/>
        <v>-2.6164186269803213E-2</v>
      </c>
      <c r="Q40" s="1327">
        <f t="shared" si="53"/>
        <v>-2.063470544737489E-2</v>
      </c>
      <c r="R40" s="1327">
        <f t="shared" ref="R40:U40" si="54">((R11/Q11)-1)</f>
        <v>-2.8161280538423705E-2</v>
      </c>
      <c r="S40" s="1327">
        <f t="shared" si="54"/>
        <v>-3.2817755825498729E-2</v>
      </c>
      <c r="T40" s="1327">
        <f t="shared" si="54"/>
        <v>-2.1159367953508923E-2</v>
      </c>
      <c r="U40" s="1327">
        <f t="shared" si="54"/>
        <v>-2.3447570600485856E-2</v>
      </c>
      <c r="V40" s="1327"/>
    </row>
    <row r="41" spans="1:22">
      <c r="A41" s="1320" t="s">
        <v>235</v>
      </c>
      <c r="C41" s="1329" t="s">
        <v>147</v>
      </c>
      <c r="D41" s="1327">
        <f>((D13/C13)-1)</f>
        <v>0.29680509148766809</v>
      </c>
      <c r="E41" s="1327">
        <f t="shared" ref="E41:M41" si="55">((E13/D13)-1)</f>
        <v>0.17049182741502977</v>
      </c>
      <c r="F41" s="1327">
        <f t="shared" si="55"/>
        <v>-1.5686582809224525E-2</v>
      </c>
      <c r="G41" s="1327">
        <f t="shared" si="55"/>
        <v>-0.39892060603739343</v>
      </c>
      <c r="H41" s="1327">
        <f t="shared" si="55"/>
        <v>-0.41268659534522067</v>
      </c>
      <c r="I41" s="1327">
        <f t="shared" si="55"/>
        <v>0.30316742081447967</v>
      </c>
      <c r="J41" s="1327">
        <f t="shared" si="55"/>
        <v>-0.2407407407407407</v>
      </c>
      <c r="K41" s="1327">
        <f t="shared" si="55"/>
        <v>-3.0670731707317072</v>
      </c>
      <c r="L41" s="1327">
        <f t="shared" si="55"/>
        <v>-0.11135693215339237</v>
      </c>
      <c r="M41" s="1327">
        <f t="shared" si="55"/>
        <v>-0.81659751037344397</v>
      </c>
      <c r="N41" s="1327">
        <f>((N13/M13)-1)</f>
        <v>-0.46266968325791857</v>
      </c>
      <c r="O41" s="1327">
        <f t="shared" ref="O41:Q41" si="56">((O13/N13)-1)</f>
        <v>-4.4021052631578943</v>
      </c>
      <c r="P41" s="1327">
        <f t="shared" si="56"/>
        <v>-0.12623762376237624</v>
      </c>
      <c r="Q41" s="1327">
        <f t="shared" si="56"/>
        <v>-3.8752589235130697E-2</v>
      </c>
      <c r="R41" s="1327">
        <f t="shared" ref="R41:U41" si="57">((R13/Q13)-1)</f>
        <v>-0.21961984027168413</v>
      </c>
      <c r="S41" s="1327">
        <f t="shared" si="57"/>
        <v>-9.7283858955586333E-2</v>
      </c>
      <c r="T41" s="1327">
        <f t="shared" si="57"/>
        <v>-0.44162897267789902</v>
      </c>
      <c r="U41" s="1327">
        <f t="shared" si="57"/>
        <v>-1.0458092483570163</v>
      </c>
      <c r="V41" s="1327"/>
    </row>
    <row r="42" spans="1:22">
      <c r="A42" s="1320" t="s">
        <v>493</v>
      </c>
      <c r="C42" s="1329" t="s">
        <v>147</v>
      </c>
      <c r="D42" s="1327">
        <f>((D25/C25)-1)</f>
        <v>0.67181795770071928</v>
      </c>
      <c r="E42" s="1327">
        <f t="shared" ref="E42:M42" si="58">((E25/D25)-1)</f>
        <v>0.34673832769275825</v>
      </c>
      <c r="F42" s="1327">
        <f t="shared" si="58"/>
        <v>-2.8981241470021901E-2</v>
      </c>
      <c r="G42" s="1327">
        <f t="shared" si="58"/>
        <v>-0.46881632596546108</v>
      </c>
      <c r="H42" s="1327">
        <f t="shared" si="58"/>
        <v>-0.57538015967615486</v>
      </c>
      <c r="I42" s="1327">
        <f t="shared" si="58"/>
        <v>0.56204144758607821</v>
      </c>
      <c r="J42" s="1327">
        <f t="shared" si="58"/>
        <v>-1.4167106023073435</v>
      </c>
      <c r="K42" s="1327">
        <f t="shared" si="58"/>
        <v>5.4406775768608062</v>
      </c>
      <c r="L42" s="1327">
        <f t="shared" si="58"/>
        <v>0.23900057216042447</v>
      </c>
      <c r="M42" s="1327">
        <f t="shared" si="58"/>
        <v>-0.54626460279270739</v>
      </c>
      <c r="N42" s="1327">
        <f t="shared" ref="N42" si="59">((N25/M25)-1)</f>
        <v>-0.29247878620591394</v>
      </c>
      <c r="O42" s="1327">
        <f t="shared" ref="O42" si="60">((O25/N25)-1)</f>
        <v>-1.0017875012234654</v>
      </c>
      <c r="P42" s="1327">
        <f t="shared" ref="P42" si="61">((P25/O25)-1)</f>
        <v>67.093346190935392</v>
      </c>
      <c r="Q42" s="1327">
        <f t="shared" ref="Q42" si="62">((Q25/P25)-1)</f>
        <v>-0.67387681824946544</v>
      </c>
      <c r="R42" s="1327">
        <f t="shared" ref="R42" si="63">((R25/Q25)-1)</f>
        <v>-1.6810444965190423</v>
      </c>
      <c r="S42" s="1327">
        <f t="shared" ref="S42" si="64">((S25/R25)-1)</f>
        <v>1.0368072846712244</v>
      </c>
      <c r="T42" s="1327">
        <f t="shared" ref="T42:U42" si="65">((T25/S25)-1)</f>
        <v>3.0865843127145132</v>
      </c>
      <c r="U42" s="1327">
        <f t="shared" si="65"/>
        <v>1.0083638927462863</v>
      </c>
      <c r="V42" s="1327"/>
    </row>
    <row r="43" spans="1:22">
      <c r="A43" s="1320" t="s">
        <v>245</v>
      </c>
      <c r="C43" s="1329" t="s">
        <v>147</v>
      </c>
      <c r="D43" s="1327">
        <f>((D29/C29)-1)</f>
        <v>0.23891336633663296</v>
      </c>
      <c r="E43" s="1327">
        <f t="shared" ref="E43:M43" si="66">((E29/D29)-1)</f>
        <v>0.14730450870193312</v>
      </c>
      <c r="F43" s="1327">
        <f t="shared" si="66"/>
        <v>3.0779277318240261E-3</v>
      </c>
      <c r="G43" s="1327">
        <f t="shared" si="66"/>
        <v>-0.30650146157913927</v>
      </c>
      <c r="H43" s="1327">
        <f t="shared" si="66"/>
        <v>-0.27528485037164652</v>
      </c>
      <c r="I43" s="1327">
        <f t="shared" si="66"/>
        <v>0.18739205526770286</v>
      </c>
      <c r="J43" s="1327">
        <f t="shared" si="66"/>
        <v>-0.14618181818181819</v>
      </c>
      <c r="K43" s="1327">
        <f t="shared" si="66"/>
        <v>-1.692504258943782</v>
      </c>
      <c r="L43" s="1327">
        <f t="shared" si="66"/>
        <v>-0.25707257072570722</v>
      </c>
      <c r="M43" s="1327">
        <f t="shared" si="66"/>
        <v>-1.6788079470198676</v>
      </c>
      <c r="N43" s="1327">
        <f t="shared" ref="N43" si="67">((N29/M29)-1)</f>
        <v>0.21280487804878057</v>
      </c>
      <c r="O43" s="1327">
        <f t="shared" ref="O43" si="68">((O29/N29)-1)</f>
        <v>1.0372046254399194</v>
      </c>
      <c r="P43" s="1327">
        <f t="shared" ref="P43" si="69">((P29/O29)-1)</f>
        <v>-8.8845014807502509E-2</v>
      </c>
      <c r="Q43" s="1327">
        <f t="shared" ref="Q43" si="70">((Q29/P29)-1)</f>
        <v>-3.7572767063923207E-2</v>
      </c>
      <c r="R43" s="1327">
        <f t="shared" ref="R43" si="71">((R29/Q29)-1)</f>
        <v>-9.3409491120064581E-2</v>
      </c>
      <c r="S43" s="1327">
        <f t="shared" ref="S43" si="72">((S29/R29)-1)</f>
        <v>-6.3203626581991967E-2</v>
      </c>
      <c r="T43" s="1327">
        <f t="shared" ref="T43:U43" si="73">((T29/S29)-1)</f>
        <v>-0.16091578552765695</v>
      </c>
      <c r="U43" s="1327">
        <f t="shared" si="73"/>
        <v>-0.26249947296945719</v>
      </c>
      <c r="V43" s="1327"/>
    </row>
    <row r="45" spans="1:22">
      <c r="A45" s="404" t="s">
        <v>557</v>
      </c>
      <c r="B45" s="1337"/>
      <c r="C45" s="1338" t="s">
        <v>544</v>
      </c>
      <c r="D45" s="1338" t="s">
        <v>545</v>
      </c>
      <c r="E45" s="1338" t="s">
        <v>546</v>
      </c>
      <c r="F45" s="1338" t="s">
        <v>547</v>
      </c>
      <c r="G45" s="1338" t="s">
        <v>548</v>
      </c>
      <c r="H45" s="1338" t="s">
        <v>549</v>
      </c>
      <c r="I45" s="1338" t="s">
        <v>482</v>
      </c>
      <c r="J45" s="1338" t="s">
        <v>483</v>
      </c>
      <c r="K45" s="1338" t="s">
        <v>550</v>
      </c>
      <c r="L45" s="1338" t="str">
        <f>L3</f>
        <v>2013A</v>
      </c>
      <c r="M45" s="1338" t="s">
        <v>630</v>
      </c>
      <c r="N45" s="1338" t="s">
        <v>551</v>
      </c>
      <c r="O45" s="1338" t="s">
        <v>552</v>
      </c>
      <c r="P45" s="1338" t="s">
        <v>553</v>
      </c>
      <c r="Q45" s="1338" t="s">
        <v>624</v>
      </c>
      <c r="R45" s="1338" t="str">
        <f>R3</f>
        <v>2019E</v>
      </c>
      <c r="S45" s="1338" t="str">
        <f>S3</f>
        <v>2020E</v>
      </c>
      <c r="T45" s="1338" t="str">
        <f>T3</f>
        <v>2021E</v>
      </c>
      <c r="U45" s="1338" t="str">
        <f>U3</f>
        <v>2022E</v>
      </c>
      <c r="V45" s="1338"/>
    </row>
    <row r="46" spans="1:22">
      <c r="A46" s="1088" t="s">
        <v>230</v>
      </c>
      <c r="C46" s="606" t="s">
        <v>143</v>
      </c>
      <c r="D46" s="606" t="s">
        <v>143</v>
      </c>
      <c r="E46" s="606" t="s">
        <v>143</v>
      </c>
      <c r="F46" s="606" t="s">
        <v>143</v>
      </c>
      <c r="G46" s="606" t="s">
        <v>143</v>
      </c>
      <c r="H46" s="606" t="s">
        <v>143</v>
      </c>
      <c r="I46" s="606" t="s">
        <v>143</v>
      </c>
      <c r="J46" s="606" t="s">
        <v>143</v>
      </c>
      <c r="K46" s="606" t="s">
        <v>143</v>
      </c>
      <c r="L46" s="606" t="s">
        <v>143</v>
      </c>
      <c r="M46" s="606" t="s">
        <v>143</v>
      </c>
      <c r="N46" s="606" t="s">
        <v>143</v>
      </c>
      <c r="O46" s="606" t="s">
        <v>143</v>
      </c>
      <c r="P46" s="606" t="s">
        <v>143</v>
      </c>
      <c r="Q46" s="606" t="s">
        <v>143</v>
      </c>
      <c r="R46" s="606" t="s">
        <v>143</v>
      </c>
      <c r="S46" s="606" t="s">
        <v>143</v>
      </c>
      <c r="T46" s="606" t="s">
        <v>143</v>
      </c>
      <c r="U46" s="606" t="s">
        <v>143</v>
      </c>
      <c r="V46" s="606"/>
    </row>
    <row r="47" spans="1:22">
      <c r="O47" s="682"/>
      <c r="P47" s="682"/>
      <c r="Q47" s="682"/>
      <c r="R47" s="682"/>
      <c r="S47" s="682"/>
      <c r="T47" s="682"/>
    </row>
    <row r="48" spans="1:22">
      <c r="A48" s="398" t="s">
        <v>231</v>
      </c>
      <c r="C48" s="1324">
        <f>C6</f>
        <v>18096</v>
      </c>
      <c r="D48" s="1324">
        <f t="shared" ref="D48:K48" si="74">D6</f>
        <v>18781.083999999999</v>
      </c>
      <c r="E48" s="1324">
        <f t="shared" si="74"/>
        <v>19905.088</v>
      </c>
      <c r="F48" s="1324">
        <f t="shared" si="74"/>
        <v>19857</v>
      </c>
      <c r="G48" s="1324">
        <f t="shared" si="74"/>
        <v>18486.532478705889</v>
      </c>
      <c r="H48" s="1324">
        <f t="shared" si="74"/>
        <v>17559.479531695368</v>
      </c>
      <c r="I48" s="1324">
        <f t="shared" si="74"/>
        <v>17759</v>
      </c>
      <c r="J48" s="1324">
        <f t="shared" si="74"/>
        <v>17260</v>
      </c>
      <c r="K48" s="1324">
        <f t="shared" si="74"/>
        <v>12985</v>
      </c>
      <c r="L48" s="1324">
        <f>L6</f>
        <v>11859</v>
      </c>
      <c r="M48" s="1324">
        <f>M6</f>
        <v>12257</v>
      </c>
      <c r="N48" s="1324">
        <f t="shared" ref="N48:O48" si="75">N6</f>
        <v>12625</v>
      </c>
      <c r="O48" s="1324">
        <f t="shared" si="75"/>
        <v>12547</v>
      </c>
      <c r="P48" s="1324">
        <f t="shared" ref="P48" si="76">P6</f>
        <v>12506</v>
      </c>
      <c r="Q48" s="1324">
        <f t="shared" ref="Q48:U48" si="77">(P48*(1+Q79))</f>
        <v>12028.396243254221</v>
      </c>
      <c r="R48" s="1324">
        <f t="shared" si="77"/>
        <v>11941.072451857704</v>
      </c>
      <c r="S48" s="1324">
        <f t="shared" si="77"/>
        <v>11774.672822582783</v>
      </c>
      <c r="T48" s="1324">
        <f t="shared" si="77"/>
        <v>11583.216937962439</v>
      </c>
      <c r="U48" s="1324">
        <f t="shared" si="77"/>
        <v>11256.349879064994</v>
      </c>
      <c r="V48" s="1324"/>
    </row>
    <row r="49" spans="1:22" outlineLevel="1">
      <c r="C49" s="682"/>
      <c r="D49" s="682"/>
      <c r="E49" s="682"/>
      <c r="F49" s="682"/>
      <c r="G49" s="682"/>
      <c r="H49" s="682"/>
      <c r="I49" s="682"/>
      <c r="J49" s="682"/>
      <c r="K49" s="682"/>
      <c r="L49" s="682"/>
      <c r="M49" s="682"/>
      <c r="N49" s="682"/>
      <c r="O49" s="682"/>
      <c r="P49" s="682"/>
      <c r="Q49" s="682"/>
      <c r="R49" s="682"/>
      <c r="S49" s="682"/>
      <c r="T49" s="682"/>
      <c r="U49" s="682"/>
      <c r="V49" s="682"/>
    </row>
    <row r="50" spans="1:22" outlineLevel="1">
      <c r="A50" s="398" t="s">
        <v>232</v>
      </c>
      <c r="C50" s="1324">
        <f>C8</f>
        <v>11322</v>
      </c>
      <c r="D50" s="1324">
        <f t="shared" ref="D50:K50" si="78">D8</f>
        <v>11591</v>
      </c>
      <c r="E50" s="1324">
        <f t="shared" si="78"/>
        <v>12094.088</v>
      </c>
      <c r="F50" s="1324">
        <f t="shared" si="78"/>
        <v>12195.93</v>
      </c>
      <c r="G50" s="1324">
        <f t="shared" si="78"/>
        <v>11570.472978705891</v>
      </c>
      <c r="H50" s="1324">
        <f t="shared" si="78"/>
        <v>10649.479531695368</v>
      </c>
      <c r="I50" s="1324">
        <f t="shared" si="78"/>
        <v>10799</v>
      </c>
      <c r="J50" s="1324">
        <f t="shared" si="78"/>
        <v>10835</v>
      </c>
      <c r="K50" s="1324">
        <f t="shared" si="78"/>
        <v>8866</v>
      </c>
      <c r="L50" s="1324">
        <f>L8</f>
        <v>8367</v>
      </c>
      <c r="M50" s="1324">
        <f>M8</f>
        <v>7996</v>
      </c>
      <c r="N50" s="1324">
        <f t="shared" ref="N50:O50" si="79">N8</f>
        <v>8074</v>
      </c>
      <c r="O50" s="1324">
        <f t="shared" si="79"/>
        <v>8071</v>
      </c>
      <c r="P50" s="1324">
        <f t="shared" ref="P50" si="80">P8</f>
        <v>8174</v>
      </c>
      <c r="Q50" s="1324">
        <f t="shared" ref="Q50" si="81">Q48-Q52</f>
        <v>7734.2587844124646</v>
      </c>
      <c r="R50" s="1324">
        <f t="shared" ref="R50:T50" si="82">R48-R52</f>
        <v>7678.1095865445041</v>
      </c>
      <c r="S50" s="1324">
        <f t="shared" si="82"/>
        <v>7571.1146249207295</v>
      </c>
      <c r="T50" s="1324">
        <f t="shared" si="82"/>
        <v>7448.0084911098484</v>
      </c>
      <c r="U50" s="1324">
        <f t="shared" ref="U50" si="83">U48-U52</f>
        <v>7237.8329722387916</v>
      </c>
      <c r="V50" s="1324"/>
    </row>
    <row r="51" spans="1:22" outlineLevel="1">
      <c r="C51" s="682"/>
      <c r="D51" s="682"/>
      <c r="E51" s="682"/>
      <c r="F51" s="682"/>
      <c r="G51" s="682"/>
      <c r="H51" s="682"/>
      <c r="I51" s="682"/>
      <c r="J51" s="682"/>
      <c r="K51" s="682"/>
      <c r="L51" s="682"/>
      <c r="M51" s="682"/>
      <c r="N51" s="682"/>
      <c r="O51" s="682"/>
      <c r="P51" s="682"/>
    </row>
    <row r="52" spans="1:22">
      <c r="A52" s="398" t="s">
        <v>233</v>
      </c>
      <c r="C52" s="1324">
        <f>C48-C50</f>
        <v>6774</v>
      </c>
      <c r="D52" s="1324">
        <f t="shared" ref="D52:J52" si="84">D48-D50</f>
        <v>7190.0839999999989</v>
      </c>
      <c r="E52" s="1324">
        <f t="shared" si="84"/>
        <v>7811</v>
      </c>
      <c r="F52" s="1324">
        <f t="shared" si="84"/>
        <v>7661.07</v>
      </c>
      <c r="G52" s="1324">
        <f t="shared" si="84"/>
        <v>6916.0594999999976</v>
      </c>
      <c r="H52" s="1324">
        <f t="shared" si="84"/>
        <v>6910</v>
      </c>
      <c r="I52" s="1324">
        <f t="shared" si="84"/>
        <v>6960</v>
      </c>
      <c r="J52" s="1324">
        <f t="shared" si="84"/>
        <v>6425</v>
      </c>
      <c r="K52" s="1324">
        <f>K48-K50</f>
        <v>4119</v>
      </c>
      <c r="L52" s="1324">
        <f>L48-L50</f>
        <v>3492</v>
      </c>
      <c r="M52" s="1324">
        <f>M48-M50</f>
        <v>4261</v>
      </c>
      <c r="N52" s="1324">
        <f t="shared" ref="N52:O52" si="85">N48-N50</f>
        <v>4551</v>
      </c>
      <c r="O52" s="1324">
        <f t="shared" si="85"/>
        <v>4476</v>
      </c>
      <c r="P52" s="1324">
        <f t="shared" ref="P52" si="86">P48-P50</f>
        <v>4332</v>
      </c>
      <c r="Q52" s="1324">
        <f t="shared" ref="Q52" si="87">Q48*Q73</f>
        <v>4294.1374588417566</v>
      </c>
      <c r="R52" s="1324">
        <f t="shared" ref="R52:T52" si="88">R48*R73</f>
        <v>4262.9628653132004</v>
      </c>
      <c r="S52" s="1324">
        <f t="shared" si="88"/>
        <v>4203.5581976620533</v>
      </c>
      <c r="T52" s="1324">
        <f t="shared" si="88"/>
        <v>4135.2084468525909</v>
      </c>
      <c r="U52" s="1324">
        <f t="shared" ref="U52" si="89">U48*U73</f>
        <v>4018.5169068262026</v>
      </c>
      <c r="V52" s="1324"/>
    </row>
    <row r="53" spans="1:22" ht="13.5" customHeight="1">
      <c r="A53" s="398" t="s">
        <v>458</v>
      </c>
      <c r="C53" s="682">
        <f>C11</f>
        <v>5505</v>
      </c>
      <c r="D53" s="682">
        <f t="shared" ref="D53:K53" si="90">D11</f>
        <v>5614</v>
      </c>
      <c r="E53" s="682">
        <f t="shared" si="90"/>
        <v>5937</v>
      </c>
      <c r="F53" s="682">
        <f t="shared" si="90"/>
        <v>5829</v>
      </c>
      <c r="G53" s="682">
        <f t="shared" si="90"/>
        <v>5805</v>
      </c>
      <c r="H53" s="682">
        <f t="shared" si="90"/>
        <v>6242</v>
      </c>
      <c r="I53" s="682">
        <f t="shared" si="90"/>
        <v>6124</v>
      </c>
      <c r="J53" s="682">
        <f t="shared" si="90"/>
        <v>5748</v>
      </c>
      <c r="K53" s="682">
        <f t="shared" si="90"/>
        <v>5402</v>
      </c>
      <c r="L53" s="682">
        <f t="shared" ref="L53:M54" si="91">L11</f>
        <v>4852</v>
      </c>
      <c r="M53" s="682">
        <f t="shared" si="91"/>
        <v>4630</v>
      </c>
      <c r="N53" s="682">
        <f t="shared" ref="N53:O53" si="92">N11</f>
        <v>4613.75</v>
      </c>
      <c r="O53" s="682">
        <f t="shared" si="92"/>
        <v>4166</v>
      </c>
      <c r="P53" s="682">
        <f t="shared" ref="P53" si="93">P11</f>
        <v>4057</v>
      </c>
      <c r="Q53" s="682">
        <f t="shared" ref="Q53" si="94">Q48*Q74</f>
        <v>3993.4275527604018</v>
      </c>
      <c r="R53" s="682">
        <f t="shared" ref="R53:T53" si="95">R48*R74</f>
        <v>3928.6128366611852</v>
      </c>
      <c r="S53" s="682">
        <f t="shared" si="95"/>
        <v>3838.5433401619875</v>
      </c>
      <c r="T53" s="682">
        <f t="shared" si="95"/>
        <v>3741.3790709618679</v>
      </c>
      <c r="U53" s="682">
        <f t="shared" ref="U53" si="96">U48*U74</f>
        <v>3635.8010109379929</v>
      </c>
      <c r="V53" s="682"/>
    </row>
    <row r="54" spans="1:22" ht="13.5" customHeight="1">
      <c r="A54" s="398" t="s">
        <v>555</v>
      </c>
      <c r="C54" s="682">
        <f>C12</f>
        <v>12</v>
      </c>
      <c r="D54" s="682">
        <f t="shared" ref="D54:K54" si="97">D12</f>
        <v>-54</v>
      </c>
      <c r="E54" s="682">
        <f t="shared" si="97"/>
        <v>-34</v>
      </c>
      <c r="F54" s="682">
        <f t="shared" si="97"/>
        <v>-46</v>
      </c>
      <c r="G54" s="682">
        <f t="shared" si="97"/>
        <v>-17.809677419354838</v>
      </c>
      <c r="H54" s="682">
        <f t="shared" si="97"/>
        <v>5</v>
      </c>
      <c r="I54" s="682">
        <f t="shared" si="97"/>
        <v>-28</v>
      </c>
      <c r="J54" s="682">
        <f t="shared" si="97"/>
        <v>21</v>
      </c>
      <c r="K54" s="682">
        <f t="shared" si="97"/>
        <v>73</v>
      </c>
      <c r="L54" s="682">
        <f t="shared" si="91"/>
        <v>-155</v>
      </c>
      <c r="M54" s="682">
        <f t="shared" si="91"/>
        <v>-148</v>
      </c>
      <c r="N54" s="682">
        <f t="shared" ref="N54:O54" si="98">N12</f>
        <v>56</v>
      </c>
      <c r="O54" s="682">
        <f t="shared" si="98"/>
        <v>-94</v>
      </c>
      <c r="P54" s="682">
        <f t="shared" ref="P54" si="99">P12</f>
        <v>-78</v>
      </c>
      <c r="Q54" s="682">
        <f t="shared" ref="Q54" si="100">Q12</f>
        <v>-60</v>
      </c>
      <c r="R54" s="682">
        <f>R12</f>
        <v>0</v>
      </c>
      <c r="S54" s="682">
        <f>S12</f>
        <v>0</v>
      </c>
      <c r="T54" s="682">
        <f>T12</f>
        <v>0</v>
      </c>
      <c r="U54" s="682">
        <f>U12</f>
        <v>0</v>
      </c>
      <c r="V54" s="682"/>
    </row>
    <row r="55" spans="1:22">
      <c r="A55" s="774" t="s">
        <v>235</v>
      </c>
      <c r="C55" s="1324">
        <f>C52-C53-C54</f>
        <v>1257</v>
      </c>
      <c r="D55" s="1324">
        <f t="shared" ref="D55:L55" si="101">D52-D53-D54</f>
        <v>1630.0839999999989</v>
      </c>
      <c r="E55" s="1324">
        <f t="shared" si="101"/>
        <v>1908</v>
      </c>
      <c r="F55" s="1324">
        <f t="shared" si="101"/>
        <v>1878.0699999999997</v>
      </c>
      <c r="G55" s="1324">
        <f t="shared" si="101"/>
        <v>1128.8691774193524</v>
      </c>
      <c r="H55" s="1324">
        <f t="shared" si="101"/>
        <v>663</v>
      </c>
      <c r="I55" s="1324">
        <f t="shared" si="101"/>
        <v>864</v>
      </c>
      <c r="J55" s="1324">
        <f t="shared" si="101"/>
        <v>656</v>
      </c>
      <c r="K55" s="1324">
        <f t="shared" si="101"/>
        <v>-1356</v>
      </c>
      <c r="L55" s="1324">
        <f t="shared" si="101"/>
        <v>-1205</v>
      </c>
      <c r="M55" s="1324">
        <f>M52-M53-M54</f>
        <v>-221</v>
      </c>
      <c r="N55" s="1324">
        <f t="shared" ref="N55:O55" si="102">N52-N53-N54</f>
        <v>-118.75</v>
      </c>
      <c r="O55" s="1324">
        <f t="shared" si="102"/>
        <v>404</v>
      </c>
      <c r="P55" s="1324">
        <f t="shared" ref="P55" si="103">P52-P53-P54</f>
        <v>353</v>
      </c>
      <c r="Q55" s="1324">
        <f t="shared" ref="Q55" si="104">Q52-Q53-Q54</f>
        <v>360.7099060813548</v>
      </c>
      <c r="R55" s="1324">
        <f>R52-R53-R54</f>
        <v>334.35002865201523</v>
      </c>
      <c r="S55" s="1324">
        <f>S52-S53-S54</f>
        <v>365.01485750006577</v>
      </c>
      <c r="T55" s="1324">
        <f>T52-T53-T54</f>
        <v>393.82937589072299</v>
      </c>
      <c r="U55" s="1324">
        <f>U52-U53-U54</f>
        <v>382.71589588820962</v>
      </c>
      <c r="V55" s="1324"/>
    </row>
    <row r="56" spans="1:22" outlineLevel="1">
      <c r="C56" s="682"/>
      <c r="D56" s="682"/>
      <c r="E56" s="682"/>
      <c r="F56" s="682"/>
      <c r="G56" s="682"/>
      <c r="H56" s="682"/>
      <c r="I56" s="682"/>
      <c r="J56" s="682"/>
      <c r="K56" s="682"/>
      <c r="L56" s="682"/>
      <c r="M56" s="682"/>
      <c r="N56" s="682"/>
      <c r="O56" s="682"/>
      <c r="P56" s="682"/>
    </row>
    <row r="57" spans="1:22" outlineLevel="1">
      <c r="A57" s="398" t="s">
        <v>554</v>
      </c>
      <c r="C57" s="682">
        <f>C15</f>
        <v>223</v>
      </c>
      <c r="D57" s="682">
        <f t="shared" ref="D57:K57" si="105">D15</f>
        <v>169</v>
      </c>
      <c r="E57" s="682">
        <f t="shared" si="105"/>
        <v>130</v>
      </c>
      <c r="F57" s="682">
        <f t="shared" si="105"/>
        <v>153</v>
      </c>
      <c r="G57" s="682">
        <f t="shared" si="105"/>
        <v>225</v>
      </c>
      <c r="H57" s="682">
        <f t="shared" si="105"/>
        <v>260</v>
      </c>
      <c r="I57" s="682">
        <f t="shared" si="105"/>
        <v>231</v>
      </c>
      <c r="J57" s="682">
        <f t="shared" si="105"/>
        <v>226.6783730736779</v>
      </c>
      <c r="K57" s="682">
        <f t="shared" si="105"/>
        <v>226</v>
      </c>
      <c r="L57" s="682">
        <f t="shared" ref="L57:M58" si="106">L15</f>
        <v>352</v>
      </c>
      <c r="M57" s="682">
        <f t="shared" si="106"/>
        <v>406</v>
      </c>
      <c r="N57" s="682">
        <f t="shared" ref="N57:O57" si="107">N15</f>
        <v>405</v>
      </c>
      <c r="O57" s="682">
        <f t="shared" si="107"/>
        <v>363</v>
      </c>
      <c r="P57" s="682">
        <f t="shared" ref="P57" si="108">P15</f>
        <v>325</v>
      </c>
      <c r="Q57" s="682">
        <f t="shared" ref="Q57" si="109">Q15</f>
        <v>300</v>
      </c>
      <c r="R57" s="682">
        <f t="shared" ref="R57:U57" si="110">R15</f>
        <v>280</v>
      </c>
      <c r="S57" s="682">
        <f t="shared" si="110"/>
        <v>270</v>
      </c>
      <c r="T57" s="682">
        <f t="shared" si="110"/>
        <v>260</v>
      </c>
      <c r="U57" s="682">
        <f t="shared" si="110"/>
        <v>248</v>
      </c>
      <c r="V57" s="682"/>
    </row>
    <row r="58" spans="1:22" outlineLevel="1">
      <c r="A58" s="398" t="s">
        <v>556</v>
      </c>
      <c r="C58" s="682">
        <f>C16</f>
        <v>29</v>
      </c>
      <c r="D58" s="682">
        <f t="shared" ref="D58:K58" si="111">D16</f>
        <v>17</v>
      </c>
      <c r="E58" s="682">
        <f t="shared" si="111"/>
        <v>-16</v>
      </c>
      <c r="F58" s="682">
        <f t="shared" si="111"/>
        <v>5</v>
      </c>
      <c r="G58" s="682">
        <f t="shared" si="111"/>
        <v>1</v>
      </c>
      <c r="H58" s="682">
        <f t="shared" si="111"/>
        <v>0</v>
      </c>
      <c r="I58" s="682">
        <f t="shared" si="111"/>
        <v>20</v>
      </c>
      <c r="J58" s="682">
        <f t="shared" si="111"/>
        <v>658</v>
      </c>
      <c r="K58" s="682">
        <f t="shared" si="111"/>
        <v>-46</v>
      </c>
      <c r="L58" s="682">
        <f t="shared" si="106"/>
        <v>329</v>
      </c>
      <c r="M58" s="682">
        <f t="shared" si="106"/>
        <v>121</v>
      </c>
      <c r="N58" s="682">
        <f t="shared" ref="N58:O58" si="112">N16</f>
        <v>41</v>
      </c>
      <c r="O58" s="682">
        <f t="shared" si="112"/>
        <v>39</v>
      </c>
      <c r="P58" s="682">
        <f t="shared" ref="P58" si="113">P16</f>
        <v>41</v>
      </c>
      <c r="Q58" s="682">
        <f t="shared" ref="Q58" si="114">Q16</f>
        <v>0</v>
      </c>
      <c r="R58" s="682">
        <f>R16</f>
        <v>0</v>
      </c>
      <c r="S58" s="682">
        <f>S16</f>
        <v>0</v>
      </c>
      <c r="T58" s="682">
        <f>T16</f>
        <v>0</v>
      </c>
      <c r="U58" s="682">
        <f>U16</f>
        <v>0</v>
      </c>
      <c r="V58" s="682"/>
    </row>
    <row r="59" spans="1:22" outlineLevel="1">
      <c r="A59" s="774" t="s">
        <v>236</v>
      </c>
      <c r="C59" s="1324">
        <f>C55-C57-C58</f>
        <v>1005</v>
      </c>
      <c r="D59" s="1324">
        <f t="shared" ref="D59:L59" si="115">D55-D57-D58</f>
        <v>1444.0839999999989</v>
      </c>
      <c r="E59" s="1324">
        <f t="shared" si="115"/>
        <v>1794</v>
      </c>
      <c r="F59" s="1324">
        <f t="shared" si="115"/>
        <v>1720.0699999999997</v>
      </c>
      <c r="G59" s="1324">
        <f t="shared" si="115"/>
        <v>902.86917741935235</v>
      </c>
      <c r="H59" s="1324">
        <f t="shared" si="115"/>
        <v>403</v>
      </c>
      <c r="I59" s="1324">
        <f t="shared" si="115"/>
        <v>613</v>
      </c>
      <c r="J59" s="1324">
        <f t="shared" si="115"/>
        <v>-228.6783730736779</v>
      </c>
      <c r="K59" s="1324">
        <f t="shared" si="115"/>
        <v>-1536</v>
      </c>
      <c r="L59" s="1324">
        <f t="shared" si="115"/>
        <v>-1886</v>
      </c>
      <c r="M59" s="1324">
        <f>M55-M57-M58</f>
        <v>-748</v>
      </c>
      <c r="N59" s="1324">
        <f t="shared" ref="N59:O59" si="116">N55-N57-N58</f>
        <v>-564.75</v>
      </c>
      <c r="O59" s="1324">
        <f t="shared" si="116"/>
        <v>2</v>
      </c>
      <c r="P59" s="1324">
        <f t="shared" ref="P59" si="117">P55-P57-P58</f>
        <v>-13</v>
      </c>
      <c r="Q59" s="1324">
        <f t="shared" ref="Q59" si="118">Q55-Q57-Q58</f>
        <v>60.709906081354802</v>
      </c>
      <c r="R59" s="1324">
        <f>R55-R57-R58</f>
        <v>54.350028652015226</v>
      </c>
      <c r="S59" s="1324">
        <f>S55-S57-S58</f>
        <v>95.014857500065773</v>
      </c>
      <c r="T59" s="1324">
        <f>T55-T57-T58</f>
        <v>133.82937589072299</v>
      </c>
      <c r="U59" s="1324">
        <f>U55-U57-U58</f>
        <v>134.71589588820962</v>
      </c>
      <c r="V59" s="1324"/>
    </row>
    <row r="60" spans="1:22" outlineLevel="1">
      <c r="C60" s="682"/>
      <c r="D60" s="682"/>
      <c r="E60" s="682"/>
      <c r="F60" s="682"/>
      <c r="G60" s="682"/>
      <c r="H60" s="682"/>
      <c r="I60" s="682"/>
      <c r="J60" s="682"/>
      <c r="K60" s="682"/>
      <c r="L60" s="682"/>
      <c r="M60" s="682"/>
      <c r="N60" s="682"/>
      <c r="O60" s="682"/>
      <c r="P60" s="682"/>
    </row>
    <row r="61" spans="1:22">
      <c r="A61" s="398" t="s">
        <v>237</v>
      </c>
      <c r="C61" s="682">
        <f>C19</f>
        <v>347.63</v>
      </c>
      <c r="D61" s="682">
        <f t="shared" ref="D61:J61" si="119">D19</f>
        <v>515.96840520446096</v>
      </c>
      <c r="E61" s="682">
        <f t="shared" si="119"/>
        <v>657.61206896551721</v>
      </c>
      <c r="F61" s="682">
        <f t="shared" si="119"/>
        <v>650</v>
      </c>
      <c r="G61" s="682">
        <f t="shared" si="119"/>
        <v>340.27129677419322</v>
      </c>
      <c r="H61" s="682">
        <f t="shared" si="119"/>
        <v>153.41800000000001</v>
      </c>
      <c r="I61" s="682">
        <f t="shared" si="119"/>
        <v>214.52</v>
      </c>
      <c r="J61" s="682">
        <f t="shared" si="119"/>
        <v>-77</v>
      </c>
      <c r="K61" s="682">
        <f>K19</f>
        <v>-551</v>
      </c>
      <c r="L61" s="682">
        <f>L19</f>
        <v>-498</v>
      </c>
      <c r="M61" s="682">
        <f>M19</f>
        <v>23</v>
      </c>
      <c r="N61" s="682">
        <f t="shared" ref="N61:O61" si="120">N19</f>
        <v>-18</v>
      </c>
      <c r="O61" s="682">
        <f t="shared" si="120"/>
        <v>1</v>
      </c>
      <c r="P61" s="682">
        <f t="shared" ref="P61" si="121">P19</f>
        <v>-80.680000000000007</v>
      </c>
      <c r="Q61" s="682">
        <f t="shared" ref="Q61" si="122">Q59*Q76</f>
        <v>26.247700512606546</v>
      </c>
      <c r="R61" s="682">
        <f t="shared" ref="R61:T61" si="123">R59*R76</f>
        <v>0</v>
      </c>
      <c r="S61" s="682">
        <f t="shared" si="123"/>
        <v>0</v>
      </c>
      <c r="T61" s="682">
        <f t="shared" si="123"/>
        <v>0</v>
      </c>
      <c r="U61" s="682">
        <f t="shared" ref="U61" si="124">U59*U76</f>
        <v>0</v>
      </c>
      <c r="V61" s="682"/>
    </row>
    <row r="62" spans="1:22" outlineLevel="1">
      <c r="C62" s="682"/>
      <c r="D62" s="682"/>
      <c r="E62" s="682"/>
      <c r="F62" s="682"/>
      <c r="G62" s="682"/>
      <c r="H62" s="682"/>
      <c r="I62" s="682"/>
      <c r="J62" s="682"/>
      <c r="K62" s="682"/>
      <c r="L62" s="682"/>
      <c r="M62" s="682"/>
      <c r="N62" s="682"/>
      <c r="O62" s="682"/>
      <c r="P62" s="682"/>
    </row>
    <row r="63" spans="1:22" outlineLevel="1">
      <c r="C63" s="682"/>
      <c r="D63" s="682"/>
      <c r="E63" s="682"/>
      <c r="F63" s="682"/>
      <c r="G63" s="682"/>
      <c r="H63" s="682"/>
      <c r="I63" s="682"/>
      <c r="J63" s="682"/>
      <c r="K63" s="682"/>
      <c r="L63" s="682"/>
      <c r="M63" s="682"/>
      <c r="N63" s="682"/>
      <c r="O63" s="682"/>
      <c r="P63" s="682"/>
    </row>
    <row r="64" spans="1:22" outlineLevel="1">
      <c r="A64" s="398" t="s">
        <v>238</v>
      </c>
      <c r="C64" s="1324">
        <f>C59-C61</f>
        <v>657.37</v>
      </c>
      <c r="D64" s="1324">
        <f t="shared" ref="D64:J64" si="125">D59-D61</f>
        <v>928.11559479553796</v>
      </c>
      <c r="E64" s="1324">
        <f t="shared" si="125"/>
        <v>1136.3879310344828</v>
      </c>
      <c r="F64" s="1324">
        <f t="shared" si="125"/>
        <v>1070.0699999999997</v>
      </c>
      <c r="G64" s="1324">
        <f t="shared" si="125"/>
        <v>562.59788064515919</v>
      </c>
      <c r="H64" s="1324">
        <f t="shared" si="125"/>
        <v>249.58199999999999</v>
      </c>
      <c r="I64" s="1324">
        <f t="shared" si="125"/>
        <v>398.48</v>
      </c>
      <c r="J64" s="1324">
        <f t="shared" si="125"/>
        <v>-151.6783730736779</v>
      </c>
      <c r="K64" s="1324">
        <f>K59-K61</f>
        <v>-985</v>
      </c>
      <c r="L64" s="1324">
        <f>L59-L61</f>
        <v>-1388</v>
      </c>
      <c r="M64" s="1324">
        <f>M59-M61</f>
        <v>-771</v>
      </c>
      <c r="N64" s="1324">
        <f t="shared" ref="N64:O64" si="126">N59-N61</f>
        <v>-546.75</v>
      </c>
      <c r="O64" s="1324">
        <f t="shared" si="126"/>
        <v>1</v>
      </c>
      <c r="P64" s="1324">
        <f t="shared" ref="P64" si="127">P59-P61</f>
        <v>67.680000000000007</v>
      </c>
      <c r="Q64" s="1324">
        <f t="shared" ref="Q64" si="128">Q59-Q61</f>
        <v>34.46220556874826</v>
      </c>
      <c r="R64" s="1324">
        <f>R59-R61</f>
        <v>54.350028652015226</v>
      </c>
      <c r="S64" s="1324">
        <f>S59-S61</f>
        <v>95.014857500065773</v>
      </c>
      <c r="T64" s="1324">
        <f>T59-T61</f>
        <v>133.82937589072299</v>
      </c>
      <c r="U64" s="1324">
        <f>U59-U61</f>
        <v>134.71589588820962</v>
      </c>
      <c r="V64" s="1324"/>
    </row>
    <row r="65" spans="1:22" outlineLevel="1">
      <c r="C65" s="682"/>
      <c r="D65" s="682"/>
      <c r="E65" s="682"/>
      <c r="F65" s="682"/>
      <c r="G65" s="682"/>
      <c r="H65" s="682"/>
      <c r="I65" s="682"/>
      <c r="J65" s="682"/>
      <c r="K65" s="682"/>
      <c r="L65" s="682"/>
      <c r="M65" s="682"/>
      <c r="N65" s="682"/>
      <c r="O65" s="682"/>
      <c r="P65" s="682"/>
    </row>
    <row r="66" spans="1:22">
      <c r="A66" s="952" t="s">
        <v>242</v>
      </c>
      <c r="B66" s="952"/>
      <c r="C66" s="1319">
        <f>C64/C67</f>
        <v>2.173662891626023</v>
      </c>
      <c r="D66" s="1319">
        <f t="shared" ref="D66:J66" si="129">D64/D67</f>
        <v>3.6339686562080575</v>
      </c>
      <c r="E66" s="1319">
        <f t="shared" si="129"/>
        <v>4.894004870949539</v>
      </c>
      <c r="F66" s="1319">
        <f t="shared" si="129"/>
        <v>4.7521705340290872</v>
      </c>
      <c r="G66" s="1319">
        <f t="shared" si="129"/>
        <v>2.5242754039042476</v>
      </c>
      <c r="H66" s="1319">
        <f t="shared" si="129"/>
        <v>1.0718574189392314</v>
      </c>
      <c r="I66" s="1319">
        <f t="shared" si="129"/>
        <v>1.6742857142857144</v>
      </c>
      <c r="J66" s="1319">
        <f t="shared" si="129"/>
        <v>-0.69769260843458092</v>
      </c>
      <c r="K66" s="1319">
        <f t="shared" ref="K66:L66" si="130">K64/K67</f>
        <v>-4.4936131386861318</v>
      </c>
      <c r="L66" s="1319">
        <f t="shared" si="130"/>
        <v>-5.5675892498997186</v>
      </c>
      <c r="M66" s="1319">
        <f>M64/M67</f>
        <v>-2.5262123197903015</v>
      </c>
      <c r="N66" s="1319">
        <f t="shared" ref="N66:O66" si="131">N64/N67</f>
        <v>-1.7873488067996079</v>
      </c>
      <c r="O66" s="1319">
        <f t="shared" si="131"/>
        <v>3.1948881789137379E-3</v>
      </c>
      <c r="P66" s="1319">
        <f t="shared" ref="P66" si="132">P64/P67</f>
        <v>0.21755062680810031</v>
      </c>
      <c r="Q66" s="1319">
        <f t="shared" ref="Q66" si="133">Q64/Q67</f>
        <v>0.10954292933486413</v>
      </c>
      <c r="R66" s="1319">
        <f>R64/R67</f>
        <v>0.17275915019712404</v>
      </c>
      <c r="S66" s="1319">
        <f>S64/S67</f>
        <v>0.30201798315341949</v>
      </c>
      <c r="T66" s="1319">
        <f>T64/T67</f>
        <v>0.42539534612435786</v>
      </c>
      <c r="U66" s="1319">
        <f>U64/U67</f>
        <v>0.42821327364338718</v>
      </c>
      <c r="V66" s="1451"/>
    </row>
    <row r="67" spans="1:22">
      <c r="A67" s="398" t="s">
        <v>240</v>
      </c>
      <c r="C67" s="682">
        <f>C26</f>
        <v>302.42500000000001</v>
      </c>
      <c r="D67" s="682">
        <f t="shared" ref="D67:J67" si="134">D26</f>
        <v>255.4</v>
      </c>
      <c r="E67" s="682">
        <f t="shared" si="134"/>
        <v>232.2</v>
      </c>
      <c r="F67" s="682">
        <f t="shared" si="134"/>
        <v>225.17500000000001</v>
      </c>
      <c r="G67" s="682">
        <f t="shared" si="134"/>
        <v>222.875</v>
      </c>
      <c r="H67" s="682">
        <f t="shared" si="134"/>
        <v>232.85</v>
      </c>
      <c r="I67" s="682">
        <f t="shared" si="134"/>
        <v>238</v>
      </c>
      <c r="J67" s="682">
        <f t="shared" si="134"/>
        <v>217.4</v>
      </c>
      <c r="K67" s="682">
        <f t="shared" ref="K67:R67" si="135">K26</f>
        <v>219.2</v>
      </c>
      <c r="L67" s="682">
        <f t="shared" si="135"/>
        <v>249.3</v>
      </c>
      <c r="M67" s="682">
        <f t="shared" si="135"/>
        <v>305.2</v>
      </c>
      <c r="N67" s="682">
        <f t="shared" ref="N67:O67" si="136">N26</f>
        <v>305.89999999999998</v>
      </c>
      <c r="O67" s="682">
        <f t="shared" si="136"/>
        <v>313</v>
      </c>
      <c r="P67" s="682">
        <f t="shared" ref="P67" si="137">P26</f>
        <v>311.10000000000002</v>
      </c>
      <c r="Q67" s="682">
        <f t="shared" ref="Q67" si="138">Q26</f>
        <v>314.60000000000002</v>
      </c>
      <c r="R67" s="682">
        <f t="shared" si="135"/>
        <v>314.60000000000002</v>
      </c>
      <c r="S67" s="682">
        <f>S26</f>
        <v>314.60000000000002</v>
      </c>
      <c r="T67" s="682">
        <f>T26</f>
        <v>314.60000000000002</v>
      </c>
      <c r="U67" s="682">
        <f>U26</f>
        <v>314.60000000000002</v>
      </c>
      <c r="V67" s="682"/>
    </row>
    <row r="68" spans="1:22" outlineLevel="1">
      <c r="Q68" s="587"/>
      <c r="R68" s="587"/>
      <c r="S68" s="587"/>
      <c r="T68" s="587"/>
      <c r="U68" s="587"/>
      <c r="V68" s="587"/>
    </row>
    <row r="69" spans="1:22" outlineLevel="1">
      <c r="A69" s="398" t="s">
        <v>486</v>
      </c>
      <c r="C69" s="682">
        <f>C28</f>
        <v>359</v>
      </c>
      <c r="D69" s="682">
        <f t="shared" ref="D69:J69" si="139">D28</f>
        <v>372</v>
      </c>
      <c r="E69" s="682">
        <f t="shared" si="139"/>
        <v>389</v>
      </c>
      <c r="F69" s="682">
        <f t="shared" si="139"/>
        <v>426</v>
      </c>
      <c r="G69" s="682">
        <f t="shared" si="139"/>
        <v>469</v>
      </c>
      <c r="H69" s="682">
        <f t="shared" si="139"/>
        <v>495</v>
      </c>
      <c r="I69" s="682">
        <f t="shared" si="139"/>
        <v>511</v>
      </c>
      <c r="J69" s="682">
        <f t="shared" si="139"/>
        <v>518</v>
      </c>
      <c r="K69" s="682">
        <f>K28</f>
        <v>543</v>
      </c>
      <c r="L69" s="682">
        <f>L28</f>
        <v>601</v>
      </c>
      <c r="M69" s="682">
        <f>M28</f>
        <v>631</v>
      </c>
      <c r="N69" s="682">
        <f t="shared" ref="N69:O69" si="140">N28</f>
        <v>616</v>
      </c>
      <c r="O69" s="682">
        <f t="shared" si="140"/>
        <v>609</v>
      </c>
      <c r="P69" s="682">
        <f t="shared" ref="P69" si="141">P28</f>
        <v>570</v>
      </c>
      <c r="Q69" s="682">
        <f t="shared" ref="Q69" si="142">Q28</f>
        <v>549</v>
      </c>
      <c r="R69" s="682">
        <f>R28</f>
        <v>540.54392745588927</v>
      </c>
      <c r="S69" s="682">
        <f>S28</f>
        <v>515.40399752693622</v>
      </c>
      <c r="T69" s="682">
        <f>T28</f>
        <v>499.56853428656024</v>
      </c>
      <c r="U69" s="682">
        <f>U28</f>
        <v>472.98198524151951</v>
      </c>
      <c r="V69" s="682"/>
    </row>
    <row r="70" spans="1:22" outlineLevel="1">
      <c r="A70" s="398" t="s">
        <v>245</v>
      </c>
      <c r="C70" s="1324">
        <f>C55+C69</f>
        <v>1616</v>
      </c>
      <c r="D70" s="1324">
        <f t="shared" ref="D70:L70" si="143">D55+D69</f>
        <v>2002.0839999999989</v>
      </c>
      <c r="E70" s="1324">
        <f t="shared" si="143"/>
        <v>2297</v>
      </c>
      <c r="F70" s="1324">
        <f t="shared" si="143"/>
        <v>2304.0699999999997</v>
      </c>
      <c r="G70" s="1324">
        <f t="shared" si="143"/>
        <v>1597.8691774193524</v>
      </c>
      <c r="H70" s="1324">
        <f t="shared" si="143"/>
        <v>1158</v>
      </c>
      <c r="I70" s="1324">
        <f t="shared" si="143"/>
        <v>1375</v>
      </c>
      <c r="J70" s="1324">
        <f t="shared" si="143"/>
        <v>1174</v>
      </c>
      <c r="K70" s="1324">
        <f t="shared" si="143"/>
        <v>-813</v>
      </c>
      <c r="L70" s="1324">
        <f t="shared" si="143"/>
        <v>-604</v>
      </c>
      <c r="M70" s="1324">
        <f>M55+M69</f>
        <v>410</v>
      </c>
      <c r="N70" s="1324">
        <f t="shared" ref="N70:O70" si="144">N55+N69</f>
        <v>497.25</v>
      </c>
      <c r="O70" s="1324">
        <f t="shared" si="144"/>
        <v>1013</v>
      </c>
      <c r="P70" s="1324">
        <f t="shared" ref="P70" si="145">P55+P69</f>
        <v>923</v>
      </c>
      <c r="Q70" s="1324">
        <f t="shared" ref="Q70" si="146">Q55+Q69</f>
        <v>909.7099060813548</v>
      </c>
      <c r="R70" s="1324">
        <f>R55+R69</f>
        <v>874.8939561079045</v>
      </c>
      <c r="S70" s="1324">
        <f>S55+S69</f>
        <v>880.418855027002</v>
      </c>
      <c r="T70" s="1324">
        <f>T55+T69</f>
        <v>893.39791017728317</v>
      </c>
      <c r="U70" s="1324">
        <f>U55+U69</f>
        <v>855.69788112972913</v>
      </c>
      <c r="V70" s="1324"/>
    </row>
    <row r="71" spans="1:22">
      <c r="P71" s="587">
        <f t="shared" ref="P71:U71" si="147">P53/O53-1</f>
        <v>-2.6164186269803213E-2</v>
      </c>
      <c r="Q71" s="587">
        <f t="shared" si="147"/>
        <v>-1.5669816918806534E-2</v>
      </c>
      <c r="R71" s="587">
        <f t="shared" si="147"/>
        <v>-1.6230347300131731E-2</v>
      </c>
      <c r="S71" s="587">
        <f t="shared" si="147"/>
        <v>-2.2926539275818558E-2</v>
      </c>
      <c r="T71" s="587">
        <f t="shared" si="147"/>
        <v>-2.5312797222713956E-2</v>
      </c>
      <c r="U71" s="587">
        <f t="shared" si="147"/>
        <v>-2.8219022457067422E-2</v>
      </c>
      <c r="V71" s="587"/>
    </row>
    <row r="72" spans="1:22">
      <c r="A72" s="1088" t="s">
        <v>246</v>
      </c>
    </row>
    <row r="73" spans="1:22">
      <c r="A73" s="398" t="s">
        <v>247</v>
      </c>
      <c r="C73" s="587">
        <f>C52/C48</f>
        <v>0.37433687002652521</v>
      </c>
      <c r="D73" s="587">
        <f t="shared" ref="D73:J73" si="148">D52/D48</f>
        <v>0.38283647525350506</v>
      </c>
      <c r="E73" s="587">
        <f t="shared" si="148"/>
        <v>0.39241223148573873</v>
      </c>
      <c r="F73" s="587">
        <f t="shared" si="148"/>
        <v>0.38581205620184317</v>
      </c>
      <c r="G73" s="587">
        <f t="shared" si="148"/>
        <v>0.3741133989279174</v>
      </c>
      <c r="H73" s="587">
        <f t="shared" si="148"/>
        <v>0.39351963636093257</v>
      </c>
      <c r="I73" s="587">
        <f t="shared" si="148"/>
        <v>0.39191395911931975</v>
      </c>
      <c r="J73" s="587">
        <f t="shared" si="148"/>
        <v>0.37224797219003475</v>
      </c>
      <c r="K73" s="587">
        <f>K52/K48</f>
        <v>0.31721216788602236</v>
      </c>
      <c r="L73" s="587">
        <f>L52/L48</f>
        <v>0.2944599038704781</v>
      </c>
      <c r="M73" s="587">
        <f>M52/M48</f>
        <v>0.34763808435995758</v>
      </c>
      <c r="N73" s="587">
        <f t="shared" ref="N73:O73" si="149">N52/N48</f>
        <v>0.36047524752475246</v>
      </c>
      <c r="O73" s="587">
        <f t="shared" si="149"/>
        <v>0.35673866262851678</v>
      </c>
      <c r="P73" s="587">
        <f t="shared" ref="P73" si="150">P52/P48</f>
        <v>0.34639373100911564</v>
      </c>
      <c r="Q73" s="1015">
        <v>0.35699999999999998</v>
      </c>
      <c r="R73" s="1015">
        <v>0.35699999999999998</v>
      </c>
      <c r="S73" s="1015">
        <v>0.35699999999999998</v>
      </c>
      <c r="T73" s="1015">
        <v>0.35699999999999998</v>
      </c>
      <c r="U73" s="1004">
        <f>T73</f>
        <v>0.35699999999999998</v>
      </c>
      <c r="V73" s="1004"/>
    </row>
    <row r="74" spans="1:22">
      <c r="A74" s="398" t="s">
        <v>248</v>
      </c>
      <c r="C74" s="587">
        <f>C53/C48</f>
        <v>0.30421087533156499</v>
      </c>
      <c r="D74" s="587">
        <f t="shared" ref="D74:J74" si="151">D53/D48</f>
        <v>0.29891778344636549</v>
      </c>
      <c r="E74" s="587">
        <f t="shared" si="151"/>
        <v>0.29826544851246073</v>
      </c>
      <c r="F74" s="587">
        <f t="shared" si="151"/>
        <v>0.29354887445233419</v>
      </c>
      <c r="G74" s="587">
        <f t="shared" si="151"/>
        <v>0.31401237666861614</v>
      </c>
      <c r="H74" s="587">
        <f t="shared" si="151"/>
        <v>0.35547750653617094</v>
      </c>
      <c r="I74" s="587">
        <f t="shared" si="151"/>
        <v>0.34483923644349346</v>
      </c>
      <c r="J74" s="587">
        <f t="shared" si="151"/>
        <v>0.33302433371958284</v>
      </c>
      <c r="K74" s="587">
        <f>K53/K48</f>
        <v>0.41601848286484405</v>
      </c>
      <c r="L74" s="587">
        <f>L53/L48</f>
        <v>0.40914073699300108</v>
      </c>
      <c r="M74" s="587">
        <f>M53/M48</f>
        <v>0.37774333034184548</v>
      </c>
      <c r="N74" s="587">
        <f t="shared" ref="N74:O74" si="152">N53/N48</f>
        <v>0.36544554455445544</v>
      </c>
      <c r="O74" s="587">
        <f t="shared" si="152"/>
        <v>0.33203156132940143</v>
      </c>
      <c r="P74" s="587">
        <f t="shared" ref="P74" si="153">P53/P48</f>
        <v>0.32440428594274751</v>
      </c>
      <c r="Q74" s="1015">
        <v>0.33200000000000002</v>
      </c>
      <c r="R74" s="1015">
        <f t="shared" ref="R74:T74" si="154">Q74-0.003</f>
        <v>0.32900000000000001</v>
      </c>
      <c r="S74" s="1015">
        <f t="shared" si="154"/>
        <v>0.32600000000000001</v>
      </c>
      <c r="T74" s="1015">
        <f t="shared" si="154"/>
        <v>0.32300000000000001</v>
      </c>
      <c r="U74" s="1015">
        <f>T74</f>
        <v>0.32300000000000001</v>
      </c>
      <c r="V74" s="1015"/>
    </row>
    <row r="75" spans="1:22">
      <c r="A75" s="398" t="s">
        <v>249</v>
      </c>
      <c r="C75" s="587">
        <f>C55/C48</f>
        <v>6.9462864721485412E-2</v>
      </c>
      <c r="D75" s="587">
        <f t="shared" ref="D75:K75" si="155">D55/D48</f>
        <v>8.6793925206872985E-2</v>
      </c>
      <c r="E75" s="587">
        <f t="shared" si="155"/>
        <v>9.5854888961053583E-2</v>
      </c>
      <c r="F75" s="587">
        <f t="shared" si="155"/>
        <v>9.4579745178022853E-2</v>
      </c>
      <c r="G75" s="587">
        <f t="shared" si="155"/>
        <v>6.1064408845718614E-2</v>
      </c>
      <c r="H75" s="587">
        <f t="shared" si="155"/>
        <v>3.775738334403738E-2</v>
      </c>
      <c r="I75" s="587">
        <f t="shared" si="155"/>
        <v>4.8651388028605212E-2</v>
      </c>
      <c r="J75" s="587">
        <f t="shared" si="155"/>
        <v>3.8006952491309386E-2</v>
      </c>
      <c r="K75" s="587">
        <f t="shared" si="155"/>
        <v>-0.10442818636888718</v>
      </c>
      <c r="L75" s="587">
        <f>L55/L48</f>
        <v>-0.10161059111223543</v>
      </c>
      <c r="M75" s="587">
        <f>M55/M48</f>
        <v>-1.8030513176144243E-2</v>
      </c>
      <c r="N75" s="587">
        <f t="shared" ref="N75:O75" si="156">N55/N48</f>
        <v>-9.4059405940594056E-3</v>
      </c>
      <c r="O75" s="587">
        <f t="shared" si="156"/>
        <v>3.2198932015621261E-2</v>
      </c>
      <c r="P75" s="587">
        <f t="shared" ref="P75" si="157">P55/P48</f>
        <v>2.8226451303374381E-2</v>
      </c>
      <c r="Q75" s="587">
        <v>0.29199999999999998</v>
      </c>
      <c r="R75" s="587">
        <f>R55/R48</f>
        <v>2.7999999999999959E-2</v>
      </c>
      <c r="S75" s="587">
        <f>S55/S48</f>
        <v>3.0999999999999958E-2</v>
      </c>
      <c r="T75" s="587">
        <f>T55/T48</f>
        <v>3.4000000000000002E-2</v>
      </c>
      <c r="U75" s="587">
        <f>U55/U48</f>
        <v>3.3999999999999982E-2</v>
      </c>
      <c r="V75" s="587"/>
    </row>
    <row r="76" spans="1:22">
      <c r="A76" s="398" t="s">
        <v>251</v>
      </c>
      <c r="C76" s="587">
        <f>C61/C59</f>
        <v>0.34590049751243779</v>
      </c>
      <c r="D76" s="587">
        <f t="shared" ref="D76:J76" si="158">D61/D59</f>
        <v>0.35729805551786553</v>
      </c>
      <c r="E76" s="587">
        <f t="shared" si="158"/>
        <v>0.36656191135201627</v>
      </c>
      <c r="F76" s="587">
        <f t="shared" si="158"/>
        <v>0.37789159743498818</v>
      </c>
      <c r="G76" s="587">
        <f t="shared" si="158"/>
        <v>0.37687774185268114</v>
      </c>
      <c r="H76" s="587">
        <f t="shared" si="158"/>
        <v>0.38068982630272952</v>
      </c>
      <c r="I76" s="587">
        <f t="shared" si="158"/>
        <v>0.34995106035889073</v>
      </c>
      <c r="J76" s="587">
        <f t="shared" si="158"/>
        <v>0.33671745589685198</v>
      </c>
      <c r="K76" s="587">
        <f>K61/K59</f>
        <v>0.35872395833333331</v>
      </c>
      <c r="L76" s="587">
        <f>L61/L59</f>
        <v>0.26405090137857901</v>
      </c>
      <c r="M76" s="587">
        <f>M61/M59</f>
        <v>-3.074866310160428E-2</v>
      </c>
      <c r="N76" s="587">
        <f t="shared" ref="N76:O76" si="159">N61/N59</f>
        <v>3.1872509960159362E-2</v>
      </c>
      <c r="O76" s="587">
        <f t="shared" si="159"/>
        <v>0.5</v>
      </c>
      <c r="P76" s="587">
        <f t="shared" ref="P76" si="160">P61/P59</f>
        <v>6.206153846153847</v>
      </c>
      <c r="Q76" s="1015">
        <f t="shared" ref="Q76:U76" si="161">Q35</f>
        <v>0.43234625462001375</v>
      </c>
      <c r="R76" s="1015">
        <f t="shared" si="161"/>
        <v>0</v>
      </c>
      <c r="S76" s="1015">
        <f t="shared" si="161"/>
        <v>0</v>
      </c>
      <c r="T76" s="1015">
        <f t="shared" si="161"/>
        <v>0</v>
      </c>
      <c r="U76" s="1015">
        <f t="shared" si="161"/>
        <v>0</v>
      </c>
      <c r="V76" s="1015"/>
    </row>
    <row r="78" spans="1:22">
      <c r="A78" s="1088" t="s">
        <v>254</v>
      </c>
      <c r="P78" s="1004"/>
    </row>
    <row r="79" spans="1:22">
      <c r="A79" s="398" t="s">
        <v>152</v>
      </c>
      <c r="C79" s="1331" t="s">
        <v>147</v>
      </c>
      <c r="D79" s="587">
        <f>((D48/C48)-1)</f>
        <v>3.7858311229000741E-2</v>
      </c>
      <c r="E79" s="587">
        <f t="shared" ref="E79:M79" si="162">((E48/D48)-1)</f>
        <v>5.9847663745074664E-2</v>
      </c>
      <c r="F79" s="587">
        <f t="shared" si="162"/>
        <v>-2.4158647276515399E-3</v>
      </c>
      <c r="G79" s="587">
        <f t="shared" si="162"/>
        <v>-6.9016846517304331E-2</v>
      </c>
      <c r="H79" s="587">
        <f t="shared" si="162"/>
        <v>-5.0147476173715511E-2</v>
      </c>
      <c r="I79" s="587">
        <f t="shared" si="162"/>
        <v>1.1362550236440283E-2</v>
      </c>
      <c r="J79" s="587">
        <f t="shared" si="162"/>
        <v>-2.809842896559489E-2</v>
      </c>
      <c r="K79" s="587">
        <f t="shared" si="162"/>
        <v>-0.24768250289687133</v>
      </c>
      <c r="L79" s="587">
        <f t="shared" si="162"/>
        <v>-8.6715440893338491E-2</v>
      </c>
      <c r="M79" s="587">
        <f t="shared" si="162"/>
        <v>3.3561008516738378E-2</v>
      </c>
      <c r="N79" s="587">
        <f t="shared" ref="N79" si="163">((N48/M48)-1)</f>
        <v>3.0023659949416581E-2</v>
      </c>
      <c r="O79" s="587">
        <f t="shared" ref="O79:P79" si="164">((O48/N48)-1)</f>
        <v>-6.1782178217821837E-3</v>
      </c>
      <c r="P79" s="587">
        <f t="shared" si="164"/>
        <v>-3.2677133976248829E-3</v>
      </c>
      <c r="Q79" s="587">
        <f t="shared" ref="Q79:U79" si="165">Q80+Q86</f>
        <v>-3.8189969354372209E-2</v>
      </c>
      <c r="R79" s="587">
        <f t="shared" si="165"/>
        <v>-7.2598033545402578E-3</v>
      </c>
      <c r="S79" s="587">
        <f t="shared" si="165"/>
        <v>-1.3935065710872125E-2</v>
      </c>
      <c r="T79" s="587">
        <f t="shared" si="165"/>
        <v>-1.6259974905897055E-2</v>
      </c>
      <c r="U79" s="587">
        <f t="shared" si="165"/>
        <v>-2.8219022457067439E-2</v>
      </c>
      <c r="V79" s="587"/>
    </row>
    <row r="80" spans="1:22">
      <c r="A80" s="398" t="s">
        <v>255</v>
      </c>
      <c r="C80" s="587">
        <f>C39</f>
        <v>4.9000000000000002E-2</v>
      </c>
      <c r="D80" s="587">
        <f t="shared" ref="D80:J80" si="166">D39</f>
        <v>2.8999999999999998E-2</v>
      </c>
      <c r="E80" s="587">
        <f t="shared" si="166"/>
        <v>4.9625677213785739E-2</v>
      </c>
      <c r="F80" s="587">
        <f t="shared" si="166"/>
        <v>3.7257893941683045E-3</v>
      </c>
      <c r="G80" s="587">
        <f t="shared" si="166"/>
        <v>-8.5000000000000006E-2</v>
      </c>
      <c r="H80" s="587">
        <f t="shared" si="166"/>
        <v>-6.3080360850075165E-2</v>
      </c>
      <c r="I80" s="587">
        <f t="shared" si="166"/>
        <v>2.4532615502896971E-2</v>
      </c>
      <c r="J80" s="587">
        <f t="shared" si="166"/>
        <v>2E-3</v>
      </c>
      <c r="K80" s="587">
        <f>K39</f>
        <v>-0.252</v>
      </c>
      <c r="L80" s="587">
        <f>L39</f>
        <v>-6.8476178429884488E-2</v>
      </c>
      <c r="M80" s="587">
        <f>M39</f>
        <v>4.4000000000000004E-2</v>
      </c>
      <c r="N80" s="587">
        <f t="shared" ref="N80:O80" si="167">N39</f>
        <v>4.4999999999999998E-2</v>
      </c>
      <c r="O80" s="587">
        <f t="shared" si="167"/>
        <v>0</v>
      </c>
      <c r="P80" s="587">
        <f t="shared" ref="P80" si="168">P39</f>
        <v>1E-3</v>
      </c>
      <c r="Q80" s="1015">
        <v>0</v>
      </c>
      <c r="R80" s="1015">
        <v>0</v>
      </c>
      <c r="S80" s="1015">
        <v>0</v>
      </c>
      <c r="T80" s="1015">
        <v>0</v>
      </c>
      <c r="U80" s="1015">
        <v>0</v>
      </c>
      <c r="V80" s="1015"/>
    </row>
    <row r="81" spans="1:22">
      <c r="A81" s="398" t="s">
        <v>234</v>
      </c>
      <c r="C81" s="1331" t="s">
        <v>147</v>
      </c>
      <c r="D81" s="587">
        <f t="shared" ref="D81:R81" si="169">((D53/C53)-1)</f>
        <v>1.9800181653042648E-2</v>
      </c>
      <c r="E81" s="587">
        <f t="shared" si="169"/>
        <v>5.753473459209113E-2</v>
      </c>
      <c r="F81" s="587">
        <f t="shared" si="169"/>
        <v>-1.8191005558362838E-2</v>
      </c>
      <c r="G81" s="587">
        <f t="shared" si="169"/>
        <v>-4.1173443129182141E-3</v>
      </c>
      <c r="H81" s="587">
        <f t="shared" si="169"/>
        <v>7.5279931093884533E-2</v>
      </c>
      <c r="I81" s="587">
        <f t="shared" si="169"/>
        <v>-1.8904197372636933E-2</v>
      </c>
      <c r="J81" s="587">
        <f t="shared" si="169"/>
        <v>-6.1397779229261928E-2</v>
      </c>
      <c r="K81" s="587">
        <f t="shared" si="169"/>
        <v>-6.019485038274186E-2</v>
      </c>
      <c r="L81" s="587">
        <f t="shared" si="169"/>
        <v>-0.10181414291003332</v>
      </c>
      <c r="M81" s="587">
        <f t="shared" si="169"/>
        <v>-4.5754328112118658E-2</v>
      </c>
      <c r="N81" s="587">
        <f t="shared" ref="N81" si="170">((N53/M53)-1)</f>
        <v>-3.5097192224622376E-3</v>
      </c>
      <c r="O81" s="587">
        <f t="shared" ref="O81:P81" si="171">((O53/N53)-1)</f>
        <v>-9.7046870766729909E-2</v>
      </c>
      <c r="P81" s="587">
        <f t="shared" si="171"/>
        <v>-2.6164186269803213E-2</v>
      </c>
      <c r="Q81" s="587">
        <f t="shared" si="169"/>
        <v>-1.5669816918806534E-2</v>
      </c>
      <c r="R81" s="587">
        <f t="shared" si="169"/>
        <v>-1.6230347300131731E-2</v>
      </c>
      <c r="S81" s="587">
        <f>((S53/R53)-1)</f>
        <v>-2.2926539275818558E-2</v>
      </c>
      <c r="T81" s="587">
        <f>((T53/S53)-1)</f>
        <v>-2.5312797222713956E-2</v>
      </c>
      <c r="U81" s="587">
        <f>((U53/T53)-1)</f>
        <v>-2.8219022457067422E-2</v>
      </c>
      <c r="V81" s="587"/>
    </row>
    <row r="82" spans="1:22">
      <c r="A82" s="398" t="s">
        <v>235</v>
      </c>
      <c r="C82" s="1331" t="s">
        <v>147</v>
      </c>
      <c r="D82" s="587">
        <f>((D55/C55)-1)</f>
        <v>0.29680509148766809</v>
      </c>
      <c r="E82" s="587">
        <f t="shared" ref="E82:M82" si="172">((E55/D55)-1)</f>
        <v>0.17049182741502977</v>
      </c>
      <c r="F82" s="587">
        <f t="shared" si="172"/>
        <v>-1.5686582809224525E-2</v>
      </c>
      <c r="G82" s="587">
        <f t="shared" si="172"/>
        <v>-0.39892060603739343</v>
      </c>
      <c r="H82" s="587">
        <f t="shared" si="172"/>
        <v>-0.41268659534522067</v>
      </c>
      <c r="I82" s="587">
        <f t="shared" si="172"/>
        <v>0.30316742081447967</v>
      </c>
      <c r="J82" s="587">
        <f t="shared" si="172"/>
        <v>-0.2407407407407407</v>
      </c>
      <c r="K82" s="587">
        <f t="shared" si="172"/>
        <v>-3.0670731707317072</v>
      </c>
      <c r="L82" s="587">
        <f t="shared" si="172"/>
        <v>-0.11135693215339237</v>
      </c>
      <c r="M82" s="587">
        <f t="shared" si="172"/>
        <v>-0.81659751037344397</v>
      </c>
      <c r="N82" s="587">
        <f t="shared" ref="N82" si="173">((N55/M55)-1)</f>
        <v>-0.46266968325791857</v>
      </c>
      <c r="O82" s="587">
        <f t="shared" ref="O82:P82" si="174">((O55/N55)-1)</f>
        <v>-4.4021052631578943</v>
      </c>
      <c r="P82" s="587">
        <f t="shared" si="174"/>
        <v>-0.12623762376237624</v>
      </c>
      <c r="Q82" s="587">
        <f t="shared" ref="Q82:U82" si="175">((Q55/P55)-1)</f>
        <v>2.1841093714886073E-2</v>
      </c>
      <c r="R82" s="587">
        <f t="shared" si="175"/>
        <v>-7.3077775200868333E-2</v>
      </c>
      <c r="S82" s="587">
        <f t="shared" si="175"/>
        <v>9.1714748677248936E-2</v>
      </c>
      <c r="T82" s="587">
        <f t="shared" si="175"/>
        <v>7.8940672683856405E-2</v>
      </c>
      <c r="U82" s="587">
        <f t="shared" si="175"/>
        <v>-2.8219022457067977E-2</v>
      </c>
      <c r="V82" s="587"/>
    </row>
    <row r="83" spans="1:22">
      <c r="A83" s="398" t="s">
        <v>493</v>
      </c>
      <c r="C83" s="1331" t="s">
        <v>147</v>
      </c>
      <c r="D83" s="587">
        <f>((D66/C66)-1)</f>
        <v>0.67181795770071928</v>
      </c>
      <c r="E83" s="587">
        <f t="shared" ref="E83:M83" si="176">((E66/D66)-1)</f>
        <v>0.34673832769275825</v>
      </c>
      <c r="F83" s="587">
        <f t="shared" si="176"/>
        <v>-2.8981241470021901E-2</v>
      </c>
      <c r="G83" s="587">
        <f t="shared" si="176"/>
        <v>-0.46881632596546108</v>
      </c>
      <c r="H83" s="587">
        <f t="shared" si="176"/>
        <v>-0.57538015967615486</v>
      </c>
      <c r="I83" s="587">
        <f t="shared" si="176"/>
        <v>0.56204144758607821</v>
      </c>
      <c r="J83" s="587">
        <f t="shared" si="176"/>
        <v>-1.4167106023073435</v>
      </c>
      <c r="K83" s="587">
        <f t="shared" si="176"/>
        <v>5.4406775768608062</v>
      </c>
      <c r="L83" s="587">
        <f t="shared" si="176"/>
        <v>0.23900057216042447</v>
      </c>
      <c r="M83" s="587">
        <f t="shared" si="176"/>
        <v>-0.54626460279270739</v>
      </c>
      <c r="N83" s="587">
        <f t="shared" ref="N83" si="177">((N66/M66)-1)</f>
        <v>-0.29247878620591394</v>
      </c>
      <c r="O83" s="587">
        <f t="shared" ref="O83:P83" si="178">((O66/N66)-1)</f>
        <v>-1.0017875012234654</v>
      </c>
      <c r="P83" s="587">
        <f t="shared" si="178"/>
        <v>67.093346190935392</v>
      </c>
      <c r="Q83" s="587">
        <f t="shared" ref="Q83:U83" si="179">((Q66/P66)-1)</f>
        <v>-0.49647155265844811</v>
      </c>
      <c r="R83" s="587">
        <f t="shared" si="179"/>
        <v>0.57709083777568959</v>
      </c>
      <c r="S83" s="587">
        <f t="shared" si="179"/>
        <v>0.74820252825281175</v>
      </c>
      <c r="T83" s="587">
        <f t="shared" si="179"/>
        <v>0.40850998898388435</v>
      </c>
      <c r="U83" s="587">
        <f t="shared" si="179"/>
        <v>6.6242556358515614E-3</v>
      </c>
      <c r="V83" s="587"/>
    </row>
    <row r="84" spans="1:22" outlineLevel="1">
      <c r="A84" s="398" t="s">
        <v>245</v>
      </c>
      <c r="C84" s="1331" t="s">
        <v>147</v>
      </c>
      <c r="D84" s="587">
        <f>((D70/C70)-1)</f>
        <v>0.23891336633663296</v>
      </c>
      <c r="E84" s="587">
        <f t="shared" ref="E84:M84" si="180">((E70/D70)-1)</f>
        <v>0.14730450870193312</v>
      </c>
      <c r="F84" s="587">
        <f t="shared" si="180"/>
        <v>3.0779277318240261E-3</v>
      </c>
      <c r="G84" s="587">
        <f t="shared" si="180"/>
        <v>-0.30650146157913927</v>
      </c>
      <c r="H84" s="587">
        <f t="shared" si="180"/>
        <v>-0.27528485037164652</v>
      </c>
      <c r="I84" s="587">
        <f t="shared" si="180"/>
        <v>0.18739205526770286</v>
      </c>
      <c r="J84" s="587">
        <f t="shared" si="180"/>
        <v>-0.14618181818181819</v>
      </c>
      <c r="K84" s="587">
        <f t="shared" si="180"/>
        <v>-1.692504258943782</v>
      </c>
      <c r="L84" s="587">
        <f t="shared" si="180"/>
        <v>-0.25707257072570722</v>
      </c>
      <c r="M84" s="587">
        <f t="shared" si="180"/>
        <v>-1.6788079470198676</v>
      </c>
      <c r="N84" s="587">
        <f t="shared" ref="N84" si="181">((N70/M70)-1)</f>
        <v>0.21280487804878057</v>
      </c>
      <c r="O84" s="587">
        <f t="shared" ref="O84:P84" si="182">((O70/N70)-1)</f>
        <v>1.0372046254399194</v>
      </c>
      <c r="P84" s="587">
        <f t="shared" si="182"/>
        <v>-8.8845014807502509E-2</v>
      </c>
      <c r="Q84" s="587">
        <f t="shared" ref="Q84:U84" si="183">((Q70/P70)-1)</f>
        <v>-1.4398801645336023E-2</v>
      </c>
      <c r="R84" s="587">
        <f t="shared" si="183"/>
        <v>-3.8271486042647074E-2</v>
      </c>
      <c r="S84" s="587">
        <f t="shared" si="183"/>
        <v>6.3149355193581336E-3</v>
      </c>
      <c r="T84" s="587">
        <f t="shared" si="183"/>
        <v>1.4741909576531098E-2</v>
      </c>
      <c r="U84" s="587">
        <f t="shared" si="183"/>
        <v>-4.2198474630495753E-2</v>
      </c>
      <c r="V84" s="587"/>
    </row>
    <row r="85" spans="1:22">
      <c r="A85" s="398" t="s">
        <v>558</v>
      </c>
      <c r="C85" s="1331" t="s">
        <v>147</v>
      </c>
      <c r="D85" s="587">
        <f>D38-D39</f>
        <v>8.8583112290007426E-3</v>
      </c>
      <c r="E85" s="587">
        <f t="shared" ref="E85:K85" si="184">E38-E39</f>
        <v>1.0221986531288925E-2</v>
      </c>
      <c r="F85" s="587">
        <f t="shared" si="184"/>
        <v>-6.141654121819844E-3</v>
      </c>
      <c r="G85" s="587">
        <f t="shared" si="184"/>
        <v>1.5983153482695675E-2</v>
      </c>
      <c r="H85" s="587">
        <f t="shared" si="184"/>
        <v>1.2932884676359654E-2</v>
      </c>
      <c r="I85" s="587">
        <f t="shared" si="184"/>
        <v>-1.3170065266456688E-2</v>
      </c>
      <c r="J85" s="587">
        <f t="shared" si="184"/>
        <v>-3.0098428965594892E-2</v>
      </c>
      <c r="K85" s="587">
        <f t="shared" si="184"/>
        <v>4.3174971031286757E-3</v>
      </c>
      <c r="L85" s="587">
        <f>L38-L39</f>
        <v>-1.8239262463454003E-2</v>
      </c>
      <c r="M85" s="587">
        <f>M38-M39</f>
        <v>-1.0438991483261627E-2</v>
      </c>
      <c r="N85" s="587">
        <f t="shared" ref="N85:O85" si="185">N38-N39</f>
        <v>-1.4976340050583417E-2</v>
      </c>
      <c r="O85" s="587">
        <f t="shared" si="185"/>
        <v>-6.1782178217821837E-3</v>
      </c>
      <c r="P85" s="587">
        <f t="shared" ref="P85" si="186">P38-P39</f>
        <v>-4.2677133976248829E-3</v>
      </c>
      <c r="Q85" s="587">
        <f t="shared" ref="Q85:U85" si="187">Q38-Q39</f>
        <v>-4.3189969354372207E-2</v>
      </c>
      <c r="R85" s="587">
        <f t="shared" si="187"/>
        <v>-1.2259803354540258E-2</v>
      </c>
      <c r="S85" s="587">
        <f t="shared" si="187"/>
        <v>-1.8935065710872126E-2</v>
      </c>
      <c r="T85" s="587">
        <f t="shared" si="187"/>
        <v>-2.1259974905897056E-2</v>
      </c>
      <c r="U85" s="587">
        <f t="shared" si="187"/>
        <v>-3.321902245706744E-2</v>
      </c>
      <c r="V85" s="587"/>
    </row>
    <row r="86" spans="1:22">
      <c r="A86" s="398" t="s">
        <v>559</v>
      </c>
      <c r="C86" s="1331" t="s">
        <v>147</v>
      </c>
      <c r="D86" s="587">
        <f>D85</f>
        <v>8.8583112290007426E-3</v>
      </c>
      <c r="E86" s="587">
        <f t="shared" ref="E86:L86" si="188">E85</f>
        <v>1.0221986531288925E-2</v>
      </c>
      <c r="F86" s="587">
        <f t="shared" si="188"/>
        <v>-6.141654121819844E-3</v>
      </c>
      <c r="G86" s="587">
        <f t="shared" si="188"/>
        <v>1.5983153482695675E-2</v>
      </c>
      <c r="H86" s="587">
        <f t="shared" si="188"/>
        <v>1.2932884676359654E-2</v>
      </c>
      <c r="I86" s="587">
        <f t="shared" si="188"/>
        <v>-1.3170065266456688E-2</v>
      </c>
      <c r="J86" s="587">
        <f t="shared" si="188"/>
        <v>-3.0098428965594892E-2</v>
      </c>
      <c r="K86" s="587">
        <f t="shared" si="188"/>
        <v>4.3174971031286757E-3</v>
      </c>
      <c r="L86" s="587">
        <f t="shared" si="188"/>
        <v>-1.8239262463454003E-2</v>
      </c>
      <c r="M86" s="587">
        <f>M85</f>
        <v>-1.0438991483261627E-2</v>
      </c>
      <c r="N86" s="587">
        <f t="shared" ref="N86:O86" si="189">N85</f>
        <v>-1.4976340050583417E-2</v>
      </c>
      <c r="O86" s="587">
        <f t="shared" si="189"/>
        <v>-6.1782178217821837E-3</v>
      </c>
      <c r="P86" s="587">
        <f t="shared" ref="P86" si="190">P85</f>
        <v>-4.2677133976248829E-3</v>
      </c>
      <c r="Q86" s="1015">
        <f t="shared" ref="Q86:U86" si="191">Q85+0.005</f>
        <v>-3.8189969354372209E-2</v>
      </c>
      <c r="R86" s="1015">
        <f t="shared" si="191"/>
        <v>-7.2598033545402578E-3</v>
      </c>
      <c r="S86" s="1015">
        <f t="shared" si="191"/>
        <v>-1.3935065710872125E-2</v>
      </c>
      <c r="T86" s="1015">
        <f t="shared" si="191"/>
        <v>-1.6259974905897055E-2</v>
      </c>
      <c r="U86" s="1015">
        <f t="shared" si="191"/>
        <v>-2.8219022457067439E-2</v>
      </c>
      <c r="V86" s="1015"/>
    </row>
    <row r="88" spans="1:22">
      <c r="A88" s="404" t="s">
        <v>560</v>
      </c>
      <c r="B88" s="1337"/>
      <c r="C88" s="1338" t="s">
        <v>544</v>
      </c>
      <c r="D88" s="1338" t="s">
        <v>545</v>
      </c>
      <c r="E88" s="1338" t="s">
        <v>546</v>
      </c>
      <c r="F88" s="1338" t="s">
        <v>547</v>
      </c>
      <c r="G88" s="1338" t="s">
        <v>548</v>
      </c>
      <c r="H88" s="1338" t="s">
        <v>549</v>
      </c>
      <c r="I88" s="1338" t="s">
        <v>482</v>
      </c>
      <c r="J88" s="1338" t="s">
        <v>483</v>
      </c>
      <c r="K88" s="1338" t="s">
        <v>550</v>
      </c>
      <c r="L88" s="1338" t="str">
        <f>L3</f>
        <v>2013A</v>
      </c>
      <c r="M88" s="1338" t="s">
        <v>630</v>
      </c>
      <c r="N88" s="1338" t="s">
        <v>551</v>
      </c>
      <c r="O88" s="1338" t="s">
        <v>552</v>
      </c>
      <c r="P88" s="1338" t="s">
        <v>553</v>
      </c>
      <c r="Q88" s="1338" t="s">
        <v>624</v>
      </c>
      <c r="R88" s="1338" t="str">
        <f>R45</f>
        <v>2019E</v>
      </c>
      <c r="S88" s="1338" t="str">
        <f>S45</f>
        <v>2020E</v>
      </c>
      <c r="T88" s="1338" t="str">
        <f>T45</f>
        <v>2021E</v>
      </c>
      <c r="U88" s="1338" t="str">
        <f>U45</f>
        <v>2022E</v>
      </c>
      <c r="V88" s="1338"/>
    </row>
    <row r="89" spans="1:22">
      <c r="A89" s="1088" t="s">
        <v>230</v>
      </c>
      <c r="C89" s="606" t="s">
        <v>143</v>
      </c>
      <c r="D89" s="606" t="s">
        <v>143</v>
      </c>
      <c r="E89" s="606" t="s">
        <v>143</v>
      </c>
      <c r="F89" s="606" t="s">
        <v>143</v>
      </c>
      <c r="G89" s="606" t="s">
        <v>143</v>
      </c>
      <c r="H89" s="606" t="s">
        <v>143</v>
      </c>
      <c r="I89" s="606" t="s">
        <v>143</v>
      </c>
      <c r="J89" s="606" t="s">
        <v>143</v>
      </c>
      <c r="K89" s="606" t="s">
        <v>143</v>
      </c>
      <c r="L89" s="606" t="s">
        <v>143</v>
      </c>
      <c r="M89" s="606" t="s">
        <v>143</v>
      </c>
      <c r="N89" s="606" t="s">
        <v>143</v>
      </c>
      <c r="O89" s="606" t="s">
        <v>143</v>
      </c>
      <c r="P89" s="606" t="s">
        <v>143</v>
      </c>
      <c r="Q89" s="606" t="s">
        <v>143</v>
      </c>
      <c r="R89" s="606" t="s">
        <v>143</v>
      </c>
      <c r="S89" s="606" t="s">
        <v>143</v>
      </c>
      <c r="T89" s="606" t="s">
        <v>143</v>
      </c>
      <c r="U89" s="606" t="s">
        <v>143</v>
      </c>
      <c r="V89" s="606"/>
    </row>
    <row r="90" spans="1:22">
      <c r="O90" s="682"/>
      <c r="P90" s="682">
        <f>O96-P96</f>
        <v>109</v>
      </c>
      <c r="Q90" s="682">
        <f>P96-Q96</f>
        <v>109.50285854654021</v>
      </c>
    </row>
    <row r="91" spans="1:22">
      <c r="A91" s="398" t="s">
        <v>231</v>
      </c>
      <c r="C91" s="1324">
        <f>C6</f>
        <v>18096</v>
      </c>
      <c r="D91" s="1324">
        <f t="shared" ref="D91:K91" si="192">D6</f>
        <v>18781.083999999999</v>
      </c>
      <c r="E91" s="1324">
        <f t="shared" si="192"/>
        <v>19905.088</v>
      </c>
      <c r="F91" s="1324">
        <f t="shared" si="192"/>
        <v>19857</v>
      </c>
      <c r="G91" s="1324">
        <f t="shared" si="192"/>
        <v>18486.532478705889</v>
      </c>
      <c r="H91" s="1324">
        <f t="shared" si="192"/>
        <v>17559.479531695368</v>
      </c>
      <c r="I91" s="1324">
        <f t="shared" si="192"/>
        <v>17759</v>
      </c>
      <c r="J91" s="1324">
        <f t="shared" si="192"/>
        <v>17260</v>
      </c>
      <c r="K91" s="1324">
        <f t="shared" si="192"/>
        <v>12985</v>
      </c>
      <c r="L91" s="1324">
        <f>L6</f>
        <v>11859</v>
      </c>
      <c r="M91" s="1324">
        <f>M6</f>
        <v>12257</v>
      </c>
      <c r="N91" s="1324">
        <f t="shared" ref="N91:O91" si="193">N6</f>
        <v>12625</v>
      </c>
      <c r="O91" s="1324">
        <f t="shared" si="193"/>
        <v>12547</v>
      </c>
      <c r="P91" s="1324">
        <f t="shared" ref="P91" si="194">P6</f>
        <v>12506</v>
      </c>
      <c r="Q91" s="1324">
        <f t="shared" ref="Q91:U91" si="195">(P91*(1+Q122))</f>
        <v>11528.156243254221</v>
      </c>
      <c r="R91" s="1324">
        <f t="shared" si="195"/>
        <v>10983.33784615761</v>
      </c>
      <c r="S91" s="1324">
        <f t="shared" si="195"/>
        <v>10390.95079770039</v>
      </c>
      <c r="T91" s="1324">
        <f t="shared" si="195"/>
        <v>9806.3561665733559</v>
      </c>
      <c r="U91" s="1324">
        <f t="shared" si="195"/>
        <v>9137.3761350238856</v>
      </c>
      <c r="V91" s="1324"/>
    </row>
    <row r="92" spans="1:22" outlineLevel="1">
      <c r="C92" s="682"/>
      <c r="D92" s="682"/>
      <c r="E92" s="682"/>
      <c r="F92" s="682"/>
      <c r="G92" s="682"/>
      <c r="H92" s="682"/>
      <c r="I92" s="682"/>
      <c r="J92" s="682"/>
      <c r="K92" s="682"/>
      <c r="L92" s="682"/>
      <c r="M92" s="682"/>
      <c r="N92" s="682"/>
      <c r="O92" s="682"/>
      <c r="P92" s="682"/>
    </row>
    <row r="93" spans="1:22" outlineLevel="1">
      <c r="A93" s="398" t="s">
        <v>232</v>
      </c>
      <c r="C93" s="1324">
        <f>C8</f>
        <v>11322</v>
      </c>
      <c r="D93" s="1324">
        <f t="shared" ref="D93:K93" si="196">D8</f>
        <v>11591</v>
      </c>
      <c r="E93" s="1324">
        <f t="shared" si="196"/>
        <v>12094.088</v>
      </c>
      <c r="F93" s="1324">
        <f t="shared" si="196"/>
        <v>12195.93</v>
      </c>
      <c r="G93" s="1324">
        <f t="shared" si="196"/>
        <v>11570.472978705891</v>
      </c>
      <c r="H93" s="1324">
        <f t="shared" si="196"/>
        <v>10649.479531695368</v>
      </c>
      <c r="I93" s="1324">
        <f t="shared" si="196"/>
        <v>10799</v>
      </c>
      <c r="J93" s="1324">
        <f t="shared" si="196"/>
        <v>10835</v>
      </c>
      <c r="K93" s="1324">
        <f t="shared" si="196"/>
        <v>8866</v>
      </c>
      <c r="L93" s="1324">
        <f>L8</f>
        <v>8367</v>
      </c>
      <c r="M93" s="1324">
        <f>M8</f>
        <v>7996</v>
      </c>
      <c r="N93" s="1324">
        <f t="shared" ref="N93:O93" si="197">N8</f>
        <v>8074</v>
      </c>
      <c r="O93" s="1324">
        <f t="shared" si="197"/>
        <v>8071</v>
      </c>
      <c r="P93" s="1324">
        <f t="shared" ref="P93" si="198">P8</f>
        <v>8174</v>
      </c>
      <c r="Q93" s="1324">
        <f t="shared" ref="Q93:T93" si="199">Q91-Q95</f>
        <v>7507.1981034734818</v>
      </c>
      <c r="R93" s="1324">
        <f t="shared" si="199"/>
        <v>7173.2179473255346</v>
      </c>
      <c r="S93" s="1324">
        <f t="shared" si="199"/>
        <v>6808.150962653297</v>
      </c>
      <c r="T93" s="1324">
        <f t="shared" si="199"/>
        <v>6463.3693493885003</v>
      </c>
      <c r="U93" s="1324">
        <f t="shared" ref="U93" si="200">U91-U95</f>
        <v>6043.4605757047975</v>
      </c>
      <c r="V93" s="1324"/>
    </row>
    <row r="94" spans="1:22" outlineLevel="1">
      <c r="C94" s="682"/>
      <c r="D94" s="682"/>
      <c r="E94" s="682"/>
      <c r="F94" s="682"/>
      <c r="G94" s="682"/>
      <c r="H94" s="682"/>
      <c r="I94" s="682"/>
      <c r="J94" s="682"/>
      <c r="K94" s="682"/>
      <c r="L94" s="682"/>
      <c r="M94" s="682"/>
      <c r="N94" s="682"/>
      <c r="O94" s="682"/>
      <c r="P94" s="682"/>
    </row>
    <row r="95" spans="1:22">
      <c r="A95" s="398" t="s">
        <v>233</v>
      </c>
      <c r="C95" s="1324">
        <f>C91-C93</f>
        <v>6774</v>
      </c>
      <c r="D95" s="1324">
        <f t="shared" ref="D95:J95" si="201">D91-D93</f>
        <v>7190.0839999999989</v>
      </c>
      <c r="E95" s="1324">
        <f t="shared" si="201"/>
        <v>7811</v>
      </c>
      <c r="F95" s="1324">
        <f t="shared" si="201"/>
        <v>7661.07</v>
      </c>
      <c r="G95" s="1324">
        <f t="shared" si="201"/>
        <v>6916.0594999999976</v>
      </c>
      <c r="H95" s="1324">
        <f t="shared" si="201"/>
        <v>6910</v>
      </c>
      <c r="I95" s="1324">
        <f t="shared" si="201"/>
        <v>6960</v>
      </c>
      <c r="J95" s="1324">
        <f t="shared" si="201"/>
        <v>6425</v>
      </c>
      <c r="K95" s="1324">
        <f>K91-K93</f>
        <v>4119</v>
      </c>
      <c r="L95" s="1324">
        <f>L91-L93</f>
        <v>3492</v>
      </c>
      <c r="M95" s="1324">
        <f>M91-M93</f>
        <v>4261</v>
      </c>
      <c r="N95" s="1324">
        <f t="shared" ref="N95:O95" si="202">N91-N93</f>
        <v>4551</v>
      </c>
      <c r="O95" s="1324">
        <f t="shared" si="202"/>
        <v>4476</v>
      </c>
      <c r="P95" s="1324">
        <f t="shared" ref="P95" si="203">P91-P93</f>
        <v>4332</v>
      </c>
      <c r="Q95" s="1325">
        <f t="shared" ref="Q95:T95" si="204">Q91*Q116</f>
        <v>4020.9581397807392</v>
      </c>
      <c r="R95" s="1324">
        <f t="shared" si="204"/>
        <v>3810.1198988320757</v>
      </c>
      <c r="S95" s="1324">
        <f t="shared" si="204"/>
        <v>3582.7998350470939</v>
      </c>
      <c r="T95" s="1324">
        <f t="shared" si="204"/>
        <v>3342.9868171848561</v>
      </c>
      <c r="U95" s="1324">
        <f t="shared" ref="U95" si="205">U91*U116</f>
        <v>3093.9155593190876</v>
      </c>
      <c r="V95" s="1324"/>
    </row>
    <row r="96" spans="1:22">
      <c r="A96" s="398" t="s">
        <v>458</v>
      </c>
      <c r="C96" s="682">
        <f>C11</f>
        <v>5505</v>
      </c>
      <c r="D96" s="682">
        <f t="shared" ref="D96:K96" si="206">D11</f>
        <v>5614</v>
      </c>
      <c r="E96" s="682">
        <f t="shared" si="206"/>
        <v>5937</v>
      </c>
      <c r="F96" s="682">
        <f t="shared" si="206"/>
        <v>5829</v>
      </c>
      <c r="G96" s="682">
        <f t="shared" si="206"/>
        <v>5805</v>
      </c>
      <c r="H96" s="682">
        <f t="shared" si="206"/>
        <v>6242</v>
      </c>
      <c r="I96" s="682">
        <f t="shared" si="206"/>
        <v>6124</v>
      </c>
      <c r="J96" s="682">
        <f t="shared" si="206"/>
        <v>5748</v>
      </c>
      <c r="K96" s="682">
        <f t="shared" si="206"/>
        <v>5402</v>
      </c>
      <c r="L96" s="682">
        <f t="shared" ref="L96:M97" si="207">L11</f>
        <v>4852</v>
      </c>
      <c r="M96" s="682">
        <f t="shared" si="207"/>
        <v>4630</v>
      </c>
      <c r="N96" s="682">
        <f t="shared" ref="N96:O96" si="208">N11</f>
        <v>4613.75</v>
      </c>
      <c r="O96" s="682">
        <f t="shared" si="208"/>
        <v>4166</v>
      </c>
      <c r="P96" s="682">
        <f t="shared" ref="P96" si="209">P11</f>
        <v>4057</v>
      </c>
      <c r="Q96" s="682">
        <f t="shared" ref="Q96:T96" si="210">Q91*Q117</f>
        <v>3947.4971414534598</v>
      </c>
      <c r="R96" s="682">
        <f t="shared" si="210"/>
        <v>3880.5974614723905</v>
      </c>
      <c r="S96" s="682">
        <f t="shared" si="210"/>
        <v>3789.5552827368911</v>
      </c>
      <c r="T96" s="682">
        <f t="shared" si="210"/>
        <v>3742.2032814742065</v>
      </c>
      <c r="U96" s="682">
        <f t="shared" ref="U96" si="211">U91*U117</f>
        <v>3583.6299747136536</v>
      </c>
      <c r="V96" s="682"/>
    </row>
    <row r="97" spans="1:22">
      <c r="A97" s="398" t="s">
        <v>555</v>
      </c>
      <c r="C97" s="682">
        <f>C12</f>
        <v>12</v>
      </c>
      <c r="D97" s="682">
        <f t="shared" ref="D97:K97" si="212">D12</f>
        <v>-54</v>
      </c>
      <c r="E97" s="682">
        <f t="shared" si="212"/>
        <v>-34</v>
      </c>
      <c r="F97" s="682">
        <f t="shared" si="212"/>
        <v>-46</v>
      </c>
      <c r="G97" s="682">
        <f t="shared" si="212"/>
        <v>-17.809677419354838</v>
      </c>
      <c r="H97" s="682">
        <f t="shared" si="212"/>
        <v>5</v>
      </c>
      <c r="I97" s="682">
        <f t="shared" si="212"/>
        <v>-28</v>
      </c>
      <c r="J97" s="682">
        <f t="shared" si="212"/>
        <v>21</v>
      </c>
      <c r="K97" s="682">
        <f t="shared" si="212"/>
        <v>73</v>
      </c>
      <c r="L97" s="682">
        <f t="shared" si="207"/>
        <v>-155</v>
      </c>
      <c r="M97" s="682">
        <f t="shared" si="207"/>
        <v>-148</v>
      </c>
      <c r="N97" s="682">
        <f t="shared" ref="N97:O97" si="213">N12</f>
        <v>56</v>
      </c>
      <c r="O97" s="682">
        <f t="shared" si="213"/>
        <v>-94</v>
      </c>
      <c r="P97" s="682">
        <f t="shared" ref="P97" si="214">P12</f>
        <v>-78</v>
      </c>
      <c r="Q97" s="682">
        <f>Q12</f>
        <v>-60</v>
      </c>
      <c r="R97" s="682">
        <f>R12</f>
        <v>0</v>
      </c>
      <c r="S97" s="682">
        <f>S12</f>
        <v>0</v>
      </c>
      <c r="T97" s="682">
        <f>T12</f>
        <v>0</v>
      </c>
      <c r="U97" s="682">
        <f>U12</f>
        <v>0</v>
      </c>
      <c r="V97" s="682"/>
    </row>
    <row r="98" spans="1:22">
      <c r="A98" s="774" t="s">
        <v>235</v>
      </c>
      <c r="C98" s="1324">
        <f>C95-C96-C97</f>
        <v>1257</v>
      </c>
      <c r="D98" s="1324">
        <f t="shared" ref="D98:L98" si="215">D95-D96-D97</f>
        <v>1630.0839999999989</v>
      </c>
      <c r="E98" s="1324">
        <f t="shared" si="215"/>
        <v>1908</v>
      </c>
      <c r="F98" s="1324">
        <f t="shared" si="215"/>
        <v>1878.0699999999997</v>
      </c>
      <c r="G98" s="1324">
        <f t="shared" si="215"/>
        <v>1128.8691774193524</v>
      </c>
      <c r="H98" s="1324">
        <f t="shared" si="215"/>
        <v>663</v>
      </c>
      <c r="I98" s="1324">
        <f t="shared" si="215"/>
        <v>864</v>
      </c>
      <c r="J98" s="1324">
        <f t="shared" si="215"/>
        <v>656</v>
      </c>
      <c r="K98" s="1324">
        <f t="shared" si="215"/>
        <v>-1356</v>
      </c>
      <c r="L98" s="1324">
        <f t="shared" si="215"/>
        <v>-1205</v>
      </c>
      <c r="M98" s="1324">
        <f>M95-M96-M97</f>
        <v>-221</v>
      </c>
      <c r="N98" s="1324">
        <f t="shared" ref="N98:O98" si="216">N95-N96-N97</f>
        <v>-118.75</v>
      </c>
      <c r="O98" s="1324">
        <f t="shared" si="216"/>
        <v>404</v>
      </c>
      <c r="P98" s="1324">
        <f t="shared" ref="P98" si="217">P95-P96-P97</f>
        <v>353</v>
      </c>
      <c r="Q98" s="1324">
        <f>Q95-Q96-Q97</f>
        <v>133.46099832727941</v>
      </c>
      <c r="R98" s="1324">
        <f>R95-R96-R97</f>
        <v>-70.477562640314773</v>
      </c>
      <c r="S98" s="1324">
        <f>S95-S96-S97</f>
        <v>-206.75544768979717</v>
      </c>
      <c r="T98" s="1324">
        <f>T95-T96-T97</f>
        <v>-399.21646428935037</v>
      </c>
      <c r="U98" s="1324">
        <f>U95-U96-U97</f>
        <v>-489.714415394566</v>
      </c>
      <c r="V98" s="1324"/>
    </row>
    <row r="99" spans="1:22" outlineLevel="1">
      <c r="C99" s="682"/>
      <c r="D99" s="682"/>
      <c r="E99" s="682"/>
      <c r="F99" s="682"/>
      <c r="G99" s="682"/>
      <c r="H99" s="682"/>
      <c r="I99" s="682"/>
      <c r="J99" s="682"/>
      <c r="K99" s="682"/>
      <c r="L99" s="682"/>
      <c r="M99" s="682"/>
      <c r="N99" s="682"/>
      <c r="O99" s="682"/>
      <c r="P99" s="682"/>
    </row>
    <row r="100" spans="1:22" outlineLevel="1">
      <c r="A100" s="398" t="s">
        <v>554</v>
      </c>
      <c r="C100" s="682">
        <f>C15</f>
        <v>223</v>
      </c>
      <c r="D100" s="682">
        <f t="shared" ref="D100:K100" si="218">D15</f>
        <v>169</v>
      </c>
      <c r="E100" s="682">
        <f t="shared" si="218"/>
        <v>130</v>
      </c>
      <c r="F100" s="682">
        <f t="shared" si="218"/>
        <v>153</v>
      </c>
      <c r="G100" s="682">
        <f t="shared" si="218"/>
        <v>225</v>
      </c>
      <c r="H100" s="682">
        <f t="shared" si="218"/>
        <v>260</v>
      </c>
      <c r="I100" s="682">
        <f t="shared" si="218"/>
        <v>231</v>
      </c>
      <c r="J100" s="682">
        <f t="shared" si="218"/>
        <v>226.6783730736779</v>
      </c>
      <c r="K100" s="682">
        <f t="shared" si="218"/>
        <v>226</v>
      </c>
      <c r="L100" s="682">
        <f t="shared" ref="L100:M101" si="219">L15</f>
        <v>352</v>
      </c>
      <c r="M100" s="682">
        <f t="shared" si="219"/>
        <v>406</v>
      </c>
      <c r="N100" s="682">
        <f t="shared" ref="N100:O100" si="220">N15</f>
        <v>405</v>
      </c>
      <c r="O100" s="682">
        <f t="shared" si="220"/>
        <v>363</v>
      </c>
      <c r="P100" s="682">
        <f t="shared" ref="P100" si="221">P15</f>
        <v>325</v>
      </c>
      <c r="Q100" s="682">
        <f t="shared" ref="Q100:T101" si="222">Q15</f>
        <v>300</v>
      </c>
      <c r="R100" s="682">
        <f t="shared" si="222"/>
        <v>280</v>
      </c>
      <c r="S100" s="682">
        <f t="shared" si="222"/>
        <v>270</v>
      </c>
      <c r="T100" s="682">
        <f t="shared" si="222"/>
        <v>260</v>
      </c>
      <c r="U100" s="682">
        <f t="shared" ref="U100" si="223">U15</f>
        <v>248</v>
      </c>
      <c r="V100" s="682"/>
    </row>
    <row r="101" spans="1:22" outlineLevel="1">
      <c r="A101" s="398" t="s">
        <v>556</v>
      </c>
      <c r="C101" s="682">
        <f>C16</f>
        <v>29</v>
      </c>
      <c r="D101" s="682">
        <f t="shared" ref="D101:K101" si="224">D16</f>
        <v>17</v>
      </c>
      <c r="E101" s="682">
        <f t="shared" si="224"/>
        <v>-16</v>
      </c>
      <c r="F101" s="682">
        <f t="shared" si="224"/>
        <v>5</v>
      </c>
      <c r="G101" s="682">
        <f t="shared" si="224"/>
        <v>1</v>
      </c>
      <c r="H101" s="682">
        <f t="shared" si="224"/>
        <v>0</v>
      </c>
      <c r="I101" s="682">
        <f t="shared" si="224"/>
        <v>20</v>
      </c>
      <c r="J101" s="682">
        <f t="shared" si="224"/>
        <v>658</v>
      </c>
      <c r="K101" s="682">
        <f t="shared" si="224"/>
        <v>-46</v>
      </c>
      <c r="L101" s="682">
        <f t="shared" si="219"/>
        <v>329</v>
      </c>
      <c r="M101" s="682">
        <f t="shared" si="219"/>
        <v>121</v>
      </c>
      <c r="N101" s="682">
        <f t="shared" ref="N101:O101" si="225">N16</f>
        <v>41</v>
      </c>
      <c r="O101" s="682">
        <f t="shared" si="225"/>
        <v>39</v>
      </c>
      <c r="P101" s="682">
        <f t="shared" ref="P101" si="226">P16</f>
        <v>41</v>
      </c>
      <c r="Q101" s="682">
        <f t="shared" si="222"/>
        <v>0</v>
      </c>
      <c r="R101" s="682">
        <f t="shared" si="222"/>
        <v>0</v>
      </c>
      <c r="S101" s="682">
        <f t="shared" si="222"/>
        <v>0</v>
      </c>
      <c r="T101" s="682">
        <f t="shared" si="222"/>
        <v>0</v>
      </c>
      <c r="U101" s="682">
        <f t="shared" ref="U101" si="227">U16</f>
        <v>0</v>
      </c>
      <c r="V101" s="682"/>
    </row>
    <row r="102" spans="1:22" outlineLevel="1">
      <c r="A102" s="774" t="s">
        <v>236</v>
      </c>
      <c r="C102" s="1324">
        <f>C98-C100-C101</f>
        <v>1005</v>
      </c>
      <c r="D102" s="1324">
        <f t="shared" ref="D102:L102" si="228">D98-D100-D101</f>
        <v>1444.0839999999989</v>
      </c>
      <c r="E102" s="1324">
        <f t="shared" si="228"/>
        <v>1794</v>
      </c>
      <c r="F102" s="1324">
        <f t="shared" si="228"/>
        <v>1720.0699999999997</v>
      </c>
      <c r="G102" s="1324">
        <f t="shared" si="228"/>
        <v>902.86917741935235</v>
      </c>
      <c r="H102" s="1324">
        <f t="shared" si="228"/>
        <v>403</v>
      </c>
      <c r="I102" s="1324">
        <f t="shared" si="228"/>
        <v>613</v>
      </c>
      <c r="J102" s="1324">
        <f t="shared" si="228"/>
        <v>-228.6783730736779</v>
      </c>
      <c r="K102" s="1324">
        <f t="shared" si="228"/>
        <v>-1536</v>
      </c>
      <c r="L102" s="1324">
        <f t="shared" si="228"/>
        <v>-1886</v>
      </c>
      <c r="M102" s="1324">
        <f>M98-M100-M101</f>
        <v>-748</v>
      </c>
      <c r="N102" s="1324">
        <f t="shared" ref="N102:O102" si="229">N98-N100-N101</f>
        <v>-564.75</v>
      </c>
      <c r="O102" s="1324">
        <f t="shared" si="229"/>
        <v>2</v>
      </c>
      <c r="P102" s="1324">
        <f t="shared" ref="P102" si="230">P98-P100-P101</f>
        <v>-13</v>
      </c>
      <c r="Q102" s="1324">
        <f>Q98-Q100-Q101</f>
        <v>-166.53900167272059</v>
      </c>
      <c r="R102" s="1324">
        <f>R98-R100-R101</f>
        <v>-350.47756264031477</v>
      </c>
      <c r="S102" s="1324">
        <f>S98-S100-S101</f>
        <v>-476.75544768979717</v>
      </c>
      <c r="T102" s="1324">
        <f>T98-T100-T101</f>
        <v>-659.21646428935037</v>
      </c>
      <c r="U102" s="1324">
        <f>U98-U100-U101</f>
        <v>-737.714415394566</v>
      </c>
      <c r="V102" s="1324"/>
    </row>
    <row r="103" spans="1:22" outlineLevel="1">
      <c r="C103" s="682"/>
      <c r="D103" s="682"/>
      <c r="E103" s="682"/>
      <c r="F103" s="682"/>
      <c r="G103" s="682"/>
      <c r="H103" s="682"/>
      <c r="I103" s="682"/>
      <c r="J103" s="682"/>
      <c r="K103" s="682"/>
      <c r="L103" s="682"/>
      <c r="M103" s="682"/>
      <c r="N103" s="682"/>
      <c r="O103" s="682"/>
      <c r="P103" s="682"/>
    </row>
    <row r="104" spans="1:22">
      <c r="A104" s="398" t="s">
        <v>237</v>
      </c>
      <c r="C104" s="682">
        <f>C19</f>
        <v>347.63</v>
      </c>
      <c r="D104" s="682">
        <f t="shared" ref="D104:K104" si="231">D19</f>
        <v>515.96840520446096</v>
      </c>
      <c r="E104" s="682">
        <f t="shared" si="231"/>
        <v>657.61206896551721</v>
      </c>
      <c r="F104" s="682">
        <f t="shared" si="231"/>
        <v>650</v>
      </c>
      <c r="G104" s="682">
        <f t="shared" si="231"/>
        <v>340.27129677419322</v>
      </c>
      <c r="H104" s="682">
        <f t="shared" si="231"/>
        <v>153.41800000000001</v>
      </c>
      <c r="I104" s="682">
        <f t="shared" si="231"/>
        <v>214.52</v>
      </c>
      <c r="J104" s="682">
        <f t="shared" si="231"/>
        <v>-77</v>
      </c>
      <c r="K104" s="682">
        <f t="shared" si="231"/>
        <v>-551</v>
      </c>
      <c r="L104" s="682">
        <f>L19</f>
        <v>-498</v>
      </c>
      <c r="M104" s="682">
        <f>M19</f>
        <v>23</v>
      </c>
      <c r="N104" s="682">
        <f t="shared" ref="N104:O104" si="232">N19</f>
        <v>-18</v>
      </c>
      <c r="O104" s="682">
        <f t="shared" si="232"/>
        <v>1</v>
      </c>
      <c r="P104" s="682">
        <f t="shared" ref="P104" si="233">P19</f>
        <v>-80.680000000000007</v>
      </c>
      <c r="Q104" s="682">
        <f t="shared" ref="Q104:T104" si="234">Q102*Q119</f>
        <v>-72.002513621356954</v>
      </c>
      <c r="R104" s="682">
        <f t="shared" si="234"/>
        <v>0</v>
      </c>
      <c r="S104" s="682">
        <f t="shared" si="234"/>
        <v>0</v>
      </c>
      <c r="T104" s="682">
        <f t="shared" si="234"/>
        <v>0</v>
      </c>
      <c r="U104" s="682">
        <f t="shared" ref="U104" si="235">U102*U119</f>
        <v>0</v>
      </c>
      <c r="V104" s="682"/>
    </row>
    <row r="105" spans="1:22" outlineLevel="1">
      <c r="C105" s="682"/>
      <c r="D105" s="682"/>
      <c r="E105" s="682"/>
      <c r="F105" s="682"/>
      <c r="G105" s="682"/>
      <c r="H105" s="682"/>
      <c r="I105" s="682"/>
      <c r="J105" s="682"/>
      <c r="K105" s="682"/>
      <c r="L105" s="682"/>
      <c r="M105" s="682"/>
      <c r="N105" s="682"/>
      <c r="O105" s="682"/>
      <c r="P105" s="682"/>
    </row>
    <row r="106" spans="1:22" outlineLevel="1">
      <c r="C106" s="682"/>
      <c r="D106" s="682"/>
      <c r="E106" s="682"/>
      <c r="F106" s="682"/>
      <c r="G106" s="682"/>
      <c r="H106" s="682"/>
      <c r="I106" s="682"/>
      <c r="J106" s="682"/>
      <c r="K106" s="682"/>
      <c r="L106" s="682"/>
      <c r="M106" s="682"/>
      <c r="N106" s="682"/>
      <c r="O106" s="682"/>
      <c r="P106" s="682"/>
    </row>
    <row r="107" spans="1:22" outlineLevel="1">
      <c r="A107" s="398" t="s">
        <v>238</v>
      </c>
      <c r="C107" s="1324">
        <f>C102-C104</f>
        <v>657.37</v>
      </c>
      <c r="D107" s="1324">
        <f t="shared" ref="D107:J107" si="236">D102-D104</f>
        <v>928.11559479553796</v>
      </c>
      <c r="E107" s="1324">
        <f t="shared" si="236"/>
        <v>1136.3879310344828</v>
      </c>
      <c r="F107" s="1324">
        <f t="shared" si="236"/>
        <v>1070.0699999999997</v>
      </c>
      <c r="G107" s="1324">
        <f t="shared" si="236"/>
        <v>562.59788064515919</v>
      </c>
      <c r="H107" s="1324">
        <f t="shared" si="236"/>
        <v>249.58199999999999</v>
      </c>
      <c r="I107" s="1324">
        <f t="shared" si="236"/>
        <v>398.48</v>
      </c>
      <c r="J107" s="1324">
        <f t="shared" si="236"/>
        <v>-151.6783730736779</v>
      </c>
      <c r="K107" s="1324">
        <f>K102-K104</f>
        <v>-985</v>
      </c>
      <c r="L107" s="1324">
        <f>L102-L104</f>
        <v>-1388</v>
      </c>
      <c r="M107" s="1324">
        <f>M102-M104</f>
        <v>-771</v>
      </c>
      <c r="N107" s="1324">
        <f t="shared" ref="N107:O107" si="237">N102-N104</f>
        <v>-546.75</v>
      </c>
      <c r="O107" s="1324">
        <f t="shared" si="237"/>
        <v>1</v>
      </c>
      <c r="P107" s="1324">
        <f t="shared" ref="P107" si="238">P102-P104</f>
        <v>67.680000000000007</v>
      </c>
      <c r="Q107" s="1324">
        <f t="shared" ref="Q107:U107" si="239">Q102-Q104</f>
        <v>-94.536488051363634</v>
      </c>
      <c r="R107" s="1324">
        <f t="shared" si="239"/>
        <v>-350.47756264031477</v>
      </c>
      <c r="S107" s="1324">
        <f t="shared" si="239"/>
        <v>-476.75544768979717</v>
      </c>
      <c r="T107" s="1324">
        <f t="shared" si="239"/>
        <v>-659.21646428935037</v>
      </c>
      <c r="U107" s="1324">
        <f t="shared" si="239"/>
        <v>-737.714415394566</v>
      </c>
      <c r="V107" s="1324"/>
    </row>
    <row r="108" spans="1:22" outlineLevel="1"/>
    <row r="109" spans="1:22">
      <c r="A109" s="952" t="s">
        <v>242</v>
      </c>
      <c r="B109" s="952"/>
      <c r="C109" s="1319">
        <f t="shared" ref="C109:J109" si="240">C107/C110</f>
        <v>2.173662891626023</v>
      </c>
      <c r="D109" s="1319">
        <f t="shared" si="240"/>
        <v>3.6339686562080575</v>
      </c>
      <c r="E109" s="1319">
        <f t="shared" si="240"/>
        <v>4.894004870949539</v>
      </c>
      <c r="F109" s="1319">
        <f t="shared" si="240"/>
        <v>4.7521705340290872</v>
      </c>
      <c r="G109" s="1319">
        <f t="shared" si="240"/>
        <v>2.5242754039042476</v>
      </c>
      <c r="H109" s="1319">
        <f t="shared" si="240"/>
        <v>1.0718574189392314</v>
      </c>
      <c r="I109" s="1319">
        <f t="shared" si="240"/>
        <v>1.6742857142857144</v>
      </c>
      <c r="J109" s="1319">
        <f t="shared" si="240"/>
        <v>-0.69769260843458092</v>
      </c>
      <c r="K109" s="1319">
        <f>K107/K110</f>
        <v>-4.4936131386861318</v>
      </c>
      <c r="L109" s="1319">
        <f>L107/L110</f>
        <v>-5.5675892498997186</v>
      </c>
      <c r="M109" s="1319">
        <f>M107/M110</f>
        <v>-2.5262123197903015</v>
      </c>
      <c r="N109" s="1319">
        <f t="shared" ref="N109:O109" si="241">N107/N110</f>
        <v>-1.7873488067996079</v>
      </c>
      <c r="O109" s="1319">
        <f t="shared" si="241"/>
        <v>3.1948881789137379E-3</v>
      </c>
      <c r="P109" s="1319">
        <f t="shared" ref="P109" si="242">P107/P110</f>
        <v>0.21755062680810031</v>
      </c>
      <c r="Q109" s="1319">
        <f t="shared" ref="Q109:U109" si="243">Q107/Q110</f>
        <v>-0.30049741910795813</v>
      </c>
      <c r="R109" s="1319">
        <f t="shared" si="243"/>
        <v>-1.1140418392889853</v>
      </c>
      <c r="S109" s="1319">
        <f t="shared" si="243"/>
        <v>-1.5154337180222412</v>
      </c>
      <c r="T109" s="1319">
        <f t="shared" si="243"/>
        <v>-2.0954115203094417</v>
      </c>
      <c r="U109" s="1319">
        <f t="shared" si="243"/>
        <v>-2.3449282116801204</v>
      </c>
      <c r="V109" s="1451"/>
    </row>
    <row r="110" spans="1:22">
      <c r="A110" s="398" t="s">
        <v>240</v>
      </c>
      <c r="C110" s="682">
        <f>C67</f>
        <v>302.42500000000001</v>
      </c>
      <c r="D110" s="682">
        <f t="shared" ref="D110:J110" si="244">D67</f>
        <v>255.4</v>
      </c>
      <c r="E110" s="682">
        <f t="shared" si="244"/>
        <v>232.2</v>
      </c>
      <c r="F110" s="682">
        <f t="shared" si="244"/>
        <v>225.17500000000001</v>
      </c>
      <c r="G110" s="682">
        <f t="shared" si="244"/>
        <v>222.875</v>
      </c>
      <c r="H110" s="682">
        <f t="shared" si="244"/>
        <v>232.85</v>
      </c>
      <c r="I110" s="682">
        <f t="shared" si="244"/>
        <v>238</v>
      </c>
      <c r="J110" s="682">
        <f t="shared" si="244"/>
        <v>217.4</v>
      </c>
      <c r="K110" s="682">
        <f t="shared" ref="K110:R110" si="245">K67</f>
        <v>219.2</v>
      </c>
      <c r="L110" s="682">
        <f t="shared" si="245"/>
        <v>249.3</v>
      </c>
      <c r="M110" s="682">
        <f t="shared" si="245"/>
        <v>305.2</v>
      </c>
      <c r="N110" s="682">
        <f t="shared" ref="N110:O110" si="246">N67</f>
        <v>305.89999999999998</v>
      </c>
      <c r="O110" s="682">
        <f t="shared" si="246"/>
        <v>313</v>
      </c>
      <c r="P110" s="682">
        <f t="shared" ref="P110" si="247">P67</f>
        <v>311.10000000000002</v>
      </c>
      <c r="Q110" s="682">
        <f t="shared" si="245"/>
        <v>314.60000000000002</v>
      </c>
      <c r="R110" s="682">
        <f t="shared" si="245"/>
        <v>314.60000000000002</v>
      </c>
      <c r="S110" s="682">
        <f>S67</f>
        <v>314.60000000000002</v>
      </c>
      <c r="T110" s="682">
        <f>T67</f>
        <v>314.60000000000002</v>
      </c>
      <c r="U110" s="682">
        <f>U67</f>
        <v>314.60000000000002</v>
      </c>
      <c r="V110" s="682"/>
    </row>
    <row r="111" spans="1:22" outlineLevel="1"/>
    <row r="112" spans="1:22" outlineLevel="1">
      <c r="A112" s="398" t="s">
        <v>486</v>
      </c>
      <c r="C112" s="682">
        <f>C69</f>
        <v>359</v>
      </c>
      <c r="D112" s="682">
        <f t="shared" ref="D112:J112" si="248">D69</f>
        <v>372</v>
      </c>
      <c r="E112" s="682">
        <f t="shared" si="248"/>
        <v>389</v>
      </c>
      <c r="F112" s="682">
        <f t="shared" si="248"/>
        <v>426</v>
      </c>
      <c r="G112" s="682">
        <f t="shared" si="248"/>
        <v>469</v>
      </c>
      <c r="H112" s="682">
        <f t="shared" si="248"/>
        <v>495</v>
      </c>
      <c r="I112" s="682">
        <f t="shared" si="248"/>
        <v>511</v>
      </c>
      <c r="J112" s="682">
        <f t="shared" si="248"/>
        <v>518</v>
      </c>
      <c r="K112" s="682">
        <f>K69</f>
        <v>543</v>
      </c>
      <c r="L112" s="682">
        <f>L69</f>
        <v>601</v>
      </c>
      <c r="M112" s="682">
        <f>M69</f>
        <v>631</v>
      </c>
      <c r="N112" s="682">
        <f t="shared" ref="N112:O112" si="249">N69</f>
        <v>616</v>
      </c>
      <c r="O112" s="682">
        <f t="shared" si="249"/>
        <v>609</v>
      </c>
      <c r="P112" s="682">
        <f t="shared" ref="P112" si="250">P69</f>
        <v>570</v>
      </c>
      <c r="Q112" s="682">
        <f t="shared" ref="Q112:U112" si="251">Q69</f>
        <v>549</v>
      </c>
      <c r="R112" s="682">
        <f t="shared" si="251"/>
        <v>540.54392745588927</v>
      </c>
      <c r="S112" s="682">
        <f t="shared" si="251"/>
        <v>515.40399752693622</v>
      </c>
      <c r="T112" s="682">
        <f t="shared" si="251"/>
        <v>499.56853428656024</v>
      </c>
      <c r="U112" s="682">
        <f t="shared" si="251"/>
        <v>472.98198524151951</v>
      </c>
      <c r="V112" s="682"/>
    </row>
    <row r="113" spans="1:31" outlineLevel="1">
      <c r="A113" s="398" t="s">
        <v>245</v>
      </c>
      <c r="C113" s="1324">
        <f>C112+C98</f>
        <v>1616</v>
      </c>
      <c r="D113" s="1324">
        <f t="shared" ref="D113:L113" si="252">D112+D98</f>
        <v>2002.0839999999989</v>
      </c>
      <c r="E113" s="1324">
        <f t="shared" si="252"/>
        <v>2297</v>
      </c>
      <c r="F113" s="1324">
        <f t="shared" si="252"/>
        <v>2304.0699999999997</v>
      </c>
      <c r="G113" s="1324">
        <f t="shared" si="252"/>
        <v>1597.8691774193524</v>
      </c>
      <c r="H113" s="1324">
        <f t="shared" si="252"/>
        <v>1158</v>
      </c>
      <c r="I113" s="1324">
        <f t="shared" si="252"/>
        <v>1375</v>
      </c>
      <c r="J113" s="1324">
        <f t="shared" si="252"/>
        <v>1174</v>
      </c>
      <c r="K113" s="1324">
        <f t="shared" si="252"/>
        <v>-813</v>
      </c>
      <c r="L113" s="1324">
        <f t="shared" si="252"/>
        <v>-604</v>
      </c>
      <c r="M113" s="1324">
        <f>M112+M98</f>
        <v>410</v>
      </c>
      <c r="N113" s="1324">
        <f t="shared" ref="N113:O113" si="253">N112+N98</f>
        <v>497.25</v>
      </c>
      <c r="O113" s="1324">
        <f t="shared" si="253"/>
        <v>1013</v>
      </c>
      <c r="P113" s="1324">
        <f t="shared" ref="P113" si="254">P112+P98</f>
        <v>923</v>
      </c>
      <c r="Q113" s="1324">
        <f t="shared" ref="Q113:U113" si="255">Q112+Q98</f>
        <v>682.46099832727941</v>
      </c>
      <c r="R113" s="1324">
        <f t="shared" si="255"/>
        <v>470.0663648155745</v>
      </c>
      <c r="S113" s="1324">
        <f t="shared" si="255"/>
        <v>308.64854983713906</v>
      </c>
      <c r="T113" s="1324">
        <f t="shared" si="255"/>
        <v>100.35206999720987</v>
      </c>
      <c r="U113" s="1324">
        <f t="shared" si="255"/>
        <v>-16.732430153046494</v>
      </c>
      <c r="V113" s="1324"/>
    </row>
    <row r="114" spans="1:31">
      <c r="P114" s="587">
        <f t="shared" ref="P114:U114" si="256">P96/O96-1</f>
        <v>-2.6164186269803213E-2</v>
      </c>
      <c r="Q114" s="587">
        <f t="shared" si="256"/>
        <v>-2.6991091581597293E-2</v>
      </c>
      <c r="R114" s="587">
        <f t="shared" si="256"/>
        <v>-1.6947366289019494E-2</v>
      </c>
      <c r="S114" s="587">
        <f t="shared" si="256"/>
        <v>-2.3460866436003869E-2</v>
      </c>
      <c r="T114" s="587">
        <f t="shared" si="256"/>
        <v>-1.2495397937165365E-2</v>
      </c>
      <c r="U114" s="587">
        <f t="shared" si="256"/>
        <v>-4.2374316634687048E-2</v>
      </c>
      <c r="V114" s="587"/>
    </row>
    <row r="115" spans="1:31">
      <c r="A115" s="1088" t="s">
        <v>246</v>
      </c>
    </row>
    <row r="116" spans="1:31">
      <c r="A116" s="398" t="s">
        <v>247</v>
      </c>
      <c r="C116" s="587">
        <f>C95/C91</f>
        <v>0.37433687002652521</v>
      </c>
      <c r="D116" s="587">
        <f t="shared" ref="D116:J116" si="257">D95/D91</f>
        <v>0.38283647525350506</v>
      </c>
      <c r="E116" s="587">
        <f t="shared" si="257"/>
        <v>0.39241223148573873</v>
      </c>
      <c r="F116" s="587">
        <f t="shared" si="257"/>
        <v>0.38581205620184317</v>
      </c>
      <c r="G116" s="587">
        <f t="shared" si="257"/>
        <v>0.3741133989279174</v>
      </c>
      <c r="H116" s="587">
        <f t="shared" si="257"/>
        <v>0.39351963636093257</v>
      </c>
      <c r="I116" s="587">
        <f t="shared" si="257"/>
        <v>0.39191395911931975</v>
      </c>
      <c r="J116" s="587">
        <f t="shared" si="257"/>
        <v>0.37224797219003475</v>
      </c>
      <c r="K116" s="587">
        <f>K95/K91</f>
        <v>0.31721216788602236</v>
      </c>
      <c r="L116" s="587">
        <f>L95/L91</f>
        <v>0.2944599038704781</v>
      </c>
      <c r="M116" s="587">
        <f>M95/M91</f>
        <v>0.34763808435995758</v>
      </c>
      <c r="N116" s="587">
        <f t="shared" ref="N116:O116" si="258">N95/N91</f>
        <v>0.36047524752475246</v>
      </c>
      <c r="O116" s="587">
        <f t="shared" si="258"/>
        <v>0.35673866262851678</v>
      </c>
      <c r="P116" s="587">
        <f t="shared" ref="P116" si="259">P95/P91</f>
        <v>0.34639373100911564</v>
      </c>
      <c r="Q116" s="1015">
        <f>Q32-0.004</f>
        <v>0.34879455612285182</v>
      </c>
      <c r="R116" s="1015">
        <f>R32-0.005</f>
        <v>0.34690000000000004</v>
      </c>
      <c r="S116" s="1015">
        <f>S32-0.006</f>
        <v>0.34479999999999994</v>
      </c>
      <c r="T116" s="1015">
        <f>T32-0.008</f>
        <v>0.34089999999999993</v>
      </c>
      <c r="U116" s="1015">
        <f>U32-0.008</f>
        <v>0.33860000000000001</v>
      </c>
      <c r="V116" s="1015"/>
    </row>
    <row r="117" spans="1:31">
      <c r="A117" s="398" t="s">
        <v>248</v>
      </c>
      <c r="C117" s="587">
        <f>C96/C91</f>
        <v>0.30421087533156499</v>
      </c>
      <c r="D117" s="587">
        <f t="shared" ref="D117:J117" si="260">D96/D91</f>
        <v>0.29891778344636549</v>
      </c>
      <c r="E117" s="587">
        <f t="shared" si="260"/>
        <v>0.29826544851246073</v>
      </c>
      <c r="F117" s="587">
        <f t="shared" si="260"/>
        <v>0.29354887445233419</v>
      </c>
      <c r="G117" s="587">
        <f t="shared" si="260"/>
        <v>0.31401237666861614</v>
      </c>
      <c r="H117" s="587">
        <f t="shared" si="260"/>
        <v>0.35547750653617094</v>
      </c>
      <c r="I117" s="587">
        <f t="shared" si="260"/>
        <v>0.34483923644349346</v>
      </c>
      <c r="J117" s="587">
        <f t="shared" si="260"/>
        <v>0.33302433371958284</v>
      </c>
      <c r="K117" s="587">
        <f>K96/K91</f>
        <v>0.41601848286484405</v>
      </c>
      <c r="L117" s="587">
        <f>L96/L91</f>
        <v>0.40914073699300108</v>
      </c>
      <c r="M117" s="587">
        <f>M96/M91</f>
        <v>0.37774333034184548</v>
      </c>
      <c r="N117" s="587">
        <f t="shared" ref="N117:O117" si="261">N96/N91</f>
        <v>0.36544554455445544</v>
      </c>
      <c r="O117" s="587">
        <f t="shared" si="261"/>
        <v>0.33203156132940143</v>
      </c>
      <c r="P117" s="587">
        <f t="shared" ref="P117" si="262">P96/P91</f>
        <v>0.32440428594274751</v>
      </c>
      <c r="Q117" s="1015">
        <f>Q33+0.0128</f>
        <v>0.34242224499371826</v>
      </c>
      <c r="R117" s="1015">
        <f>R33+0.024</f>
        <v>0.35331677089674257</v>
      </c>
      <c r="S117" s="1015">
        <f>S33+0.035</f>
        <v>0.36469764475985711</v>
      </c>
      <c r="T117" s="1015">
        <f>T33+0.045</f>
        <v>0.38160996989178786</v>
      </c>
      <c r="U117" s="1015">
        <f>U33+0.045</f>
        <v>0.39219464338098914</v>
      </c>
      <c r="V117" s="1015"/>
    </row>
    <row r="118" spans="1:31">
      <c r="A118" s="398" t="s">
        <v>249</v>
      </c>
      <c r="C118" s="587">
        <f>C98/C91</f>
        <v>6.9462864721485412E-2</v>
      </c>
      <c r="D118" s="587">
        <f t="shared" ref="D118:K118" si="263">D98/D91</f>
        <v>8.6793925206872985E-2</v>
      </c>
      <c r="E118" s="587">
        <f t="shared" si="263"/>
        <v>9.5854888961053583E-2</v>
      </c>
      <c r="F118" s="587">
        <f t="shared" si="263"/>
        <v>9.4579745178022853E-2</v>
      </c>
      <c r="G118" s="587">
        <f t="shared" si="263"/>
        <v>6.1064408845718614E-2</v>
      </c>
      <c r="H118" s="587">
        <f t="shared" si="263"/>
        <v>3.775738334403738E-2</v>
      </c>
      <c r="I118" s="587">
        <f t="shared" si="263"/>
        <v>4.8651388028605212E-2</v>
      </c>
      <c r="J118" s="587">
        <f t="shared" si="263"/>
        <v>3.8006952491309386E-2</v>
      </c>
      <c r="K118" s="587">
        <f t="shared" si="263"/>
        <v>-0.10442818636888718</v>
      </c>
      <c r="L118" s="587">
        <f>L98/L91</f>
        <v>-0.10161059111223543</v>
      </c>
      <c r="M118" s="587">
        <f>M98/M91</f>
        <v>-1.8030513176144243E-2</v>
      </c>
      <c r="N118" s="587">
        <f t="shared" ref="N118:O118" si="264">N98/N91</f>
        <v>-9.4059405940594056E-3</v>
      </c>
      <c r="O118" s="587">
        <f t="shared" si="264"/>
        <v>3.2198932015621261E-2</v>
      </c>
      <c r="P118" s="587">
        <f t="shared" ref="P118" si="265">P98/P91</f>
        <v>2.8226451303374381E-2</v>
      </c>
      <c r="Q118" s="587">
        <f>Q98/Q91</f>
        <v>1.1576959533782778E-2</v>
      </c>
      <c r="R118" s="587">
        <f>R98/R91</f>
        <v>-6.4167708967425149E-3</v>
      </c>
      <c r="S118" s="587">
        <f>S98/S91</f>
        <v>-1.9897644759857201E-2</v>
      </c>
      <c r="T118" s="587">
        <f>T98/T91</f>
        <v>-4.0709969891787948E-2</v>
      </c>
      <c r="U118" s="587">
        <f>U98/U91</f>
        <v>-5.359464338098914E-2</v>
      </c>
      <c r="V118" s="587"/>
    </row>
    <row r="119" spans="1:31">
      <c r="A119" s="398" t="s">
        <v>251</v>
      </c>
      <c r="C119" s="587">
        <f>C104/C102</f>
        <v>0.34590049751243779</v>
      </c>
      <c r="D119" s="587">
        <f t="shared" ref="D119:J119" si="266">D104/D102</f>
        <v>0.35729805551786553</v>
      </c>
      <c r="E119" s="587">
        <f t="shared" si="266"/>
        <v>0.36656191135201627</v>
      </c>
      <c r="F119" s="587">
        <f t="shared" si="266"/>
        <v>0.37789159743498818</v>
      </c>
      <c r="G119" s="587">
        <f t="shared" si="266"/>
        <v>0.37687774185268114</v>
      </c>
      <c r="H119" s="587">
        <f t="shared" si="266"/>
        <v>0.38068982630272952</v>
      </c>
      <c r="I119" s="587">
        <f t="shared" si="266"/>
        <v>0.34995106035889073</v>
      </c>
      <c r="J119" s="587">
        <f t="shared" si="266"/>
        <v>0.33671745589685198</v>
      </c>
      <c r="K119" s="587">
        <f>K104/K102</f>
        <v>0.35872395833333331</v>
      </c>
      <c r="L119" s="587">
        <f>L104/L102</f>
        <v>0.26405090137857901</v>
      </c>
      <c r="M119" s="587">
        <f>M104/M102</f>
        <v>-3.074866310160428E-2</v>
      </c>
      <c r="N119" s="587">
        <f t="shared" ref="N119:O119" si="267">N104/N102</f>
        <v>3.1872509960159362E-2</v>
      </c>
      <c r="O119" s="587">
        <f t="shared" si="267"/>
        <v>0.5</v>
      </c>
      <c r="P119" s="587">
        <f t="shared" ref="P119" si="268">P104/P102</f>
        <v>6.206153846153847</v>
      </c>
      <c r="Q119" s="1015">
        <f t="shared" ref="Q119:U119" si="269">Q35</f>
        <v>0.43234625462001375</v>
      </c>
      <c r="R119" s="1015">
        <f t="shared" si="269"/>
        <v>0</v>
      </c>
      <c r="S119" s="1015">
        <f t="shared" si="269"/>
        <v>0</v>
      </c>
      <c r="T119" s="1015">
        <f t="shared" si="269"/>
        <v>0</v>
      </c>
      <c r="U119" s="1015">
        <f t="shared" si="269"/>
        <v>0</v>
      </c>
      <c r="V119" s="1015"/>
    </row>
    <row r="121" spans="1:31">
      <c r="A121" s="1088" t="s">
        <v>254</v>
      </c>
    </row>
    <row r="122" spans="1:31">
      <c r="A122" s="398" t="s">
        <v>152</v>
      </c>
      <c r="C122" s="684" t="s">
        <v>147</v>
      </c>
      <c r="D122" s="581">
        <f>((D91/C91)-1)</f>
        <v>3.7858311229000741E-2</v>
      </c>
      <c r="E122" s="581">
        <f t="shared" ref="E122:M122" si="270">((E91/D91)-1)</f>
        <v>5.9847663745074664E-2</v>
      </c>
      <c r="F122" s="581">
        <f t="shared" si="270"/>
        <v>-2.4158647276515399E-3</v>
      </c>
      <c r="G122" s="581">
        <f t="shared" si="270"/>
        <v>-6.9016846517304331E-2</v>
      </c>
      <c r="H122" s="581">
        <f t="shared" si="270"/>
        <v>-5.0147476173715511E-2</v>
      </c>
      <c r="I122" s="581">
        <f t="shared" si="270"/>
        <v>1.1362550236440283E-2</v>
      </c>
      <c r="J122" s="581">
        <f t="shared" si="270"/>
        <v>-2.809842896559489E-2</v>
      </c>
      <c r="K122" s="581">
        <f t="shared" si="270"/>
        <v>-0.24768250289687133</v>
      </c>
      <c r="L122" s="581">
        <f t="shared" si="270"/>
        <v>-8.6715440893338491E-2</v>
      </c>
      <c r="M122" s="581">
        <f t="shared" si="270"/>
        <v>3.3561008516738378E-2</v>
      </c>
      <c r="N122" s="581">
        <f t="shared" ref="N122" si="271">((N91/M91)-1)</f>
        <v>3.0023659949416581E-2</v>
      </c>
      <c r="O122" s="581">
        <f t="shared" ref="O122:P122" si="272">((O91/N91)-1)</f>
        <v>-6.1782178217821837E-3</v>
      </c>
      <c r="P122" s="581">
        <f t="shared" si="272"/>
        <v>-3.2677133976248829E-3</v>
      </c>
      <c r="Q122" s="581">
        <f t="shared" ref="Q122:U122" si="273">Q123+Q129</f>
        <v>-7.8189969354372196E-2</v>
      </c>
      <c r="R122" s="581">
        <f t="shared" si="273"/>
        <v>-4.7259803354540261E-2</v>
      </c>
      <c r="S122" s="581">
        <f t="shared" si="273"/>
        <v>-5.3935065710872129E-2</v>
      </c>
      <c r="T122" s="581">
        <f t="shared" si="273"/>
        <v>-5.6259974905897056E-2</v>
      </c>
      <c r="U122" s="581">
        <f t="shared" si="273"/>
        <v>-6.821902245706743E-2</v>
      </c>
      <c r="V122" s="581"/>
    </row>
    <row r="123" spans="1:31">
      <c r="A123" s="398" t="s">
        <v>255</v>
      </c>
      <c r="B123" s="587"/>
      <c r="C123" s="587">
        <f>C39</f>
        <v>4.9000000000000002E-2</v>
      </c>
      <c r="D123" s="587">
        <f>D39</f>
        <v>2.8999999999999998E-2</v>
      </c>
      <c r="E123" s="587">
        <f t="shared" ref="E123:K123" si="274">E39</f>
        <v>4.9625677213785739E-2</v>
      </c>
      <c r="F123" s="587">
        <f t="shared" si="274"/>
        <v>3.7257893941683045E-3</v>
      </c>
      <c r="G123" s="587">
        <f t="shared" si="274"/>
        <v>-8.5000000000000006E-2</v>
      </c>
      <c r="H123" s="587">
        <f t="shared" si="274"/>
        <v>-6.3080360850075165E-2</v>
      </c>
      <c r="I123" s="587">
        <f t="shared" si="274"/>
        <v>2.4532615502896971E-2</v>
      </c>
      <c r="J123" s="587">
        <f t="shared" si="274"/>
        <v>2E-3</v>
      </c>
      <c r="K123" s="587">
        <f t="shared" si="274"/>
        <v>-0.252</v>
      </c>
      <c r="L123" s="587">
        <f>L39</f>
        <v>-6.8476178429884488E-2</v>
      </c>
      <c r="M123" s="587">
        <f>M39</f>
        <v>4.4000000000000004E-2</v>
      </c>
      <c r="N123" s="587">
        <f t="shared" ref="N123:O123" si="275">N39</f>
        <v>4.4999999999999998E-2</v>
      </c>
      <c r="O123" s="587">
        <f t="shared" si="275"/>
        <v>0</v>
      </c>
      <c r="P123" s="587">
        <f t="shared" ref="P123" si="276">P39</f>
        <v>1E-3</v>
      </c>
      <c r="Q123" s="1015">
        <v>-0.03</v>
      </c>
      <c r="R123" s="1015">
        <v>-0.03</v>
      </c>
      <c r="S123" s="1015">
        <v>-0.03</v>
      </c>
      <c r="T123" s="1015">
        <v>-0.03</v>
      </c>
      <c r="U123" s="1015">
        <v>-0.03</v>
      </c>
      <c r="V123" s="1015"/>
    </row>
    <row r="124" spans="1:31">
      <c r="A124" s="398" t="s">
        <v>234</v>
      </c>
      <c r="C124" s="684" t="s">
        <v>147</v>
      </c>
      <c r="D124" s="581">
        <f t="shared" ref="D124:R124" si="277">((D96/C96)-1)</f>
        <v>1.9800181653042648E-2</v>
      </c>
      <c r="E124" s="581">
        <f t="shared" si="277"/>
        <v>5.753473459209113E-2</v>
      </c>
      <c r="F124" s="581">
        <f t="shared" si="277"/>
        <v>-1.8191005558362838E-2</v>
      </c>
      <c r="G124" s="581">
        <f t="shared" si="277"/>
        <v>-4.1173443129182141E-3</v>
      </c>
      <c r="H124" s="581">
        <f t="shared" si="277"/>
        <v>7.5279931093884533E-2</v>
      </c>
      <c r="I124" s="581">
        <f t="shared" si="277"/>
        <v>-1.8904197372636933E-2</v>
      </c>
      <c r="J124" s="581">
        <f t="shared" si="277"/>
        <v>-6.1397779229261928E-2</v>
      </c>
      <c r="K124" s="581">
        <f t="shared" si="277"/>
        <v>-6.019485038274186E-2</v>
      </c>
      <c r="L124" s="581">
        <f t="shared" si="277"/>
        <v>-0.10181414291003332</v>
      </c>
      <c r="M124" s="581">
        <f t="shared" si="277"/>
        <v>-4.5754328112118658E-2</v>
      </c>
      <c r="N124" s="581">
        <f t="shared" ref="N124" si="278">((N96/M96)-1)</f>
        <v>-3.5097192224622376E-3</v>
      </c>
      <c r="O124" s="581">
        <f t="shared" ref="O124:P124" si="279">((O96/N96)-1)</f>
        <v>-9.7046870766729909E-2</v>
      </c>
      <c r="P124" s="581">
        <f t="shared" si="279"/>
        <v>-2.6164186269803213E-2</v>
      </c>
      <c r="Q124" s="581">
        <f t="shared" si="277"/>
        <v>-2.6991091581597293E-2</v>
      </c>
      <c r="R124" s="581">
        <f t="shared" si="277"/>
        <v>-1.6947366289019494E-2</v>
      </c>
      <c r="S124" s="581">
        <f>((S96/R96)-1)</f>
        <v>-2.3460866436003869E-2</v>
      </c>
      <c r="T124" s="581">
        <f>((T96/S96)-1)</f>
        <v>-1.2495397937165365E-2</v>
      </c>
      <c r="U124" s="581">
        <f>((U96/T96)-1)</f>
        <v>-4.2374316634687048E-2</v>
      </c>
      <c r="V124" s="581"/>
    </row>
    <row r="125" spans="1:31">
      <c r="A125" s="398" t="s">
        <v>235</v>
      </c>
      <c r="C125" s="684" t="s">
        <v>147</v>
      </c>
      <c r="D125" s="581">
        <f t="shared" ref="D125:R125" si="280">((D98/C98)-1)</f>
        <v>0.29680509148766809</v>
      </c>
      <c r="E125" s="581">
        <f t="shared" si="280"/>
        <v>0.17049182741502977</v>
      </c>
      <c r="F125" s="581">
        <f t="shared" si="280"/>
        <v>-1.5686582809224525E-2</v>
      </c>
      <c r="G125" s="581">
        <f t="shared" si="280"/>
        <v>-0.39892060603739343</v>
      </c>
      <c r="H125" s="581">
        <f t="shared" si="280"/>
        <v>-0.41268659534522067</v>
      </c>
      <c r="I125" s="581">
        <f t="shared" si="280"/>
        <v>0.30316742081447967</v>
      </c>
      <c r="J125" s="581">
        <f t="shared" si="280"/>
        <v>-0.2407407407407407</v>
      </c>
      <c r="K125" s="581">
        <f t="shared" si="280"/>
        <v>-3.0670731707317072</v>
      </c>
      <c r="L125" s="581">
        <f t="shared" si="280"/>
        <v>-0.11135693215339237</v>
      </c>
      <c r="M125" s="581">
        <f t="shared" si="280"/>
        <v>-0.81659751037344397</v>
      </c>
      <c r="N125" s="581">
        <f t="shared" ref="N125" si="281">((N98/M98)-1)</f>
        <v>-0.46266968325791857</v>
      </c>
      <c r="O125" s="581">
        <f t="shared" ref="O125:P125" si="282">((O98/N98)-1)</f>
        <v>-4.4021052631578943</v>
      </c>
      <c r="P125" s="581">
        <f t="shared" si="282"/>
        <v>-0.12623762376237624</v>
      </c>
      <c r="Q125" s="581">
        <f t="shared" si="280"/>
        <v>-0.62192351748646058</v>
      </c>
      <c r="R125" s="581">
        <f t="shared" si="280"/>
        <v>-1.528076093567698</v>
      </c>
      <c r="S125" s="581">
        <f>((S98/R98)-1)</f>
        <v>1.9336350455957501</v>
      </c>
      <c r="T125" s="581">
        <f>((T98/S98)-1)</f>
        <v>0.93086309816759738</v>
      </c>
      <c r="U125" s="581">
        <f>((U98/T98)-1)</f>
        <v>0.22668892493277304</v>
      </c>
      <c r="V125" s="581"/>
    </row>
    <row r="126" spans="1:31">
      <c r="A126" s="398" t="s">
        <v>493</v>
      </c>
      <c r="C126" s="684" t="s">
        <v>147</v>
      </c>
      <c r="D126" s="581">
        <f t="shared" ref="D126:R126" si="283">((D109/C109)-1)</f>
        <v>0.67181795770071928</v>
      </c>
      <c r="E126" s="581">
        <f t="shared" si="283"/>
        <v>0.34673832769275825</v>
      </c>
      <c r="F126" s="581">
        <f t="shared" si="283"/>
        <v>-2.8981241470021901E-2</v>
      </c>
      <c r="G126" s="581">
        <f t="shared" si="283"/>
        <v>-0.46881632596546108</v>
      </c>
      <c r="H126" s="581">
        <f t="shared" si="283"/>
        <v>-0.57538015967615486</v>
      </c>
      <c r="I126" s="581">
        <f t="shared" si="283"/>
        <v>0.56204144758607821</v>
      </c>
      <c r="J126" s="581">
        <f t="shared" si="283"/>
        <v>-1.4167106023073435</v>
      </c>
      <c r="K126" s="581">
        <f t="shared" si="283"/>
        <v>5.4406775768608062</v>
      </c>
      <c r="L126" s="581">
        <f t="shared" si="283"/>
        <v>0.23900057216042447</v>
      </c>
      <c r="M126" s="581">
        <f t="shared" si="283"/>
        <v>-0.54626460279270739</v>
      </c>
      <c r="N126" s="581">
        <f t="shared" ref="N126" si="284">((N109/M109)-1)</f>
        <v>-0.29247878620591394</v>
      </c>
      <c r="O126" s="581">
        <f t="shared" ref="O126:P126" si="285">((O109/N109)-1)</f>
        <v>-1.0017875012234654</v>
      </c>
      <c r="P126" s="581">
        <f t="shared" si="285"/>
        <v>67.093346190935392</v>
      </c>
      <c r="Q126" s="581">
        <f t="shared" si="283"/>
        <v>-2.3812758138960666</v>
      </c>
      <c r="R126" s="581">
        <f t="shared" si="283"/>
        <v>2.7073258152967674</v>
      </c>
      <c r="S126" s="581">
        <f>((S109/R109)-1)</f>
        <v>0.36030233746825546</v>
      </c>
      <c r="T126" s="581">
        <f>((T109/S109)-1)</f>
        <v>0.38271406752392734</v>
      </c>
      <c r="U126" s="581">
        <f>((U109/T109)-1)</f>
        <v>0.11907765560715777</v>
      </c>
      <c r="V126" s="581"/>
    </row>
    <row r="127" spans="1:31">
      <c r="A127" s="398" t="s">
        <v>245</v>
      </c>
      <c r="C127" s="684" t="s">
        <v>147</v>
      </c>
      <c r="D127" s="581">
        <f>((D113/C113)-1)</f>
        <v>0.23891336633663296</v>
      </c>
      <c r="E127" s="581">
        <f t="shared" ref="E127:M127" si="286">((E113/D113)-1)</f>
        <v>0.14730450870193312</v>
      </c>
      <c r="F127" s="581">
        <f t="shared" si="286"/>
        <v>3.0779277318240261E-3</v>
      </c>
      <c r="G127" s="581">
        <f t="shared" si="286"/>
        <v>-0.30650146157913927</v>
      </c>
      <c r="H127" s="581">
        <f t="shared" si="286"/>
        <v>-0.27528485037164652</v>
      </c>
      <c r="I127" s="581">
        <f t="shared" si="286"/>
        <v>0.18739205526770286</v>
      </c>
      <c r="J127" s="581">
        <f t="shared" si="286"/>
        <v>-0.14618181818181819</v>
      </c>
      <c r="K127" s="581">
        <f t="shared" si="286"/>
        <v>-1.692504258943782</v>
      </c>
      <c r="L127" s="581">
        <f t="shared" si="286"/>
        <v>-0.25707257072570722</v>
      </c>
      <c r="M127" s="581">
        <f t="shared" si="286"/>
        <v>-1.6788079470198676</v>
      </c>
      <c r="N127" s="581">
        <f t="shared" ref="N127" si="287">((N113/M113)-1)</f>
        <v>0.21280487804878057</v>
      </c>
      <c r="O127" s="581">
        <f t="shared" ref="O127:P127" si="288">((O113/N113)-1)</f>
        <v>1.0372046254399194</v>
      </c>
      <c r="P127" s="581">
        <f t="shared" si="288"/>
        <v>-8.8845014807502509E-2</v>
      </c>
      <c r="Q127" s="581">
        <f t="shared" ref="Q127:U127" si="289">((Q113/P113)-1)</f>
        <v>-0.26060563561508188</v>
      </c>
      <c r="R127" s="581">
        <f t="shared" si="289"/>
        <v>-0.31121871291148773</v>
      </c>
      <c r="S127" s="581">
        <f t="shared" si="289"/>
        <v>-0.34339367174625646</v>
      </c>
      <c r="T127" s="581">
        <f t="shared" si="289"/>
        <v>-0.67486621903727895</v>
      </c>
      <c r="U127" s="581">
        <f t="shared" si="289"/>
        <v>-1.166737269629931</v>
      </c>
      <c r="V127" s="581"/>
    </row>
    <row r="128" spans="1:31" outlineLevel="1">
      <c r="A128" s="398" t="s">
        <v>558</v>
      </c>
      <c r="C128" s="684" t="s">
        <v>147</v>
      </c>
      <c r="D128" s="587">
        <f t="shared" ref="D128:K128" si="290">D40-D41</f>
        <v>-0.27700490983462545</v>
      </c>
      <c r="E128" s="587">
        <f t="shared" si="290"/>
        <v>-0.11295709282293864</v>
      </c>
      <c r="F128" s="587">
        <f t="shared" si="290"/>
        <v>-2.5044227491383131E-3</v>
      </c>
      <c r="G128" s="587">
        <f t="shared" si="290"/>
        <v>0.39480326172447522</v>
      </c>
      <c r="H128" s="587">
        <f t="shared" si="290"/>
        <v>0.48796652643910521</v>
      </c>
      <c r="I128" s="587">
        <f t="shared" si="290"/>
        <v>-0.3220716181871166</v>
      </c>
      <c r="J128" s="587">
        <f t="shared" si="290"/>
        <v>0.17934296151147877</v>
      </c>
      <c r="K128" s="587">
        <f t="shared" si="290"/>
        <v>3.0068783203489655</v>
      </c>
      <c r="L128" s="587">
        <f t="shared" ref="L128:Q128" si="291">L38-L39</f>
        <v>-1.8239262463454003E-2</v>
      </c>
      <c r="M128" s="587">
        <f t="shared" si="291"/>
        <v>-1.0438991483261627E-2</v>
      </c>
      <c r="N128" s="587">
        <f t="shared" ref="N128:O128" si="292">N38-N39</f>
        <v>-1.4976340050583417E-2</v>
      </c>
      <c r="O128" s="587">
        <f t="shared" si="292"/>
        <v>-6.1782178217821837E-3</v>
      </c>
      <c r="P128" s="587">
        <f t="shared" ref="P128" si="293">P38-P39</f>
        <v>-4.2677133976248829E-3</v>
      </c>
      <c r="Q128" s="587">
        <f t="shared" si="291"/>
        <v>-4.3189969354372207E-2</v>
      </c>
      <c r="R128" s="587">
        <f>R38-R39</f>
        <v>-1.2259803354540258E-2</v>
      </c>
      <c r="S128" s="587">
        <f>S38-S39</f>
        <v>-1.8935065710872126E-2</v>
      </c>
      <c r="T128" s="587">
        <f>T38-T39</f>
        <v>-2.1259974905897056E-2</v>
      </c>
      <c r="U128" s="587">
        <f>U38-U39</f>
        <v>-3.321902245706744E-2</v>
      </c>
      <c r="V128" s="587"/>
      <c r="AE128" s="398" t="s">
        <v>697</v>
      </c>
    </row>
    <row r="129" spans="1:22" outlineLevel="1">
      <c r="A129" s="398" t="s">
        <v>561</v>
      </c>
      <c r="C129" s="684" t="s">
        <v>147</v>
      </c>
      <c r="D129" s="587">
        <f t="shared" ref="D129:M129" si="294">D128</f>
        <v>-0.27700490983462545</v>
      </c>
      <c r="E129" s="587">
        <f t="shared" si="294"/>
        <v>-0.11295709282293864</v>
      </c>
      <c r="F129" s="587">
        <f t="shared" si="294"/>
        <v>-2.5044227491383131E-3</v>
      </c>
      <c r="G129" s="587">
        <f t="shared" si="294"/>
        <v>0.39480326172447522</v>
      </c>
      <c r="H129" s="587">
        <f t="shared" si="294"/>
        <v>0.48796652643910521</v>
      </c>
      <c r="I129" s="587">
        <f t="shared" si="294"/>
        <v>-0.3220716181871166</v>
      </c>
      <c r="J129" s="587">
        <f t="shared" si="294"/>
        <v>0.17934296151147877</v>
      </c>
      <c r="K129" s="587">
        <f t="shared" si="294"/>
        <v>3.0068783203489655</v>
      </c>
      <c r="L129" s="587">
        <f t="shared" si="294"/>
        <v>-1.8239262463454003E-2</v>
      </c>
      <c r="M129" s="587">
        <f t="shared" si="294"/>
        <v>-1.0438991483261627E-2</v>
      </c>
      <c r="N129" s="587">
        <f t="shared" ref="N129:O129" si="295">N128</f>
        <v>-1.4976340050583417E-2</v>
      </c>
      <c r="O129" s="587">
        <f t="shared" si="295"/>
        <v>-6.1782178217821837E-3</v>
      </c>
      <c r="P129" s="587">
        <f t="shared" ref="P129" si="296">P128</f>
        <v>-4.2677133976248829E-3</v>
      </c>
      <c r="Q129" s="1015">
        <f t="shared" ref="Q129:T129" si="297">Q128-0.005</f>
        <v>-4.8189969354372204E-2</v>
      </c>
      <c r="R129" s="1015">
        <f t="shared" si="297"/>
        <v>-1.7259803354540259E-2</v>
      </c>
      <c r="S129" s="1015">
        <f t="shared" si="297"/>
        <v>-2.3935065710872127E-2</v>
      </c>
      <c r="T129" s="1015">
        <f t="shared" si="297"/>
        <v>-2.6259974905897057E-2</v>
      </c>
      <c r="U129" s="1015">
        <f t="shared" ref="U129" si="298">U128-0.005</f>
        <v>-3.8219022457067438E-2</v>
      </c>
      <c r="V129" s="1015"/>
    </row>
    <row r="131" spans="1:22">
      <c r="A131" s="1332" t="s">
        <v>562</v>
      </c>
      <c r="C131" s="1330" t="str">
        <f>C88</f>
        <v>2004A</v>
      </c>
      <c r="D131" s="1330" t="str">
        <f t="shared" ref="D131:P131" si="299">D88</f>
        <v>2005A</v>
      </c>
      <c r="E131" s="1330" t="str">
        <f t="shared" si="299"/>
        <v>2006A</v>
      </c>
      <c r="F131" s="1330" t="str">
        <f t="shared" si="299"/>
        <v>2007A</v>
      </c>
      <c r="G131" s="1330" t="str">
        <f t="shared" si="299"/>
        <v>2008A</v>
      </c>
      <c r="H131" s="1330" t="str">
        <f t="shared" si="299"/>
        <v>2009A</v>
      </c>
      <c r="I131" s="1330" t="str">
        <f t="shared" si="299"/>
        <v>2010A</v>
      </c>
      <c r="J131" s="1330" t="str">
        <f t="shared" si="299"/>
        <v>2011A</v>
      </c>
      <c r="K131" s="1330" t="str">
        <f t="shared" si="299"/>
        <v>2012A</v>
      </c>
      <c r="L131" s="1330" t="str">
        <f t="shared" si="299"/>
        <v>2013A</v>
      </c>
      <c r="M131" s="1330" t="str">
        <f t="shared" si="299"/>
        <v>2014A</v>
      </c>
      <c r="N131" s="1330" t="str">
        <f t="shared" si="299"/>
        <v>2015E</v>
      </c>
      <c r="O131" s="1330" t="str">
        <f t="shared" si="299"/>
        <v>2016E</v>
      </c>
      <c r="P131" s="1330" t="str">
        <f t="shared" si="299"/>
        <v>2017E</v>
      </c>
      <c r="Q131" s="1330" t="str">
        <f t="shared" ref="Q131:T132" si="300">Q88</f>
        <v>2018E</v>
      </c>
      <c r="R131" s="1330" t="str">
        <f t="shared" si="300"/>
        <v>2019E</v>
      </c>
      <c r="S131" s="1330" t="str">
        <f t="shared" si="300"/>
        <v>2020E</v>
      </c>
      <c r="T131" s="1330" t="str">
        <f t="shared" si="300"/>
        <v>2021E</v>
      </c>
      <c r="U131" s="1330" t="str">
        <f t="shared" ref="U131" si="301">U88</f>
        <v>2022E</v>
      </c>
    </row>
    <row r="132" spans="1:22">
      <c r="A132" s="1088" t="s">
        <v>230</v>
      </c>
      <c r="C132" s="1330" t="str">
        <f>C89</f>
        <v>Jan</v>
      </c>
      <c r="D132" s="1330" t="str">
        <f t="shared" ref="D132:P132" si="302">D89</f>
        <v>Jan</v>
      </c>
      <c r="E132" s="1330" t="str">
        <f t="shared" si="302"/>
        <v>Jan</v>
      </c>
      <c r="F132" s="1330" t="str">
        <f t="shared" si="302"/>
        <v>Jan</v>
      </c>
      <c r="G132" s="1330" t="str">
        <f t="shared" si="302"/>
        <v>Jan</v>
      </c>
      <c r="H132" s="1330" t="str">
        <f t="shared" si="302"/>
        <v>Jan</v>
      </c>
      <c r="I132" s="1330" t="str">
        <f t="shared" si="302"/>
        <v>Jan</v>
      </c>
      <c r="J132" s="1330" t="str">
        <f t="shared" si="302"/>
        <v>Jan</v>
      </c>
      <c r="K132" s="1330" t="str">
        <f t="shared" si="302"/>
        <v>Jan</v>
      </c>
      <c r="L132" s="1330" t="str">
        <f t="shared" si="302"/>
        <v>Jan</v>
      </c>
      <c r="M132" s="1330" t="str">
        <f t="shared" si="302"/>
        <v>Jan</v>
      </c>
      <c r="N132" s="1330" t="str">
        <f t="shared" si="302"/>
        <v>Jan</v>
      </c>
      <c r="O132" s="1330" t="str">
        <f t="shared" si="302"/>
        <v>Jan</v>
      </c>
      <c r="P132" s="1330" t="str">
        <f t="shared" si="302"/>
        <v>Jan</v>
      </c>
      <c r="Q132" s="1330" t="str">
        <f t="shared" si="300"/>
        <v>Jan</v>
      </c>
      <c r="R132" s="1330" t="str">
        <f t="shared" si="300"/>
        <v>Jan</v>
      </c>
      <c r="S132" s="1330" t="str">
        <f t="shared" si="300"/>
        <v>Jan</v>
      </c>
      <c r="T132" s="1330" t="str">
        <f t="shared" si="300"/>
        <v>Jan</v>
      </c>
      <c r="U132" s="1330" t="str">
        <f t="shared" ref="U132" si="303">U89</f>
        <v>Jan</v>
      </c>
    </row>
    <row r="134" spans="1:22">
      <c r="A134" s="398" t="s">
        <v>231</v>
      </c>
      <c r="C134" s="1324">
        <f>C6</f>
        <v>18096</v>
      </c>
      <c r="D134" s="1324">
        <f t="shared" ref="D134:K134" si="304">D6</f>
        <v>18781.083999999999</v>
      </c>
      <c r="E134" s="1324">
        <f t="shared" si="304"/>
        <v>19905.088</v>
      </c>
      <c r="F134" s="1324">
        <f t="shared" si="304"/>
        <v>19857</v>
      </c>
      <c r="G134" s="1324">
        <f t="shared" si="304"/>
        <v>18486.532478705889</v>
      </c>
      <c r="H134" s="1324">
        <f t="shared" si="304"/>
        <v>17559.479531695368</v>
      </c>
      <c r="I134" s="1324">
        <f t="shared" si="304"/>
        <v>17759</v>
      </c>
      <c r="J134" s="1324">
        <f t="shared" si="304"/>
        <v>17260</v>
      </c>
      <c r="K134" s="1324">
        <f t="shared" si="304"/>
        <v>12985</v>
      </c>
      <c r="L134" s="1324">
        <f t="shared" ref="L134:R134" si="305">(K134*(1+L177))</f>
        <v>11859</v>
      </c>
      <c r="M134" s="1324">
        <f t="shared" si="305"/>
        <v>12257</v>
      </c>
      <c r="N134" s="1324">
        <f t="shared" si="305"/>
        <v>12624.999999999998</v>
      </c>
      <c r="O134" s="1324">
        <f t="shared" si="305"/>
        <v>12546.999999999998</v>
      </c>
      <c r="P134" s="1324">
        <f t="shared" si="305"/>
        <v>12505.999999999998</v>
      </c>
      <c r="Q134" s="1324">
        <f t="shared" si="305"/>
        <v>12054.055999999999</v>
      </c>
      <c r="R134" s="1324">
        <f t="shared" si="305"/>
        <v>11725.464803815383</v>
      </c>
      <c r="S134" s="1324">
        <f>(R134*(1+S177))</f>
        <v>11327.560385207389</v>
      </c>
      <c r="T134" s="1324">
        <f>(S134*(1+T177))</f>
        <v>10860.185527968699</v>
      </c>
      <c r="U134" s="1324">
        <f>(T134*(1+U177))</f>
        <v>10642.981817409325</v>
      </c>
    </row>
    <row r="135" spans="1:22">
      <c r="C135" s="682"/>
      <c r="D135" s="682"/>
      <c r="E135" s="682"/>
      <c r="F135" s="682"/>
      <c r="G135" s="682"/>
      <c r="H135" s="682"/>
      <c r="I135" s="682"/>
      <c r="J135" s="682"/>
      <c r="K135" s="682"/>
      <c r="L135" s="682"/>
      <c r="M135" s="682"/>
    </row>
    <row r="136" spans="1:22">
      <c r="A136" s="398" t="s">
        <v>232</v>
      </c>
      <c r="C136" s="1324">
        <f>C8</f>
        <v>11322</v>
      </c>
      <c r="D136" s="1324">
        <f t="shared" ref="D136:K136" si="306">D8</f>
        <v>11591</v>
      </c>
      <c r="E136" s="1324">
        <f t="shared" si="306"/>
        <v>12094.088</v>
      </c>
      <c r="F136" s="1324">
        <f t="shared" si="306"/>
        <v>12195.93</v>
      </c>
      <c r="G136" s="1324">
        <f t="shared" si="306"/>
        <v>11570.472978705891</v>
      </c>
      <c r="H136" s="1324">
        <f t="shared" si="306"/>
        <v>10649.479531695368</v>
      </c>
      <c r="I136" s="1324">
        <f t="shared" si="306"/>
        <v>10799</v>
      </c>
      <c r="J136" s="1324">
        <f t="shared" si="306"/>
        <v>10835</v>
      </c>
      <c r="K136" s="1324">
        <f t="shared" si="306"/>
        <v>8866</v>
      </c>
      <c r="L136" s="1324">
        <f t="shared" ref="L136:Q136" si="307">L134-L138</f>
        <v>8367</v>
      </c>
      <c r="M136" s="1324">
        <f t="shared" si="307"/>
        <v>7996</v>
      </c>
      <c r="N136" s="1324">
        <f t="shared" si="307"/>
        <v>8073.9999999999991</v>
      </c>
      <c r="O136" s="1324">
        <f t="shared" si="307"/>
        <v>8070.9999999999991</v>
      </c>
      <c r="P136" s="1324">
        <f t="shared" si="307"/>
        <v>8173.9999999999991</v>
      </c>
      <c r="Q136" s="1324">
        <f t="shared" si="307"/>
        <v>7801.450664</v>
      </c>
      <c r="R136" s="1324">
        <f>R134-R138</f>
        <v>7599.2737393527486</v>
      </c>
      <c r="S136" s="1324">
        <f>S134-S138</f>
        <v>7353.8522020766377</v>
      </c>
      <c r="T136" s="1324">
        <f>T134-T138</f>
        <v>7071.0667972604206</v>
      </c>
      <c r="U136" s="1324">
        <f>U134-U138</f>
        <v>6954.1243194952531</v>
      </c>
    </row>
    <row r="137" spans="1:22">
      <c r="C137" s="682"/>
      <c r="D137" s="682"/>
      <c r="E137" s="682"/>
      <c r="F137" s="682"/>
      <c r="G137" s="682"/>
      <c r="H137" s="682"/>
      <c r="I137" s="682"/>
      <c r="J137" s="682"/>
      <c r="K137" s="682"/>
      <c r="L137" s="682"/>
      <c r="M137" s="682"/>
    </row>
    <row r="138" spans="1:22">
      <c r="A138" s="398" t="s">
        <v>233</v>
      </c>
      <c r="C138" s="1324">
        <f t="shared" ref="C138:K138" si="308">C134-C136</f>
        <v>6774</v>
      </c>
      <c r="D138" s="1324">
        <f t="shared" si="308"/>
        <v>7190.0839999999989</v>
      </c>
      <c r="E138" s="1324">
        <f t="shared" si="308"/>
        <v>7811</v>
      </c>
      <c r="F138" s="1324">
        <f t="shared" si="308"/>
        <v>7661.07</v>
      </c>
      <c r="G138" s="1324">
        <f t="shared" si="308"/>
        <v>6916.0594999999976</v>
      </c>
      <c r="H138" s="1324">
        <f t="shared" si="308"/>
        <v>6910</v>
      </c>
      <c r="I138" s="1324">
        <f t="shared" si="308"/>
        <v>6960</v>
      </c>
      <c r="J138" s="1324">
        <f t="shared" si="308"/>
        <v>6425</v>
      </c>
      <c r="K138" s="1324">
        <f t="shared" si="308"/>
        <v>4119</v>
      </c>
      <c r="L138" s="1324">
        <f t="shared" ref="L138:Q138" si="309">L134*L162</f>
        <v>3492</v>
      </c>
      <c r="M138" s="1324">
        <f t="shared" si="309"/>
        <v>4261</v>
      </c>
      <c r="N138" s="1324">
        <f t="shared" si="309"/>
        <v>4550.9999999999991</v>
      </c>
      <c r="O138" s="1324">
        <f t="shared" si="309"/>
        <v>4475.9999999999991</v>
      </c>
      <c r="P138" s="1324">
        <f t="shared" si="309"/>
        <v>4331.9999999999991</v>
      </c>
      <c r="Q138" s="1324">
        <f t="shared" si="309"/>
        <v>4252.6053359999987</v>
      </c>
      <c r="R138" s="1324">
        <f>R134*R162</f>
        <v>4126.1910644626341</v>
      </c>
      <c r="S138" s="1324">
        <f>S134*S162</f>
        <v>3973.7081831307514</v>
      </c>
      <c r="T138" s="1324">
        <f>T134*T162</f>
        <v>3789.1187307082782</v>
      </c>
      <c r="U138" s="1324">
        <f>U134*U162</f>
        <v>3688.8574979140722</v>
      </c>
    </row>
    <row r="139" spans="1:22">
      <c r="A139" s="398" t="s">
        <v>458</v>
      </c>
      <c r="C139" s="682">
        <f>C11</f>
        <v>5505</v>
      </c>
      <c r="D139" s="682">
        <f t="shared" ref="D139:K139" si="310">D11</f>
        <v>5614</v>
      </c>
      <c r="E139" s="682">
        <f t="shared" si="310"/>
        <v>5937</v>
      </c>
      <c r="F139" s="682">
        <f t="shared" si="310"/>
        <v>5829</v>
      </c>
      <c r="G139" s="682">
        <f t="shared" si="310"/>
        <v>5805</v>
      </c>
      <c r="H139" s="682">
        <f t="shared" si="310"/>
        <v>6242</v>
      </c>
      <c r="I139" s="682">
        <f t="shared" si="310"/>
        <v>6124</v>
      </c>
      <c r="J139" s="682">
        <f t="shared" si="310"/>
        <v>5748</v>
      </c>
      <c r="K139" s="682">
        <f t="shared" si="310"/>
        <v>5402</v>
      </c>
      <c r="L139" s="682">
        <f t="shared" ref="L139:Q139" si="311">L134*L166</f>
        <v>4852</v>
      </c>
      <c r="M139" s="682">
        <f t="shared" si="311"/>
        <v>4630</v>
      </c>
      <c r="N139" s="682">
        <f t="shared" si="311"/>
        <v>4613.7499999999991</v>
      </c>
      <c r="O139" s="682">
        <f t="shared" si="311"/>
        <v>4165.9999999999991</v>
      </c>
      <c r="P139" s="682">
        <f t="shared" si="311"/>
        <v>4056.9999999999995</v>
      </c>
      <c r="Q139" s="682">
        <f t="shared" si="311"/>
        <v>3973.2849999999994</v>
      </c>
      <c r="R139" s="682">
        <f>R134*R166</f>
        <v>3861.3922064558888</v>
      </c>
      <c r="S139" s="682">
        <f>S134*S166</f>
        <v>3734.6699798779355</v>
      </c>
      <c r="T139" s="682">
        <f>T134*T166</f>
        <v>3655.646723588774</v>
      </c>
      <c r="U139" s="682">
        <f>U134*U166</f>
        <v>3695.1862766057825</v>
      </c>
    </row>
    <row r="140" spans="1:22">
      <c r="A140" s="398" t="s">
        <v>555</v>
      </c>
      <c r="C140" s="682">
        <f>C12</f>
        <v>12</v>
      </c>
      <c r="D140" s="682">
        <f t="shared" ref="D140:P140" si="312">D12</f>
        <v>-54</v>
      </c>
      <c r="E140" s="682">
        <f t="shared" si="312"/>
        <v>-34</v>
      </c>
      <c r="F140" s="682">
        <f t="shared" si="312"/>
        <v>-46</v>
      </c>
      <c r="G140" s="682">
        <f t="shared" si="312"/>
        <v>-17.809677419354838</v>
      </c>
      <c r="H140" s="682">
        <f t="shared" si="312"/>
        <v>5</v>
      </c>
      <c r="I140" s="682">
        <f t="shared" si="312"/>
        <v>-28</v>
      </c>
      <c r="J140" s="682">
        <f t="shared" si="312"/>
        <v>21</v>
      </c>
      <c r="K140" s="682">
        <f t="shared" si="312"/>
        <v>73</v>
      </c>
      <c r="L140" s="682">
        <f t="shared" si="312"/>
        <v>-155</v>
      </c>
      <c r="M140" s="682">
        <f t="shared" si="312"/>
        <v>-148</v>
      </c>
      <c r="N140" s="682">
        <f t="shared" si="312"/>
        <v>56</v>
      </c>
      <c r="O140" s="682">
        <f t="shared" si="312"/>
        <v>-94</v>
      </c>
      <c r="P140" s="682">
        <f t="shared" si="312"/>
        <v>-78</v>
      </c>
      <c r="Q140" s="682">
        <f>Q12</f>
        <v>-60</v>
      </c>
      <c r="R140" s="682">
        <f>R12</f>
        <v>0</v>
      </c>
      <c r="S140" s="682">
        <f>S12</f>
        <v>0</v>
      </c>
      <c r="T140" s="682">
        <f>T12</f>
        <v>0</v>
      </c>
      <c r="U140" s="682">
        <f>U12</f>
        <v>0</v>
      </c>
    </row>
    <row r="141" spans="1:22">
      <c r="A141" s="774" t="s">
        <v>235</v>
      </c>
      <c r="C141" s="1324">
        <f>C138-C139-C140</f>
        <v>1257</v>
      </c>
      <c r="D141" s="1324">
        <f t="shared" ref="D141:P141" si="313">D138-D139-D140</f>
        <v>1630.0839999999989</v>
      </c>
      <c r="E141" s="1324">
        <f t="shared" si="313"/>
        <v>1908</v>
      </c>
      <c r="F141" s="1324">
        <f t="shared" si="313"/>
        <v>1878.0699999999997</v>
      </c>
      <c r="G141" s="1324">
        <f t="shared" si="313"/>
        <v>1128.8691774193524</v>
      </c>
      <c r="H141" s="1324">
        <f t="shared" si="313"/>
        <v>663</v>
      </c>
      <c r="I141" s="1324">
        <f t="shared" si="313"/>
        <v>864</v>
      </c>
      <c r="J141" s="1324">
        <f t="shared" si="313"/>
        <v>656</v>
      </c>
      <c r="K141" s="1324">
        <f t="shared" si="313"/>
        <v>-1356</v>
      </c>
      <c r="L141" s="1324">
        <f t="shared" si="313"/>
        <v>-1205</v>
      </c>
      <c r="M141" s="1324">
        <f t="shared" si="313"/>
        <v>-221</v>
      </c>
      <c r="N141" s="1324">
        <f t="shared" si="313"/>
        <v>-118.75</v>
      </c>
      <c r="O141" s="1324">
        <f t="shared" si="313"/>
        <v>404</v>
      </c>
      <c r="P141" s="1324">
        <f t="shared" si="313"/>
        <v>352.99999999999955</v>
      </c>
      <c r="Q141" s="1324">
        <f>Q138-Q139-Q140</f>
        <v>339.32033599999932</v>
      </c>
      <c r="R141" s="1324">
        <f>R138-R139-R140</f>
        <v>264.79885800674538</v>
      </c>
      <c r="S141" s="1324">
        <f>S138-S139-S140</f>
        <v>239.03820325281595</v>
      </c>
      <c r="T141" s="1324">
        <f>T138-T139-T140</f>
        <v>133.47200711950427</v>
      </c>
      <c r="U141" s="1324">
        <f>U138-U139-U140</f>
        <v>-6.3287786917103404</v>
      </c>
    </row>
    <row r="142" spans="1:22">
      <c r="C142" s="682"/>
      <c r="D142" s="682"/>
      <c r="E142" s="682"/>
      <c r="F142" s="682"/>
      <c r="G142" s="682"/>
      <c r="H142" s="682"/>
      <c r="I142" s="682"/>
      <c r="J142" s="682"/>
      <c r="K142" s="682"/>
      <c r="L142" s="682"/>
      <c r="M142" s="682"/>
    </row>
    <row r="143" spans="1:22">
      <c r="A143" s="398" t="s">
        <v>554</v>
      </c>
      <c r="C143" s="682">
        <f>C15</f>
        <v>223</v>
      </c>
      <c r="D143" s="682">
        <f t="shared" ref="D143:P143" si="314">D15</f>
        <v>169</v>
      </c>
      <c r="E143" s="682">
        <f t="shared" si="314"/>
        <v>130</v>
      </c>
      <c r="F143" s="682">
        <f t="shared" si="314"/>
        <v>153</v>
      </c>
      <c r="G143" s="682">
        <f t="shared" si="314"/>
        <v>225</v>
      </c>
      <c r="H143" s="682">
        <f t="shared" si="314"/>
        <v>260</v>
      </c>
      <c r="I143" s="682">
        <f t="shared" si="314"/>
        <v>231</v>
      </c>
      <c r="J143" s="682">
        <f t="shared" si="314"/>
        <v>226.6783730736779</v>
      </c>
      <c r="K143" s="682">
        <f t="shared" si="314"/>
        <v>226</v>
      </c>
      <c r="L143" s="682">
        <f t="shared" si="314"/>
        <v>352</v>
      </c>
      <c r="M143" s="682">
        <f t="shared" si="314"/>
        <v>406</v>
      </c>
      <c r="N143" s="682">
        <f t="shared" si="314"/>
        <v>405</v>
      </c>
      <c r="O143" s="682">
        <f t="shared" si="314"/>
        <v>363</v>
      </c>
      <c r="P143" s="682">
        <f t="shared" si="314"/>
        <v>325</v>
      </c>
      <c r="Q143" s="682">
        <f t="shared" ref="Q143:T144" si="315">Q15</f>
        <v>300</v>
      </c>
      <c r="R143" s="682">
        <f t="shared" si="315"/>
        <v>280</v>
      </c>
      <c r="S143" s="682">
        <f t="shared" si="315"/>
        <v>270</v>
      </c>
      <c r="T143" s="682">
        <f t="shared" si="315"/>
        <v>260</v>
      </c>
      <c r="U143" s="682">
        <f t="shared" ref="U143" si="316">U15</f>
        <v>248</v>
      </c>
    </row>
    <row r="144" spans="1:22">
      <c r="A144" s="398" t="s">
        <v>556</v>
      </c>
      <c r="C144" s="682">
        <f>C16</f>
        <v>29</v>
      </c>
      <c r="D144" s="682">
        <f t="shared" ref="D144:P144" si="317">D16</f>
        <v>17</v>
      </c>
      <c r="E144" s="682">
        <f t="shared" si="317"/>
        <v>-16</v>
      </c>
      <c r="F144" s="682">
        <f t="shared" si="317"/>
        <v>5</v>
      </c>
      <c r="G144" s="682">
        <f t="shared" si="317"/>
        <v>1</v>
      </c>
      <c r="H144" s="682">
        <f t="shared" si="317"/>
        <v>0</v>
      </c>
      <c r="I144" s="682">
        <f t="shared" si="317"/>
        <v>20</v>
      </c>
      <c r="J144" s="682">
        <f t="shared" si="317"/>
        <v>658</v>
      </c>
      <c r="K144" s="682">
        <f t="shared" si="317"/>
        <v>-46</v>
      </c>
      <c r="L144" s="682">
        <f t="shared" si="317"/>
        <v>329</v>
      </c>
      <c r="M144" s="682">
        <f t="shared" si="317"/>
        <v>121</v>
      </c>
      <c r="N144" s="682">
        <f t="shared" si="317"/>
        <v>41</v>
      </c>
      <c r="O144" s="682">
        <f t="shared" si="317"/>
        <v>39</v>
      </c>
      <c r="P144" s="682">
        <f t="shared" si="317"/>
        <v>41</v>
      </c>
      <c r="Q144" s="682">
        <f t="shared" si="315"/>
        <v>0</v>
      </c>
      <c r="R144" s="682">
        <f t="shared" si="315"/>
        <v>0</v>
      </c>
      <c r="S144" s="682">
        <f t="shared" si="315"/>
        <v>0</v>
      </c>
      <c r="T144" s="682">
        <f t="shared" si="315"/>
        <v>0</v>
      </c>
      <c r="U144" s="682">
        <f t="shared" ref="U144" si="318">U16</f>
        <v>0</v>
      </c>
    </row>
    <row r="145" spans="1:26">
      <c r="A145" s="774" t="s">
        <v>236</v>
      </c>
      <c r="C145" s="1324">
        <f>C141-C143-C144</f>
        <v>1005</v>
      </c>
      <c r="D145" s="1324">
        <f t="shared" ref="D145:P145" si="319">D141-D143-D144</f>
        <v>1444.0839999999989</v>
      </c>
      <c r="E145" s="1324">
        <f t="shared" si="319"/>
        <v>1794</v>
      </c>
      <c r="F145" s="1324">
        <f t="shared" si="319"/>
        <v>1720.0699999999997</v>
      </c>
      <c r="G145" s="1324">
        <f t="shared" si="319"/>
        <v>902.86917741935235</v>
      </c>
      <c r="H145" s="1324">
        <f t="shared" si="319"/>
        <v>403</v>
      </c>
      <c r="I145" s="1324">
        <f t="shared" si="319"/>
        <v>613</v>
      </c>
      <c r="J145" s="1324">
        <f t="shared" si="319"/>
        <v>-228.6783730736779</v>
      </c>
      <c r="K145" s="1324">
        <f t="shared" si="319"/>
        <v>-1536</v>
      </c>
      <c r="L145" s="1324">
        <f t="shared" si="319"/>
        <v>-1886</v>
      </c>
      <c r="M145" s="1324">
        <f t="shared" si="319"/>
        <v>-748</v>
      </c>
      <c r="N145" s="1324">
        <f t="shared" si="319"/>
        <v>-564.75</v>
      </c>
      <c r="O145" s="1324">
        <f t="shared" si="319"/>
        <v>2</v>
      </c>
      <c r="P145" s="1324">
        <f t="shared" si="319"/>
        <v>-13.000000000000455</v>
      </c>
      <c r="Q145" s="1324">
        <f>Q141-Q143-Q144</f>
        <v>39.320335999999315</v>
      </c>
      <c r="R145" s="1324">
        <f>R141-R143-R144</f>
        <v>-15.201141993254623</v>
      </c>
      <c r="S145" s="1324">
        <f>S141-S143-S144</f>
        <v>-30.961796747184053</v>
      </c>
      <c r="T145" s="1324">
        <f>T141-T143-T144</f>
        <v>-126.52799288049573</v>
      </c>
      <c r="U145" s="1324">
        <f>U141-U143-U144</f>
        <v>-254.32877869171034</v>
      </c>
    </row>
    <row r="146" spans="1:26">
      <c r="C146" s="682"/>
      <c r="D146" s="682"/>
      <c r="E146" s="682"/>
      <c r="F146" s="682"/>
      <c r="G146" s="682"/>
      <c r="H146" s="682"/>
      <c r="I146" s="682"/>
      <c r="J146" s="682"/>
      <c r="K146" s="682"/>
      <c r="L146" s="682"/>
      <c r="M146" s="682"/>
    </row>
    <row r="147" spans="1:26">
      <c r="A147" s="398" t="s">
        <v>237</v>
      </c>
      <c r="C147" s="682">
        <f>C19</f>
        <v>347.63</v>
      </c>
      <c r="D147" s="682">
        <f t="shared" ref="D147:K147" si="320">D19</f>
        <v>515.96840520446096</v>
      </c>
      <c r="E147" s="682">
        <f t="shared" si="320"/>
        <v>657.61206896551721</v>
      </c>
      <c r="F147" s="682">
        <f t="shared" si="320"/>
        <v>650</v>
      </c>
      <c r="G147" s="682">
        <f t="shared" si="320"/>
        <v>340.27129677419322</v>
      </c>
      <c r="H147" s="682">
        <f t="shared" si="320"/>
        <v>153.41800000000001</v>
      </c>
      <c r="I147" s="682">
        <f t="shared" si="320"/>
        <v>214.52</v>
      </c>
      <c r="J147" s="682">
        <f t="shared" si="320"/>
        <v>-77</v>
      </c>
      <c r="K147" s="682">
        <f t="shared" si="320"/>
        <v>-551</v>
      </c>
      <c r="L147" s="682">
        <f t="shared" ref="L147:Q147" si="321">L145*L171</f>
        <v>-498</v>
      </c>
      <c r="M147" s="682">
        <f t="shared" si="321"/>
        <v>23</v>
      </c>
      <c r="N147" s="682">
        <f t="shared" si="321"/>
        <v>-18</v>
      </c>
      <c r="O147" s="682">
        <f t="shared" si="321"/>
        <v>1</v>
      </c>
      <c r="P147" s="682">
        <f t="shared" si="321"/>
        <v>-80.680000000002835</v>
      </c>
      <c r="Q147" s="682">
        <f t="shared" si="321"/>
        <v>17.000000000000195</v>
      </c>
      <c r="R147" s="682">
        <f>R145*R171</f>
        <v>0</v>
      </c>
      <c r="S147" s="682">
        <f>S145*S171</f>
        <v>0</v>
      </c>
      <c r="T147" s="682">
        <f>T145*T171</f>
        <v>0</v>
      </c>
      <c r="U147" s="682">
        <f>U145*U171</f>
        <v>0</v>
      </c>
    </row>
    <row r="148" spans="1:26">
      <c r="C148" s="682"/>
      <c r="D148" s="682"/>
      <c r="E148" s="682"/>
      <c r="F148" s="682"/>
      <c r="G148" s="682"/>
      <c r="H148" s="682"/>
      <c r="I148" s="682"/>
      <c r="J148" s="682"/>
      <c r="K148" s="682"/>
      <c r="L148" s="682"/>
      <c r="M148" s="682"/>
    </row>
    <row r="149" spans="1:26">
      <c r="C149" s="682"/>
      <c r="D149" s="682"/>
      <c r="E149" s="682"/>
      <c r="F149" s="682"/>
      <c r="G149" s="682"/>
      <c r="H149" s="682"/>
      <c r="I149" s="682"/>
      <c r="J149" s="682"/>
      <c r="K149" s="682"/>
      <c r="L149" s="682"/>
      <c r="M149" s="682"/>
    </row>
    <row r="150" spans="1:26">
      <c r="A150" s="398" t="s">
        <v>238</v>
      </c>
      <c r="C150" s="1324">
        <f t="shared" ref="C150:P150" si="322">C145-C147</f>
        <v>657.37</v>
      </c>
      <c r="D150" s="1324">
        <f t="shared" si="322"/>
        <v>928.11559479553796</v>
      </c>
      <c r="E150" s="1324">
        <f t="shared" si="322"/>
        <v>1136.3879310344828</v>
      </c>
      <c r="F150" s="1324">
        <f t="shared" si="322"/>
        <v>1070.0699999999997</v>
      </c>
      <c r="G150" s="1324">
        <f t="shared" si="322"/>
        <v>562.59788064515919</v>
      </c>
      <c r="H150" s="1324">
        <f t="shared" si="322"/>
        <v>249.58199999999999</v>
      </c>
      <c r="I150" s="1324">
        <f t="shared" si="322"/>
        <v>398.48</v>
      </c>
      <c r="J150" s="1324">
        <f t="shared" si="322"/>
        <v>-151.6783730736779</v>
      </c>
      <c r="K150" s="1324">
        <f>K145-K147</f>
        <v>-985</v>
      </c>
      <c r="L150" s="1324">
        <f t="shared" si="322"/>
        <v>-1388</v>
      </c>
      <c r="M150" s="1324">
        <f t="shared" si="322"/>
        <v>-771</v>
      </c>
      <c r="N150" s="1324">
        <f t="shared" si="322"/>
        <v>-546.75</v>
      </c>
      <c r="O150" s="1324">
        <f t="shared" si="322"/>
        <v>1</v>
      </c>
      <c r="P150" s="1324">
        <f t="shared" si="322"/>
        <v>67.68000000000238</v>
      </c>
      <c r="Q150" s="1324">
        <f>Q145-Q147</f>
        <v>22.32033599999912</v>
      </c>
      <c r="R150" s="1324">
        <f>R145-R147</f>
        <v>-15.201141993254623</v>
      </c>
      <c r="S150" s="1324">
        <f>S145-S147</f>
        <v>-30.961796747184053</v>
      </c>
      <c r="T150" s="1324">
        <f>T145-T147</f>
        <v>-126.52799288049573</v>
      </c>
      <c r="U150" s="1324">
        <f>U145-U147</f>
        <v>-254.32877869171034</v>
      </c>
    </row>
    <row r="152" spans="1:26">
      <c r="A152" s="952" t="s">
        <v>242</v>
      </c>
      <c r="C152" s="1319">
        <f t="shared" ref="C152:P152" si="323">C150/C153</f>
        <v>2.173662891626023</v>
      </c>
      <c r="D152" s="1319">
        <f t="shared" si="323"/>
        <v>3.6339686562080575</v>
      </c>
      <c r="E152" s="1319">
        <f t="shared" si="323"/>
        <v>4.894004870949539</v>
      </c>
      <c r="F152" s="1319">
        <f t="shared" si="323"/>
        <v>4.7521705340290872</v>
      </c>
      <c r="G152" s="1319">
        <f t="shared" si="323"/>
        <v>2.5242754039042476</v>
      </c>
      <c r="H152" s="1319">
        <f t="shared" si="323"/>
        <v>1.0718574189392314</v>
      </c>
      <c r="I152" s="1319">
        <f t="shared" si="323"/>
        <v>1.6742857142857144</v>
      </c>
      <c r="J152" s="1319">
        <f t="shared" si="323"/>
        <v>-0.69769260843458092</v>
      </c>
      <c r="K152" s="1319">
        <f t="shared" si="323"/>
        <v>-4.4936131386861318</v>
      </c>
      <c r="L152" s="1319">
        <f t="shared" si="323"/>
        <v>-5.5675892498997186</v>
      </c>
      <c r="M152" s="1319">
        <f t="shared" si="323"/>
        <v>-2.5262123197903015</v>
      </c>
      <c r="N152" s="1319">
        <f t="shared" si="323"/>
        <v>-1.7873488067996079</v>
      </c>
      <c r="O152" s="1319">
        <f t="shared" si="323"/>
        <v>3.1948881789137379E-3</v>
      </c>
      <c r="P152" s="1319">
        <f t="shared" si="323"/>
        <v>0.21755062680810791</v>
      </c>
      <c r="Q152" s="1319">
        <f>Q150/Q153</f>
        <v>7.094830260648162E-2</v>
      </c>
      <c r="R152" s="1319">
        <f>R150/R153</f>
        <v>-4.8318951027509924E-2</v>
      </c>
      <c r="S152" s="1319">
        <f>S150/S153</f>
        <v>-9.8416391440508746E-2</v>
      </c>
      <c r="T152" s="1319">
        <f>T150/T153</f>
        <v>-0.40218688137474801</v>
      </c>
      <c r="U152" s="1319">
        <f>U150/U153</f>
        <v>-0.80841951268820822</v>
      </c>
    </row>
    <row r="153" spans="1:26">
      <c r="A153" s="398" t="s">
        <v>240</v>
      </c>
      <c r="C153" s="682">
        <f>C26</f>
        <v>302.42500000000001</v>
      </c>
      <c r="D153" s="682">
        <f t="shared" ref="D153:K153" si="324">D26</f>
        <v>255.4</v>
      </c>
      <c r="E153" s="682">
        <f t="shared" si="324"/>
        <v>232.2</v>
      </c>
      <c r="F153" s="682">
        <f t="shared" si="324"/>
        <v>225.17500000000001</v>
      </c>
      <c r="G153" s="682">
        <f t="shared" si="324"/>
        <v>222.875</v>
      </c>
      <c r="H153" s="682">
        <f t="shared" si="324"/>
        <v>232.85</v>
      </c>
      <c r="I153" s="682">
        <f t="shared" si="324"/>
        <v>238</v>
      </c>
      <c r="J153" s="682">
        <f t="shared" si="324"/>
        <v>217.4</v>
      </c>
      <c r="K153" s="682">
        <f t="shared" si="324"/>
        <v>219.2</v>
      </c>
      <c r="L153" s="682">
        <f t="shared" ref="L153:T153" si="325">INDEX(L154:L156,MATCH($X$159,$Z$159:$Z$161,0))</f>
        <v>249.3</v>
      </c>
      <c r="M153" s="682">
        <f t="shared" si="325"/>
        <v>305.2</v>
      </c>
      <c r="N153" s="682">
        <f t="shared" si="325"/>
        <v>305.89999999999998</v>
      </c>
      <c r="O153" s="682">
        <f t="shared" si="325"/>
        <v>313</v>
      </c>
      <c r="P153" s="682">
        <f t="shared" si="325"/>
        <v>311.10000000000002</v>
      </c>
      <c r="Q153" s="682">
        <f t="shared" si="325"/>
        <v>314.60000000000002</v>
      </c>
      <c r="R153" s="682">
        <f t="shared" si="325"/>
        <v>314.60000000000002</v>
      </c>
      <c r="S153" s="682">
        <f t="shared" si="325"/>
        <v>314.60000000000002</v>
      </c>
      <c r="T153" s="682">
        <f t="shared" si="325"/>
        <v>314.60000000000002</v>
      </c>
      <c r="U153" s="682">
        <f t="shared" ref="U153" si="326">INDEX(U154:U156,MATCH($X$159,$Z$159:$Z$161,0))</f>
        <v>314.60000000000002</v>
      </c>
    </row>
    <row r="154" spans="1:26" outlineLevel="1">
      <c r="A154" s="774" t="s">
        <v>485</v>
      </c>
      <c r="C154" s="682"/>
      <c r="D154" s="682"/>
      <c r="E154" s="682"/>
      <c r="F154" s="682"/>
      <c r="G154" s="682"/>
      <c r="H154" s="682"/>
      <c r="I154" s="682"/>
      <c r="J154" s="682"/>
      <c r="K154" s="682"/>
      <c r="L154" s="682">
        <f t="shared" ref="L154:Q154" si="327">L67</f>
        <v>249.3</v>
      </c>
      <c r="M154" s="682">
        <f t="shared" si="327"/>
        <v>305.2</v>
      </c>
      <c r="N154" s="682">
        <f t="shared" si="327"/>
        <v>305.89999999999998</v>
      </c>
      <c r="O154" s="682">
        <f t="shared" si="327"/>
        <v>313</v>
      </c>
      <c r="P154" s="682">
        <f t="shared" si="327"/>
        <v>311.10000000000002</v>
      </c>
      <c r="Q154" s="682">
        <f t="shared" si="327"/>
        <v>314.60000000000002</v>
      </c>
      <c r="R154" s="682">
        <f>R67</f>
        <v>314.60000000000002</v>
      </c>
      <c r="S154" s="682">
        <f>S67</f>
        <v>314.60000000000002</v>
      </c>
      <c r="T154" s="682">
        <f>T67</f>
        <v>314.60000000000002</v>
      </c>
      <c r="U154" s="682">
        <f>U67</f>
        <v>314.60000000000002</v>
      </c>
    </row>
    <row r="155" spans="1:26" outlineLevel="1">
      <c r="A155" s="774" t="s">
        <v>563</v>
      </c>
      <c r="C155" s="682"/>
      <c r="D155" s="682"/>
      <c r="E155" s="682"/>
      <c r="F155" s="682"/>
      <c r="G155" s="682"/>
      <c r="H155" s="682"/>
      <c r="I155" s="682"/>
      <c r="J155" s="682"/>
      <c r="K155" s="682"/>
      <c r="L155" s="682">
        <f t="shared" ref="L155:Q155" si="328">L26</f>
        <v>249.3</v>
      </c>
      <c r="M155" s="682">
        <f t="shared" si="328"/>
        <v>305.2</v>
      </c>
      <c r="N155" s="682">
        <f t="shared" si="328"/>
        <v>305.89999999999998</v>
      </c>
      <c r="O155" s="682">
        <f t="shared" si="328"/>
        <v>313</v>
      </c>
      <c r="P155" s="682">
        <f t="shared" si="328"/>
        <v>311.10000000000002</v>
      </c>
      <c r="Q155" s="682">
        <f t="shared" si="328"/>
        <v>314.60000000000002</v>
      </c>
      <c r="R155" s="682">
        <f>R26</f>
        <v>314.60000000000002</v>
      </c>
      <c r="S155" s="682">
        <f>S26</f>
        <v>314.60000000000002</v>
      </c>
      <c r="T155" s="682">
        <f>T26</f>
        <v>314.60000000000002</v>
      </c>
      <c r="U155" s="682">
        <f>U26</f>
        <v>314.60000000000002</v>
      </c>
    </row>
    <row r="156" spans="1:26" outlineLevel="1">
      <c r="A156" s="774" t="s">
        <v>481</v>
      </c>
      <c r="C156" s="682"/>
      <c r="D156" s="682"/>
      <c r="E156" s="682"/>
      <c r="F156" s="682"/>
      <c r="G156" s="682"/>
      <c r="H156" s="682"/>
      <c r="I156" s="682"/>
      <c r="J156" s="682"/>
      <c r="K156" s="682"/>
      <c r="L156" s="682">
        <f t="shared" ref="L156:Q156" si="329">L110</f>
        <v>249.3</v>
      </c>
      <c r="M156" s="682">
        <f t="shared" si="329"/>
        <v>305.2</v>
      </c>
      <c r="N156" s="682">
        <f t="shared" si="329"/>
        <v>305.89999999999998</v>
      </c>
      <c r="O156" s="682">
        <f t="shared" si="329"/>
        <v>313</v>
      </c>
      <c r="P156" s="682">
        <f t="shared" si="329"/>
        <v>311.10000000000002</v>
      </c>
      <c r="Q156" s="682">
        <f t="shared" si="329"/>
        <v>314.60000000000002</v>
      </c>
      <c r="R156" s="682">
        <f>R110</f>
        <v>314.60000000000002</v>
      </c>
      <c r="S156" s="682">
        <f>S110</f>
        <v>314.60000000000002</v>
      </c>
      <c r="T156" s="682">
        <f>T110</f>
        <v>314.60000000000002</v>
      </c>
      <c r="U156" s="682">
        <f>U110</f>
        <v>314.60000000000002</v>
      </c>
    </row>
    <row r="158" spans="1:26" ht="13.5" thickBot="1">
      <c r="A158" s="398" t="s">
        <v>486</v>
      </c>
      <c r="C158" s="682">
        <f>C112</f>
        <v>359</v>
      </c>
      <c r="D158" s="682">
        <f t="shared" ref="D158:P158" si="330">D112</f>
        <v>372</v>
      </c>
      <c r="E158" s="682">
        <f t="shared" si="330"/>
        <v>389</v>
      </c>
      <c r="F158" s="682">
        <f t="shared" si="330"/>
        <v>426</v>
      </c>
      <c r="G158" s="682">
        <f t="shared" si="330"/>
        <v>469</v>
      </c>
      <c r="H158" s="682">
        <f t="shared" si="330"/>
        <v>495</v>
      </c>
      <c r="I158" s="682">
        <f t="shared" si="330"/>
        <v>511</v>
      </c>
      <c r="J158" s="682">
        <f t="shared" si="330"/>
        <v>518</v>
      </c>
      <c r="K158" s="682">
        <f>K112</f>
        <v>543</v>
      </c>
      <c r="L158" s="682">
        <f t="shared" si="330"/>
        <v>601</v>
      </c>
      <c r="M158" s="682">
        <f t="shared" si="330"/>
        <v>631</v>
      </c>
      <c r="N158" s="682">
        <f t="shared" si="330"/>
        <v>616</v>
      </c>
      <c r="O158" s="682">
        <f t="shared" si="330"/>
        <v>609</v>
      </c>
      <c r="P158" s="682">
        <f t="shared" si="330"/>
        <v>570</v>
      </c>
      <c r="Q158" s="682">
        <f>Q112</f>
        <v>549</v>
      </c>
      <c r="R158" s="682">
        <f>R112</f>
        <v>540.54392745588927</v>
      </c>
      <c r="S158" s="682">
        <f>S112</f>
        <v>515.40399752693622</v>
      </c>
      <c r="T158" s="682">
        <f>T112</f>
        <v>499.56853428656024</v>
      </c>
      <c r="U158" s="682">
        <f>U112</f>
        <v>472.98198524151951</v>
      </c>
    </row>
    <row r="159" spans="1:26" ht="13.5" thickBot="1">
      <c r="A159" s="398" t="s">
        <v>245</v>
      </c>
      <c r="C159" s="1324">
        <f>C158+C141</f>
        <v>1616</v>
      </c>
      <c r="D159" s="1324">
        <f t="shared" ref="D159:P159" si="331">D158+D141</f>
        <v>2002.0839999999989</v>
      </c>
      <c r="E159" s="1324">
        <f t="shared" si="331"/>
        <v>2297</v>
      </c>
      <c r="F159" s="1324">
        <f t="shared" si="331"/>
        <v>2304.0699999999997</v>
      </c>
      <c r="G159" s="1324">
        <f t="shared" si="331"/>
        <v>1597.8691774193524</v>
      </c>
      <c r="H159" s="1324">
        <f t="shared" si="331"/>
        <v>1158</v>
      </c>
      <c r="I159" s="1324">
        <f t="shared" si="331"/>
        <v>1375</v>
      </c>
      <c r="J159" s="1324">
        <f t="shared" si="331"/>
        <v>1174</v>
      </c>
      <c r="K159" s="1324">
        <f t="shared" si="331"/>
        <v>-813</v>
      </c>
      <c r="L159" s="1324">
        <f t="shared" si="331"/>
        <v>-604</v>
      </c>
      <c r="M159" s="1324">
        <f t="shared" si="331"/>
        <v>410</v>
      </c>
      <c r="N159" s="1324">
        <f t="shared" si="331"/>
        <v>497.25</v>
      </c>
      <c r="O159" s="1324">
        <f t="shared" si="331"/>
        <v>1013</v>
      </c>
      <c r="P159" s="1324">
        <f t="shared" si="331"/>
        <v>922.99999999999955</v>
      </c>
      <c r="Q159" s="1324">
        <f>Q158+Q141</f>
        <v>888.32033599999932</v>
      </c>
      <c r="R159" s="1324">
        <f>R158+R141</f>
        <v>805.34278546263465</v>
      </c>
      <c r="S159" s="1324">
        <f>S158+S141</f>
        <v>754.44220077975217</v>
      </c>
      <c r="T159" s="1324">
        <f>T158+T141</f>
        <v>633.04054140606445</v>
      </c>
      <c r="U159" s="1324">
        <f>U158+U141</f>
        <v>466.65320654980917</v>
      </c>
      <c r="W159" s="1333" t="s">
        <v>564</v>
      </c>
      <c r="X159" s="1334" t="str">
        <f>Z160</f>
        <v>Base</v>
      </c>
      <c r="Z159" s="1335" t="s">
        <v>485</v>
      </c>
    </row>
    <row r="160" spans="1:26">
      <c r="Z160" s="1335" t="s">
        <v>563</v>
      </c>
    </row>
    <row r="161" spans="1:26">
      <c r="A161" s="1088" t="s">
        <v>246</v>
      </c>
      <c r="Z161" s="1335" t="s">
        <v>481</v>
      </c>
    </row>
    <row r="162" spans="1:26">
      <c r="A162" s="398" t="s">
        <v>247</v>
      </c>
      <c r="C162" s="587">
        <f>C138/C134</f>
        <v>0.37433687002652521</v>
      </c>
      <c r="D162" s="587">
        <f t="shared" ref="D162:J162" si="332">D138/D134</f>
        <v>0.38283647525350506</v>
      </c>
      <c r="E162" s="587">
        <f t="shared" si="332"/>
        <v>0.39241223148573873</v>
      </c>
      <c r="F162" s="587">
        <f t="shared" si="332"/>
        <v>0.38581205620184317</v>
      </c>
      <c r="G162" s="587">
        <f t="shared" si="332"/>
        <v>0.3741133989279174</v>
      </c>
      <c r="H162" s="587">
        <f t="shared" si="332"/>
        <v>0.39351963636093257</v>
      </c>
      <c r="I162" s="587">
        <f t="shared" si="332"/>
        <v>0.39191395911931975</v>
      </c>
      <c r="J162" s="587">
        <f t="shared" si="332"/>
        <v>0.37224797219003475</v>
      </c>
      <c r="K162" s="587">
        <f>K138/K134</f>
        <v>0.31721216788602236</v>
      </c>
      <c r="L162" s="587">
        <f t="shared" ref="L162:T162" si="333">INDEX(L163:L165,MATCH($X$159,$Z$159:$Z$161,0))</f>
        <v>0.2944599038704781</v>
      </c>
      <c r="M162" s="587">
        <f t="shared" si="333"/>
        <v>0.34763808435995758</v>
      </c>
      <c r="N162" s="587">
        <f t="shared" si="333"/>
        <v>0.36047524752475246</v>
      </c>
      <c r="O162" s="587">
        <f t="shared" si="333"/>
        <v>0.35673866262851678</v>
      </c>
      <c r="P162" s="587">
        <f t="shared" si="333"/>
        <v>0.34639373100911564</v>
      </c>
      <c r="Q162" s="587">
        <f t="shared" si="333"/>
        <v>0.35279455612285182</v>
      </c>
      <c r="R162" s="587">
        <f t="shared" si="333"/>
        <v>0.35190000000000005</v>
      </c>
      <c r="S162" s="587">
        <f t="shared" si="333"/>
        <v>0.35079999999999995</v>
      </c>
      <c r="T162" s="587">
        <f t="shared" si="333"/>
        <v>0.34889999999999993</v>
      </c>
      <c r="U162" s="587">
        <f t="shared" ref="U162" si="334">INDEX(U163:U165,MATCH($X$159,$Z$159:$Z$161,0))</f>
        <v>0.34660000000000002</v>
      </c>
    </row>
    <row r="163" spans="1:26" hidden="1" outlineLevel="1">
      <c r="A163" s="774" t="s">
        <v>485</v>
      </c>
      <c r="C163" s="587"/>
      <c r="D163" s="587"/>
      <c r="E163" s="587"/>
      <c r="F163" s="587"/>
      <c r="G163" s="587"/>
      <c r="H163" s="587"/>
      <c r="I163" s="587"/>
      <c r="J163" s="587"/>
      <c r="K163" s="587"/>
      <c r="L163" s="587">
        <f t="shared" ref="L163:Q163" si="335">L73</f>
        <v>0.2944599038704781</v>
      </c>
      <c r="M163" s="587">
        <f t="shared" si="335"/>
        <v>0.34763808435995758</v>
      </c>
      <c r="N163" s="587">
        <f t="shared" si="335"/>
        <v>0.36047524752475246</v>
      </c>
      <c r="O163" s="587">
        <f t="shared" si="335"/>
        <v>0.35673866262851678</v>
      </c>
      <c r="P163" s="587">
        <f t="shared" si="335"/>
        <v>0.34639373100911564</v>
      </c>
      <c r="Q163" s="587">
        <f t="shared" si="335"/>
        <v>0.35699999999999998</v>
      </c>
      <c r="R163" s="587">
        <f>R73</f>
        <v>0.35699999999999998</v>
      </c>
      <c r="S163" s="587">
        <f>S73</f>
        <v>0.35699999999999998</v>
      </c>
      <c r="T163" s="587">
        <f>T73</f>
        <v>0.35699999999999998</v>
      </c>
      <c r="U163" s="587">
        <f>U73</f>
        <v>0.35699999999999998</v>
      </c>
    </row>
    <row r="164" spans="1:26" hidden="1" outlineLevel="1">
      <c r="A164" s="774" t="s">
        <v>563</v>
      </c>
      <c r="C164" s="587"/>
      <c r="D164" s="587"/>
      <c r="E164" s="587"/>
      <c r="F164" s="587"/>
      <c r="G164" s="587"/>
      <c r="H164" s="587"/>
      <c r="I164" s="587"/>
      <c r="J164" s="587"/>
      <c r="K164" s="587"/>
      <c r="L164" s="587">
        <f t="shared" ref="L164:Q164" si="336">L32</f>
        <v>0.2944599038704781</v>
      </c>
      <c r="M164" s="587">
        <f t="shared" si="336"/>
        <v>0.34763808435995758</v>
      </c>
      <c r="N164" s="587">
        <f t="shared" si="336"/>
        <v>0.36047524752475246</v>
      </c>
      <c r="O164" s="587">
        <f t="shared" si="336"/>
        <v>0.35673866262851678</v>
      </c>
      <c r="P164" s="587">
        <f t="shared" si="336"/>
        <v>0.34639373100911564</v>
      </c>
      <c r="Q164" s="587">
        <f t="shared" si="336"/>
        <v>0.35279455612285182</v>
      </c>
      <c r="R164" s="587">
        <f>R32</f>
        <v>0.35190000000000005</v>
      </c>
      <c r="S164" s="587">
        <f>S32</f>
        <v>0.35079999999999995</v>
      </c>
      <c r="T164" s="587">
        <f>T32</f>
        <v>0.34889999999999993</v>
      </c>
      <c r="U164" s="587">
        <f>U32</f>
        <v>0.34660000000000002</v>
      </c>
    </row>
    <row r="165" spans="1:26" hidden="1" outlineLevel="1">
      <c r="A165" s="774" t="s">
        <v>481</v>
      </c>
      <c r="C165" s="587"/>
      <c r="D165" s="587"/>
      <c r="E165" s="587"/>
      <c r="F165" s="587"/>
      <c r="G165" s="587"/>
      <c r="H165" s="587"/>
      <c r="I165" s="587"/>
      <c r="J165" s="587"/>
      <c r="K165" s="587"/>
      <c r="L165" s="587">
        <f t="shared" ref="L165:Q165" si="337">L116</f>
        <v>0.2944599038704781</v>
      </c>
      <c r="M165" s="587">
        <f t="shared" si="337"/>
        <v>0.34763808435995758</v>
      </c>
      <c r="N165" s="587">
        <f t="shared" si="337"/>
        <v>0.36047524752475246</v>
      </c>
      <c r="O165" s="587">
        <f t="shared" si="337"/>
        <v>0.35673866262851678</v>
      </c>
      <c r="P165" s="587">
        <f t="shared" si="337"/>
        <v>0.34639373100911564</v>
      </c>
      <c r="Q165" s="587">
        <f t="shared" si="337"/>
        <v>0.34879455612285182</v>
      </c>
      <c r="R165" s="587">
        <f>R116</f>
        <v>0.34690000000000004</v>
      </c>
      <c r="S165" s="587">
        <f>S116</f>
        <v>0.34479999999999994</v>
      </c>
      <c r="T165" s="587">
        <f>T116</f>
        <v>0.34089999999999993</v>
      </c>
      <c r="U165" s="587">
        <f>U116</f>
        <v>0.33860000000000001</v>
      </c>
    </row>
    <row r="166" spans="1:26" collapsed="1">
      <c r="A166" s="398" t="s">
        <v>248</v>
      </c>
      <c r="C166" s="587">
        <f>C139/C134</f>
        <v>0.30421087533156499</v>
      </c>
      <c r="D166" s="587">
        <f t="shared" ref="D166:J166" si="338">D139/D134</f>
        <v>0.29891778344636549</v>
      </c>
      <c r="E166" s="587">
        <f t="shared" si="338"/>
        <v>0.29826544851246073</v>
      </c>
      <c r="F166" s="587">
        <f t="shared" si="338"/>
        <v>0.29354887445233419</v>
      </c>
      <c r="G166" s="587">
        <f t="shared" si="338"/>
        <v>0.31401237666861614</v>
      </c>
      <c r="H166" s="587">
        <f t="shared" si="338"/>
        <v>0.35547750653617094</v>
      </c>
      <c r="I166" s="587">
        <f t="shared" si="338"/>
        <v>0.34483923644349346</v>
      </c>
      <c r="J166" s="587">
        <f t="shared" si="338"/>
        <v>0.33302433371958284</v>
      </c>
      <c r="K166" s="587">
        <f>K139/K134</f>
        <v>0.41601848286484405</v>
      </c>
      <c r="L166" s="587">
        <f t="shared" ref="L166:T166" si="339">INDEX(L167:L169,MATCH($X$159,$Z$159:$Z$161,0))</f>
        <v>0.40914073699300108</v>
      </c>
      <c r="M166" s="587">
        <f t="shared" si="339"/>
        <v>0.37774333034184548</v>
      </c>
      <c r="N166" s="587">
        <f t="shared" si="339"/>
        <v>0.36544554455445544</v>
      </c>
      <c r="O166" s="587">
        <f t="shared" si="339"/>
        <v>0.33203156132940143</v>
      </c>
      <c r="P166" s="587">
        <f t="shared" si="339"/>
        <v>0.32440428594274751</v>
      </c>
      <c r="Q166" s="587">
        <f t="shared" si="339"/>
        <v>0.32962224499371828</v>
      </c>
      <c r="R166" s="587">
        <f t="shared" si="339"/>
        <v>0.32931677089674255</v>
      </c>
      <c r="S166" s="587">
        <f t="shared" si="339"/>
        <v>0.32969764475985708</v>
      </c>
      <c r="T166" s="587">
        <f t="shared" si="339"/>
        <v>0.33660996989178787</v>
      </c>
      <c r="U166" s="587">
        <f t="shared" ref="U166" si="340">INDEX(U167:U169,MATCH($X$159,$Z$159:$Z$161,0))</f>
        <v>0.34719464338098915</v>
      </c>
    </row>
    <row r="167" spans="1:26" hidden="1" outlineLevel="1">
      <c r="A167" s="774" t="s">
        <v>485</v>
      </c>
      <c r="C167" s="587"/>
      <c r="D167" s="587"/>
      <c r="E167" s="587"/>
      <c r="F167" s="587"/>
      <c r="G167" s="587"/>
      <c r="H167" s="587"/>
      <c r="I167" s="587"/>
      <c r="J167" s="587"/>
      <c r="K167" s="587"/>
      <c r="L167" s="587">
        <f t="shared" ref="L167:Q167" si="341">L74</f>
        <v>0.40914073699300108</v>
      </c>
      <c r="M167" s="587">
        <f t="shared" si="341"/>
        <v>0.37774333034184548</v>
      </c>
      <c r="N167" s="587">
        <f t="shared" si="341"/>
        <v>0.36544554455445544</v>
      </c>
      <c r="O167" s="587">
        <f t="shared" si="341"/>
        <v>0.33203156132940143</v>
      </c>
      <c r="P167" s="587">
        <f t="shared" si="341"/>
        <v>0.32440428594274751</v>
      </c>
      <c r="Q167" s="587">
        <f t="shared" si="341"/>
        <v>0.33200000000000002</v>
      </c>
      <c r="R167" s="587">
        <f>R74</f>
        <v>0.32900000000000001</v>
      </c>
      <c r="S167" s="587">
        <f>S74</f>
        <v>0.32600000000000001</v>
      </c>
      <c r="T167" s="587">
        <f>T74</f>
        <v>0.32300000000000001</v>
      </c>
      <c r="U167" s="587">
        <f>U74</f>
        <v>0.32300000000000001</v>
      </c>
    </row>
    <row r="168" spans="1:26" hidden="1" outlineLevel="1">
      <c r="A168" s="774" t="s">
        <v>563</v>
      </c>
      <c r="C168" s="587"/>
      <c r="D168" s="587"/>
      <c r="E168" s="587"/>
      <c r="F168" s="587"/>
      <c r="G168" s="587"/>
      <c r="H168" s="587"/>
      <c r="I168" s="587"/>
      <c r="J168" s="587"/>
      <c r="K168" s="587"/>
      <c r="L168" s="587">
        <f t="shared" ref="L168:Q168" si="342">L33</f>
        <v>0.40914073699300108</v>
      </c>
      <c r="M168" s="587">
        <f t="shared" si="342"/>
        <v>0.37774333034184548</v>
      </c>
      <c r="N168" s="587">
        <f t="shared" si="342"/>
        <v>0.36544554455445544</v>
      </c>
      <c r="O168" s="587">
        <f t="shared" si="342"/>
        <v>0.33203156132940143</v>
      </c>
      <c r="P168" s="587">
        <f t="shared" si="342"/>
        <v>0.32440428594274751</v>
      </c>
      <c r="Q168" s="587">
        <f t="shared" si="342"/>
        <v>0.32962224499371828</v>
      </c>
      <c r="R168" s="587">
        <f>R33</f>
        <v>0.32931677089674255</v>
      </c>
      <c r="S168" s="587">
        <f>S33</f>
        <v>0.32969764475985708</v>
      </c>
      <c r="T168" s="587">
        <f>T33</f>
        <v>0.33660996989178787</v>
      </c>
      <c r="U168" s="587">
        <f>U33</f>
        <v>0.34719464338098915</v>
      </c>
    </row>
    <row r="169" spans="1:26" hidden="1" outlineLevel="1">
      <c r="A169" s="774" t="s">
        <v>481</v>
      </c>
      <c r="C169" s="587"/>
      <c r="D169" s="587"/>
      <c r="E169" s="587"/>
      <c r="F169" s="587"/>
      <c r="G169" s="587"/>
      <c r="H169" s="587"/>
      <c r="I169" s="587"/>
      <c r="J169" s="587"/>
      <c r="K169" s="587"/>
      <c r="L169" s="587">
        <f t="shared" ref="L169:Q169" si="343">L117</f>
        <v>0.40914073699300108</v>
      </c>
      <c r="M169" s="587">
        <f t="shared" si="343"/>
        <v>0.37774333034184548</v>
      </c>
      <c r="N169" s="587">
        <f t="shared" si="343"/>
        <v>0.36544554455445544</v>
      </c>
      <c r="O169" s="587">
        <f t="shared" si="343"/>
        <v>0.33203156132940143</v>
      </c>
      <c r="P169" s="587">
        <f t="shared" si="343"/>
        <v>0.32440428594274751</v>
      </c>
      <c r="Q169" s="587">
        <f t="shared" si="343"/>
        <v>0.34242224499371826</v>
      </c>
      <c r="R169" s="587">
        <f>R117</f>
        <v>0.35331677089674257</v>
      </c>
      <c r="S169" s="587">
        <f>S117</f>
        <v>0.36469764475985711</v>
      </c>
      <c r="T169" s="587">
        <f>T117</f>
        <v>0.38160996989178786</v>
      </c>
      <c r="U169" s="587">
        <f>U117</f>
        <v>0.39219464338098914</v>
      </c>
    </row>
    <row r="170" spans="1:26" collapsed="1">
      <c r="A170" s="398" t="s">
        <v>249</v>
      </c>
      <c r="C170" s="587">
        <f t="shared" ref="C170:P170" si="344">C141/C134</f>
        <v>6.9462864721485412E-2</v>
      </c>
      <c r="D170" s="587">
        <f t="shared" si="344"/>
        <v>8.6793925206872985E-2</v>
      </c>
      <c r="E170" s="587">
        <f t="shared" si="344"/>
        <v>9.5854888961053583E-2</v>
      </c>
      <c r="F170" s="587">
        <f t="shared" si="344"/>
        <v>9.4579745178022853E-2</v>
      </c>
      <c r="G170" s="587">
        <f t="shared" si="344"/>
        <v>6.1064408845718614E-2</v>
      </c>
      <c r="H170" s="587">
        <f t="shared" si="344"/>
        <v>3.775738334403738E-2</v>
      </c>
      <c r="I170" s="587">
        <f t="shared" si="344"/>
        <v>4.8651388028605212E-2</v>
      </c>
      <c r="J170" s="587">
        <f t="shared" si="344"/>
        <v>3.8006952491309386E-2</v>
      </c>
      <c r="K170" s="587">
        <f t="shared" si="344"/>
        <v>-0.10442818636888718</v>
      </c>
      <c r="L170" s="587">
        <f t="shared" si="344"/>
        <v>-0.10161059111223543</v>
      </c>
      <c r="M170" s="587">
        <f t="shared" si="344"/>
        <v>-1.8030513176144243E-2</v>
      </c>
      <c r="N170" s="587">
        <f t="shared" si="344"/>
        <v>-9.4059405940594074E-3</v>
      </c>
      <c r="O170" s="587">
        <f t="shared" si="344"/>
        <v>3.2198932015621268E-2</v>
      </c>
      <c r="P170" s="587">
        <f t="shared" si="344"/>
        <v>2.822645130337435E-2</v>
      </c>
      <c r="Q170" s="587">
        <f>Q141/Q134</f>
        <v>2.814988880091476E-2</v>
      </c>
      <c r="R170" s="587">
        <f>R141/R134</f>
        <v>2.2583229103257527E-2</v>
      </c>
      <c r="S170" s="587">
        <f>S141/S134</f>
        <v>2.1102355240142871E-2</v>
      </c>
      <c r="T170" s="587">
        <f>T141/T134</f>
        <v>1.2290030108212066E-2</v>
      </c>
      <c r="U170" s="587">
        <f>U141/U134</f>
        <v>-5.9464338098915099E-4</v>
      </c>
    </row>
    <row r="171" spans="1:26">
      <c r="A171" s="398" t="s">
        <v>251</v>
      </c>
      <c r="C171" s="587">
        <f t="shared" ref="C171:J171" si="345">C147/C145</f>
        <v>0.34590049751243779</v>
      </c>
      <c r="D171" s="587">
        <f t="shared" si="345"/>
        <v>0.35729805551786553</v>
      </c>
      <c r="E171" s="587">
        <f t="shared" si="345"/>
        <v>0.36656191135201627</v>
      </c>
      <c r="F171" s="587">
        <f t="shared" si="345"/>
        <v>0.37789159743498818</v>
      </c>
      <c r="G171" s="587">
        <f t="shared" si="345"/>
        <v>0.37687774185268114</v>
      </c>
      <c r="H171" s="587">
        <f t="shared" si="345"/>
        <v>0.38068982630272952</v>
      </c>
      <c r="I171" s="587">
        <f t="shared" si="345"/>
        <v>0.34995106035889073</v>
      </c>
      <c r="J171" s="587">
        <f t="shared" si="345"/>
        <v>0.33671745589685198</v>
      </c>
      <c r="K171" s="587">
        <f>K147/K145</f>
        <v>0.35872395833333331</v>
      </c>
      <c r="L171" s="587">
        <f t="shared" ref="L171:T171" si="346">INDEX(L172:L174,MATCH($X$159,$Z$159:$Z$161,0))</f>
        <v>0.26405090137857901</v>
      </c>
      <c r="M171" s="587">
        <f t="shared" si="346"/>
        <v>-3.074866310160428E-2</v>
      </c>
      <c r="N171" s="587">
        <f t="shared" si="346"/>
        <v>3.1872509960159362E-2</v>
      </c>
      <c r="O171" s="587">
        <f t="shared" si="346"/>
        <v>0.5</v>
      </c>
      <c r="P171" s="587">
        <f t="shared" si="346"/>
        <v>6.206153846153847</v>
      </c>
      <c r="Q171" s="587">
        <f t="shared" si="346"/>
        <v>0.43234625462001375</v>
      </c>
      <c r="R171" s="587">
        <f t="shared" si="346"/>
        <v>0</v>
      </c>
      <c r="S171" s="587">
        <f t="shared" si="346"/>
        <v>0</v>
      </c>
      <c r="T171" s="587">
        <f t="shared" si="346"/>
        <v>0</v>
      </c>
      <c r="U171" s="587">
        <f t="shared" ref="U171" si="347">INDEX(U172:U174,MATCH($X$159,$Z$159:$Z$161,0))</f>
        <v>0</v>
      </c>
    </row>
    <row r="172" spans="1:26" hidden="1" outlineLevel="1">
      <c r="A172" s="774" t="s">
        <v>485</v>
      </c>
      <c r="C172" s="587"/>
      <c r="D172" s="587"/>
      <c r="E172" s="587"/>
      <c r="F172" s="587"/>
      <c r="G172" s="587"/>
      <c r="H172" s="587"/>
      <c r="I172" s="587"/>
      <c r="J172" s="587"/>
      <c r="K172" s="587"/>
      <c r="L172" s="587">
        <f t="shared" ref="L172:Q172" si="348">L76</f>
        <v>0.26405090137857901</v>
      </c>
      <c r="M172" s="587">
        <f t="shared" si="348"/>
        <v>-3.074866310160428E-2</v>
      </c>
      <c r="N172" s="587">
        <f t="shared" si="348"/>
        <v>3.1872509960159362E-2</v>
      </c>
      <c r="O172" s="587">
        <f t="shared" si="348"/>
        <v>0.5</v>
      </c>
      <c r="P172" s="587">
        <f t="shared" si="348"/>
        <v>6.206153846153847</v>
      </c>
      <c r="Q172" s="587">
        <f t="shared" si="348"/>
        <v>0.43234625462001375</v>
      </c>
      <c r="R172" s="587">
        <f>R76</f>
        <v>0</v>
      </c>
      <c r="S172" s="587">
        <f>S76</f>
        <v>0</v>
      </c>
      <c r="T172" s="587">
        <f>T76</f>
        <v>0</v>
      </c>
      <c r="U172" s="587">
        <f>U76</f>
        <v>0</v>
      </c>
    </row>
    <row r="173" spans="1:26" hidden="1" outlineLevel="1">
      <c r="A173" s="774" t="s">
        <v>563</v>
      </c>
      <c r="C173" s="587"/>
      <c r="D173" s="587"/>
      <c r="E173" s="587"/>
      <c r="F173" s="587"/>
      <c r="G173" s="587"/>
      <c r="H173" s="587"/>
      <c r="I173" s="587"/>
      <c r="J173" s="587"/>
      <c r="K173" s="587"/>
      <c r="L173" s="587">
        <f t="shared" ref="L173:Q173" si="349">L35</f>
        <v>0.26405090137857901</v>
      </c>
      <c r="M173" s="587">
        <f t="shared" si="349"/>
        <v>-3.074866310160428E-2</v>
      </c>
      <c r="N173" s="587">
        <f t="shared" si="349"/>
        <v>3.1872509960159362E-2</v>
      </c>
      <c r="O173" s="587">
        <f t="shared" si="349"/>
        <v>0.5</v>
      </c>
      <c r="P173" s="587">
        <f t="shared" si="349"/>
        <v>6.206153846153847</v>
      </c>
      <c r="Q173" s="587">
        <f t="shared" si="349"/>
        <v>0.43234625462001375</v>
      </c>
      <c r="R173" s="587">
        <f>R35</f>
        <v>0</v>
      </c>
      <c r="S173" s="587">
        <f>S35</f>
        <v>0</v>
      </c>
      <c r="T173" s="587">
        <f>T35</f>
        <v>0</v>
      </c>
      <c r="U173" s="587">
        <f>U35</f>
        <v>0</v>
      </c>
    </row>
    <row r="174" spans="1:26" hidden="1" outlineLevel="1">
      <c r="A174" s="774" t="s">
        <v>481</v>
      </c>
      <c r="C174" s="587"/>
      <c r="D174" s="587"/>
      <c r="E174" s="587"/>
      <c r="F174" s="587"/>
      <c r="G174" s="587"/>
      <c r="H174" s="587"/>
      <c r="I174" s="587"/>
      <c r="J174" s="587"/>
      <c r="K174" s="587"/>
      <c r="L174" s="587">
        <f t="shared" ref="L174:Q174" si="350">L119</f>
        <v>0.26405090137857901</v>
      </c>
      <c r="M174" s="587">
        <f t="shared" si="350"/>
        <v>-3.074866310160428E-2</v>
      </c>
      <c r="N174" s="587">
        <f t="shared" si="350"/>
        <v>3.1872509960159362E-2</v>
      </c>
      <c r="O174" s="587">
        <f t="shared" si="350"/>
        <v>0.5</v>
      </c>
      <c r="P174" s="587">
        <f t="shared" si="350"/>
        <v>6.206153846153847</v>
      </c>
      <c r="Q174" s="587">
        <f t="shared" si="350"/>
        <v>0.43234625462001375</v>
      </c>
      <c r="R174" s="587">
        <f>R119</f>
        <v>0</v>
      </c>
      <c r="S174" s="587">
        <f>S119</f>
        <v>0</v>
      </c>
      <c r="T174" s="587">
        <f>T119</f>
        <v>0</v>
      </c>
      <c r="U174" s="587">
        <f>U119</f>
        <v>0</v>
      </c>
    </row>
    <row r="175" spans="1:26" collapsed="1"/>
    <row r="176" spans="1:26">
      <c r="A176" s="1088" t="s">
        <v>254</v>
      </c>
    </row>
    <row r="177" spans="1:21">
      <c r="A177" s="398" t="s">
        <v>152</v>
      </c>
      <c r="C177" s="1336" t="s">
        <v>147</v>
      </c>
      <c r="D177" s="581">
        <f>((D134/C134)-1)</f>
        <v>3.7858311229000741E-2</v>
      </c>
      <c r="E177" s="581">
        <f t="shared" ref="E177:K177" si="351">((E134/D134)-1)</f>
        <v>5.9847663745074664E-2</v>
      </c>
      <c r="F177" s="581">
        <f t="shared" si="351"/>
        <v>-2.4158647276515399E-3</v>
      </c>
      <c r="G177" s="581">
        <f t="shared" si="351"/>
        <v>-6.9016846517304331E-2</v>
      </c>
      <c r="H177" s="581">
        <f t="shared" si="351"/>
        <v>-5.0147476173715511E-2</v>
      </c>
      <c r="I177" s="581">
        <f>((I134/H134)-1)</f>
        <v>1.1362550236440283E-2</v>
      </c>
      <c r="J177" s="581">
        <f t="shared" si="351"/>
        <v>-2.809842896559489E-2</v>
      </c>
      <c r="K177" s="581">
        <f t="shared" si="351"/>
        <v>-0.24768250289687133</v>
      </c>
      <c r="L177" s="581">
        <f t="shared" ref="L177:Q177" si="352">L178+L187</f>
        <v>-8.6715440893338491E-2</v>
      </c>
      <c r="M177" s="581">
        <f t="shared" si="352"/>
        <v>3.3561008516738378E-2</v>
      </c>
      <c r="N177" s="581">
        <f t="shared" si="352"/>
        <v>3.0023659949416581E-2</v>
      </c>
      <c r="O177" s="581">
        <f t="shared" si="352"/>
        <v>-6.1782178217821837E-3</v>
      </c>
      <c r="P177" s="581">
        <f t="shared" si="352"/>
        <v>-3.2677133976248829E-3</v>
      </c>
      <c r="Q177" s="581">
        <f t="shared" si="352"/>
        <v>-3.6138173676635188E-2</v>
      </c>
      <c r="R177" s="581">
        <f>R178+R187</f>
        <v>-2.7259803354540257E-2</v>
      </c>
      <c r="S177" s="581">
        <f>S178+S187</f>
        <v>-3.3935065710872125E-2</v>
      </c>
      <c r="T177" s="581">
        <f>T178+T187</f>
        <v>-4.1259974905897057E-2</v>
      </c>
      <c r="U177" s="581">
        <f>U178+U187</f>
        <v>-0.02</v>
      </c>
    </row>
    <row r="178" spans="1:21">
      <c r="A178" s="398" t="s">
        <v>255</v>
      </c>
      <c r="C178" s="587">
        <f>C39</f>
        <v>4.9000000000000002E-2</v>
      </c>
      <c r="D178" s="587">
        <f>D39</f>
        <v>2.8999999999999998E-2</v>
      </c>
      <c r="E178" s="587">
        <f t="shared" ref="E178:K178" si="353">E39</f>
        <v>4.9625677213785739E-2</v>
      </c>
      <c r="F178" s="587">
        <f t="shared" si="353"/>
        <v>3.7257893941683045E-3</v>
      </c>
      <c r="G178" s="587">
        <f t="shared" si="353"/>
        <v>-8.5000000000000006E-2</v>
      </c>
      <c r="H178" s="587">
        <f t="shared" si="353"/>
        <v>-6.3080360850075165E-2</v>
      </c>
      <c r="I178" s="587">
        <f>I39</f>
        <v>2.4532615502896971E-2</v>
      </c>
      <c r="J178" s="587">
        <f t="shared" si="353"/>
        <v>2E-3</v>
      </c>
      <c r="K178" s="587">
        <f t="shared" si="353"/>
        <v>-0.252</v>
      </c>
      <c r="L178" s="587">
        <f t="shared" ref="L178:T178" si="354">INDEX(L179:L181,MATCH($X$159,$Z$159:$Z$161,0))</f>
        <v>-6.8476178429884488E-2</v>
      </c>
      <c r="M178" s="587">
        <f t="shared" si="354"/>
        <v>4.4000000000000004E-2</v>
      </c>
      <c r="N178" s="587">
        <f t="shared" si="354"/>
        <v>4.4999999999999998E-2</v>
      </c>
      <c r="O178" s="587">
        <f t="shared" si="354"/>
        <v>0</v>
      </c>
      <c r="P178" s="587">
        <f t="shared" si="354"/>
        <v>1E-3</v>
      </c>
      <c r="Q178" s="587">
        <f t="shared" si="354"/>
        <v>7.0517956777370215E-3</v>
      </c>
      <c r="R178" s="587">
        <f t="shared" si="354"/>
        <v>-1.4999999999999999E-2</v>
      </c>
      <c r="S178" s="587">
        <f t="shared" si="354"/>
        <v>-1.4999999999999999E-2</v>
      </c>
      <c r="T178" s="587">
        <f t="shared" si="354"/>
        <v>-0.02</v>
      </c>
      <c r="U178" s="587">
        <f t="shared" ref="U178" si="355">INDEX(U179:U181,MATCH($X$159,$Z$159:$Z$161,0))</f>
        <v>-0.02</v>
      </c>
    </row>
    <row r="179" spans="1:21" hidden="1" outlineLevel="1">
      <c r="A179" s="774" t="s">
        <v>485</v>
      </c>
      <c r="C179" s="1331"/>
      <c r="D179" s="1331"/>
      <c r="E179" s="1331"/>
      <c r="F179" s="1331"/>
      <c r="G179" s="1331"/>
      <c r="H179" s="587"/>
      <c r="I179" s="587"/>
      <c r="J179" s="587"/>
      <c r="K179" s="587"/>
      <c r="L179" s="587">
        <f t="shared" ref="L179:Q179" si="356">L80</f>
        <v>-6.8476178429884488E-2</v>
      </c>
      <c r="M179" s="587">
        <f t="shared" si="356"/>
        <v>4.4000000000000004E-2</v>
      </c>
      <c r="N179" s="587">
        <f t="shared" si="356"/>
        <v>4.4999999999999998E-2</v>
      </c>
      <c r="O179" s="587">
        <f t="shared" si="356"/>
        <v>0</v>
      </c>
      <c r="P179" s="587">
        <f t="shared" si="356"/>
        <v>1E-3</v>
      </c>
      <c r="Q179" s="587">
        <f t="shared" si="356"/>
        <v>0</v>
      </c>
      <c r="R179" s="587">
        <f>R80</f>
        <v>0</v>
      </c>
      <c r="S179" s="587">
        <f>S80</f>
        <v>0</v>
      </c>
      <c r="T179" s="587">
        <f>T80</f>
        <v>0</v>
      </c>
      <c r="U179" s="587">
        <f>U80</f>
        <v>0</v>
      </c>
    </row>
    <row r="180" spans="1:21" hidden="1" outlineLevel="1">
      <c r="A180" s="774" t="s">
        <v>563</v>
      </c>
      <c r="C180" s="1331"/>
      <c r="D180" s="1331"/>
      <c r="E180" s="1331"/>
      <c r="F180" s="1331"/>
      <c r="G180" s="1331"/>
      <c r="H180" s="587"/>
      <c r="I180" s="587"/>
      <c r="J180" s="587"/>
      <c r="K180" s="587"/>
      <c r="L180" s="587">
        <f t="shared" ref="L180:Q180" si="357">L39</f>
        <v>-6.8476178429884488E-2</v>
      </c>
      <c r="M180" s="587">
        <f t="shared" si="357"/>
        <v>4.4000000000000004E-2</v>
      </c>
      <c r="N180" s="587">
        <f t="shared" si="357"/>
        <v>4.4999999999999998E-2</v>
      </c>
      <c r="O180" s="587">
        <f t="shared" si="357"/>
        <v>0</v>
      </c>
      <c r="P180" s="587">
        <f t="shared" si="357"/>
        <v>1E-3</v>
      </c>
      <c r="Q180" s="587">
        <f t="shared" si="357"/>
        <v>7.0517956777370215E-3</v>
      </c>
      <c r="R180" s="587">
        <f>R39</f>
        <v>-1.4999999999999999E-2</v>
      </c>
      <c r="S180" s="587">
        <f>S39</f>
        <v>-1.4999999999999999E-2</v>
      </c>
      <c r="T180" s="587">
        <f>T39</f>
        <v>-0.02</v>
      </c>
      <c r="U180" s="587">
        <f>U39</f>
        <v>-0.02</v>
      </c>
    </row>
    <row r="181" spans="1:21" hidden="1" outlineLevel="1">
      <c r="A181" s="774" t="s">
        <v>481</v>
      </c>
      <c r="C181" s="1331"/>
      <c r="D181" s="1331"/>
      <c r="E181" s="1331"/>
      <c r="F181" s="1331"/>
      <c r="G181" s="1331"/>
      <c r="H181" s="587"/>
      <c r="I181" s="587"/>
      <c r="J181" s="587"/>
      <c r="K181" s="587"/>
      <c r="L181" s="587">
        <f t="shared" ref="L181:Q181" si="358">L123</f>
        <v>-6.8476178429884488E-2</v>
      </c>
      <c r="M181" s="587">
        <f t="shared" si="358"/>
        <v>4.4000000000000004E-2</v>
      </c>
      <c r="N181" s="587">
        <f t="shared" si="358"/>
        <v>4.4999999999999998E-2</v>
      </c>
      <c r="O181" s="587">
        <f t="shared" si="358"/>
        <v>0</v>
      </c>
      <c r="P181" s="587">
        <f t="shared" si="358"/>
        <v>1E-3</v>
      </c>
      <c r="Q181" s="587">
        <f t="shared" si="358"/>
        <v>-0.03</v>
      </c>
      <c r="R181" s="587">
        <f>R123</f>
        <v>-0.03</v>
      </c>
      <c r="S181" s="587">
        <f>S123</f>
        <v>-0.03</v>
      </c>
      <c r="T181" s="587">
        <f>T123</f>
        <v>-0.03</v>
      </c>
      <c r="U181" s="587">
        <f>U123</f>
        <v>-0.03</v>
      </c>
    </row>
    <row r="182" spans="1:21" collapsed="1">
      <c r="A182" s="398" t="s">
        <v>234</v>
      </c>
      <c r="C182" s="1336" t="s">
        <v>147</v>
      </c>
      <c r="D182" s="581">
        <f t="shared" ref="D182:R182" si="359">((D139/C139)-1)</f>
        <v>1.9800181653042648E-2</v>
      </c>
      <c r="E182" s="581">
        <f t="shared" si="359"/>
        <v>5.753473459209113E-2</v>
      </c>
      <c r="F182" s="581">
        <f t="shared" si="359"/>
        <v>-1.8191005558362838E-2</v>
      </c>
      <c r="G182" s="581">
        <f t="shared" si="359"/>
        <v>-4.1173443129182141E-3</v>
      </c>
      <c r="H182" s="581">
        <f t="shared" si="359"/>
        <v>7.5279931093884533E-2</v>
      </c>
      <c r="I182" s="581">
        <f t="shared" si="359"/>
        <v>-1.8904197372636933E-2</v>
      </c>
      <c r="J182" s="581">
        <f t="shared" si="359"/>
        <v>-6.1397779229261928E-2</v>
      </c>
      <c r="K182" s="581">
        <f t="shared" si="359"/>
        <v>-6.019485038274186E-2</v>
      </c>
      <c r="L182" s="581">
        <f t="shared" si="359"/>
        <v>-0.10181414291003332</v>
      </c>
      <c r="M182" s="581">
        <f t="shared" si="359"/>
        <v>-4.5754328112118658E-2</v>
      </c>
      <c r="N182" s="581">
        <f t="shared" si="359"/>
        <v>-3.5097192224623486E-3</v>
      </c>
      <c r="O182" s="581">
        <f t="shared" si="359"/>
        <v>-9.7046870766729909E-2</v>
      </c>
      <c r="P182" s="581">
        <f t="shared" si="359"/>
        <v>-2.6164186269803102E-2</v>
      </c>
      <c r="Q182" s="581">
        <f t="shared" si="359"/>
        <v>-2.063470544737489E-2</v>
      </c>
      <c r="R182" s="581">
        <f t="shared" si="359"/>
        <v>-2.8161280538423705E-2</v>
      </c>
      <c r="S182" s="581">
        <f>((S139/R139)-1)</f>
        <v>-3.2817755825498729E-2</v>
      </c>
      <c r="T182" s="581">
        <f>((T139/S139)-1)</f>
        <v>-2.1159367953509034E-2</v>
      </c>
      <c r="U182" s="581">
        <f>((U139/T139)-1)</f>
        <v>1.0816021351809368E-2</v>
      </c>
    </row>
    <row r="183" spans="1:21">
      <c r="A183" s="398" t="s">
        <v>235</v>
      </c>
      <c r="C183" s="1336" t="s">
        <v>147</v>
      </c>
      <c r="D183" s="581">
        <f>((D141/C141)-1)</f>
        <v>0.29680509148766809</v>
      </c>
      <c r="E183" s="581">
        <f t="shared" ref="E183:R183" si="360">((E141/D141)-1)</f>
        <v>0.17049182741502977</v>
      </c>
      <c r="F183" s="581">
        <f t="shared" si="360"/>
        <v>-1.5686582809224525E-2</v>
      </c>
      <c r="G183" s="581">
        <f t="shared" si="360"/>
        <v>-0.39892060603739343</v>
      </c>
      <c r="H183" s="581">
        <f t="shared" si="360"/>
        <v>-0.41268659534522067</v>
      </c>
      <c r="I183" s="581">
        <f t="shared" si="360"/>
        <v>0.30316742081447967</v>
      </c>
      <c r="J183" s="581">
        <f t="shared" si="360"/>
        <v>-0.2407407407407407</v>
      </c>
      <c r="K183" s="581">
        <f t="shared" si="360"/>
        <v>-3.0670731707317072</v>
      </c>
      <c r="L183" s="581">
        <f t="shared" si="360"/>
        <v>-0.11135693215339237</v>
      </c>
      <c r="M183" s="581">
        <f t="shared" si="360"/>
        <v>-0.81659751037344397</v>
      </c>
      <c r="N183" s="581">
        <f t="shared" si="360"/>
        <v>-0.46266968325791857</v>
      </c>
      <c r="O183" s="581">
        <f t="shared" si="360"/>
        <v>-4.4021052631578943</v>
      </c>
      <c r="P183" s="581">
        <f t="shared" si="360"/>
        <v>-0.12623762376237735</v>
      </c>
      <c r="Q183" s="581">
        <f t="shared" si="360"/>
        <v>-3.8752589235128143E-2</v>
      </c>
      <c r="R183" s="581">
        <f t="shared" si="360"/>
        <v>-0.2196198402716838</v>
      </c>
      <c r="S183" s="581">
        <f>((S141/R141)-1)</f>
        <v>-9.7283858955589664E-2</v>
      </c>
      <c r="T183" s="581">
        <f>((T141/S141)-1)</f>
        <v>-0.44162897267789802</v>
      </c>
      <c r="U183" s="581">
        <f>((U141/T141)-1)</f>
        <v>-1.047416524470512</v>
      </c>
    </row>
    <row r="184" spans="1:21">
      <c r="A184" s="398" t="s">
        <v>493</v>
      </c>
      <c r="C184" s="1336" t="s">
        <v>147</v>
      </c>
      <c r="D184" s="581">
        <f>((D152/C152)-1)</f>
        <v>0.67181795770071928</v>
      </c>
      <c r="E184" s="581">
        <f>((E152/D152)-1)</f>
        <v>0.34673832769275825</v>
      </c>
      <c r="F184" s="581">
        <f>((F152/E152)-1)</f>
        <v>-2.8981241470021901E-2</v>
      </c>
      <c r="G184" s="581">
        <f>((G152/F152)-1)</f>
        <v>-0.46881632596546108</v>
      </c>
      <c r="H184" s="581">
        <f t="shared" ref="H184:R184" si="361">((H152/G152)-1)</f>
        <v>-0.57538015967615486</v>
      </c>
      <c r="I184" s="581">
        <f t="shared" si="361"/>
        <v>0.56204144758607821</v>
      </c>
      <c r="J184" s="581">
        <f t="shared" si="361"/>
        <v>-1.4167106023073435</v>
      </c>
      <c r="K184" s="581">
        <f t="shared" si="361"/>
        <v>5.4406775768608062</v>
      </c>
      <c r="L184" s="581">
        <f t="shared" si="361"/>
        <v>0.23900057216042447</v>
      </c>
      <c r="M184" s="581">
        <f t="shared" si="361"/>
        <v>-0.54626460279270739</v>
      </c>
      <c r="N184" s="581">
        <f t="shared" si="361"/>
        <v>-0.29247878620591394</v>
      </c>
      <c r="O184" s="581">
        <f t="shared" si="361"/>
        <v>-1.0017875012234654</v>
      </c>
      <c r="P184" s="581">
        <f t="shared" si="361"/>
        <v>67.09334619093778</v>
      </c>
      <c r="Q184" s="581">
        <f t="shared" si="361"/>
        <v>-0.67387681824947321</v>
      </c>
      <c r="R184" s="581">
        <f t="shared" si="361"/>
        <v>-1.6810444965190139</v>
      </c>
      <c r="S184" s="581">
        <f>((S152/R152)-1)</f>
        <v>1.0368072846713154</v>
      </c>
      <c r="T184" s="581">
        <f>((T152/S152)-1)</f>
        <v>3.0865843127144528</v>
      </c>
      <c r="U184" s="581">
        <f>((U152/T152)-1)</f>
        <v>1.0100593781798231</v>
      </c>
    </row>
    <row r="185" spans="1:21">
      <c r="A185" s="398" t="s">
        <v>245</v>
      </c>
      <c r="C185" s="1336" t="s">
        <v>147</v>
      </c>
      <c r="D185" s="581">
        <f>((D159/C159)-1)</f>
        <v>0.23891336633663296</v>
      </c>
      <c r="E185" s="581">
        <f>((E159/D159)-1)</f>
        <v>0.14730450870193312</v>
      </c>
      <c r="F185" s="581">
        <f>((F159/E159)-1)</f>
        <v>3.0779277318240261E-3</v>
      </c>
      <c r="G185" s="581">
        <f>((G159/F159)-1)</f>
        <v>-0.30650146157913927</v>
      </c>
      <c r="H185" s="581">
        <f t="shared" ref="H185:R185" si="362">((H159/G159)-1)</f>
        <v>-0.27528485037164652</v>
      </c>
      <c r="I185" s="581">
        <f t="shared" si="362"/>
        <v>0.18739205526770286</v>
      </c>
      <c r="J185" s="581">
        <f t="shared" si="362"/>
        <v>-0.14618181818181819</v>
      </c>
      <c r="K185" s="581">
        <f t="shared" si="362"/>
        <v>-1.692504258943782</v>
      </c>
      <c r="L185" s="581">
        <f t="shared" si="362"/>
        <v>-0.25707257072570722</v>
      </c>
      <c r="M185" s="581">
        <f t="shared" si="362"/>
        <v>-1.6788079470198676</v>
      </c>
      <c r="N185" s="581">
        <f t="shared" si="362"/>
        <v>0.21280487804878057</v>
      </c>
      <c r="O185" s="581">
        <f t="shared" si="362"/>
        <v>1.0372046254399194</v>
      </c>
      <c r="P185" s="581">
        <f t="shared" si="362"/>
        <v>-8.8845014807502953E-2</v>
      </c>
      <c r="Q185" s="581">
        <f t="shared" si="362"/>
        <v>-3.7572767063922208E-2</v>
      </c>
      <c r="R185" s="581">
        <f t="shared" si="362"/>
        <v>-9.340949112006447E-2</v>
      </c>
      <c r="S185" s="581">
        <f>((S159/R159)-1)</f>
        <v>-6.3203626581993078E-2</v>
      </c>
      <c r="T185" s="581">
        <f>((T159/S159)-1)</f>
        <v>-0.1609157855276564</v>
      </c>
      <c r="U185" s="581">
        <f>((U159/T159)-1)</f>
        <v>-0.26283835548144774</v>
      </c>
    </row>
    <row r="186" spans="1:21">
      <c r="A186" s="398" t="s">
        <v>558</v>
      </c>
      <c r="C186" s="1336" t="s">
        <v>147</v>
      </c>
      <c r="D186" s="587">
        <f>D38-D39</f>
        <v>8.8583112290007426E-3</v>
      </c>
      <c r="E186" s="587">
        <f t="shared" ref="E186:K186" si="363">E38-E39</f>
        <v>1.0221986531288925E-2</v>
      </c>
      <c r="F186" s="587">
        <f t="shared" si="363"/>
        <v>-6.141654121819844E-3</v>
      </c>
      <c r="G186" s="587">
        <f t="shared" si="363"/>
        <v>1.5983153482695675E-2</v>
      </c>
      <c r="H186" s="587">
        <f t="shared" si="363"/>
        <v>1.2932884676359654E-2</v>
      </c>
      <c r="I186" s="587">
        <f t="shared" si="363"/>
        <v>-1.3170065266456688E-2</v>
      </c>
      <c r="J186" s="587">
        <f t="shared" si="363"/>
        <v>-3.0098428965594892E-2</v>
      </c>
      <c r="K186" s="587">
        <f t="shared" si="363"/>
        <v>4.3174971031286757E-3</v>
      </c>
      <c r="L186" s="587">
        <f t="shared" ref="L186:Q186" si="364">L42-L43</f>
        <v>0.49607314288613169</v>
      </c>
      <c r="M186" s="587">
        <f t="shared" si="364"/>
        <v>1.1325433442271602</v>
      </c>
      <c r="N186" s="587">
        <f t="shared" si="364"/>
        <v>-0.50528366425469451</v>
      </c>
      <c r="O186" s="587">
        <f t="shared" si="364"/>
        <v>-2.038992126663385</v>
      </c>
      <c r="P186" s="587">
        <f t="shared" si="364"/>
        <v>67.182191205742896</v>
      </c>
      <c r="Q186" s="587">
        <f t="shared" si="364"/>
        <v>-0.63630405118554223</v>
      </c>
      <c r="R186" s="587">
        <f>R42-R43</f>
        <v>-1.5876350053989778</v>
      </c>
      <c r="S186" s="587">
        <f>S42-S43</f>
        <v>1.1000109112532164</v>
      </c>
      <c r="T186" s="587">
        <f>T42-T43</f>
        <v>3.24750009824217</v>
      </c>
      <c r="U186" s="587">
        <f>U42-U43</f>
        <v>1.2708633657157435</v>
      </c>
    </row>
    <row r="187" spans="1:21">
      <c r="A187" s="398" t="s">
        <v>561</v>
      </c>
      <c r="C187" s="1336" t="s">
        <v>147</v>
      </c>
      <c r="D187" s="587">
        <f t="shared" ref="D187:K187" si="365">D186</f>
        <v>8.8583112290007426E-3</v>
      </c>
      <c r="E187" s="587">
        <f t="shared" si="365"/>
        <v>1.0221986531288925E-2</v>
      </c>
      <c r="F187" s="587">
        <f t="shared" si="365"/>
        <v>-6.141654121819844E-3</v>
      </c>
      <c r="G187" s="587">
        <f t="shared" si="365"/>
        <v>1.5983153482695675E-2</v>
      </c>
      <c r="H187" s="587">
        <f t="shared" si="365"/>
        <v>1.2932884676359654E-2</v>
      </c>
      <c r="I187" s="587">
        <f t="shared" si="365"/>
        <v>-1.3170065266456688E-2</v>
      </c>
      <c r="J187" s="587">
        <f t="shared" si="365"/>
        <v>-3.0098428965594892E-2</v>
      </c>
      <c r="K187" s="587">
        <f t="shared" si="365"/>
        <v>4.3174971031286757E-3</v>
      </c>
      <c r="L187" s="587">
        <f t="shared" ref="L187:T187" si="366">INDEX(L188:L190,MATCH($X$159,$Z$159:$Z$161,0))</f>
        <v>-1.8239262463454003E-2</v>
      </c>
      <c r="M187" s="587">
        <f t="shared" si="366"/>
        <v>-1.0438991483261627E-2</v>
      </c>
      <c r="N187" s="587">
        <f t="shared" si="366"/>
        <v>-1.4976340050583417E-2</v>
      </c>
      <c r="O187" s="587">
        <f t="shared" si="366"/>
        <v>-6.1782178217821837E-3</v>
      </c>
      <c r="P187" s="587">
        <f t="shared" si="366"/>
        <v>-4.2677133976248829E-3</v>
      </c>
      <c r="Q187" s="587">
        <f t="shared" si="366"/>
        <v>-4.3189969354372207E-2</v>
      </c>
      <c r="R187" s="587">
        <f t="shared" si="366"/>
        <v>-1.2259803354540258E-2</v>
      </c>
      <c r="S187" s="587">
        <f t="shared" si="366"/>
        <v>-1.8935065710872126E-2</v>
      </c>
      <c r="T187" s="587">
        <f t="shared" si="366"/>
        <v>-2.1259974905897056E-2</v>
      </c>
      <c r="U187" s="587">
        <f t="shared" ref="U187" si="367">INDEX(U188:U190,MATCH($X$159,$Z$159:$Z$161,0))</f>
        <v>0</v>
      </c>
    </row>
    <row r="188" spans="1:21" hidden="1" outlineLevel="1">
      <c r="A188" s="774" t="s">
        <v>485</v>
      </c>
      <c r="C188" s="1336"/>
      <c r="D188" s="1336"/>
      <c r="E188" s="1336"/>
      <c r="F188" s="1336"/>
      <c r="G188" s="1336"/>
      <c r="H188" s="587"/>
      <c r="I188" s="587"/>
      <c r="J188" s="587"/>
      <c r="K188" s="587"/>
      <c r="L188" s="587">
        <f t="shared" ref="L188:Q188" si="368">L86</f>
        <v>-1.8239262463454003E-2</v>
      </c>
      <c r="M188" s="587">
        <f t="shared" si="368"/>
        <v>-1.0438991483261627E-2</v>
      </c>
      <c r="N188" s="587">
        <f t="shared" si="368"/>
        <v>-1.4976340050583417E-2</v>
      </c>
      <c r="O188" s="587">
        <f t="shared" si="368"/>
        <v>-6.1782178217821837E-3</v>
      </c>
      <c r="P188" s="587">
        <f t="shared" si="368"/>
        <v>-4.2677133976248829E-3</v>
      </c>
      <c r="Q188" s="587">
        <f t="shared" si="368"/>
        <v>-3.8189969354372209E-2</v>
      </c>
      <c r="R188" s="587">
        <f>R86</f>
        <v>-7.2598033545402578E-3</v>
      </c>
      <c r="S188" s="587">
        <f>S86</f>
        <v>-1.3935065710872125E-2</v>
      </c>
      <c r="T188" s="587">
        <f>T86</f>
        <v>-1.6259974905897055E-2</v>
      </c>
    </row>
    <row r="189" spans="1:21" hidden="1" outlineLevel="1">
      <c r="A189" s="774" t="s">
        <v>563</v>
      </c>
      <c r="C189" s="1336"/>
      <c r="D189" s="1336"/>
      <c r="E189" s="1336"/>
      <c r="F189" s="1336"/>
      <c r="G189" s="1336"/>
      <c r="H189" s="587"/>
      <c r="I189" s="587"/>
      <c r="J189" s="587"/>
      <c r="K189" s="587"/>
      <c r="L189" s="587">
        <f t="shared" ref="L189:P190" si="369">L128</f>
        <v>-1.8239262463454003E-2</v>
      </c>
      <c r="M189" s="587">
        <f t="shared" si="369"/>
        <v>-1.0438991483261627E-2</v>
      </c>
      <c r="N189" s="587">
        <f t="shared" si="369"/>
        <v>-1.4976340050583417E-2</v>
      </c>
      <c r="O189" s="587">
        <f t="shared" si="369"/>
        <v>-6.1782178217821837E-3</v>
      </c>
      <c r="P189" s="587">
        <f t="shared" si="369"/>
        <v>-4.2677133976248829E-3</v>
      </c>
      <c r="Q189" s="587">
        <f t="shared" ref="Q189:T190" si="370">Q128</f>
        <v>-4.3189969354372207E-2</v>
      </c>
      <c r="R189" s="587">
        <f t="shared" si="370"/>
        <v>-1.2259803354540258E-2</v>
      </c>
      <c r="S189" s="587">
        <f t="shared" si="370"/>
        <v>-1.8935065710872126E-2</v>
      </c>
      <c r="T189" s="587">
        <f t="shared" si="370"/>
        <v>-2.1259974905897056E-2</v>
      </c>
    </row>
    <row r="190" spans="1:21" hidden="1" outlineLevel="1">
      <c r="A190" s="774" t="s">
        <v>481</v>
      </c>
      <c r="C190" s="1336"/>
      <c r="D190" s="1336"/>
      <c r="E190" s="1336"/>
      <c r="F190" s="1336"/>
      <c r="G190" s="1336"/>
      <c r="H190" s="587"/>
      <c r="I190" s="587"/>
      <c r="J190" s="587"/>
      <c r="K190" s="587"/>
      <c r="L190" s="587">
        <f t="shared" si="369"/>
        <v>-1.8239262463454003E-2</v>
      </c>
      <c r="M190" s="587">
        <f t="shared" si="369"/>
        <v>-1.0438991483261627E-2</v>
      </c>
      <c r="N190" s="587">
        <f t="shared" si="369"/>
        <v>-1.4976340050583417E-2</v>
      </c>
      <c r="O190" s="587">
        <f t="shared" si="369"/>
        <v>-6.1782178217821837E-3</v>
      </c>
      <c r="P190" s="587">
        <f t="shared" si="369"/>
        <v>-4.2677133976248829E-3</v>
      </c>
      <c r="Q190" s="587">
        <f t="shared" si="370"/>
        <v>-4.8189969354372204E-2</v>
      </c>
      <c r="R190" s="587">
        <f t="shared" si="370"/>
        <v>-1.7259803354540259E-2</v>
      </c>
      <c r="S190" s="587">
        <f t="shared" si="370"/>
        <v>-2.3935065710872127E-2</v>
      </c>
      <c r="T190" s="587">
        <f t="shared" si="370"/>
        <v>-2.6259974905897057E-2</v>
      </c>
    </row>
    <row r="191" spans="1:21" collapsed="1"/>
  </sheetData>
  <phoneticPr fontId="10" type="noConversion"/>
  <pageMargins left="0.75" right="0.75" top="0.25" bottom="0.25" header="0.5" footer="0.5"/>
  <pageSetup scale="53"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Q348"/>
  <sheetViews>
    <sheetView zoomScaleNormal="100" workbookViewId="0"/>
  </sheetViews>
  <sheetFormatPr defaultColWidth="9.7109375" defaultRowHeight="10.5" customHeight="1" outlineLevelRow="1" outlineLevelCol="1"/>
  <cols>
    <col min="1" max="1" width="5.28515625" style="397" customWidth="1"/>
    <col min="2" max="2" width="9.7109375" style="1261"/>
    <col min="3" max="3" width="9.7109375" style="397"/>
    <col min="4" max="4" width="1.42578125" style="397" customWidth="1"/>
    <col min="5" max="5" width="10.140625" style="397" customWidth="1"/>
    <col min="6" max="6" width="6.28515625" style="397" customWidth="1"/>
    <col min="7" max="7" width="1.42578125" style="397" customWidth="1"/>
    <col min="8" max="8" width="9.7109375" style="397"/>
    <col min="9" max="9" width="5.28515625" style="397" customWidth="1"/>
    <col min="10" max="10" width="9.7109375" style="1261"/>
    <col min="11" max="11" width="1.42578125" style="397" customWidth="1"/>
    <col min="12" max="13" width="11.5703125" style="397" hidden="1" customWidth="1" outlineLevel="1"/>
    <col min="14" max="14" width="11.5703125" style="397" bestFit="1" customWidth="1" collapsed="1"/>
    <col min="15" max="15" width="9.7109375" style="397"/>
    <col min="16" max="16" width="0" style="397" hidden="1" customWidth="1" outlineLevel="1"/>
    <col min="17" max="17" width="9.7109375" style="397" collapsed="1"/>
    <col min="18" max="16384" width="9.7109375" style="397"/>
  </cols>
  <sheetData>
    <row r="1" spans="1:16" ht="10.5" customHeight="1">
      <c r="A1" s="1208" t="s">
        <v>442</v>
      </c>
      <c r="B1" s="1209"/>
      <c r="D1" s="1210"/>
      <c r="E1" s="1210"/>
      <c r="F1" s="1210"/>
      <c r="G1" s="1210"/>
      <c r="I1" s="1208" t="s">
        <v>442</v>
      </c>
      <c r="J1" s="1209"/>
      <c r="K1" s="1210"/>
      <c r="L1" s="1210"/>
      <c r="M1" s="1210"/>
      <c r="N1" s="1210"/>
    </row>
    <row r="2" spans="1:16" ht="12" customHeight="1">
      <c r="A2" s="1211" t="s">
        <v>462</v>
      </c>
      <c r="B2" s="1212"/>
      <c r="C2" s="1213"/>
      <c r="D2" s="1213"/>
      <c r="E2" s="1213"/>
      <c r="F2" s="1213"/>
      <c r="G2" s="1213"/>
      <c r="I2" s="1211" t="s">
        <v>462</v>
      </c>
      <c r="J2" s="1212"/>
      <c r="K2" s="1213"/>
      <c r="L2" s="1213"/>
      <c r="M2" s="1213"/>
      <c r="N2" s="1213"/>
    </row>
    <row r="3" spans="1:16" ht="10.5" customHeight="1">
      <c r="A3" s="1209"/>
      <c r="B3" s="1214"/>
      <c r="D3" s="1215"/>
      <c r="E3" s="1216"/>
      <c r="F3" s="1216"/>
      <c r="G3" s="1217"/>
      <c r="I3" s="1209"/>
      <c r="J3" s="1214"/>
      <c r="K3" s="1215"/>
      <c r="L3" s="1215"/>
      <c r="M3" s="1215"/>
      <c r="N3" s="1216"/>
    </row>
    <row r="4" spans="1:16" ht="10.5" customHeight="1" outlineLevel="1">
      <c r="A4" s="1218" t="s">
        <v>463</v>
      </c>
      <c r="B4" s="1218" t="s">
        <v>338</v>
      </c>
      <c r="D4" s="1219"/>
      <c r="E4" s="1220" t="s">
        <v>155</v>
      </c>
      <c r="F4" s="1221" t="s">
        <v>466</v>
      </c>
      <c r="G4" s="1219"/>
      <c r="I4" s="1218" t="s">
        <v>463</v>
      </c>
      <c r="J4" s="1218" t="s">
        <v>338</v>
      </c>
      <c r="K4" s="1219"/>
      <c r="L4" s="1219" t="s">
        <v>467</v>
      </c>
      <c r="M4" s="1219" t="s">
        <v>468</v>
      </c>
      <c r="N4" s="1220" t="s">
        <v>464</v>
      </c>
      <c r="P4" s="1219" t="s">
        <v>541</v>
      </c>
    </row>
    <row r="5" spans="1:16" ht="10.5" customHeight="1" outlineLevel="1">
      <c r="A5" s="1218"/>
      <c r="B5" s="1214">
        <v>2002</v>
      </c>
      <c r="D5" s="1219"/>
      <c r="E5" s="1222"/>
      <c r="F5" s="1223"/>
      <c r="G5" s="1219"/>
      <c r="I5" s="1218"/>
      <c r="J5" s="1218"/>
      <c r="K5" s="1219"/>
      <c r="L5" s="1219"/>
      <c r="M5" s="1219"/>
      <c r="N5" s="1222"/>
    </row>
    <row r="6" spans="1:16" ht="10.5" customHeight="1" outlineLevel="1">
      <c r="A6" s="1218"/>
      <c r="B6" s="1224" t="s">
        <v>143</v>
      </c>
      <c r="D6" s="1219"/>
      <c r="E6" s="1352">
        <v>1043</v>
      </c>
      <c r="F6" s="1223"/>
      <c r="G6" s="1219"/>
      <c r="I6" s="1218"/>
      <c r="J6" s="1218"/>
      <c r="K6" s="1219"/>
      <c r="L6" s="1219"/>
      <c r="M6" s="1219"/>
      <c r="N6" s="1222"/>
    </row>
    <row r="7" spans="1:16" ht="10.5" customHeight="1" outlineLevel="1">
      <c r="A7" s="1218"/>
      <c r="B7" s="1218"/>
      <c r="D7" s="1219"/>
      <c r="E7" s="1352"/>
      <c r="F7" s="1223"/>
      <c r="G7" s="1219"/>
      <c r="I7" s="1218"/>
      <c r="J7" s="1218"/>
      <c r="K7" s="1219"/>
      <c r="L7" s="1219"/>
      <c r="M7" s="1219"/>
      <c r="N7" s="1222"/>
    </row>
    <row r="8" spans="1:16" ht="10.5" customHeight="1" outlineLevel="1">
      <c r="A8" s="1209"/>
      <c r="B8" s="1214">
        <v>2003</v>
      </c>
      <c r="D8" s="1226"/>
      <c r="E8" s="1352"/>
      <c r="F8" s="1227"/>
      <c r="G8" s="1228"/>
      <c r="I8" s="1209"/>
      <c r="J8" s="1214">
        <v>2003</v>
      </c>
      <c r="K8" s="1226"/>
      <c r="L8" s="1226"/>
      <c r="M8" s="1226"/>
      <c r="N8" s="1229"/>
    </row>
    <row r="9" spans="1:16" ht="10.5" customHeight="1" outlineLevel="1">
      <c r="A9" s="1209" t="s">
        <v>158</v>
      </c>
      <c r="B9" s="1230" t="s">
        <v>339</v>
      </c>
      <c r="D9" s="1228"/>
      <c r="E9" s="1352">
        <v>1103</v>
      </c>
      <c r="F9" s="1231"/>
      <c r="G9" s="1228"/>
      <c r="I9" s="1209" t="s">
        <v>158</v>
      </c>
      <c r="J9" s="1230" t="s">
        <v>339</v>
      </c>
      <c r="K9" s="1228"/>
      <c r="L9" s="1228"/>
      <c r="M9" s="1228"/>
      <c r="N9" s="1225"/>
    </row>
    <row r="10" spans="1:16" ht="10.5" customHeight="1" outlineLevel="1">
      <c r="A10" s="1209"/>
      <c r="B10" s="1230" t="s">
        <v>340</v>
      </c>
      <c r="D10" s="1228"/>
      <c r="E10" s="1352">
        <v>1103</v>
      </c>
      <c r="F10" s="1232"/>
      <c r="G10" s="1228"/>
      <c r="I10" s="1209"/>
      <c r="J10" s="1230" t="s">
        <v>340</v>
      </c>
      <c r="K10" s="1228"/>
      <c r="L10" s="1228"/>
      <c r="M10" s="1228"/>
      <c r="N10" s="1233">
        <f>E10-E9</f>
        <v>0</v>
      </c>
    </row>
    <row r="11" spans="1:16" ht="10.5" customHeight="1" outlineLevel="1">
      <c r="A11" s="1209"/>
      <c r="B11" s="1230" t="s">
        <v>341</v>
      </c>
      <c r="D11" s="1234"/>
      <c r="E11" s="1352">
        <v>1099</v>
      </c>
      <c r="F11" s="1232"/>
      <c r="G11" s="1228"/>
      <c r="I11" s="1209"/>
      <c r="J11" s="1230" t="s">
        <v>341</v>
      </c>
      <c r="K11" s="1234"/>
      <c r="L11" s="1234"/>
      <c r="M11" s="1234"/>
      <c r="N11" s="1233">
        <f t="shared" ref="N11:N20" si="0">E11-E10</f>
        <v>-4</v>
      </c>
    </row>
    <row r="12" spans="1:16" ht="10.5" customHeight="1" outlineLevel="1">
      <c r="A12" s="1209" t="s">
        <v>159</v>
      </c>
      <c r="B12" s="1235" t="s">
        <v>342</v>
      </c>
      <c r="D12" s="1236"/>
      <c r="E12" s="1352">
        <v>1099</v>
      </c>
      <c r="F12" s="1237"/>
      <c r="G12" s="1228"/>
      <c r="I12" s="1209" t="s">
        <v>159</v>
      </c>
      <c r="J12" s="1235" t="s">
        <v>342</v>
      </c>
      <c r="K12" s="1236"/>
      <c r="L12" s="1236"/>
      <c r="M12" s="1236"/>
      <c r="N12" s="1233">
        <f t="shared" si="0"/>
        <v>0</v>
      </c>
    </row>
    <row r="13" spans="1:16" ht="10.5" customHeight="1" outlineLevel="1">
      <c r="A13" s="1209"/>
      <c r="B13" s="1235" t="s">
        <v>343</v>
      </c>
      <c r="D13" s="1228"/>
      <c r="E13" s="1352">
        <v>1099</v>
      </c>
      <c r="F13" s="1238"/>
      <c r="G13" s="1228"/>
      <c r="I13" s="1209"/>
      <c r="J13" s="1235" t="s">
        <v>343</v>
      </c>
      <c r="K13" s="1228"/>
      <c r="L13" s="1228"/>
      <c r="M13" s="1228"/>
      <c r="N13" s="1233">
        <f t="shared" si="0"/>
        <v>0</v>
      </c>
    </row>
    <row r="14" spans="1:16" ht="10.5" customHeight="1" outlineLevel="1">
      <c r="A14" s="1209"/>
      <c r="B14" s="1235" t="s">
        <v>344</v>
      </c>
      <c r="D14" s="1239"/>
      <c r="E14" s="1352">
        <v>1096</v>
      </c>
      <c r="F14" s="1240"/>
      <c r="G14" s="1228"/>
      <c r="I14" s="1209"/>
      <c r="J14" s="1235" t="s">
        <v>344</v>
      </c>
      <c r="K14" s="1239"/>
      <c r="L14" s="1239"/>
      <c r="M14" s="1239"/>
      <c r="N14" s="1233">
        <f t="shared" si="0"/>
        <v>-3</v>
      </c>
    </row>
    <row r="15" spans="1:16" ht="10.5" customHeight="1" outlineLevel="1">
      <c r="A15" s="1209" t="s">
        <v>160</v>
      </c>
      <c r="B15" s="1235" t="s">
        <v>345</v>
      </c>
      <c r="D15" s="1234"/>
      <c r="E15" s="1352">
        <v>1096</v>
      </c>
      <c r="F15" s="1241"/>
      <c r="G15" s="1228"/>
      <c r="I15" s="1209" t="s">
        <v>160</v>
      </c>
      <c r="J15" s="1235" t="s">
        <v>345</v>
      </c>
      <c r="K15" s="1234"/>
      <c r="L15" s="1234"/>
      <c r="M15" s="1234"/>
      <c r="N15" s="1233">
        <f t="shared" si="0"/>
        <v>0</v>
      </c>
    </row>
    <row r="16" spans="1:16" ht="10.5" customHeight="1" outlineLevel="1">
      <c r="A16" s="1209"/>
      <c r="B16" s="1235" t="s">
        <v>346</v>
      </c>
      <c r="D16" s="1234"/>
      <c r="E16" s="1352">
        <v>1096</v>
      </c>
      <c r="F16" s="1241"/>
      <c r="G16" s="1228"/>
      <c r="I16" s="1209"/>
      <c r="J16" s="1235" t="s">
        <v>346</v>
      </c>
      <c r="K16" s="1234"/>
      <c r="L16" s="1234"/>
      <c r="M16" s="1234"/>
      <c r="N16" s="1233">
        <f t="shared" si="0"/>
        <v>0</v>
      </c>
    </row>
    <row r="17" spans="1:14" ht="10.5" customHeight="1" outlineLevel="1">
      <c r="A17" s="1209"/>
      <c r="B17" s="1235" t="s">
        <v>347</v>
      </c>
      <c r="D17" s="1236"/>
      <c r="E17" s="1352">
        <v>1096</v>
      </c>
      <c r="F17" s="1237"/>
      <c r="G17" s="1228"/>
      <c r="I17" s="1209"/>
      <c r="J17" s="1235" t="s">
        <v>347</v>
      </c>
      <c r="K17" s="1236"/>
      <c r="L17" s="1236"/>
      <c r="M17" s="1236"/>
      <c r="N17" s="1233">
        <f t="shared" si="0"/>
        <v>0</v>
      </c>
    </row>
    <row r="18" spans="1:14" ht="10.5" customHeight="1" outlineLevel="1">
      <c r="A18" s="1209" t="s">
        <v>161</v>
      </c>
      <c r="B18" s="1235" t="s">
        <v>348</v>
      </c>
      <c r="D18" s="1228"/>
      <c r="E18" s="1352">
        <v>1094</v>
      </c>
      <c r="F18" s="1238"/>
      <c r="G18" s="1228"/>
      <c r="I18" s="1209" t="s">
        <v>161</v>
      </c>
      <c r="J18" s="1235" t="s">
        <v>348</v>
      </c>
      <c r="K18" s="1228"/>
      <c r="L18" s="1228"/>
      <c r="M18" s="1228"/>
      <c r="N18" s="1233">
        <f t="shared" si="0"/>
        <v>-2</v>
      </c>
    </row>
    <row r="19" spans="1:14" ht="10.5" customHeight="1" outlineLevel="1">
      <c r="A19" s="1209"/>
      <c r="B19" s="1235" t="s">
        <v>349</v>
      </c>
      <c r="D19" s="1228"/>
      <c r="E19" s="1352">
        <v>1088</v>
      </c>
      <c r="F19" s="1240"/>
      <c r="G19" s="1228"/>
      <c r="I19" s="1209"/>
      <c r="J19" s="1235" t="s">
        <v>349</v>
      </c>
      <c r="K19" s="1228"/>
      <c r="L19" s="1228"/>
      <c r="M19" s="1228"/>
      <c r="N19" s="1233">
        <f t="shared" si="0"/>
        <v>-6</v>
      </c>
    </row>
    <row r="20" spans="1:14" ht="10.5" customHeight="1" outlineLevel="1">
      <c r="A20" s="1209"/>
      <c r="B20" s="1235" t="s">
        <v>350</v>
      </c>
      <c r="D20" s="1234"/>
      <c r="E20" s="1352">
        <v>1020</v>
      </c>
      <c r="F20" s="1241"/>
      <c r="G20" s="1228"/>
      <c r="I20" s="1209"/>
      <c r="J20" s="1235" t="s">
        <v>350</v>
      </c>
      <c r="K20" s="1234"/>
      <c r="L20" s="1225"/>
      <c r="M20" s="1225"/>
      <c r="N20" s="1233">
        <f t="shared" si="0"/>
        <v>-68</v>
      </c>
    </row>
    <row r="21" spans="1:14" ht="10.5" customHeight="1" outlineLevel="1">
      <c r="A21" s="1209"/>
      <c r="B21" s="1235"/>
      <c r="D21" s="1234"/>
      <c r="E21" s="1352"/>
      <c r="F21" s="1241"/>
      <c r="G21" s="1228"/>
      <c r="I21" s="1209"/>
      <c r="J21" s="1235"/>
      <c r="K21" s="1234"/>
      <c r="L21" s="1225"/>
      <c r="M21" s="1225"/>
      <c r="N21" s="1237"/>
    </row>
    <row r="22" spans="1:14" ht="10.5" customHeight="1" outlineLevel="1">
      <c r="A22" s="1209"/>
      <c r="B22" s="1214">
        <f>B8+1</f>
        <v>2004</v>
      </c>
      <c r="D22" s="1236"/>
      <c r="E22" s="1352"/>
      <c r="F22" s="1237"/>
      <c r="G22" s="1228"/>
      <c r="I22" s="1209"/>
      <c r="J22" s="1214">
        <f>J8+1</f>
        <v>2004</v>
      </c>
      <c r="K22" s="1236"/>
      <c r="L22" s="1225"/>
      <c r="M22" s="1225"/>
      <c r="N22" s="1229"/>
    </row>
    <row r="23" spans="1:14" ht="10.5" customHeight="1" outlineLevel="1">
      <c r="A23" s="1209" t="s">
        <v>158</v>
      </c>
      <c r="B23" s="1230" t="s">
        <v>339</v>
      </c>
      <c r="D23" s="1228"/>
      <c r="E23" s="1352">
        <f>1019</f>
        <v>1019</v>
      </c>
      <c r="F23" s="1243">
        <f>(E23/E9-1)*100</f>
        <v>-7.6155938349954706</v>
      </c>
      <c r="G23" s="1244" t="s">
        <v>156</v>
      </c>
      <c r="I23" s="1209" t="s">
        <v>158</v>
      </c>
      <c r="J23" s="1230" t="s">
        <v>339</v>
      </c>
      <c r="K23" s="1228"/>
      <c r="L23" s="1225"/>
      <c r="M23" s="1225"/>
      <c r="N23" s="1233">
        <f>E23-E20</f>
        <v>-1</v>
      </c>
    </row>
    <row r="24" spans="1:14" ht="10.5" customHeight="1" outlineLevel="1">
      <c r="A24" s="1209"/>
      <c r="B24" s="1230" t="s">
        <v>340</v>
      </c>
      <c r="D24" s="1228"/>
      <c r="E24" s="1352">
        <f>1020</f>
        <v>1020</v>
      </c>
      <c r="F24" s="1243">
        <f t="shared" ref="F24:F34" si="1">(E24/E10-1)*100</f>
        <v>-7.5249320036264722</v>
      </c>
      <c r="G24" s="1228"/>
      <c r="I24" s="1209"/>
      <c r="J24" s="1230" t="s">
        <v>340</v>
      </c>
      <c r="K24" s="1228"/>
      <c r="L24" s="1225"/>
      <c r="M24" s="1225"/>
      <c r="N24" s="1233">
        <f>E24-E23</f>
        <v>1</v>
      </c>
    </row>
    <row r="25" spans="1:14" ht="10.5" customHeight="1" outlineLevel="1">
      <c r="A25" s="1209"/>
      <c r="B25" s="1230" t="s">
        <v>341</v>
      </c>
      <c r="D25" s="1234"/>
      <c r="E25" s="1352">
        <f>1021</f>
        <v>1021</v>
      </c>
      <c r="F25" s="1243">
        <f t="shared" si="1"/>
        <v>-7.0973612374886308</v>
      </c>
      <c r="G25" s="1228"/>
      <c r="I25" s="1209"/>
      <c r="J25" s="1230" t="s">
        <v>341</v>
      </c>
      <c r="K25" s="1234"/>
      <c r="L25" s="1225"/>
      <c r="M25" s="1225"/>
      <c r="N25" s="1233">
        <f t="shared" ref="N25:N34" si="2">E25-E24</f>
        <v>1</v>
      </c>
    </row>
    <row r="26" spans="1:14" ht="10.5" customHeight="1" outlineLevel="1">
      <c r="A26" s="1209" t="s">
        <v>159</v>
      </c>
      <c r="B26" s="1235" t="s">
        <v>342</v>
      </c>
      <c r="D26" s="1234"/>
      <c r="E26" s="1352">
        <v>1021</v>
      </c>
      <c r="F26" s="1243">
        <f t="shared" si="1"/>
        <v>-7.0973612374886308</v>
      </c>
      <c r="G26" s="1228"/>
      <c r="I26" s="1209" t="s">
        <v>159</v>
      </c>
      <c r="J26" s="1235" t="s">
        <v>342</v>
      </c>
      <c r="K26" s="1234"/>
      <c r="L26" s="1225"/>
      <c r="M26" s="1225"/>
      <c r="N26" s="1233">
        <f t="shared" si="2"/>
        <v>0</v>
      </c>
    </row>
    <row r="27" spans="1:14" ht="10.5" customHeight="1" outlineLevel="1">
      <c r="A27" s="1209"/>
      <c r="B27" s="1235" t="s">
        <v>343</v>
      </c>
      <c r="D27" s="1236"/>
      <c r="E27" s="1352">
        <v>1018</v>
      </c>
      <c r="F27" s="1243">
        <f t="shared" si="1"/>
        <v>-7.3703366696997286</v>
      </c>
      <c r="G27" s="1228"/>
      <c r="I27" s="1209"/>
      <c r="J27" s="1235" t="s">
        <v>343</v>
      </c>
      <c r="K27" s="1236"/>
      <c r="L27" s="1225"/>
      <c r="M27" s="1225"/>
      <c r="N27" s="1233">
        <f t="shared" si="2"/>
        <v>-3</v>
      </c>
    </row>
    <row r="28" spans="1:14" ht="10.5" customHeight="1" outlineLevel="1">
      <c r="A28" s="1209"/>
      <c r="B28" s="1235" t="s">
        <v>344</v>
      </c>
      <c r="D28" s="1236"/>
      <c r="E28" s="1352">
        <v>1018</v>
      </c>
      <c r="F28" s="1243">
        <f t="shared" si="1"/>
        <v>-7.1167883211678884</v>
      </c>
      <c r="G28" s="1228"/>
      <c r="I28" s="1209"/>
      <c r="J28" s="1235" t="s">
        <v>344</v>
      </c>
      <c r="K28" s="1236"/>
      <c r="L28" s="1225"/>
      <c r="M28" s="1225"/>
      <c r="N28" s="1233">
        <f t="shared" si="2"/>
        <v>0</v>
      </c>
    </row>
    <row r="29" spans="1:14" ht="10.5" customHeight="1" outlineLevel="1">
      <c r="A29" s="1209" t="s">
        <v>160</v>
      </c>
      <c r="B29" s="1235" t="s">
        <v>345</v>
      </c>
      <c r="D29" s="1226"/>
      <c r="E29" s="1352">
        <f>1078-60</f>
        <v>1018</v>
      </c>
      <c r="F29" s="1243">
        <f t="shared" si="1"/>
        <v>-7.1167883211678884</v>
      </c>
      <c r="G29" s="1228"/>
      <c r="I29" s="1209" t="s">
        <v>160</v>
      </c>
      <c r="J29" s="1235" t="s">
        <v>345</v>
      </c>
      <c r="K29" s="1226"/>
      <c r="L29" s="1225"/>
      <c r="M29" s="1225"/>
      <c r="N29" s="1233">
        <f t="shared" si="2"/>
        <v>0</v>
      </c>
    </row>
    <row r="30" spans="1:14" ht="10.5" customHeight="1" outlineLevel="1">
      <c r="A30" s="1209"/>
      <c r="B30" s="1235" t="s">
        <v>346</v>
      </c>
      <c r="E30" s="1352">
        <f>1078-60</f>
        <v>1018</v>
      </c>
      <c r="F30" s="1243">
        <f t="shared" si="1"/>
        <v>-7.1167883211678884</v>
      </c>
      <c r="I30" s="1209"/>
      <c r="J30" s="1235" t="s">
        <v>346</v>
      </c>
      <c r="L30" s="1225"/>
      <c r="M30" s="1225"/>
      <c r="N30" s="1233">
        <f t="shared" si="2"/>
        <v>0</v>
      </c>
    </row>
    <row r="31" spans="1:14" ht="10.5" customHeight="1" outlineLevel="1">
      <c r="A31" s="1209"/>
      <c r="B31" s="1235" t="s">
        <v>347</v>
      </c>
      <c r="E31" s="1352">
        <f>E30</f>
        <v>1018</v>
      </c>
      <c r="F31" s="1243">
        <f t="shared" si="1"/>
        <v>-7.1167883211678884</v>
      </c>
      <c r="I31" s="1209"/>
      <c r="J31" s="1235" t="s">
        <v>347</v>
      </c>
      <c r="L31" s="1225"/>
      <c r="M31" s="1225"/>
      <c r="N31" s="1233">
        <f t="shared" si="2"/>
        <v>0</v>
      </c>
    </row>
    <row r="32" spans="1:14" ht="10.5" customHeight="1" outlineLevel="1">
      <c r="A32" s="1209" t="s">
        <v>161</v>
      </c>
      <c r="B32" s="1235" t="s">
        <v>348</v>
      </c>
      <c r="E32" s="1352">
        <f>1081-62</f>
        <v>1019</v>
      </c>
      <c r="F32" s="1243">
        <f t="shared" si="1"/>
        <v>-6.8555758683729433</v>
      </c>
      <c r="I32" s="1209" t="s">
        <v>161</v>
      </c>
      <c r="J32" s="1235" t="s">
        <v>348</v>
      </c>
      <c r="N32" s="1233">
        <f t="shared" si="2"/>
        <v>1</v>
      </c>
    </row>
    <row r="33" spans="1:14" ht="10.5" customHeight="1" outlineLevel="1">
      <c r="A33" s="1209"/>
      <c r="B33" s="1235" t="s">
        <v>349</v>
      </c>
      <c r="E33" s="1352">
        <f>1081-62</f>
        <v>1019</v>
      </c>
      <c r="F33" s="1243">
        <f t="shared" si="1"/>
        <v>-6.3419117647058876</v>
      </c>
      <c r="I33" s="1209"/>
      <c r="J33" s="1235" t="s">
        <v>349</v>
      </c>
      <c r="N33" s="1233">
        <f t="shared" si="2"/>
        <v>0</v>
      </c>
    </row>
    <row r="34" spans="1:14" ht="10.5" customHeight="1" outlineLevel="1">
      <c r="A34" s="1209"/>
      <c r="B34" s="1235" t="s">
        <v>350</v>
      </c>
      <c r="E34" s="1352">
        <f>1017</f>
        <v>1017</v>
      </c>
      <c r="F34" s="1243">
        <f t="shared" si="1"/>
        <v>-0.29411764705882248</v>
      </c>
      <c r="I34" s="1209"/>
      <c r="J34" s="1235" t="s">
        <v>350</v>
      </c>
      <c r="N34" s="1233">
        <f t="shared" si="2"/>
        <v>-2</v>
      </c>
    </row>
    <row r="35" spans="1:14" ht="10.5" customHeight="1" outlineLevel="1">
      <c r="A35" s="1209"/>
      <c r="B35" s="1235"/>
      <c r="E35" s="1352"/>
      <c r="F35" s="1231"/>
      <c r="I35" s="1209"/>
      <c r="J35" s="1235"/>
      <c r="N35" s="1242"/>
    </row>
    <row r="36" spans="1:14" ht="10.5" customHeight="1" outlineLevel="1">
      <c r="A36" s="1209"/>
      <c r="B36" s="1214">
        <f>B22+1</f>
        <v>2005</v>
      </c>
      <c r="E36" s="1352"/>
      <c r="F36" s="1231"/>
      <c r="I36" s="1209"/>
      <c r="J36" s="1214">
        <f>J22+1</f>
        <v>2005</v>
      </c>
      <c r="N36" s="1242"/>
    </row>
    <row r="37" spans="1:14" ht="10.5" customHeight="1" outlineLevel="1">
      <c r="A37" s="1209" t="s">
        <v>158</v>
      </c>
      <c r="B37" s="1230" t="s">
        <v>339</v>
      </c>
      <c r="E37" s="1352">
        <f>1017</f>
        <v>1017</v>
      </c>
      <c r="F37" s="1243">
        <f>(E37/E23-1)*100</f>
        <v>-0.19627085377821318</v>
      </c>
      <c r="G37" s="1244" t="s">
        <v>156</v>
      </c>
      <c r="I37" s="1209" t="s">
        <v>158</v>
      </c>
      <c r="J37" s="1230" t="s">
        <v>339</v>
      </c>
      <c r="N37" s="1233">
        <f>E37-E34</f>
        <v>0</v>
      </c>
    </row>
    <row r="38" spans="1:14" ht="10.5" customHeight="1" outlineLevel="1">
      <c r="A38" s="1209"/>
      <c r="B38" s="1230" t="s">
        <v>340</v>
      </c>
      <c r="E38" s="1352">
        <f>1017</f>
        <v>1017</v>
      </c>
      <c r="F38" s="1243">
        <f t="shared" ref="F38:F48" si="3">(E38/E24-1)*100</f>
        <v>-0.29411764705882248</v>
      </c>
      <c r="G38" s="1228"/>
      <c r="I38" s="1209"/>
      <c r="J38" s="1230" t="s">
        <v>340</v>
      </c>
      <c r="N38" s="1233">
        <f>E38-E37</f>
        <v>0</v>
      </c>
    </row>
    <row r="39" spans="1:14" ht="10.5" customHeight="1" outlineLevel="1">
      <c r="A39" s="1209"/>
      <c r="B39" s="1230" t="s">
        <v>341</v>
      </c>
      <c r="E39" s="1352">
        <v>1015</v>
      </c>
      <c r="F39" s="1243">
        <f t="shared" si="3"/>
        <v>-0.58765915768853594</v>
      </c>
      <c r="G39" s="1228"/>
      <c r="I39" s="1209"/>
      <c r="J39" s="1230" t="s">
        <v>341</v>
      </c>
      <c r="N39" s="1233">
        <f t="shared" ref="N39:N48" si="4">E39-E38</f>
        <v>-2</v>
      </c>
    </row>
    <row r="40" spans="1:14" ht="10.5" customHeight="1" outlineLevel="1">
      <c r="A40" s="1209" t="s">
        <v>159</v>
      </c>
      <c r="B40" s="1235" t="s">
        <v>342</v>
      </c>
      <c r="E40" s="1352">
        <v>1015</v>
      </c>
      <c r="F40" s="1243">
        <f t="shared" si="3"/>
        <v>-0.58765915768853594</v>
      </c>
      <c r="G40" s="1228"/>
      <c r="I40" s="1209" t="s">
        <v>159</v>
      </c>
      <c r="J40" s="1235" t="s">
        <v>342</v>
      </c>
      <c r="N40" s="1233">
        <f t="shared" si="4"/>
        <v>0</v>
      </c>
    </row>
    <row r="41" spans="1:14" ht="10.5" customHeight="1" outlineLevel="1">
      <c r="A41" s="1209"/>
      <c r="B41" s="1235" t="s">
        <v>343</v>
      </c>
      <c r="E41" s="1352">
        <f>+E40</f>
        <v>1015</v>
      </c>
      <c r="F41" s="1243">
        <f t="shared" si="3"/>
        <v>-0.29469548133594925</v>
      </c>
      <c r="G41" s="1228"/>
      <c r="I41" s="1209"/>
      <c r="J41" s="1235" t="s">
        <v>343</v>
      </c>
      <c r="N41" s="1233">
        <f t="shared" si="4"/>
        <v>0</v>
      </c>
    </row>
    <row r="42" spans="1:14" ht="10.5" customHeight="1" outlineLevel="1">
      <c r="A42" s="1209"/>
      <c r="B42" s="1235" t="s">
        <v>344</v>
      </c>
      <c r="E42" s="1352">
        <v>1015</v>
      </c>
      <c r="F42" s="1243">
        <f t="shared" si="3"/>
        <v>-0.29469548133594925</v>
      </c>
      <c r="G42" s="1228"/>
      <c r="I42" s="1209"/>
      <c r="J42" s="1235" t="s">
        <v>344</v>
      </c>
      <c r="N42" s="1233">
        <f t="shared" si="4"/>
        <v>0</v>
      </c>
    </row>
    <row r="43" spans="1:14" ht="10.5" customHeight="1" outlineLevel="1">
      <c r="A43" s="1209" t="s">
        <v>160</v>
      </c>
      <c r="B43" s="1235" t="s">
        <v>345</v>
      </c>
      <c r="E43" s="1352">
        <v>1015</v>
      </c>
      <c r="F43" s="1243">
        <f t="shared" si="3"/>
        <v>-0.29469548133594925</v>
      </c>
      <c r="G43" s="1228"/>
      <c r="I43" s="1209" t="s">
        <v>160</v>
      </c>
      <c r="J43" s="1235" t="s">
        <v>345</v>
      </c>
      <c r="N43" s="1233">
        <f t="shared" si="4"/>
        <v>0</v>
      </c>
    </row>
    <row r="44" spans="1:14" ht="10.5" customHeight="1" outlineLevel="1">
      <c r="A44" s="1209"/>
      <c r="B44" s="1235" t="s">
        <v>346</v>
      </c>
      <c r="E44" s="1352">
        <v>1015</v>
      </c>
      <c r="F44" s="1243">
        <f t="shared" si="3"/>
        <v>-0.29469548133594925</v>
      </c>
      <c r="I44" s="1209"/>
      <c r="J44" s="1235" t="s">
        <v>346</v>
      </c>
      <c r="N44" s="1233">
        <f t="shared" si="4"/>
        <v>0</v>
      </c>
    </row>
    <row r="45" spans="1:14" ht="10.5" customHeight="1" outlineLevel="1">
      <c r="A45" s="1209"/>
      <c r="B45" s="1235" t="s">
        <v>347</v>
      </c>
      <c r="E45" s="1352">
        <v>1017</v>
      </c>
      <c r="F45" s="1243">
        <f t="shared" si="3"/>
        <v>-9.8231827111983083E-2</v>
      </c>
      <c r="I45" s="1209"/>
      <c r="J45" s="1235" t="s">
        <v>347</v>
      </c>
      <c r="N45" s="1233">
        <f t="shared" si="4"/>
        <v>2</v>
      </c>
    </row>
    <row r="46" spans="1:14" ht="10.5" customHeight="1" outlineLevel="1">
      <c r="A46" s="1209" t="s">
        <v>161</v>
      </c>
      <c r="B46" s="1235" t="s">
        <v>348</v>
      </c>
      <c r="E46" s="1352">
        <v>1017</v>
      </c>
      <c r="F46" s="1243">
        <f t="shared" si="3"/>
        <v>-0.19627085377821318</v>
      </c>
      <c r="I46" s="1209" t="s">
        <v>161</v>
      </c>
      <c r="J46" s="1235" t="s">
        <v>348</v>
      </c>
      <c r="N46" s="1233">
        <f t="shared" si="4"/>
        <v>0</v>
      </c>
    </row>
    <row r="47" spans="1:14" ht="10.5" customHeight="1" outlineLevel="1">
      <c r="A47" s="1209"/>
      <c r="B47" s="1235" t="s">
        <v>349</v>
      </c>
      <c r="E47" s="1352">
        <v>1017</v>
      </c>
      <c r="F47" s="1243">
        <f t="shared" si="3"/>
        <v>-0.19627085377821318</v>
      </c>
      <c r="I47" s="1209"/>
      <c r="J47" s="1235" t="s">
        <v>349</v>
      </c>
      <c r="N47" s="1233">
        <f t="shared" si="4"/>
        <v>0</v>
      </c>
    </row>
    <row r="48" spans="1:14" ht="10.5" customHeight="1" outlineLevel="1">
      <c r="A48" s="1209"/>
      <c r="B48" s="1235" t="s">
        <v>350</v>
      </c>
      <c r="E48" s="1352">
        <v>1019</v>
      </c>
      <c r="F48" s="1243">
        <f t="shared" si="3"/>
        <v>0.19665683382497079</v>
      </c>
      <c r="I48" s="1209"/>
      <c r="J48" s="1235" t="s">
        <v>350</v>
      </c>
      <c r="N48" s="1233">
        <f t="shared" si="4"/>
        <v>2</v>
      </c>
    </row>
    <row r="49" spans="1:14" ht="10.5" customHeight="1" outlineLevel="1">
      <c r="A49" s="1209"/>
      <c r="B49" s="1235"/>
      <c r="E49" s="1352"/>
      <c r="F49" s="1227"/>
      <c r="I49" s="1209"/>
      <c r="J49" s="1235"/>
      <c r="N49" s="1223"/>
    </row>
    <row r="50" spans="1:14" ht="10.5" customHeight="1" outlineLevel="1">
      <c r="A50" s="1209"/>
      <c r="B50" s="1214">
        <f>B36+1</f>
        <v>2006</v>
      </c>
      <c r="E50" s="1352"/>
      <c r="F50" s="1231"/>
      <c r="I50" s="1209"/>
      <c r="J50" s="1214">
        <f>J36+1</f>
        <v>2006</v>
      </c>
      <c r="N50" s="1229"/>
    </row>
    <row r="51" spans="1:14" ht="10.5" customHeight="1" outlineLevel="1">
      <c r="A51" s="1209" t="s">
        <v>158</v>
      </c>
      <c r="B51" s="1230" t="s">
        <v>339</v>
      </c>
      <c r="E51" s="1352">
        <v>1019</v>
      </c>
      <c r="F51" s="1243">
        <f>(E51/E37-1)*100</f>
        <v>0.19665683382497079</v>
      </c>
      <c r="G51" s="1244" t="s">
        <v>156</v>
      </c>
      <c r="I51" s="1209" t="s">
        <v>158</v>
      </c>
      <c r="J51" s="1230" t="s">
        <v>339</v>
      </c>
      <c r="N51" s="1233">
        <f>E51-E48</f>
        <v>0</v>
      </c>
    </row>
    <row r="52" spans="1:14" ht="10.5" customHeight="1" outlineLevel="1">
      <c r="A52" s="1209"/>
      <c r="B52" s="1230" t="s">
        <v>340</v>
      </c>
      <c r="E52" s="1352">
        <v>1019</v>
      </c>
      <c r="F52" s="1243">
        <f t="shared" ref="F52:F62" si="5">(E52/E38-1)*100</f>
        <v>0.19665683382497079</v>
      </c>
      <c r="G52" s="1228"/>
      <c r="I52" s="1209"/>
      <c r="J52" s="1230" t="s">
        <v>340</v>
      </c>
      <c r="N52" s="1233">
        <f>E52-E51</f>
        <v>0</v>
      </c>
    </row>
    <row r="53" spans="1:14" ht="10.5" customHeight="1" outlineLevel="1">
      <c r="A53" s="1209"/>
      <c r="B53" s="1230" t="s">
        <v>341</v>
      </c>
      <c r="E53" s="1352">
        <v>1021</v>
      </c>
      <c r="F53" s="1243">
        <f t="shared" si="5"/>
        <v>0.59113300492610321</v>
      </c>
      <c r="G53" s="1228"/>
      <c r="I53" s="1209"/>
      <c r="J53" s="1230" t="s">
        <v>341</v>
      </c>
      <c r="N53" s="1233">
        <f t="shared" ref="N53:N62" si="6">E53-E52</f>
        <v>2</v>
      </c>
    </row>
    <row r="54" spans="1:14" ht="10.5" customHeight="1" outlineLevel="1">
      <c r="A54" s="1209" t="s">
        <v>159</v>
      </c>
      <c r="B54" s="1235" t="s">
        <v>342</v>
      </c>
      <c r="E54" s="1352">
        <v>1021</v>
      </c>
      <c r="F54" s="1243">
        <f t="shared" si="5"/>
        <v>0.59113300492610321</v>
      </c>
      <c r="G54" s="1228"/>
      <c r="I54" s="1209" t="s">
        <v>159</v>
      </c>
      <c r="J54" s="1235" t="s">
        <v>342</v>
      </c>
      <c r="N54" s="1233">
        <f t="shared" si="6"/>
        <v>0</v>
      </c>
    </row>
    <row r="55" spans="1:14" ht="10.5" customHeight="1" outlineLevel="1">
      <c r="A55" s="1209"/>
      <c r="B55" s="1235" t="s">
        <v>343</v>
      </c>
      <c r="E55" s="1352">
        <v>1021</v>
      </c>
      <c r="F55" s="1243">
        <f t="shared" si="5"/>
        <v>0.59113300492610321</v>
      </c>
      <c r="G55" s="1228"/>
      <c r="I55" s="1209"/>
      <c r="J55" s="1235" t="s">
        <v>343</v>
      </c>
      <c r="N55" s="1233">
        <f t="shared" si="6"/>
        <v>0</v>
      </c>
    </row>
    <row r="56" spans="1:14" ht="10.5" customHeight="1" outlineLevel="1">
      <c r="A56" s="1209"/>
      <c r="B56" s="1235" t="s">
        <v>344</v>
      </c>
      <c r="E56" s="1352">
        <v>1021</v>
      </c>
      <c r="F56" s="1243">
        <f t="shared" si="5"/>
        <v>0.59113300492610321</v>
      </c>
      <c r="G56" s="1228"/>
      <c r="I56" s="1209"/>
      <c r="J56" s="1235" t="s">
        <v>344</v>
      </c>
      <c r="N56" s="1233">
        <f t="shared" si="6"/>
        <v>0</v>
      </c>
    </row>
    <row r="57" spans="1:14" ht="10.5" customHeight="1" outlineLevel="1">
      <c r="A57" s="1209" t="s">
        <v>160</v>
      </c>
      <c r="B57" s="1235" t="s">
        <v>345</v>
      </c>
      <c r="E57" s="1352">
        <v>1021</v>
      </c>
      <c r="F57" s="1243">
        <f t="shared" si="5"/>
        <v>0.59113300492610321</v>
      </c>
      <c r="G57" s="1228"/>
      <c r="I57" s="1209" t="s">
        <v>160</v>
      </c>
      <c r="J57" s="1235" t="s">
        <v>345</v>
      </c>
      <c r="N57" s="1233">
        <f t="shared" si="6"/>
        <v>0</v>
      </c>
    </row>
    <row r="58" spans="1:14" ht="10.5" customHeight="1" outlineLevel="1">
      <c r="A58" s="1209"/>
      <c r="B58" s="1235" t="s">
        <v>346</v>
      </c>
      <c r="E58" s="1352">
        <v>1021</v>
      </c>
      <c r="F58" s="1243">
        <f t="shared" si="5"/>
        <v>0.59113300492610321</v>
      </c>
      <c r="I58" s="1209"/>
      <c r="J58" s="1235" t="s">
        <v>346</v>
      </c>
      <c r="N58" s="1233">
        <f t="shared" si="6"/>
        <v>0</v>
      </c>
    </row>
    <row r="59" spans="1:14" ht="10.5" customHeight="1" outlineLevel="1">
      <c r="A59" s="1209"/>
      <c r="B59" s="1235" t="s">
        <v>347</v>
      </c>
      <c r="E59" s="1352">
        <v>1037</v>
      </c>
      <c r="F59" s="1243">
        <f t="shared" si="5"/>
        <v>1.9665683382497523</v>
      </c>
      <c r="I59" s="1209"/>
      <c r="J59" s="1235" t="s">
        <v>347</v>
      </c>
      <c r="N59" s="1233">
        <f t="shared" si="6"/>
        <v>16</v>
      </c>
    </row>
    <row r="60" spans="1:14" ht="10.5" customHeight="1" outlineLevel="1">
      <c r="A60" s="1209" t="s">
        <v>161</v>
      </c>
      <c r="B60" s="1235" t="s">
        <v>348</v>
      </c>
      <c r="E60" s="1352">
        <v>1037</v>
      </c>
      <c r="F60" s="1243">
        <f t="shared" si="5"/>
        <v>1.9665683382497523</v>
      </c>
      <c r="I60" s="1209" t="s">
        <v>161</v>
      </c>
      <c r="J60" s="1235" t="s">
        <v>348</v>
      </c>
      <c r="N60" s="1233">
        <f t="shared" si="6"/>
        <v>0</v>
      </c>
    </row>
    <row r="61" spans="1:14" ht="10.5" customHeight="1" outlineLevel="1">
      <c r="A61" s="1209"/>
      <c r="B61" s="1235" t="s">
        <v>349</v>
      </c>
      <c r="E61" s="1352">
        <v>1037</v>
      </c>
      <c r="F61" s="1243">
        <f t="shared" si="5"/>
        <v>1.9665683382497523</v>
      </c>
      <c r="I61" s="1209"/>
      <c r="J61" s="1235" t="s">
        <v>349</v>
      </c>
      <c r="N61" s="1233">
        <f t="shared" si="6"/>
        <v>0</v>
      </c>
    </row>
    <row r="62" spans="1:14" ht="10.5" customHeight="1" outlineLevel="1">
      <c r="A62" s="1209"/>
      <c r="B62" s="1235" t="s">
        <v>350</v>
      </c>
      <c r="E62" s="1352">
        <v>1033</v>
      </c>
      <c r="F62" s="1243">
        <f t="shared" si="5"/>
        <v>1.3738959764475034</v>
      </c>
      <c r="I62" s="1209"/>
      <c r="J62" s="1235" t="s">
        <v>350</v>
      </c>
      <c r="N62" s="1233">
        <f t="shared" si="6"/>
        <v>-4</v>
      </c>
    </row>
    <row r="63" spans="1:14" ht="10.5" customHeight="1" outlineLevel="1">
      <c r="A63" s="1209"/>
      <c r="B63" s="1209"/>
      <c r="E63" s="1352"/>
      <c r="F63" s="1237"/>
      <c r="I63" s="1209"/>
      <c r="J63" s="1209"/>
    </row>
    <row r="64" spans="1:14" ht="10.5" customHeight="1" outlineLevel="1">
      <c r="A64" s="1209"/>
      <c r="B64" s="1214">
        <f>B50+1</f>
        <v>2007</v>
      </c>
      <c r="E64" s="1352"/>
      <c r="F64" s="1238"/>
      <c r="I64" s="1209"/>
      <c r="J64" s="1214">
        <f>J50+1</f>
        <v>2007</v>
      </c>
      <c r="N64" s="1229"/>
    </row>
    <row r="65" spans="1:14" ht="10.5" customHeight="1" outlineLevel="1">
      <c r="A65" s="1209" t="s">
        <v>158</v>
      </c>
      <c r="B65" s="1230" t="s">
        <v>339</v>
      </c>
      <c r="E65" s="1352">
        <v>1033</v>
      </c>
      <c r="F65" s="1243">
        <f t="shared" ref="F65:F76" si="7">(E65/E51-1)*100</f>
        <v>1.3738959764475034</v>
      </c>
      <c r="G65" s="1244" t="s">
        <v>156</v>
      </c>
      <c r="I65" s="1209" t="s">
        <v>158</v>
      </c>
      <c r="J65" s="1230" t="s">
        <v>339</v>
      </c>
      <c r="N65" s="1233">
        <f>E65-E62</f>
        <v>0</v>
      </c>
    </row>
    <row r="66" spans="1:14" ht="10.5" customHeight="1" outlineLevel="1">
      <c r="A66" s="1209"/>
      <c r="B66" s="1230" t="s">
        <v>340</v>
      </c>
      <c r="E66" s="1352">
        <v>1039</v>
      </c>
      <c r="F66" s="1243">
        <f t="shared" si="7"/>
        <v>1.9627085377821318</v>
      </c>
      <c r="G66" s="1228"/>
      <c r="I66" s="1209"/>
      <c r="J66" s="1230" t="s">
        <v>340</v>
      </c>
      <c r="N66" s="1233">
        <f>E66-E65</f>
        <v>6</v>
      </c>
    </row>
    <row r="67" spans="1:14" ht="10.5" customHeight="1" outlineLevel="1">
      <c r="A67" s="1209"/>
      <c r="B67" s="1230" t="s">
        <v>341</v>
      </c>
      <c r="E67" s="1352">
        <v>1039</v>
      </c>
      <c r="F67" s="1243">
        <f t="shared" si="7"/>
        <v>1.7629774730656189</v>
      </c>
      <c r="G67" s="1228"/>
      <c r="I67" s="1209"/>
      <c r="J67" s="1230" t="s">
        <v>341</v>
      </c>
      <c r="N67" s="1233">
        <f t="shared" ref="N67:N76" si="8">E67-E66</f>
        <v>0</v>
      </c>
    </row>
    <row r="68" spans="1:14" ht="10.5" customHeight="1" outlineLevel="1">
      <c r="A68" s="1209" t="s">
        <v>159</v>
      </c>
      <c r="B68" s="1235" t="s">
        <v>342</v>
      </c>
      <c r="E68" s="1352">
        <v>1040</v>
      </c>
      <c r="F68" s="1243">
        <f t="shared" si="7"/>
        <v>1.8609206660137101</v>
      </c>
      <c r="G68" s="1228"/>
      <c r="I68" s="1209" t="s">
        <v>159</v>
      </c>
      <c r="J68" s="1235" t="s">
        <v>342</v>
      </c>
      <c r="N68" s="1233">
        <f>E68-E67</f>
        <v>1</v>
      </c>
    </row>
    <row r="69" spans="1:14" ht="10.5" customHeight="1" outlineLevel="1">
      <c r="A69" s="1209"/>
      <c r="B69" s="1235" t="s">
        <v>343</v>
      </c>
      <c r="E69" s="1352">
        <v>1040</v>
      </c>
      <c r="F69" s="1243">
        <f t="shared" si="7"/>
        <v>1.8609206660137101</v>
      </c>
      <c r="G69" s="1228"/>
      <c r="I69" s="1209"/>
      <c r="J69" s="1235" t="s">
        <v>343</v>
      </c>
      <c r="N69" s="1233">
        <f t="shared" si="8"/>
        <v>0</v>
      </c>
    </row>
    <row r="70" spans="1:14" ht="10.5" customHeight="1" outlineLevel="1">
      <c r="A70" s="1209"/>
      <c r="B70" s="1235" t="s">
        <v>344</v>
      </c>
      <c r="E70" s="1352">
        <v>1048</v>
      </c>
      <c r="F70" s="1243">
        <f t="shared" si="7"/>
        <v>2.6444662095984395</v>
      </c>
      <c r="G70" s="1228"/>
      <c r="I70" s="1209"/>
      <c r="J70" s="1235" t="s">
        <v>344</v>
      </c>
      <c r="N70" s="1233">
        <f t="shared" si="8"/>
        <v>8</v>
      </c>
    </row>
    <row r="71" spans="1:14" ht="10.5" customHeight="1" outlineLevel="1">
      <c r="A71" s="1209" t="s">
        <v>160</v>
      </c>
      <c r="B71" s="1235" t="s">
        <v>345</v>
      </c>
      <c r="E71" s="1352">
        <v>1048</v>
      </c>
      <c r="F71" s="1243">
        <f t="shared" si="7"/>
        <v>2.6444662095984395</v>
      </c>
      <c r="G71" s="1228"/>
      <c r="I71" s="1209" t="s">
        <v>160</v>
      </c>
      <c r="J71" s="1235" t="s">
        <v>345</v>
      </c>
      <c r="N71" s="1233">
        <f t="shared" si="8"/>
        <v>0</v>
      </c>
    </row>
    <row r="72" spans="1:14" ht="10.5" customHeight="1" outlineLevel="1">
      <c r="A72" s="1209"/>
      <c r="B72" s="1235" t="s">
        <v>346</v>
      </c>
      <c r="E72" s="1352">
        <v>1064</v>
      </c>
      <c r="F72" s="1243">
        <f t="shared" si="7"/>
        <v>4.211557296767876</v>
      </c>
      <c r="I72" s="1209"/>
      <c r="J72" s="1235" t="s">
        <v>346</v>
      </c>
      <c r="N72" s="1233">
        <f t="shared" si="8"/>
        <v>16</v>
      </c>
    </row>
    <row r="73" spans="1:14" ht="10.5" customHeight="1" outlineLevel="1">
      <c r="A73" s="1209"/>
      <c r="B73" s="1235" t="s">
        <v>347</v>
      </c>
      <c r="E73" s="1352">
        <v>1067</v>
      </c>
      <c r="F73" s="1243">
        <f t="shared" si="7"/>
        <v>2.8929604628736838</v>
      </c>
      <c r="I73" s="1209"/>
      <c r="J73" s="1235" t="s">
        <v>347</v>
      </c>
      <c r="N73" s="1233">
        <f t="shared" si="8"/>
        <v>3</v>
      </c>
    </row>
    <row r="74" spans="1:14" ht="10.5" customHeight="1" outlineLevel="1">
      <c r="A74" s="1209" t="s">
        <v>161</v>
      </c>
      <c r="B74" s="1235" t="s">
        <v>348</v>
      </c>
      <c r="E74" s="1352">
        <v>1067</v>
      </c>
      <c r="F74" s="1243">
        <f t="shared" si="7"/>
        <v>2.8929604628736838</v>
      </c>
      <c r="I74" s="1209" t="s">
        <v>161</v>
      </c>
      <c r="J74" s="1235" t="s">
        <v>348</v>
      </c>
      <c r="N74" s="1233">
        <f t="shared" si="8"/>
        <v>0</v>
      </c>
    </row>
    <row r="75" spans="1:14" ht="10.5" customHeight="1" outlineLevel="1">
      <c r="A75" s="1209"/>
      <c r="B75" s="1235" t="s">
        <v>349</v>
      </c>
      <c r="E75" s="1352">
        <f>+E74</f>
        <v>1067</v>
      </c>
      <c r="F75" s="1243">
        <f t="shared" si="7"/>
        <v>2.8929604628736838</v>
      </c>
      <c r="I75" s="1209"/>
      <c r="J75" s="1235" t="s">
        <v>349</v>
      </c>
      <c r="N75" s="1233">
        <f t="shared" si="8"/>
        <v>0</v>
      </c>
    </row>
    <row r="76" spans="1:14" ht="10.5" customHeight="1" outlineLevel="1">
      <c r="A76" s="1209"/>
      <c r="B76" s="1235" t="s">
        <v>350</v>
      </c>
      <c r="E76" s="1352">
        <v>1067</v>
      </c>
      <c r="F76" s="1243">
        <f t="shared" si="7"/>
        <v>3.2913843175217838</v>
      </c>
      <c r="I76" s="1209"/>
      <c r="J76" s="1235" t="s">
        <v>350</v>
      </c>
      <c r="N76" s="1233">
        <f t="shared" si="8"/>
        <v>0</v>
      </c>
    </row>
    <row r="77" spans="1:14" ht="10.5" customHeight="1" outlineLevel="1">
      <c r="A77" s="1209"/>
      <c r="B77" s="1209"/>
      <c r="E77" s="1352"/>
      <c r="F77" s="1231"/>
      <c r="I77" s="1209"/>
      <c r="J77" s="1209"/>
      <c r="N77" s="1245"/>
    </row>
    <row r="78" spans="1:14" ht="10.5" customHeight="1" outlineLevel="1">
      <c r="A78" s="1209"/>
      <c r="B78" s="1214">
        <f>B64+1</f>
        <v>2008</v>
      </c>
      <c r="E78" s="1352"/>
      <c r="F78" s="1237"/>
      <c r="I78" s="1209"/>
      <c r="J78" s="1214">
        <f>J64+1</f>
        <v>2008</v>
      </c>
      <c r="N78" s="1223"/>
    </row>
    <row r="79" spans="1:14" ht="10.5" customHeight="1" outlineLevel="1">
      <c r="A79" s="1209" t="s">
        <v>158</v>
      </c>
      <c r="B79" s="1230" t="s">
        <v>339</v>
      </c>
      <c r="E79" s="1352">
        <v>1067</v>
      </c>
      <c r="F79" s="1243">
        <f>(E79/E65-1)*100</f>
        <v>3.2913843175217838</v>
      </c>
      <c r="G79" s="1244" t="s">
        <v>156</v>
      </c>
      <c r="I79" s="1209" t="s">
        <v>158</v>
      </c>
      <c r="J79" s="1230" t="s">
        <v>339</v>
      </c>
      <c r="N79" s="1233">
        <f>E79-E76</f>
        <v>0</v>
      </c>
    </row>
    <row r="80" spans="1:14" ht="10.5" customHeight="1" outlineLevel="1">
      <c r="A80" s="1209"/>
      <c r="B80" s="1230" t="s">
        <v>340</v>
      </c>
      <c r="E80" s="1352">
        <v>1073</v>
      </c>
      <c r="F80" s="1243">
        <f>(E80/E66-1)*100</f>
        <v>3.2723772858517908</v>
      </c>
      <c r="G80" s="1228"/>
      <c r="I80" s="1209"/>
      <c r="J80" s="1230" t="s">
        <v>340</v>
      </c>
      <c r="N80" s="1233">
        <f>E80-E79</f>
        <v>6</v>
      </c>
    </row>
    <row r="81" spans="1:14" ht="10.5" customHeight="1" outlineLevel="1">
      <c r="A81" s="1209"/>
      <c r="B81" s="1230" t="s">
        <v>341</v>
      </c>
      <c r="E81" s="1352">
        <v>1078</v>
      </c>
      <c r="F81" s="1243">
        <f>(E81/E67-1)*100</f>
        <v>3.7536092396535103</v>
      </c>
      <c r="G81" s="1228"/>
      <c r="I81" s="1209"/>
      <c r="J81" s="1230" t="s">
        <v>341</v>
      </c>
      <c r="N81" s="1233">
        <f t="shared" ref="N81:N90" si="9">E81-E80</f>
        <v>5</v>
      </c>
    </row>
    <row r="82" spans="1:14" ht="10.5" customHeight="1" outlineLevel="1">
      <c r="A82" s="1209" t="s">
        <v>159</v>
      </c>
      <c r="B82" s="1235" t="s">
        <v>342</v>
      </c>
      <c r="E82" s="1352">
        <v>1074</v>
      </c>
      <c r="F82" s="1243">
        <f t="shared" ref="F82:F90" si="10">(E82/E68-1)*100</f>
        <v>3.2692307692307798</v>
      </c>
      <c r="G82" s="1228"/>
      <c r="I82" s="1209" t="s">
        <v>159</v>
      </c>
      <c r="J82" s="1235" t="s">
        <v>342</v>
      </c>
      <c r="N82" s="1233">
        <f t="shared" si="9"/>
        <v>-4</v>
      </c>
    </row>
    <row r="83" spans="1:14" ht="10.5" customHeight="1" outlineLevel="1">
      <c r="A83" s="1209"/>
      <c r="B83" s="1235" t="s">
        <v>343</v>
      </c>
      <c r="E83" s="1352">
        <v>1074</v>
      </c>
      <c r="F83" s="1243">
        <f t="shared" si="10"/>
        <v>3.2692307692307798</v>
      </c>
      <c r="G83" s="1228"/>
      <c r="I83" s="1209"/>
      <c r="J83" s="1235" t="s">
        <v>343</v>
      </c>
      <c r="N83" s="1233">
        <f t="shared" si="9"/>
        <v>0</v>
      </c>
    </row>
    <row r="84" spans="1:14" ht="10.5" customHeight="1" outlineLevel="1">
      <c r="A84" s="1209"/>
      <c r="B84" s="1235" t="s">
        <v>344</v>
      </c>
      <c r="E84" s="1352">
        <v>1083</v>
      </c>
      <c r="F84" s="1243">
        <f t="shared" si="10"/>
        <v>3.3396946564885566</v>
      </c>
      <c r="G84" s="1228"/>
      <c r="I84" s="1209"/>
      <c r="J84" s="1235" t="s">
        <v>344</v>
      </c>
      <c r="N84" s="1233">
        <f t="shared" si="9"/>
        <v>9</v>
      </c>
    </row>
    <row r="85" spans="1:14" ht="10.5" customHeight="1" outlineLevel="1">
      <c r="A85" s="1209" t="s">
        <v>160</v>
      </c>
      <c r="B85" s="1235" t="s">
        <v>345</v>
      </c>
      <c r="E85" s="1352">
        <v>1083</v>
      </c>
      <c r="F85" s="1243">
        <f t="shared" si="10"/>
        <v>3.3396946564885566</v>
      </c>
      <c r="G85" s="1228"/>
      <c r="I85" s="1209" t="s">
        <v>160</v>
      </c>
      <c r="J85" s="1235" t="s">
        <v>345</v>
      </c>
      <c r="N85" s="1233">
        <f t="shared" si="9"/>
        <v>0</v>
      </c>
    </row>
    <row r="86" spans="1:14" ht="10.5" customHeight="1" outlineLevel="1">
      <c r="A86" s="1209"/>
      <c r="B86" s="1235" t="s">
        <v>346</v>
      </c>
      <c r="E86" s="1352">
        <v>1093</v>
      </c>
      <c r="F86" s="1243">
        <f t="shared" si="10"/>
        <v>2.7255639097744311</v>
      </c>
      <c r="I86" s="1209"/>
      <c r="J86" s="1235" t="s">
        <v>346</v>
      </c>
      <c r="N86" s="1233">
        <f t="shared" si="9"/>
        <v>10</v>
      </c>
    </row>
    <row r="87" spans="1:14" ht="10.5" customHeight="1" outlineLevel="1">
      <c r="A87" s="1209"/>
      <c r="B87" s="1235" t="s">
        <v>347</v>
      </c>
      <c r="E87" s="1352">
        <v>1093</v>
      </c>
      <c r="F87" s="1243">
        <f t="shared" si="10"/>
        <v>2.4367385192127555</v>
      </c>
      <c r="I87" s="1209"/>
      <c r="J87" s="1235" t="s">
        <v>347</v>
      </c>
      <c r="N87" s="1233">
        <f t="shared" si="9"/>
        <v>0</v>
      </c>
    </row>
    <row r="88" spans="1:14" ht="10.5" customHeight="1" outlineLevel="1">
      <c r="A88" s="1209" t="s">
        <v>161</v>
      </c>
      <c r="B88" s="1235" t="s">
        <v>348</v>
      </c>
      <c r="E88" s="1352">
        <f>E87</f>
        <v>1093</v>
      </c>
      <c r="F88" s="1243">
        <f t="shared" si="10"/>
        <v>2.4367385192127555</v>
      </c>
      <c r="I88" s="1209" t="s">
        <v>161</v>
      </c>
      <c r="J88" s="1235" t="s">
        <v>348</v>
      </c>
      <c r="N88" s="1233">
        <f t="shared" si="9"/>
        <v>0</v>
      </c>
    </row>
    <row r="89" spans="1:14" ht="10.5" customHeight="1" outlineLevel="1">
      <c r="A89" s="1209"/>
      <c r="B89" s="1235" t="s">
        <v>349</v>
      </c>
      <c r="E89" s="1352">
        <v>1093</v>
      </c>
      <c r="F89" s="1243">
        <f t="shared" si="10"/>
        <v>2.4367385192127555</v>
      </c>
      <c r="I89" s="1209"/>
      <c r="J89" s="1235" t="s">
        <v>349</v>
      </c>
      <c r="N89" s="1233">
        <f t="shared" si="9"/>
        <v>0</v>
      </c>
    </row>
    <row r="90" spans="1:14" ht="10.5" customHeight="1" outlineLevel="1">
      <c r="A90" s="1209"/>
      <c r="B90" s="1235" t="s">
        <v>350</v>
      </c>
      <c r="E90" s="1352">
        <v>1093</v>
      </c>
      <c r="F90" s="1243">
        <f t="shared" si="10"/>
        <v>2.4367385192127555</v>
      </c>
      <c r="I90" s="1209"/>
      <c r="J90" s="1235" t="s">
        <v>350</v>
      </c>
      <c r="N90" s="1233">
        <f t="shared" si="9"/>
        <v>0</v>
      </c>
    </row>
    <row r="91" spans="1:14" ht="10.5" customHeight="1" outlineLevel="1">
      <c r="A91" s="1209"/>
      <c r="B91" s="1209"/>
      <c r="E91" s="1352"/>
      <c r="F91" s="1231"/>
      <c r="G91" s="1228"/>
      <c r="I91" s="1209"/>
      <c r="J91" s="1209"/>
    </row>
    <row r="92" spans="1:14" ht="10.5" customHeight="1" outlineLevel="1">
      <c r="A92" s="1209"/>
      <c r="B92" s="1214">
        <f>B78+1</f>
        <v>2009</v>
      </c>
      <c r="E92" s="1352"/>
      <c r="F92" s="1231"/>
      <c r="G92" s="1228"/>
      <c r="I92" s="1209"/>
      <c r="J92" s="1214">
        <f>J78+1</f>
        <v>2009</v>
      </c>
      <c r="N92" s="1223"/>
    </row>
    <row r="93" spans="1:14" ht="10.5" customHeight="1" outlineLevel="1">
      <c r="A93" s="1209" t="s">
        <v>158</v>
      </c>
      <c r="B93" s="1230" t="s">
        <v>339</v>
      </c>
      <c r="E93" s="1352">
        <v>1093</v>
      </c>
      <c r="F93" s="1243">
        <f>(E93/E79-1)*100</f>
        <v>2.4367385192127555</v>
      </c>
      <c r="G93" s="1244" t="s">
        <v>156</v>
      </c>
      <c r="I93" s="1209" t="s">
        <v>158</v>
      </c>
      <c r="J93" s="1230" t="s">
        <v>339</v>
      </c>
      <c r="N93" s="1233">
        <f>E93-E90</f>
        <v>0</v>
      </c>
    </row>
    <row r="94" spans="1:14" ht="10.5" customHeight="1" outlineLevel="1">
      <c r="A94" s="1209"/>
      <c r="B94" s="1230" t="s">
        <v>340</v>
      </c>
      <c r="E94" s="1352">
        <v>1101</v>
      </c>
      <c r="F94" s="1243">
        <f t="shared" ref="F94:F104" si="11">(E94/E80-1)*100</f>
        <v>2.6095060577819185</v>
      </c>
      <c r="G94" s="1228"/>
      <c r="I94" s="1209"/>
      <c r="J94" s="1230" t="s">
        <v>340</v>
      </c>
      <c r="N94" s="1233">
        <f>E94-E93</f>
        <v>8</v>
      </c>
    </row>
    <row r="95" spans="1:14" ht="10.5" customHeight="1" outlineLevel="1">
      <c r="A95" s="1209"/>
      <c r="B95" s="1230" t="s">
        <v>341</v>
      </c>
      <c r="E95" s="1352">
        <v>1101</v>
      </c>
      <c r="F95" s="1243">
        <f t="shared" si="11"/>
        <v>2.1335807050092859</v>
      </c>
      <c r="G95" s="1228"/>
      <c r="I95" s="1209"/>
      <c r="J95" s="1230" t="s">
        <v>341</v>
      </c>
      <c r="N95" s="1233">
        <f t="shared" ref="N95:N104" si="12">E95-E94</f>
        <v>0</v>
      </c>
    </row>
    <row r="96" spans="1:14" ht="10.5" customHeight="1" outlineLevel="1">
      <c r="A96" s="1209" t="s">
        <v>159</v>
      </c>
      <c r="B96" s="1235" t="s">
        <v>342</v>
      </c>
      <c r="E96" s="1352">
        <f>E95</f>
        <v>1101</v>
      </c>
      <c r="F96" s="1243">
        <f t="shared" si="11"/>
        <v>2.5139664804469275</v>
      </c>
      <c r="G96" s="1228"/>
      <c r="I96" s="1209" t="s">
        <v>159</v>
      </c>
      <c r="J96" s="1235" t="s">
        <v>342</v>
      </c>
      <c r="N96" s="1233">
        <f t="shared" si="12"/>
        <v>0</v>
      </c>
    </row>
    <row r="97" spans="1:14" ht="10.5" customHeight="1" outlineLevel="1">
      <c r="A97" s="1209"/>
      <c r="B97" s="1235" t="s">
        <v>343</v>
      </c>
      <c r="E97" s="1352">
        <v>1101</v>
      </c>
      <c r="F97" s="1243">
        <f t="shared" si="11"/>
        <v>2.5139664804469275</v>
      </c>
      <c r="G97" s="1228"/>
      <c r="I97" s="1209"/>
      <c r="J97" s="1235" t="s">
        <v>343</v>
      </c>
      <c r="N97" s="1233">
        <f t="shared" si="12"/>
        <v>0</v>
      </c>
    </row>
    <row r="98" spans="1:14" ht="10.5" customHeight="1" outlineLevel="1">
      <c r="A98" s="1209"/>
      <c r="B98" s="1235" t="s">
        <v>344</v>
      </c>
      <c r="E98" s="1352">
        <v>1106</v>
      </c>
      <c r="F98" s="1243">
        <f t="shared" si="11"/>
        <v>2.1237303785780259</v>
      </c>
      <c r="G98" s="1228"/>
      <c r="I98" s="1209"/>
      <c r="J98" s="1235" t="s">
        <v>344</v>
      </c>
      <c r="N98" s="1233">
        <f t="shared" si="12"/>
        <v>5</v>
      </c>
    </row>
    <row r="99" spans="1:14" ht="10.5" customHeight="1" outlineLevel="1">
      <c r="A99" s="1209" t="s">
        <v>160</v>
      </c>
      <c r="B99" s="1235" t="s">
        <v>345</v>
      </c>
      <c r="E99" s="1352">
        <f>E98</f>
        <v>1106</v>
      </c>
      <c r="F99" s="1243">
        <f>(E99/E85-1)*100</f>
        <v>2.1237303785780259</v>
      </c>
      <c r="G99" s="1228"/>
      <c r="I99" s="1209" t="s">
        <v>160</v>
      </c>
      <c r="J99" s="1235" t="s">
        <v>345</v>
      </c>
      <c r="N99" s="1233">
        <f t="shared" si="12"/>
        <v>0</v>
      </c>
    </row>
    <row r="100" spans="1:14" ht="10.5" customHeight="1" outlineLevel="1">
      <c r="A100" s="1209"/>
      <c r="B100" s="1235" t="s">
        <v>346</v>
      </c>
      <c r="E100" s="1352">
        <f>E99+3</f>
        <v>1109</v>
      </c>
      <c r="F100" s="1243">
        <f t="shared" si="11"/>
        <v>1.4638609332113361</v>
      </c>
      <c r="I100" s="1209"/>
      <c r="J100" s="1235" t="s">
        <v>346</v>
      </c>
      <c r="N100" s="1233">
        <f t="shared" si="12"/>
        <v>3</v>
      </c>
    </row>
    <row r="101" spans="1:14" ht="10.5" customHeight="1" outlineLevel="1">
      <c r="A101" s="1209"/>
      <c r="B101" s="1235" t="s">
        <v>347</v>
      </c>
      <c r="E101" s="1352">
        <f>E100</f>
        <v>1109</v>
      </c>
      <c r="F101" s="1243">
        <f t="shared" si="11"/>
        <v>1.4638609332113361</v>
      </c>
      <c r="I101" s="1209"/>
      <c r="J101" s="1235" t="s">
        <v>347</v>
      </c>
      <c r="N101" s="1233">
        <f t="shared" si="12"/>
        <v>0</v>
      </c>
    </row>
    <row r="102" spans="1:14" ht="10.5" customHeight="1" outlineLevel="1">
      <c r="A102" s="1209" t="s">
        <v>161</v>
      </c>
      <c r="B102" s="1235" t="s">
        <v>348</v>
      </c>
      <c r="E102" s="1352">
        <f>E101</f>
        <v>1109</v>
      </c>
      <c r="F102" s="1243">
        <f t="shared" si="11"/>
        <v>1.4638609332113361</v>
      </c>
      <c r="I102" s="1209" t="s">
        <v>161</v>
      </c>
      <c r="J102" s="1235" t="s">
        <v>348</v>
      </c>
      <c r="N102" s="1233">
        <f t="shared" si="12"/>
        <v>0</v>
      </c>
    </row>
    <row r="103" spans="1:14" ht="10.5" customHeight="1" outlineLevel="1">
      <c r="A103" s="1209"/>
      <c r="B103" s="1235" t="s">
        <v>349</v>
      </c>
      <c r="E103" s="1352">
        <v>1109</v>
      </c>
      <c r="F103" s="1243">
        <f t="shared" si="11"/>
        <v>1.4638609332113361</v>
      </c>
      <c r="I103" s="1209"/>
      <c r="J103" s="1235" t="s">
        <v>349</v>
      </c>
      <c r="N103" s="1233">
        <f t="shared" si="12"/>
        <v>0</v>
      </c>
    </row>
    <row r="104" spans="1:14" ht="10.5" customHeight="1" outlineLevel="1">
      <c r="A104" s="1209"/>
      <c r="B104" s="1235" t="s">
        <v>350</v>
      </c>
      <c r="E104" s="1352">
        <v>1108</v>
      </c>
      <c r="F104" s="1243">
        <f t="shared" si="11"/>
        <v>1.3723696248856276</v>
      </c>
      <c r="I104" s="1209"/>
      <c r="J104" s="1235" t="s">
        <v>350</v>
      </c>
      <c r="N104" s="1233">
        <f t="shared" si="12"/>
        <v>-1</v>
      </c>
    </row>
    <row r="105" spans="1:14" ht="10.5" customHeight="1" outlineLevel="1">
      <c r="A105" s="1209"/>
      <c r="B105" s="1209"/>
      <c r="E105" s="1352"/>
      <c r="F105" s="1238"/>
      <c r="G105" s="1228"/>
      <c r="I105" s="1209"/>
      <c r="J105" s="1209"/>
    </row>
    <row r="106" spans="1:14" ht="10.5" customHeight="1" outlineLevel="1">
      <c r="A106" s="1209"/>
      <c r="B106" s="1214">
        <f>B92+1</f>
        <v>2010</v>
      </c>
      <c r="E106" s="1352"/>
      <c r="F106" s="1231"/>
      <c r="G106" s="1228"/>
      <c r="I106" s="1209"/>
      <c r="J106" s="1214">
        <f>J92+1</f>
        <v>2010</v>
      </c>
    </row>
    <row r="107" spans="1:14" ht="10.5" customHeight="1" outlineLevel="1">
      <c r="A107" s="1209" t="s">
        <v>158</v>
      </c>
      <c r="B107" s="1230" t="s">
        <v>339</v>
      </c>
      <c r="E107" s="1352">
        <f>E104</f>
        <v>1108</v>
      </c>
      <c r="F107" s="1243">
        <f>(E107/E93-1)*100</f>
        <v>1.3723696248856276</v>
      </c>
      <c r="G107" s="1244" t="s">
        <v>156</v>
      </c>
      <c r="I107" s="1209" t="s">
        <v>158</v>
      </c>
      <c r="J107" s="1230" t="s">
        <v>339</v>
      </c>
      <c r="N107" s="1233">
        <f>E107-E104</f>
        <v>0</v>
      </c>
    </row>
    <row r="108" spans="1:14" ht="10.5" customHeight="1" outlineLevel="1">
      <c r="A108" s="1209"/>
      <c r="B108" s="1230" t="s">
        <v>340</v>
      </c>
      <c r="E108" s="1352">
        <v>1110</v>
      </c>
      <c r="F108" s="1243">
        <f t="shared" ref="F108:F118" si="13">(E108/E94-1)*100</f>
        <v>0.81743869209809361</v>
      </c>
      <c r="G108" s="1228"/>
      <c r="I108" s="1209"/>
      <c r="J108" s="1230" t="s">
        <v>340</v>
      </c>
      <c r="N108" s="1233">
        <f>E108-E107</f>
        <v>2</v>
      </c>
    </row>
    <row r="109" spans="1:14" ht="10.5" customHeight="1" outlineLevel="1">
      <c r="A109" s="1209"/>
      <c r="B109" s="1230" t="s">
        <v>341</v>
      </c>
      <c r="E109" s="1352">
        <v>1109</v>
      </c>
      <c r="F109" s="1243">
        <f t="shared" si="13"/>
        <v>0.72661217075387086</v>
      </c>
      <c r="G109" s="1228"/>
      <c r="I109" s="1209"/>
      <c r="J109" s="1230" t="s">
        <v>341</v>
      </c>
      <c r="N109" s="1233">
        <f t="shared" ref="N109:N118" si="14">E109-E108</f>
        <v>-1</v>
      </c>
    </row>
    <row r="110" spans="1:14" ht="10.5" customHeight="1" outlineLevel="1">
      <c r="A110" s="1209" t="s">
        <v>159</v>
      </c>
      <c r="B110" s="1235" t="s">
        <v>342</v>
      </c>
      <c r="E110" s="1352">
        <v>1109</v>
      </c>
      <c r="F110" s="1243">
        <f t="shared" si="13"/>
        <v>0.72661217075387086</v>
      </c>
      <c r="G110" s="1228"/>
      <c r="I110" s="1209" t="s">
        <v>159</v>
      </c>
      <c r="J110" s="1235" t="s">
        <v>342</v>
      </c>
      <c r="N110" s="1233">
        <f t="shared" si="14"/>
        <v>0</v>
      </c>
    </row>
    <row r="111" spans="1:14" ht="10.5" customHeight="1" outlineLevel="1">
      <c r="A111" s="1209"/>
      <c r="B111" s="1235" t="s">
        <v>343</v>
      </c>
      <c r="E111" s="1352">
        <v>1107</v>
      </c>
      <c r="F111" s="1243">
        <f t="shared" si="13"/>
        <v>0.54495912806540314</v>
      </c>
      <c r="G111" s="1228"/>
      <c r="I111" s="1209"/>
      <c r="J111" s="1235" t="s">
        <v>343</v>
      </c>
      <c r="N111" s="1233">
        <f t="shared" si="14"/>
        <v>-2</v>
      </c>
    </row>
    <row r="112" spans="1:14" ht="10.5" customHeight="1" outlineLevel="1">
      <c r="A112" s="1209"/>
      <c r="B112" s="1235" t="s">
        <v>344</v>
      </c>
      <c r="E112" s="1352">
        <v>1107</v>
      </c>
      <c r="F112" s="1243">
        <f t="shared" si="13"/>
        <v>9.0415913200714293E-2</v>
      </c>
      <c r="G112" s="1228"/>
      <c r="I112" s="1209"/>
      <c r="J112" s="1235" t="s">
        <v>344</v>
      </c>
      <c r="N112" s="1233">
        <f t="shared" si="14"/>
        <v>0</v>
      </c>
    </row>
    <row r="113" spans="1:14" ht="10.5" customHeight="1" outlineLevel="1">
      <c r="A113" s="1209" t="s">
        <v>160</v>
      </c>
      <c r="B113" s="1235" t="s">
        <v>345</v>
      </c>
      <c r="E113" s="1352">
        <v>1107</v>
      </c>
      <c r="F113" s="1243">
        <f t="shared" si="13"/>
        <v>9.0415913200714293E-2</v>
      </c>
      <c r="G113" s="1228"/>
      <c r="I113" s="1209" t="s">
        <v>160</v>
      </c>
      <c r="J113" s="1235" t="s">
        <v>345</v>
      </c>
      <c r="N113" s="1233">
        <f t="shared" si="14"/>
        <v>0</v>
      </c>
    </row>
    <row r="114" spans="1:14" ht="10.5" customHeight="1" outlineLevel="1">
      <c r="A114" s="1209"/>
      <c r="B114" s="1235" t="s">
        <v>346</v>
      </c>
      <c r="E114" s="1352">
        <v>1107</v>
      </c>
      <c r="F114" s="1243">
        <f t="shared" si="13"/>
        <v>-0.18034265103696878</v>
      </c>
      <c r="I114" s="1209"/>
      <c r="J114" s="1235" t="s">
        <v>346</v>
      </c>
      <c r="N114" s="1233">
        <f t="shared" si="14"/>
        <v>0</v>
      </c>
    </row>
    <row r="115" spans="1:14" ht="10.5" customHeight="1" outlineLevel="1">
      <c r="A115" s="1209"/>
      <c r="B115" s="1235" t="s">
        <v>347</v>
      </c>
      <c r="E115" s="1352">
        <f>+E114</f>
        <v>1107</v>
      </c>
      <c r="F115" s="1243">
        <f t="shared" si="13"/>
        <v>-0.18034265103696878</v>
      </c>
      <c r="I115" s="1209"/>
      <c r="J115" s="1235" t="s">
        <v>347</v>
      </c>
      <c r="N115" s="1233">
        <f t="shared" si="14"/>
        <v>0</v>
      </c>
    </row>
    <row r="116" spans="1:14" ht="10.5" customHeight="1" outlineLevel="1">
      <c r="A116" s="1209" t="s">
        <v>161</v>
      </c>
      <c r="B116" s="1235" t="s">
        <v>348</v>
      </c>
      <c r="E116" s="1352">
        <f>E115-1</f>
        <v>1106</v>
      </c>
      <c r="F116" s="1243">
        <f t="shared" si="13"/>
        <v>-0.27051397655545317</v>
      </c>
      <c r="I116" s="1209" t="s">
        <v>161</v>
      </c>
      <c r="J116" s="1235" t="s">
        <v>348</v>
      </c>
      <c r="N116" s="1233">
        <f t="shared" si="14"/>
        <v>-1</v>
      </c>
    </row>
    <row r="117" spans="1:14" ht="10.5" customHeight="1" outlineLevel="1">
      <c r="A117" s="1209"/>
      <c r="B117" s="1235" t="s">
        <v>349</v>
      </c>
      <c r="E117" s="1352">
        <f>E116</f>
        <v>1106</v>
      </c>
      <c r="F117" s="1243">
        <f t="shared" si="13"/>
        <v>-0.27051397655545317</v>
      </c>
      <c r="I117" s="1209"/>
      <c r="J117" s="1235" t="s">
        <v>349</v>
      </c>
      <c r="N117" s="1233">
        <f t="shared" si="14"/>
        <v>0</v>
      </c>
    </row>
    <row r="118" spans="1:14" ht="10.5" customHeight="1" outlineLevel="1">
      <c r="A118" s="1209"/>
      <c r="B118" s="1235" t="s">
        <v>350</v>
      </c>
      <c r="E118" s="1352">
        <v>1106</v>
      </c>
      <c r="F118" s="1243">
        <f t="shared" si="13"/>
        <v>-0.18050541516245744</v>
      </c>
      <c r="I118" s="1209"/>
      <c r="J118" s="1235" t="s">
        <v>350</v>
      </c>
      <c r="N118" s="1233">
        <f t="shared" si="14"/>
        <v>0</v>
      </c>
    </row>
    <row r="119" spans="1:14" ht="10.5" customHeight="1" outlineLevel="1">
      <c r="A119" s="1209"/>
      <c r="B119" s="1209"/>
      <c r="E119" s="1352"/>
      <c r="F119" s="1231"/>
      <c r="G119" s="1228"/>
      <c r="I119" s="1209"/>
      <c r="J119" s="1209"/>
    </row>
    <row r="120" spans="1:14" ht="10.5" customHeight="1" outlineLevel="1">
      <c r="A120" s="1209"/>
      <c r="B120" s="1214">
        <f>B106+1</f>
        <v>2011</v>
      </c>
      <c r="E120" s="1352"/>
      <c r="F120" s="1237"/>
      <c r="G120" s="1228"/>
      <c r="I120" s="1209"/>
      <c r="J120" s="1214">
        <f>J106+1</f>
        <v>2011</v>
      </c>
      <c r="N120" s="1229"/>
    </row>
    <row r="121" spans="1:14" ht="10.5" customHeight="1" outlineLevel="1">
      <c r="A121" s="1209" t="s">
        <v>158</v>
      </c>
      <c r="B121" s="1230" t="s">
        <v>339</v>
      </c>
      <c r="E121" s="1352">
        <v>1106</v>
      </c>
      <c r="F121" s="1243">
        <f>(E121/E107-1)*100</f>
        <v>-0.18050541516245744</v>
      </c>
      <c r="G121" s="1244" t="s">
        <v>156</v>
      </c>
      <c r="I121" s="1209" t="s">
        <v>158</v>
      </c>
      <c r="J121" s="1230" t="s">
        <v>339</v>
      </c>
      <c r="N121" s="1233">
        <f>E121-E118</f>
        <v>0</v>
      </c>
    </row>
    <row r="122" spans="1:14" ht="10.5" customHeight="1" outlineLevel="1">
      <c r="A122" s="1209"/>
      <c r="B122" s="1230" t="s">
        <v>340</v>
      </c>
      <c r="E122" s="1352">
        <v>1108</v>
      </c>
      <c r="F122" s="1243">
        <f t="shared" ref="F122:F132" si="15">(E122/E108-1)*100</f>
        <v>-0.18018018018017834</v>
      </c>
      <c r="G122" s="1228"/>
      <c r="I122" s="1209"/>
      <c r="J122" s="1230" t="s">
        <v>340</v>
      </c>
      <c r="N122" s="1233">
        <f>E122-E121</f>
        <v>2</v>
      </c>
    </row>
    <row r="123" spans="1:14" ht="10.5" customHeight="1" outlineLevel="1">
      <c r="A123" s="1209"/>
      <c r="B123" s="1230" t="s">
        <v>341</v>
      </c>
      <c r="E123" s="1352">
        <v>1108</v>
      </c>
      <c r="F123" s="1243">
        <f t="shared" si="15"/>
        <v>-9.0171325518484391E-2</v>
      </c>
      <c r="G123" s="1228"/>
      <c r="I123" s="1209"/>
      <c r="J123" s="1230" t="s">
        <v>341</v>
      </c>
      <c r="N123" s="1233">
        <f t="shared" ref="N123:N132" si="16">E123-E122</f>
        <v>0</v>
      </c>
    </row>
    <row r="124" spans="1:14" ht="10.5" customHeight="1" outlineLevel="1">
      <c r="A124" s="1209" t="s">
        <v>159</v>
      </c>
      <c r="B124" s="1235" t="s">
        <v>342</v>
      </c>
      <c r="E124" s="1352">
        <v>1108</v>
      </c>
      <c r="F124" s="1243">
        <f t="shared" si="15"/>
        <v>-9.0171325518484391E-2</v>
      </c>
      <c r="G124" s="1228"/>
      <c r="I124" s="1209" t="s">
        <v>159</v>
      </c>
      <c r="J124" s="1235" t="s">
        <v>342</v>
      </c>
      <c r="N124" s="1233">
        <f t="shared" si="16"/>
        <v>0</v>
      </c>
    </row>
    <row r="125" spans="1:14" ht="10.5" customHeight="1" outlineLevel="1">
      <c r="A125" s="1209"/>
      <c r="B125" s="1235" t="s">
        <v>343</v>
      </c>
      <c r="E125" s="1352">
        <v>1103</v>
      </c>
      <c r="F125" s="1243">
        <f t="shared" si="15"/>
        <v>-0.36133694670279493</v>
      </c>
      <c r="G125" s="1228"/>
      <c r="I125" s="1209"/>
      <c r="J125" s="1235" t="s">
        <v>343</v>
      </c>
      <c r="N125" s="1233">
        <f t="shared" si="16"/>
        <v>-5</v>
      </c>
    </row>
    <row r="126" spans="1:14" ht="10.5" customHeight="1" outlineLevel="1">
      <c r="A126" s="1209"/>
      <c r="B126" s="1235" t="s">
        <v>344</v>
      </c>
      <c r="E126" s="1352">
        <v>1103</v>
      </c>
      <c r="F126" s="1243">
        <f t="shared" si="15"/>
        <v>-0.36133694670279493</v>
      </c>
      <c r="G126" s="1228"/>
      <c r="I126" s="1209"/>
      <c r="J126" s="1235" t="s">
        <v>344</v>
      </c>
      <c r="N126" s="1233">
        <f t="shared" si="16"/>
        <v>0</v>
      </c>
    </row>
    <row r="127" spans="1:14" ht="10.5" customHeight="1" outlineLevel="1">
      <c r="A127" s="1209" t="s">
        <v>160</v>
      </c>
      <c r="B127" s="1235" t="s">
        <v>345</v>
      </c>
      <c r="E127" s="1352">
        <f>E126</f>
        <v>1103</v>
      </c>
      <c r="F127" s="1243">
        <f t="shared" si="15"/>
        <v>-0.36133694670279493</v>
      </c>
      <c r="G127" s="1228"/>
      <c r="I127" s="1209" t="s">
        <v>160</v>
      </c>
      <c r="J127" s="1235" t="s">
        <v>345</v>
      </c>
      <c r="N127" s="1233">
        <f t="shared" si="16"/>
        <v>0</v>
      </c>
    </row>
    <row r="128" spans="1:14" ht="10.5" customHeight="1" outlineLevel="1">
      <c r="A128" s="1209"/>
      <c r="B128" s="1235" t="s">
        <v>346</v>
      </c>
      <c r="E128" s="1352">
        <f>E127+1</f>
        <v>1104</v>
      </c>
      <c r="F128" s="1243">
        <f t="shared" si="15"/>
        <v>-0.27100271002710175</v>
      </c>
      <c r="I128" s="1209"/>
      <c r="J128" s="1235" t="s">
        <v>346</v>
      </c>
      <c r="N128" s="1233">
        <f t="shared" si="16"/>
        <v>1</v>
      </c>
    </row>
    <row r="129" spans="1:16" ht="10.5" customHeight="1" outlineLevel="1">
      <c r="A129" s="1209"/>
      <c r="B129" s="1235" t="s">
        <v>347</v>
      </c>
      <c r="E129" s="1352">
        <f>+E128</f>
        <v>1104</v>
      </c>
      <c r="F129" s="1243">
        <f t="shared" si="15"/>
        <v>-0.27100271002710175</v>
      </c>
      <c r="I129" s="1209"/>
      <c r="J129" s="1235" t="s">
        <v>347</v>
      </c>
      <c r="N129" s="1233">
        <f t="shared" si="16"/>
        <v>0</v>
      </c>
    </row>
    <row r="130" spans="1:16" ht="10.5" customHeight="1" outlineLevel="1">
      <c r="A130" s="1209" t="s">
        <v>161</v>
      </c>
      <c r="B130" s="1235" t="s">
        <v>348</v>
      </c>
      <c r="E130" s="1352">
        <f>E129</f>
        <v>1104</v>
      </c>
      <c r="F130" s="1243">
        <f t="shared" si="15"/>
        <v>-0.18083182640145079</v>
      </c>
      <c r="I130" s="1209" t="s">
        <v>161</v>
      </c>
      <c r="J130" s="1235" t="s">
        <v>348</v>
      </c>
      <c r="N130" s="1233">
        <f t="shared" si="16"/>
        <v>0</v>
      </c>
    </row>
    <row r="131" spans="1:16" ht="10.5" customHeight="1" outlineLevel="1">
      <c r="A131" s="1209"/>
      <c r="B131" s="1235" t="s">
        <v>349</v>
      </c>
      <c r="E131" s="1352">
        <f>E130</f>
        <v>1104</v>
      </c>
      <c r="F131" s="1243">
        <f t="shared" si="15"/>
        <v>-0.18083182640145079</v>
      </c>
      <c r="I131" s="1209"/>
      <c r="J131" s="1235" t="s">
        <v>349</v>
      </c>
      <c r="N131" s="1233">
        <f t="shared" si="16"/>
        <v>0</v>
      </c>
    </row>
    <row r="132" spans="1:16" ht="10.5" customHeight="1" outlineLevel="1">
      <c r="A132" s="1209"/>
      <c r="B132" s="1235" t="s">
        <v>350</v>
      </c>
      <c r="E132" s="1352">
        <v>1102</v>
      </c>
      <c r="F132" s="1243">
        <f t="shared" si="15"/>
        <v>-0.36166365280289048</v>
      </c>
      <c r="I132" s="1209"/>
      <c r="J132" s="1235" t="s">
        <v>350</v>
      </c>
      <c r="N132" s="1233">
        <f t="shared" si="16"/>
        <v>-2</v>
      </c>
      <c r="P132" s="1246">
        <f>P138-78</f>
        <v>308</v>
      </c>
    </row>
    <row r="133" spans="1:16" ht="10.5" customHeight="1" outlineLevel="1">
      <c r="A133" s="1209"/>
      <c r="B133" s="1209"/>
      <c r="E133" s="1352"/>
      <c r="F133" s="1231"/>
      <c r="G133" s="1228"/>
      <c r="I133" s="1209"/>
      <c r="J133" s="1209"/>
      <c r="N133" s="1223"/>
    </row>
    <row r="134" spans="1:16" ht="10.5" customHeight="1" outlineLevel="1">
      <c r="A134" s="1209"/>
      <c r="B134" s="1214">
        <f>B120+1</f>
        <v>2012</v>
      </c>
      <c r="E134" s="1352"/>
      <c r="F134" s="1237"/>
      <c r="G134" s="1228"/>
      <c r="I134" s="1209"/>
      <c r="J134" s="1214">
        <f>J120+1</f>
        <v>2012</v>
      </c>
      <c r="N134" s="1229"/>
    </row>
    <row r="135" spans="1:16" ht="10.5" customHeight="1" outlineLevel="1">
      <c r="A135" s="1209" t="s">
        <v>158</v>
      </c>
      <c r="B135" s="1230" t="s">
        <v>341</v>
      </c>
      <c r="E135" s="1352">
        <f>E132+N135</f>
        <v>1103</v>
      </c>
      <c r="F135" s="1243">
        <f>(E135/E123-1)*100</f>
        <v>-0.45126353790613249</v>
      </c>
      <c r="G135" s="1244" t="s">
        <v>156</v>
      </c>
      <c r="I135" s="1209" t="s">
        <v>158</v>
      </c>
      <c r="J135" s="1230" t="s">
        <v>339</v>
      </c>
      <c r="L135" s="1247">
        <v>2</v>
      </c>
      <c r="M135" s="1247">
        <v>-1</v>
      </c>
      <c r="N135" s="1233">
        <f>SUM(L135:M135)</f>
        <v>1</v>
      </c>
    </row>
    <row r="136" spans="1:16" ht="10.5" customHeight="1" outlineLevel="1">
      <c r="A136" s="1209" t="s">
        <v>159</v>
      </c>
      <c r="B136" s="1235" t="s">
        <v>344</v>
      </c>
      <c r="E136" s="1352">
        <f>E135+N136</f>
        <v>1101</v>
      </c>
      <c r="F136" s="1243">
        <f>(E136/E126-1)*100</f>
        <v>-0.18132366273798661</v>
      </c>
      <c r="G136" s="1228"/>
      <c r="I136" s="1209" t="s">
        <v>159</v>
      </c>
      <c r="J136" s="1235" t="s">
        <v>342</v>
      </c>
      <c r="L136" s="1247">
        <v>0</v>
      </c>
      <c r="M136" s="1247">
        <v>-2</v>
      </c>
      <c r="N136" s="1233">
        <f>SUM(L136:M136)</f>
        <v>-2</v>
      </c>
    </row>
    <row r="137" spans="1:16" ht="10.5" customHeight="1" outlineLevel="1">
      <c r="A137" s="1209" t="s">
        <v>160</v>
      </c>
      <c r="B137" s="1235" t="s">
        <v>347</v>
      </c>
      <c r="E137" s="1352">
        <f>E136+N137</f>
        <v>1105</v>
      </c>
      <c r="F137" s="1243">
        <f>(E137/E129-1)*100</f>
        <v>9.0579710144922387E-2</v>
      </c>
      <c r="G137" s="1228"/>
      <c r="I137" s="1209" t="s">
        <v>160</v>
      </c>
      <c r="J137" s="1235" t="s">
        <v>345</v>
      </c>
      <c r="L137" s="1247">
        <v>7</v>
      </c>
      <c r="M137" s="1247">
        <v>-3</v>
      </c>
      <c r="N137" s="1233">
        <f>SUM(L137:M137)</f>
        <v>4</v>
      </c>
    </row>
    <row r="138" spans="1:16" ht="10.5" customHeight="1" outlineLevel="1">
      <c r="A138" s="1209" t="s">
        <v>161</v>
      </c>
      <c r="B138" s="1235" t="s">
        <v>350</v>
      </c>
      <c r="E138" s="1352">
        <v>1104</v>
      </c>
      <c r="F138" s="1243">
        <f>(E138/E132-1)*100</f>
        <v>0.1814882032667775</v>
      </c>
      <c r="I138" s="1209" t="s">
        <v>161</v>
      </c>
      <c r="J138" s="1235" t="s">
        <v>348</v>
      </c>
      <c r="L138" s="1247">
        <v>0</v>
      </c>
      <c r="M138" s="1247">
        <v>-1</v>
      </c>
      <c r="N138" s="1233">
        <f>SUM(L138:M138)</f>
        <v>-1</v>
      </c>
      <c r="P138" s="1246">
        <v>386</v>
      </c>
    </row>
    <row r="139" spans="1:16" ht="10.5" customHeight="1" outlineLevel="1">
      <c r="A139" s="1209"/>
      <c r="B139" s="1209"/>
      <c r="E139" s="1352"/>
      <c r="F139" s="1231"/>
      <c r="G139" s="1228"/>
      <c r="I139" s="1209"/>
      <c r="J139" s="1209"/>
      <c r="N139" s="1223"/>
    </row>
    <row r="140" spans="1:16" ht="10.5" customHeight="1" outlineLevel="1">
      <c r="A140" s="1209"/>
      <c r="B140" s="1214">
        <f>B134+1</f>
        <v>2013</v>
      </c>
      <c r="E140" s="1352"/>
      <c r="F140" s="1231"/>
      <c r="G140" s="1228"/>
      <c r="I140" s="1209"/>
      <c r="J140" s="1214">
        <f>J134+1</f>
        <v>2013</v>
      </c>
      <c r="N140" s="1229"/>
    </row>
    <row r="141" spans="1:16" ht="10.5" customHeight="1" outlineLevel="1">
      <c r="A141" s="1209" t="s">
        <v>158</v>
      </c>
      <c r="B141" s="1230" t="s">
        <v>341</v>
      </c>
      <c r="E141" s="1352">
        <v>1102</v>
      </c>
      <c r="F141" s="1243">
        <f>(E141/E135-1)*100</f>
        <v>-9.0661831368998858E-2</v>
      </c>
      <c r="G141" s="1244" t="s">
        <v>156</v>
      </c>
      <c r="I141" s="1209" t="s">
        <v>158</v>
      </c>
      <c r="J141" s="1230" t="s">
        <v>339</v>
      </c>
      <c r="L141" s="1247">
        <v>0</v>
      </c>
      <c r="M141" s="1247">
        <v>-2</v>
      </c>
      <c r="N141" s="1233">
        <f>M141+L141</f>
        <v>-2</v>
      </c>
    </row>
    <row r="142" spans="1:16" ht="10.5" customHeight="1" outlineLevel="1">
      <c r="A142" s="1209" t="s">
        <v>159</v>
      </c>
      <c r="B142" s="1235" t="s">
        <v>344</v>
      </c>
      <c r="E142" s="1352">
        <f>E141+N142</f>
        <v>1095</v>
      </c>
      <c r="F142" s="1243">
        <f>(E142/E136-1)*100</f>
        <v>-0.54495912806539204</v>
      </c>
      <c r="G142" s="1228"/>
      <c r="I142" s="1209" t="s">
        <v>159</v>
      </c>
      <c r="J142" s="1235" t="s">
        <v>342</v>
      </c>
      <c r="L142" s="1247">
        <v>0</v>
      </c>
      <c r="M142" s="1247">
        <v>-7</v>
      </c>
      <c r="N142" s="1233">
        <f>M142+L142</f>
        <v>-7</v>
      </c>
    </row>
    <row r="143" spans="1:16" ht="10.5" customHeight="1" outlineLevel="1">
      <c r="A143" s="1209" t="s">
        <v>160</v>
      </c>
      <c r="B143" s="1235" t="s">
        <v>347</v>
      </c>
      <c r="E143" s="1352">
        <f>E142+N143</f>
        <v>1095</v>
      </c>
      <c r="F143" s="1243">
        <f>(E143/E137-1)*100</f>
        <v>-0.90497737556560764</v>
      </c>
      <c r="G143" s="1228"/>
      <c r="I143" s="1209" t="s">
        <v>160</v>
      </c>
      <c r="J143" s="1235" t="s">
        <v>345</v>
      </c>
      <c r="L143" s="1247">
        <v>0</v>
      </c>
      <c r="M143" s="1247">
        <v>0</v>
      </c>
      <c r="N143" s="1233">
        <f>M143+L143</f>
        <v>0</v>
      </c>
    </row>
    <row r="144" spans="1:16" ht="10.5" customHeight="1" outlineLevel="1">
      <c r="A144" s="1209" t="s">
        <v>161</v>
      </c>
      <c r="B144" s="1235" t="s">
        <v>350</v>
      </c>
      <c r="E144" s="1352">
        <f>E143+N144</f>
        <v>1095</v>
      </c>
      <c r="F144" s="1243">
        <f>(E144/E138-1)*100</f>
        <v>-0.8152173913043459</v>
      </c>
      <c r="I144" s="1209" t="s">
        <v>161</v>
      </c>
      <c r="J144" s="1235" t="s">
        <v>348</v>
      </c>
      <c r="L144" s="1247">
        <v>0</v>
      </c>
      <c r="M144" s="1247">
        <v>0</v>
      </c>
      <c r="N144" s="1233">
        <f>M144+L144</f>
        <v>0</v>
      </c>
    </row>
    <row r="145" spans="1:14" ht="10.5" customHeight="1" outlineLevel="1">
      <c r="A145" s="1209"/>
      <c r="B145" s="1209"/>
      <c r="E145" s="1352"/>
      <c r="F145" s="1231"/>
      <c r="G145" s="1228"/>
      <c r="I145" s="1209"/>
      <c r="J145" s="1209"/>
      <c r="N145" s="1223"/>
    </row>
    <row r="146" spans="1:14" ht="10.5" customHeight="1" outlineLevel="1">
      <c r="A146" s="1209"/>
      <c r="B146" s="1214">
        <f>B140+1</f>
        <v>2014</v>
      </c>
      <c r="E146" s="1352"/>
      <c r="F146" s="1231"/>
      <c r="G146" s="1228"/>
      <c r="I146" s="1209"/>
      <c r="J146" s="1214">
        <f>J140+1</f>
        <v>2014</v>
      </c>
      <c r="N146" s="1229"/>
    </row>
    <row r="147" spans="1:14" ht="10.5" customHeight="1" outlineLevel="1">
      <c r="A147" s="1209" t="s">
        <v>158</v>
      </c>
      <c r="B147" s="1230" t="s">
        <v>341</v>
      </c>
      <c r="E147" s="1352">
        <f>E144+N147</f>
        <v>1092</v>
      </c>
      <c r="F147" s="1243">
        <f>(E147/E141-1)*100</f>
        <v>-0.90744101633394303</v>
      </c>
      <c r="G147" s="1244" t="s">
        <v>156</v>
      </c>
      <c r="I147" s="1209" t="s">
        <v>158</v>
      </c>
      <c r="J147" s="1230" t="s">
        <v>339</v>
      </c>
      <c r="L147" s="1247">
        <v>0</v>
      </c>
      <c r="M147" s="1247">
        <v>-3</v>
      </c>
      <c r="N147" s="1248">
        <v>-3</v>
      </c>
    </row>
    <row r="148" spans="1:14" ht="10.5" customHeight="1" outlineLevel="1">
      <c r="A148" s="1209" t="s">
        <v>159</v>
      </c>
      <c r="B148" s="1235" t="s">
        <v>344</v>
      </c>
      <c r="E148" s="1352">
        <f>E147+N148</f>
        <v>1062</v>
      </c>
      <c r="F148" s="1243">
        <f>(E148/E142-1)*100</f>
        <v>-3.013698630136985</v>
      </c>
      <c r="G148" s="1228"/>
      <c r="I148" s="1209" t="s">
        <v>159</v>
      </c>
      <c r="J148" s="1235" t="s">
        <v>342</v>
      </c>
      <c r="L148" s="1247">
        <v>0</v>
      </c>
      <c r="M148" s="1247">
        <v>-30</v>
      </c>
      <c r="N148" s="1248">
        <v>-30</v>
      </c>
    </row>
    <row r="149" spans="1:14" ht="10.5" customHeight="1" outlineLevel="1">
      <c r="A149" s="1209" t="s">
        <v>160</v>
      </c>
      <c r="B149" s="1235" t="s">
        <v>347</v>
      </c>
      <c r="E149" s="1352">
        <f>E148+N149</f>
        <v>1063</v>
      </c>
      <c r="F149" s="1243">
        <f>(E149/E143-1)*100</f>
        <v>-2.9223744292237397</v>
      </c>
      <c r="G149" s="1228"/>
      <c r="I149" s="1209" t="s">
        <v>160</v>
      </c>
      <c r="J149" s="1235" t="s">
        <v>345</v>
      </c>
      <c r="L149" s="1247">
        <v>1</v>
      </c>
      <c r="M149" s="1247">
        <v>-1E-100</v>
      </c>
      <c r="N149" s="1248">
        <f>M149+L149</f>
        <v>1</v>
      </c>
    </row>
    <row r="150" spans="1:14" ht="10.5" customHeight="1" outlineLevel="1">
      <c r="A150" s="1209" t="s">
        <v>161</v>
      </c>
      <c r="B150" s="1235" t="s">
        <v>350</v>
      </c>
      <c r="E150" s="1352">
        <f>E149+N150</f>
        <v>1063</v>
      </c>
      <c r="F150" s="1243">
        <f>(E150/E144-1)*100</f>
        <v>-2.9223744292237397</v>
      </c>
      <c r="I150" s="1209" t="s">
        <v>161</v>
      </c>
      <c r="J150" s="1235" t="s">
        <v>348</v>
      </c>
      <c r="L150" s="1247">
        <v>0</v>
      </c>
      <c r="M150" s="1247">
        <v>-1E-100</v>
      </c>
      <c r="N150" s="1248">
        <f>M150+L150</f>
        <v>-1E-100</v>
      </c>
    </row>
    <row r="151" spans="1:14" ht="10.5" customHeight="1" outlineLevel="1">
      <c r="A151" s="1209"/>
      <c r="B151" s="1209"/>
      <c r="E151" s="1352"/>
      <c r="F151" s="1231"/>
      <c r="G151" s="1228"/>
      <c r="I151" s="1209"/>
      <c r="J151" s="1209"/>
      <c r="N151" s="1223"/>
    </row>
    <row r="152" spans="1:14" ht="10.5" customHeight="1" outlineLevel="1">
      <c r="A152" s="1209"/>
      <c r="B152" s="1249">
        <f>B146+1</f>
        <v>2015</v>
      </c>
      <c r="E152" s="1352"/>
      <c r="F152" s="1231"/>
      <c r="G152" s="1228"/>
      <c r="I152" s="1209"/>
      <c r="J152" s="1249">
        <f>J146+1</f>
        <v>2015</v>
      </c>
      <c r="N152" s="1229"/>
    </row>
    <row r="153" spans="1:14" ht="10.5" customHeight="1" outlineLevel="1">
      <c r="A153" s="1209" t="s">
        <v>158</v>
      </c>
      <c r="B153" s="1230" t="s">
        <v>341</v>
      </c>
      <c r="E153" s="1352">
        <f>E150+N153</f>
        <v>1023</v>
      </c>
      <c r="F153" s="1243">
        <f>(E153/E147-1)*100</f>
        <v>-6.3186813186813184</v>
      </c>
      <c r="G153" s="1244" t="s">
        <v>156</v>
      </c>
      <c r="I153" s="1209" t="s">
        <v>158</v>
      </c>
      <c r="J153" s="1230" t="s">
        <v>339</v>
      </c>
      <c r="L153" s="1247">
        <v>0</v>
      </c>
      <c r="M153" s="1247">
        <v>-3</v>
      </c>
      <c r="N153" s="1248">
        <v>-40</v>
      </c>
    </row>
    <row r="154" spans="1:14" ht="10.5" customHeight="1" outlineLevel="1">
      <c r="A154" s="1209" t="s">
        <v>159</v>
      </c>
      <c r="B154" s="1235" t="s">
        <v>344</v>
      </c>
      <c r="E154" s="1352">
        <f>E153+N154</f>
        <v>1023</v>
      </c>
      <c r="F154" s="1243">
        <f>(E154/E148-1)*100</f>
        <v>-3.672316384180796</v>
      </c>
      <c r="G154" s="1228"/>
      <c r="I154" s="1209" t="s">
        <v>159</v>
      </c>
      <c r="J154" s="1235" t="s">
        <v>342</v>
      </c>
      <c r="L154" s="1247">
        <v>0</v>
      </c>
      <c r="M154" s="1247">
        <v>-30</v>
      </c>
      <c r="N154" s="1248">
        <v>0</v>
      </c>
    </row>
    <row r="155" spans="1:14" ht="10.5" customHeight="1" outlineLevel="1">
      <c r="A155" s="1209" t="s">
        <v>160</v>
      </c>
      <c r="B155" s="1235" t="s">
        <v>347</v>
      </c>
      <c r="E155" s="1352">
        <f>E154+N155</f>
        <v>1023</v>
      </c>
      <c r="F155" s="1243">
        <f>(E155/E149-1)*100</f>
        <v>-3.7629350893697122</v>
      </c>
      <c r="G155" s="1228"/>
      <c r="I155" s="1209" t="s">
        <v>160</v>
      </c>
      <c r="J155" s="1235" t="s">
        <v>345</v>
      </c>
      <c r="L155" s="1247">
        <v>1</v>
      </c>
      <c r="M155" s="1247">
        <v>-1E-100</v>
      </c>
      <c r="N155" s="1248">
        <v>0</v>
      </c>
    </row>
    <row r="156" spans="1:14" ht="10.5" customHeight="1" outlineLevel="1">
      <c r="A156" s="1209" t="s">
        <v>161</v>
      </c>
      <c r="B156" s="1235" t="s">
        <v>350</v>
      </c>
      <c r="E156" s="1352">
        <f>E155+N156</f>
        <v>1021</v>
      </c>
      <c r="F156" s="1243">
        <f>(E156/E150-1)*100</f>
        <v>-3.9510818438381889</v>
      </c>
      <c r="I156" s="1209" t="s">
        <v>161</v>
      </c>
      <c r="J156" s="1235" t="s">
        <v>348</v>
      </c>
      <c r="L156" s="1247">
        <v>0</v>
      </c>
      <c r="M156" s="1247">
        <v>-1E-100</v>
      </c>
      <c r="N156" s="1248">
        <v>-2</v>
      </c>
    </row>
    <row r="157" spans="1:14" ht="10.5" customHeight="1" outlineLevel="1">
      <c r="A157" s="1209"/>
      <c r="B157" s="1209"/>
      <c r="E157" s="1352"/>
      <c r="F157" s="1238"/>
      <c r="G157" s="1228"/>
      <c r="I157" s="1209"/>
      <c r="J157" s="1209"/>
    </row>
    <row r="158" spans="1:14" ht="10.5" customHeight="1" outlineLevel="1">
      <c r="A158" s="1209"/>
      <c r="B158" s="1249">
        <f>B152+1</f>
        <v>2016</v>
      </c>
      <c r="E158" s="1352"/>
      <c r="F158" s="1231"/>
      <c r="G158" s="1228"/>
      <c r="I158" s="1209"/>
      <c r="J158" s="1249">
        <f>J152+1</f>
        <v>2016</v>
      </c>
      <c r="N158" s="1229"/>
    </row>
    <row r="159" spans="1:14" ht="10.5" customHeight="1" outlineLevel="1">
      <c r="A159" s="1209" t="s">
        <v>158</v>
      </c>
      <c r="B159" s="1230" t="s">
        <v>341</v>
      </c>
      <c r="E159" s="1352">
        <f>E156+N159</f>
        <v>1014</v>
      </c>
      <c r="F159" s="1243">
        <f>(E159/E153-1)*100</f>
        <v>-0.87976539589442737</v>
      </c>
      <c r="G159" s="1244" t="s">
        <v>156</v>
      </c>
      <c r="I159" s="1209" t="s">
        <v>158</v>
      </c>
      <c r="J159" s="1230" t="s">
        <v>339</v>
      </c>
      <c r="L159" s="1247">
        <v>0</v>
      </c>
      <c r="M159" s="1247">
        <v>-3</v>
      </c>
      <c r="N159" s="1248">
        <v>-7</v>
      </c>
    </row>
    <row r="160" spans="1:14" ht="10.5" customHeight="1" outlineLevel="1">
      <c r="A160" s="1209" t="s">
        <v>159</v>
      </c>
      <c r="B160" s="1235" t="s">
        <v>344</v>
      </c>
      <c r="E160" s="1352">
        <f>E159+N160</f>
        <v>1014</v>
      </c>
      <c r="F160" s="1243">
        <f>(E160/E154-1)*100</f>
        <v>-0.87976539589442737</v>
      </c>
      <c r="G160" s="1228"/>
      <c r="I160" s="1209" t="s">
        <v>159</v>
      </c>
      <c r="J160" s="1235" t="s">
        <v>342</v>
      </c>
      <c r="L160" s="1247">
        <v>0</v>
      </c>
      <c r="M160" s="1247">
        <v>-30</v>
      </c>
      <c r="N160" s="1248">
        <v>0</v>
      </c>
    </row>
    <row r="161" spans="1:14" ht="10.5" customHeight="1" outlineLevel="1">
      <c r="A161" s="1209" t="s">
        <v>160</v>
      </c>
      <c r="B161" s="1235" t="s">
        <v>347</v>
      </c>
      <c r="E161" s="1352">
        <f>E160+N161</f>
        <v>1014</v>
      </c>
      <c r="F161" s="1243">
        <f>(E161/E155-1)*100</f>
        <v>-0.87976539589442737</v>
      </c>
      <c r="G161" s="1228"/>
      <c r="I161" s="1209" t="s">
        <v>160</v>
      </c>
      <c r="J161" s="1235" t="s">
        <v>345</v>
      </c>
      <c r="L161" s="1247">
        <v>1</v>
      </c>
      <c r="M161" s="1247">
        <v>-1E-100</v>
      </c>
      <c r="N161" s="1248">
        <v>0</v>
      </c>
    </row>
    <row r="162" spans="1:14" ht="10.5" customHeight="1" outlineLevel="1">
      <c r="A162" s="1209" t="s">
        <v>161</v>
      </c>
      <c r="B162" s="1235" t="s">
        <v>350</v>
      </c>
      <c r="E162" s="1352">
        <f>E161+N162</f>
        <v>1014</v>
      </c>
      <c r="F162" s="1243">
        <f>(E162/E156-1)*100</f>
        <v>-0.68560235063662711</v>
      </c>
      <c r="I162" s="1209" t="s">
        <v>161</v>
      </c>
      <c r="J162" s="1235" t="s">
        <v>348</v>
      </c>
      <c r="L162" s="1247">
        <v>0</v>
      </c>
      <c r="M162" s="1247">
        <v>-1E-100</v>
      </c>
      <c r="N162" s="1248">
        <v>0</v>
      </c>
    </row>
    <row r="163" spans="1:14" ht="10.5" customHeight="1" outlineLevel="1">
      <c r="A163" s="1209"/>
      <c r="B163" s="1235"/>
      <c r="E163" s="1352"/>
      <c r="F163" s="1243"/>
      <c r="I163" s="1209"/>
      <c r="J163" s="1235"/>
      <c r="L163" s="1247"/>
      <c r="M163" s="1247"/>
      <c r="N163" s="1248"/>
    </row>
    <row r="164" spans="1:14" ht="10.5" customHeight="1" outlineLevel="1">
      <c r="A164" s="1209"/>
      <c r="B164" s="1249">
        <f>B158+1</f>
        <v>2017</v>
      </c>
      <c r="E164" s="1352"/>
      <c r="F164" s="1231"/>
      <c r="G164" s="1228"/>
      <c r="I164" s="1209"/>
      <c r="J164" s="1249">
        <f>J158+1</f>
        <v>2017</v>
      </c>
      <c r="N164" s="1229"/>
    </row>
    <row r="165" spans="1:14" ht="10.5" customHeight="1" outlineLevel="1">
      <c r="A165" s="1209" t="s">
        <v>158</v>
      </c>
      <c r="B165" s="1230" t="s">
        <v>341</v>
      </c>
      <c r="E165" s="1352">
        <f>E162+N165</f>
        <v>1014</v>
      </c>
      <c r="F165" s="1243">
        <f>(E165/E159-1)*100</f>
        <v>0</v>
      </c>
      <c r="G165" s="1244" t="s">
        <v>156</v>
      </c>
      <c r="I165" s="1209" t="s">
        <v>158</v>
      </c>
      <c r="J165" s="1230" t="s">
        <v>339</v>
      </c>
      <c r="L165" s="1247">
        <v>0</v>
      </c>
      <c r="M165" s="1247">
        <v>-3</v>
      </c>
      <c r="N165" s="1248">
        <v>0</v>
      </c>
    </row>
    <row r="166" spans="1:14" ht="10.5" customHeight="1" outlineLevel="1">
      <c r="A166" s="1209" t="s">
        <v>159</v>
      </c>
      <c r="B166" s="1235" t="s">
        <v>344</v>
      </c>
      <c r="E166" s="1352">
        <f>E165+N166</f>
        <v>887</v>
      </c>
      <c r="F166" s="1243">
        <f>(E166/E160-1)*100</f>
        <v>-12.524654832347137</v>
      </c>
      <c r="G166" s="1228"/>
      <c r="I166" s="1209" t="s">
        <v>159</v>
      </c>
      <c r="J166" s="1235" t="s">
        <v>342</v>
      </c>
      <c r="L166" s="1247">
        <v>0</v>
      </c>
      <c r="M166" s="1247">
        <v>-30</v>
      </c>
      <c r="N166" s="1248">
        <v>-127</v>
      </c>
    </row>
    <row r="167" spans="1:14" ht="10.5" customHeight="1" outlineLevel="1">
      <c r="A167" s="1209" t="s">
        <v>160</v>
      </c>
      <c r="B167" s="1235" t="s">
        <v>347</v>
      </c>
      <c r="E167" s="1352">
        <f>E166+N167</f>
        <v>874</v>
      </c>
      <c r="F167" s="1243">
        <f>(E167/E161-1)*100</f>
        <v>-13.806706114398427</v>
      </c>
      <c r="G167" s="1228"/>
      <c r="I167" s="1209" t="s">
        <v>160</v>
      </c>
      <c r="J167" s="1235" t="s">
        <v>345</v>
      </c>
      <c r="L167" s="1247">
        <v>1</v>
      </c>
      <c r="M167" s="1247">
        <v>-1E-100</v>
      </c>
      <c r="N167" s="1248">
        <v>-13</v>
      </c>
    </row>
    <row r="168" spans="1:14" ht="10.5" customHeight="1" outlineLevel="1">
      <c r="A168" s="1209" t="s">
        <v>161</v>
      </c>
      <c r="B168" s="1235" t="s">
        <v>350</v>
      </c>
      <c r="E168" s="1563">
        <v>872</v>
      </c>
      <c r="F168" s="1243">
        <f>(E168/E162-1)*100</f>
        <v>-14.003944773175547</v>
      </c>
      <c r="I168" s="1209" t="s">
        <v>161</v>
      </c>
      <c r="J168" s="1235" t="s">
        <v>348</v>
      </c>
      <c r="L168" s="1247">
        <v>0</v>
      </c>
      <c r="M168" s="1247">
        <v>-1E-100</v>
      </c>
      <c r="N168" s="1564">
        <v>-2</v>
      </c>
    </row>
    <row r="169" spans="1:14" ht="10.5" customHeight="1" outlineLevel="1">
      <c r="A169" s="1209"/>
      <c r="B169" s="1214"/>
      <c r="E169" s="1261"/>
      <c r="F169" s="1231"/>
      <c r="G169" s="1228"/>
      <c r="I169" s="1209"/>
      <c r="J169" s="1214"/>
      <c r="N169" s="1540"/>
    </row>
    <row r="170" spans="1:14" ht="10.5" customHeight="1" outlineLevel="1">
      <c r="A170" s="1209"/>
      <c r="B170" s="1249">
        <f>B164+1</f>
        <v>2018</v>
      </c>
      <c r="E170" s="1539"/>
      <c r="F170" s="1231"/>
      <c r="G170" s="1228"/>
      <c r="I170" s="1209"/>
      <c r="J170" s="1249">
        <f>J164+1</f>
        <v>2018</v>
      </c>
      <c r="N170" s="1541"/>
    </row>
    <row r="171" spans="1:14" ht="10.5" customHeight="1" outlineLevel="1">
      <c r="A171" s="1209" t="s">
        <v>158</v>
      </c>
      <c r="B171" s="1230" t="s">
        <v>341</v>
      </c>
      <c r="E171" s="1539">
        <f>E168+N171</f>
        <v>864</v>
      </c>
      <c r="F171" s="1243">
        <f>(E171/E165-1)*100</f>
        <v>-14.792899408284022</v>
      </c>
      <c r="G171" s="1244" t="s">
        <v>156</v>
      </c>
      <c r="I171" s="1209" t="s">
        <v>158</v>
      </c>
      <c r="J171" s="1230" t="s">
        <v>339</v>
      </c>
      <c r="L171" s="1247">
        <v>0</v>
      </c>
      <c r="M171" s="1247">
        <v>-3</v>
      </c>
      <c r="N171" s="1540">
        <v>-8</v>
      </c>
    </row>
    <row r="172" spans="1:14" ht="10.5" customHeight="1" outlineLevel="1">
      <c r="A172" s="1209" t="s">
        <v>159</v>
      </c>
      <c r="B172" s="1235" t="s">
        <v>344</v>
      </c>
      <c r="E172" s="1539">
        <f>E171+N172</f>
        <v>857</v>
      </c>
      <c r="F172" s="1243">
        <f>(E172/E166-1)*100</f>
        <v>-3.3821871476888421</v>
      </c>
      <c r="G172" s="1228"/>
      <c r="I172" s="1209" t="s">
        <v>159</v>
      </c>
      <c r="J172" s="1235" t="s">
        <v>342</v>
      </c>
      <c r="L172" s="1247">
        <v>0</v>
      </c>
      <c r="M172" s="1247">
        <v>-30</v>
      </c>
      <c r="N172" s="1540">
        <v>-7</v>
      </c>
    </row>
    <row r="173" spans="1:14" ht="10.5" customHeight="1" outlineLevel="1">
      <c r="A173" s="1209" t="s">
        <v>160</v>
      </c>
      <c r="B173" s="1235" t="s">
        <v>347</v>
      </c>
      <c r="E173" s="1539">
        <f>E172+N173</f>
        <v>857</v>
      </c>
      <c r="F173" s="1243">
        <f>(E173/E167-1)*100</f>
        <v>-1.9450800915331801</v>
      </c>
      <c r="G173" s="1228"/>
      <c r="I173" s="1209" t="s">
        <v>160</v>
      </c>
      <c r="J173" s="1235" t="s">
        <v>345</v>
      </c>
      <c r="L173" s="1247">
        <v>1</v>
      </c>
      <c r="M173" s="1247">
        <v>-1E-100</v>
      </c>
      <c r="N173" s="1540">
        <v>0</v>
      </c>
    </row>
    <row r="174" spans="1:14" ht="10.5" customHeight="1" outlineLevel="1">
      <c r="A174" s="1209" t="s">
        <v>161</v>
      </c>
      <c r="B174" s="1235" t="s">
        <v>350</v>
      </c>
      <c r="E174" s="1539">
        <f>E173+N174</f>
        <v>857</v>
      </c>
      <c r="F174" s="1243">
        <f>(E174/E168-1)*100</f>
        <v>-1.7201834862385357</v>
      </c>
      <c r="I174" s="1209" t="s">
        <v>161</v>
      </c>
      <c r="J174" s="1235" t="s">
        <v>348</v>
      </c>
      <c r="L174" s="1247">
        <v>0</v>
      </c>
      <c r="M174" s="1247">
        <v>-1E-100</v>
      </c>
      <c r="N174" s="1540">
        <v>0</v>
      </c>
    </row>
    <row r="175" spans="1:14" ht="10.5" customHeight="1" outlineLevel="1">
      <c r="A175" s="1209"/>
      <c r="B175" s="1214"/>
      <c r="F175" s="1231"/>
      <c r="G175" s="1228"/>
      <c r="I175" s="1209"/>
      <c r="J175" s="1214"/>
      <c r="N175" s="1248"/>
    </row>
    <row r="176" spans="1:14" ht="10.5" customHeight="1" outlineLevel="1">
      <c r="A176" s="1209"/>
      <c r="B176" s="1214"/>
      <c r="F176" s="1231"/>
      <c r="G176" s="1228"/>
      <c r="I176" s="1209"/>
      <c r="J176" s="1214"/>
    </row>
    <row r="177" spans="1:15" ht="10.5" customHeight="1" outlineLevel="1">
      <c r="A177" s="1209"/>
      <c r="B177" s="1214"/>
      <c r="F177" s="1231"/>
      <c r="G177" s="1228"/>
      <c r="I177" s="1209"/>
      <c r="J177" s="1214"/>
    </row>
    <row r="178" spans="1:15" ht="10.5" customHeight="1" outlineLevel="1">
      <c r="A178" s="1218" t="s">
        <v>463</v>
      </c>
      <c r="B178" s="1218" t="s">
        <v>338</v>
      </c>
      <c r="C178" s="1250" t="s">
        <v>465</v>
      </c>
      <c r="D178" s="1251"/>
      <c r="E178" s="1252"/>
      <c r="F178" s="1253"/>
      <c r="G178" s="1251"/>
      <c r="H178" s="1254"/>
      <c r="I178" s="1255" t="s">
        <v>357</v>
      </c>
      <c r="J178" s="397"/>
    </row>
    <row r="179" spans="1:15" ht="10.5" customHeight="1" outlineLevel="1">
      <c r="A179" s="1218"/>
      <c r="B179" s="1214">
        <v>2002</v>
      </c>
      <c r="C179" s="1222"/>
      <c r="D179" s="1256"/>
      <c r="E179" s="1222"/>
      <c r="F179" s="1257"/>
      <c r="G179" s="1256"/>
      <c r="H179" s="1258"/>
      <c r="I179" s="1255"/>
      <c r="J179" s="397"/>
      <c r="O179" s="397">
        <f>-0.33*E156</f>
        <v>-336.93</v>
      </c>
    </row>
    <row r="180" spans="1:15" ht="10.5" customHeight="1" outlineLevel="1">
      <c r="A180" s="1218"/>
      <c r="B180" s="1259" t="s">
        <v>143</v>
      </c>
      <c r="C180" s="1222"/>
      <c r="D180" s="1256"/>
      <c r="E180" s="1225">
        <v>103.3</v>
      </c>
      <c r="F180" s="1257"/>
      <c r="G180" s="1256"/>
      <c r="H180" s="1258"/>
      <c r="I180" s="1255"/>
      <c r="J180" s="397"/>
    </row>
    <row r="181" spans="1:15" ht="10.5" customHeight="1" outlineLevel="1">
      <c r="A181" s="1209"/>
      <c r="B181" s="1230"/>
      <c r="F181" s="1231"/>
      <c r="G181" s="1228"/>
      <c r="I181" s="1209"/>
      <c r="J181" s="1230"/>
    </row>
    <row r="182" spans="1:15" ht="10.5" customHeight="1" outlineLevel="1">
      <c r="A182" s="1209"/>
      <c r="B182" s="1214">
        <v>2003</v>
      </c>
      <c r="I182" s="1209"/>
      <c r="J182" s="1235"/>
    </row>
    <row r="183" spans="1:15" ht="10.5" customHeight="1" outlineLevel="1">
      <c r="A183" s="1209" t="s">
        <v>158</v>
      </c>
      <c r="B183" s="1230" t="s">
        <v>339</v>
      </c>
      <c r="E183" s="1260">
        <f>E180/E6*E9</f>
        <v>109.24247363374879</v>
      </c>
      <c r="F183" s="1223"/>
      <c r="G183" s="1219"/>
      <c r="I183" s="1209"/>
      <c r="J183" s="1235"/>
    </row>
    <row r="184" spans="1:15" ht="10.5" customHeight="1" outlineLevel="1">
      <c r="A184" s="1209"/>
      <c r="B184" s="1230" t="s">
        <v>340</v>
      </c>
      <c r="E184" s="1260">
        <f t="shared" ref="E184:E193" si="17">E183/E9*E10</f>
        <v>109.24247363374879</v>
      </c>
      <c r="F184" s="1227"/>
      <c r="G184" s="1228"/>
      <c r="I184" s="1209"/>
      <c r="J184" s="1235"/>
    </row>
    <row r="185" spans="1:15" ht="10.5" customHeight="1" outlineLevel="1">
      <c r="A185" s="1209"/>
      <c r="B185" s="1230" t="s">
        <v>341</v>
      </c>
      <c r="E185" s="1260">
        <f t="shared" si="17"/>
        <v>108.8463087248322</v>
      </c>
      <c r="F185" s="1231"/>
      <c r="G185" s="1228"/>
      <c r="I185" s="1209"/>
      <c r="J185" s="1235"/>
    </row>
    <row r="186" spans="1:15" ht="10.5" customHeight="1" outlineLevel="1">
      <c r="A186" s="1209" t="s">
        <v>159</v>
      </c>
      <c r="B186" s="1235" t="s">
        <v>342</v>
      </c>
      <c r="E186" s="1260">
        <f t="shared" si="17"/>
        <v>108.8463087248322</v>
      </c>
      <c r="F186" s="1231"/>
      <c r="G186" s="1228"/>
      <c r="I186" s="1209"/>
      <c r="J186" s="1235"/>
    </row>
    <row r="187" spans="1:15" ht="10.5" customHeight="1" outlineLevel="1">
      <c r="A187" s="1209"/>
      <c r="B187" s="1235" t="s">
        <v>343</v>
      </c>
      <c r="E187" s="1260">
        <f t="shared" si="17"/>
        <v>108.8463087248322</v>
      </c>
      <c r="F187" s="1231"/>
      <c r="G187" s="1228"/>
      <c r="I187" s="1209"/>
      <c r="J187" s="1235"/>
    </row>
    <row r="188" spans="1:15" ht="10.5" customHeight="1" outlineLevel="1">
      <c r="A188" s="1209"/>
      <c r="B188" s="1235" t="s">
        <v>344</v>
      </c>
      <c r="E188" s="1260">
        <f t="shared" si="17"/>
        <v>108.54918504314476</v>
      </c>
      <c r="F188" s="1237"/>
      <c r="G188" s="1228"/>
      <c r="I188" s="1209"/>
      <c r="J188" s="1235"/>
    </row>
    <row r="189" spans="1:15" ht="10.5" customHeight="1" outlineLevel="1">
      <c r="A189" s="1209" t="s">
        <v>160</v>
      </c>
      <c r="B189" s="1235" t="s">
        <v>345</v>
      </c>
      <c r="E189" s="1260">
        <f t="shared" si="17"/>
        <v>108.54918504314476</v>
      </c>
      <c r="F189" s="1238"/>
      <c r="G189" s="1228"/>
      <c r="I189" s="1209"/>
      <c r="J189" s="1235"/>
    </row>
    <row r="190" spans="1:15" ht="10.5" customHeight="1" outlineLevel="1">
      <c r="A190" s="1209"/>
      <c r="B190" s="1235" t="s">
        <v>346</v>
      </c>
      <c r="E190" s="1260">
        <f t="shared" si="17"/>
        <v>108.54918504314476</v>
      </c>
      <c r="F190" s="1231"/>
      <c r="G190" s="1228"/>
      <c r="I190" s="1209"/>
      <c r="J190" s="1235"/>
    </row>
    <row r="191" spans="1:15" ht="10.5" customHeight="1" outlineLevel="1">
      <c r="A191" s="1209"/>
      <c r="B191" s="1235" t="s">
        <v>347</v>
      </c>
      <c r="E191" s="1260">
        <f t="shared" si="17"/>
        <v>108.54918504314476</v>
      </c>
      <c r="F191" s="1231"/>
      <c r="G191" s="1228"/>
      <c r="I191" s="1209"/>
      <c r="J191" s="1209"/>
    </row>
    <row r="192" spans="1:15" ht="10.5" customHeight="1" outlineLevel="1">
      <c r="A192" s="1209" t="s">
        <v>161</v>
      </c>
      <c r="B192" s="1235" t="s">
        <v>348</v>
      </c>
      <c r="E192" s="1260">
        <f t="shared" si="17"/>
        <v>108.35110258868647</v>
      </c>
      <c r="F192" s="1231"/>
      <c r="G192" s="1228"/>
      <c r="I192" s="1209"/>
      <c r="J192" s="1214"/>
    </row>
    <row r="193" spans="1:10" ht="10.5" customHeight="1" outlineLevel="1">
      <c r="A193" s="1209"/>
      <c r="B193" s="1235" t="s">
        <v>349</v>
      </c>
      <c r="E193" s="1260">
        <f t="shared" si="17"/>
        <v>107.7568552253116</v>
      </c>
      <c r="F193" s="1237"/>
      <c r="G193" s="1228"/>
      <c r="I193" s="1209"/>
      <c r="J193" s="1230"/>
    </row>
    <row r="194" spans="1:10" ht="10.5" customHeight="1" outlineLevel="1">
      <c r="A194" s="1209"/>
      <c r="B194" s="1235" t="s">
        <v>350</v>
      </c>
      <c r="E194" s="1225">
        <v>101.1</v>
      </c>
      <c r="F194" s="1238"/>
      <c r="G194" s="1228"/>
      <c r="I194" s="1209"/>
      <c r="J194" s="1230"/>
    </row>
    <row r="195" spans="1:10" ht="10.5" customHeight="1" outlineLevel="1">
      <c r="A195" s="1209"/>
      <c r="B195" s="1235"/>
      <c r="F195" s="1231"/>
      <c r="G195" s="1228"/>
      <c r="I195" s="1209"/>
      <c r="J195" s="1230"/>
    </row>
    <row r="196" spans="1:10" ht="10.5" customHeight="1" outlineLevel="1">
      <c r="A196" s="1209"/>
      <c r="B196" s="1214">
        <f>B182+1</f>
        <v>2004</v>
      </c>
      <c r="E196" s="1225"/>
      <c r="F196" s="1231"/>
      <c r="G196" s="1228"/>
      <c r="I196" s="1209"/>
      <c r="J196" s="1235"/>
    </row>
    <row r="197" spans="1:10" ht="10.5" customHeight="1" outlineLevel="1">
      <c r="A197" s="1209" t="s">
        <v>158</v>
      </c>
      <c r="B197" s="1230" t="s">
        <v>339</v>
      </c>
      <c r="E197" s="1260">
        <f>E194/E20*E23</f>
        <v>101.00088235294116</v>
      </c>
      <c r="F197" s="1243">
        <f>(E197/E183-1)*100</f>
        <v>-7.5443103828266906</v>
      </c>
      <c r="G197" s="1244" t="s">
        <v>156</v>
      </c>
      <c r="I197" s="1209"/>
      <c r="J197" s="1235"/>
    </row>
    <row r="198" spans="1:10" ht="10.5" customHeight="1" outlineLevel="1">
      <c r="A198" s="1209"/>
      <c r="B198" s="1230" t="s">
        <v>340</v>
      </c>
      <c r="E198" s="1260">
        <f t="shared" ref="E198:E207" si="18">E197/E23*E24</f>
        <v>101.1</v>
      </c>
      <c r="F198" s="1243">
        <f t="shared" ref="F198:F208" si="19">(E198/E184-1)*100</f>
        <v>-7.4535785971376107</v>
      </c>
      <c r="G198" s="1228"/>
      <c r="I198" s="1209"/>
      <c r="J198" s="1235"/>
    </row>
    <row r="199" spans="1:10" ht="10.5" customHeight="1" outlineLevel="1">
      <c r="A199" s="1209"/>
      <c r="B199" s="1230" t="s">
        <v>341</v>
      </c>
      <c r="E199" s="1260">
        <f t="shared" si="18"/>
        <v>101.19911764705881</v>
      </c>
      <c r="F199" s="1243">
        <f t="shared" si="19"/>
        <v>-7.0256779190425167</v>
      </c>
      <c r="G199" s="1228"/>
      <c r="I199" s="1209"/>
      <c r="J199" s="1235"/>
    </row>
    <row r="200" spans="1:10" ht="10.5" customHeight="1" outlineLevel="1">
      <c r="A200" s="1209" t="s">
        <v>159</v>
      </c>
      <c r="B200" s="1235" t="s">
        <v>342</v>
      </c>
      <c r="E200" s="1260">
        <f t="shared" si="18"/>
        <v>101.19911764705881</v>
      </c>
      <c r="F200" s="1243">
        <f t="shared" si="19"/>
        <v>-7.0256779190425167</v>
      </c>
      <c r="G200" s="1228"/>
      <c r="I200" s="1209"/>
      <c r="J200" s="1235"/>
    </row>
    <row r="201" spans="1:10" ht="10.5" customHeight="1" outlineLevel="1">
      <c r="A201" s="1209"/>
      <c r="B201" s="1235" t="s">
        <v>343</v>
      </c>
      <c r="E201" s="1260">
        <f t="shared" si="18"/>
        <v>100.90176470588234</v>
      </c>
      <c r="F201" s="1243">
        <f t="shared" si="19"/>
        <v>-7.2988639780463105</v>
      </c>
      <c r="G201" s="1228"/>
      <c r="I201" s="1209"/>
      <c r="J201" s="1235"/>
    </row>
    <row r="202" spans="1:10" ht="10.5" customHeight="1" outlineLevel="1">
      <c r="A202" s="1209"/>
      <c r="B202" s="1235" t="s">
        <v>344</v>
      </c>
      <c r="E202" s="1260">
        <f t="shared" si="18"/>
        <v>100.90176470588234</v>
      </c>
      <c r="F202" s="1243">
        <f t="shared" si="19"/>
        <v>-7.045119992584759</v>
      </c>
      <c r="G202" s="1228"/>
      <c r="I202" s="1209"/>
      <c r="J202" s="1235"/>
    </row>
    <row r="203" spans="1:10" ht="10.5" customHeight="1" outlineLevel="1">
      <c r="A203" s="1209" t="s">
        <v>160</v>
      </c>
      <c r="B203" s="1235" t="s">
        <v>345</v>
      </c>
      <c r="E203" s="1260">
        <f t="shared" si="18"/>
        <v>100.90176470588234</v>
      </c>
      <c r="F203" s="1243">
        <f t="shared" si="19"/>
        <v>-7.045119992584759</v>
      </c>
      <c r="G203" s="1228"/>
      <c r="I203" s="1209"/>
      <c r="J203" s="1235"/>
    </row>
    <row r="204" spans="1:10" ht="10.5" customHeight="1" outlineLevel="1">
      <c r="A204" s="1209"/>
      <c r="B204" s="1235" t="s">
        <v>346</v>
      </c>
      <c r="E204" s="1260">
        <f t="shared" si="18"/>
        <v>100.90176470588234</v>
      </c>
      <c r="F204" s="1243">
        <f t="shared" si="19"/>
        <v>-7.045119992584759</v>
      </c>
      <c r="I204" s="1209"/>
      <c r="J204" s="1235"/>
    </row>
    <row r="205" spans="1:10" ht="10.5" customHeight="1" outlineLevel="1">
      <c r="A205" s="1209"/>
      <c r="B205" s="1235" t="s">
        <v>347</v>
      </c>
      <c r="E205" s="1260">
        <f t="shared" si="18"/>
        <v>100.90176470588234</v>
      </c>
      <c r="F205" s="1243">
        <f t="shared" si="19"/>
        <v>-7.045119992584759</v>
      </c>
      <c r="I205" s="1209"/>
      <c r="J205" s="1209"/>
    </row>
    <row r="206" spans="1:10" ht="10.5" customHeight="1" outlineLevel="1">
      <c r="A206" s="1209" t="s">
        <v>161</v>
      </c>
      <c r="B206" s="1235" t="s">
        <v>348</v>
      </c>
      <c r="E206" s="1260">
        <f t="shared" si="18"/>
        <v>101.00088235294116</v>
      </c>
      <c r="F206" s="1243">
        <f t="shared" si="19"/>
        <v>-6.7837059892667746</v>
      </c>
      <c r="I206" s="1209"/>
      <c r="J206" s="1214"/>
    </row>
    <row r="207" spans="1:10" ht="10.5" customHeight="1" outlineLevel="1">
      <c r="A207" s="1209"/>
      <c r="B207" s="1235" t="s">
        <v>349</v>
      </c>
      <c r="E207" s="1260">
        <f t="shared" si="18"/>
        <v>101.00088235294116</v>
      </c>
      <c r="F207" s="1243">
        <f t="shared" si="19"/>
        <v>-6.2696455443546517</v>
      </c>
      <c r="I207" s="1209"/>
      <c r="J207" s="1230"/>
    </row>
    <row r="208" spans="1:10" ht="10.5" customHeight="1" outlineLevel="1">
      <c r="A208" s="1209"/>
      <c r="B208" s="1235" t="s">
        <v>350</v>
      </c>
      <c r="E208" s="1225">
        <v>101.3</v>
      </c>
      <c r="F208" s="1243">
        <f t="shared" si="19"/>
        <v>0.19782393669633969</v>
      </c>
      <c r="I208" s="1209"/>
      <c r="J208" s="1230"/>
    </row>
    <row r="209" spans="1:10" ht="10.5" customHeight="1" outlineLevel="1">
      <c r="A209" s="1209"/>
      <c r="B209" s="1235"/>
      <c r="E209" s="1225"/>
      <c r="F209" s="1237"/>
      <c r="G209" s="1228"/>
      <c r="I209" s="1209"/>
      <c r="J209" s="1230"/>
    </row>
    <row r="210" spans="1:10" ht="10.5" customHeight="1" outlineLevel="1">
      <c r="A210" s="1209"/>
      <c r="B210" s="1214">
        <f>B196+1</f>
        <v>2005</v>
      </c>
      <c r="E210" s="1225"/>
      <c r="F210" s="1238"/>
      <c r="G210" s="1228"/>
      <c r="I210" s="1209"/>
      <c r="J210" s="1235"/>
    </row>
    <row r="211" spans="1:10" ht="10.5" customHeight="1" outlineLevel="1">
      <c r="A211" s="1209" t="s">
        <v>158</v>
      </c>
      <c r="B211" s="1230" t="s">
        <v>339</v>
      </c>
      <c r="E211" s="1260">
        <f>E208/E34*E37</f>
        <v>101.3</v>
      </c>
      <c r="F211" s="1243">
        <f>(E211/E197-1)*100</f>
        <v>0.29615349895022458</v>
      </c>
      <c r="G211" s="1244" t="s">
        <v>156</v>
      </c>
      <c r="I211" s="1209"/>
      <c r="J211" s="1235"/>
    </row>
    <row r="212" spans="1:10" ht="10.5" customHeight="1" outlineLevel="1">
      <c r="A212" s="1209"/>
      <c r="B212" s="1230" t="s">
        <v>340</v>
      </c>
      <c r="E212" s="1260">
        <f t="shared" ref="E212:E221" si="20">E211/E37*E38</f>
        <v>101.3</v>
      </c>
      <c r="F212" s="1243">
        <f t="shared" ref="F212:F222" si="21">(E212/E198-1)*100</f>
        <v>0.19782393669633969</v>
      </c>
      <c r="G212" s="1228"/>
      <c r="I212" s="1209"/>
      <c r="J212" s="1235"/>
    </row>
    <row r="213" spans="1:10" ht="10.5" customHeight="1" outlineLevel="1">
      <c r="A213" s="1209"/>
      <c r="B213" s="1230" t="s">
        <v>341</v>
      </c>
      <c r="E213" s="1260">
        <f t="shared" si="20"/>
        <v>101.1007866273353</v>
      </c>
      <c r="F213" s="1243">
        <f t="shared" si="21"/>
        <v>-9.7165886432382109E-2</v>
      </c>
      <c r="G213" s="1228"/>
      <c r="I213" s="1209"/>
      <c r="J213" s="1235"/>
    </row>
    <row r="214" spans="1:10" ht="10.5" customHeight="1" outlineLevel="1">
      <c r="A214" s="1209" t="s">
        <v>159</v>
      </c>
      <c r="B214" s="1235" t="s">
        <v>342</v>
      </c>
      <c r="E214" s="1260">
        <f t="shared" si="20"/>
        <v>101.1007866273353</v>
      </c>
      <c r="F214" s="1243">
        <f t="shared" si="21"/>
        <v>-9.7165886432382109E-2</v>
      </c>
      <c r="G214" s="1228"/>
      <c r="I214" s="1209"/>
      <c r="J214" s="1235"/>
    </row>
    <row r="215" spans="1:10" ht="10.5" customHeight="1" outlineLevel="1">
      <c r="A215" s="1209"/>
      <c r="B215" s="1235" t="s">
        <v>343</v>
      </c>
      <c r="E215" s="1260">
        <f t="shared" si="20"/>
        <v>101.1007866273353</v>
      </c>
      <c r="F215" s="1243">
        <f t="shared" si="21"/>
        <v>0.19724325142684851</v>
      </c>
      <c r="G215" s="1228"/>
      <c r="I215" s="1209"/>
      <c r="J215" s="1235"/>
    </row>
    <row r="216" spans="1:10" ht="10.5" customHeight="1" outlineLevel="1">
      <c r="A216" s="1209"/>
      <c r="B216" s="1235" t="s">
        <v>344</v>
      </c>
      <c r="E216" s="1260">
        <f t="shared" si="20"/>
        <v>101.1007866273353</v>
      </c>
      <c r="F216" s="1243">
        <f t="shared" si="21"/>
        <v>0.19724325142684851</v>
      </c>
      <c r="G216" s="1228"/>
      <c r="I216" s="1209"/>
      <c r="J216" s="1235"/>
    </row>
    <row r="217" spans="1:10" ht="10.5" customHeight="1" outlineLevel="1">
      <c r="A217" s="1209" t="s">
        <v>160</v>
      </c>
      <c r="B217" s="1235" t="s">
        <v>345</v>
      </c>
      <c r="E217" s="1260">
        <f t="shared" si="20"/>
        <v>101.1007866273353</v>
      </c>
      <c r="F217" s="1243">
        <f t="shared" si="21"/>
        <v>0.19724325142684851</v>
      </c>
      <c r="G217" s="1228"/>
      <c r="I217" s="1209"/>
      <c r="J217" s="1235"/>
    </row>
    <row r="218" spans="1:10" ht="10.5" customHeight="1" outlineLevel="1">
      <c r="A218" s="1209"/>
      <c r="B218" s="1235" t="s">
        <v>346</v>
      </c>
      <c r="E218" s="1260">
        <f t="shared" si="20"/>
        <v>101.1007866273353</v>
      </c>
      <c r="F218" s="1243">
        <f t="shared" si="21"/>
        <v>0.19724325142684851</v>
      </c>
      <c r="I218" s="1209"/>
      <c r="J218" s="1235"/>
    </row>
    <row r="219" spans="1:10" ht="10.5" customHeight="1" outlineLevel="1">
      <c r="A219" s="1209"/>
      <c r="B219" s="1235" t="s">
        <v>347</v>
      </c>
      <c r="E219" s="1260">
        <f t="shared" si="20"/>
        <v>101.3</v>
      </c>
      <c r="F219" s="1243">
        <f t="shared" si="21"/>
        <v>0.39467624305526972</v>
      </c>
      <c r="I219" s="1209"/>
      <c r="J219" s="1209"/>
    </row>
    <row r="220" spans="1:10" ht="10.5" customHeight="1" outlineLevel="1">
      <c r="A220" s="1209" t="s">
        <v>161</v>
      </c>
      <c r="B220" s="1235" t="s">
        <v>348</v>
      </c>
      <c r="E220" s="1260">
        <f t="shared" si="20"/>
        <v>101.3</v>
      </c>
      <c r="F220" s="1243">
        <f t="shared" si="21"/>
        <v>0.29615349895022458</v>
      </c>
      <c r="I220" s="1209"/>
      <c r="J220" s="1214"/>
    </row>
    <row r="221" spans="1:10" ht="10.5" customHeight="1" outlineLevel="1">
      <c r="A221" s="1209"/>
      <c r="B221" s="1235" t="s">
        <v>349</v>
      </c>
      <c r="E221" s="1260">
        <f t="shared" si="20"/>
        <v>101.3</v>
      </c>
      <c r="F221" s="1243">
        <f t="shared" si="21"/>
        <v>0.29615349895022458</v>
      </c>
      <c r="I221" s="1209"/>
      <c r="J221" s="1230"/>
    </row>
    <row r="222" spans="1:10" ht="10.5" customHeight="1" outlineLevel="1">
      <c r="A222" s="1209"/>
      <c r="B222" s="1235" t="s">
        <v>350</v>
      </c>
      <c r="E222" s="1225">
        <v>101.4</v>
      </c>
      <c r="F222" s="1243">
        <f t="shared" si="21"/>
        <v>9.8716683119448589E-2</v>
      </c>
      <c r="I222" s="1209"/>
      <c r="J222" s="1230"/>
    </row>
    <row r="223" spans="1:10" ht="10.5" customHeight="1" outlineLevel="1">
      <c r="A223" s="1209"/>
      <c r="B223" s="1235"/>
      <c r="E223" s="1225"/>
      <c r="F223" s="1231"/>
      <c r="G223" s="1228"/>
      <c r="I223" s="1209"/>
      <c r="J223" s="1230"/>
    </row>
    <row r="224" spans="1:10" ht="10.5" customHeight="1" outlineLevel="1">
      <c r="A224" s="1209"/>
      <c r="B224" s="1214">
        <f>B210+1</f>
        <v>2006</v>
      </c>
      <c r="E224" s="1225"/>
      <c r="F224" s="1223"/>
      <c r="I224" s="1209"/>
      <c r="J224" s="1235"/>
    </row>
    <row r="225" spans="1:10" ht="10.5" customHeight="1" outlineLevel="1">
      <c r="A225" s="1209" t="s">
        <v>158</v>
      </c>
      <c r="B225" s="1230" t="s">
        <v>339</v>
      </c>
      <c r="E225" s="1260">
        <f>E222/E48*E51</f>
        <v>101.4</v>
      </c>
      <c r="F225" s="1243">
        <f>(E225/E211-1)*100</f>
        <v>9.8716683119448589E-2</v>
      </c>
      <c r="G225" s="1244" t="s">
        <v>156</v>
      </c>
      <c r="I225" s="1209"/>
      <c r="J225" s="1235"/>
    </row>
    <row r="226" spans="1:10" ht="10.5" customHeight="1" outlineLevel="1">
      <c r="A226" s="1209"/>
      <c r="B226" s="1230" t="s">
        <v>340</v>
      </c>
      <c r="E226" s="1260">
        <f t="shared" ref="E226:E235" si="22">E225/E51*E52</f>
        <v>101.4</v>
      </c>
      <c r="F226" s="1243">
        <f t="shared" ref="F226:F236" si="23">(E226/E212-1)*100</f>
        <v>9.8716683119448589E-2</v>
      </c>
      <c r="G226" s="1228"/>
      <c r="I226" s="1209"/>
      <c r="J226" s="1235"/>
    </row>
    <row r="227" spans="1:10" ht="10.5" customHeight="1" outlineLevel="1">
      <c r="A227" s="1209"/>
      <c r="B227" s="1230" t="s">
        <v>341</v>
      </c>
      <c r="E227" s="1260">
        <f t="shared" si="22"/>
        <v>101.59901864573112</v>
      </c>
      <c r="F227" s="1243">
        <f t="shared" si="23"/>
        <v>0.49280726195766178</v>
      </c>
      <c r="G227" s="1228"/>
      <c r="I227" s="1209"/>
      <c r="J227" s="1235"/>
    </row>
    <row r="228" spans="1:10" ht="10.5" customHeight="1" outlineLevel="1">
      <c r="A228" s="1209" t="s">
        <v>159</v>
      </c>
      <c r="B228" s="1235" t="s">
        <v>342</v>
      </c>
      <c r="E228" s="1260">
        <f t="shared" si="22"/>
        <v>101.59901864573112</v>
      </c>
      <c r="F228" s="1243">
        <f t="shared" si="23"/>
        <v>0.49280726195766178</v>
      </c>
      <c r="G228" s="1228"/>
      <c r="I228" s="1209"/>
      <c r="J228" s="1235"/>
    </row>
    <row r="229" spans="1:10" ht="10.5" customHeight="1" outlineLevel="1">
      <c r="A229" s="1209"/>
      <c r="B229" s="1235" t="s">
        <v>343</v>
      </c>
      <c r="E229" s="1260">
        <f t="shared" si="22"/>
        <v>101.59901864573112</v>
      </c>
      <c r="F229" s="1243">
        <f t="shared" si="23"/>
        <v>0.49280726195766178</v>
      </c>
      <c r="G229" s="1228"/>
      <c r="I229" s="1209"/>
      <c r="J229" s="1235"/>
    </row>
    <row r="230" spans="1:10" ht="10.5" customHeight="1" outlineLevel="1">
      <c r="A230" s="1209"/>
      <c r="B230" s="1235" t="s">
        <v>344</v>
      </c>
      <c r="E230" s="1260">
        <f t="shared" si="22"/>
        <v>101.59901864573112</v>
      </c>
      <c r="F230" s="1243">
        <f t="shared" si="23"/>
        <v>0.49280726195766178</v>
      </c>
      <c r="G230" s="1228"/>
      <c r="I230" s="1209"/>
      <c r="J230" s="1235"/>
    </row>
    <row r="231" spans="1:10" ht="10.5" customHeight="1" outlineLevel="1">
      <c r="A231" s="1209" t="s">
        <v>160</v>
      </c>
      <c r="B231" s="1235" t="s">
        <v>345</v>
      </c>
      <c r="E231" s="1260">
        <f t="shared" si="22"/>
        <v>101.59901864573112</v>
      </c>
      <c r="F231" s="1243">
        <f t="shared" si="23"/>
        <v>0.49280726195766178</v>
      </c>
      <c r="G231" s="1228"/>
      <c r="I231" s="1209"/>
      <c r="J231" s="1235"/>
    </row>
    <row r="232" spans="1:10" ht="10.5" customHeight="1" outlineLevel="1">
      <c r="A232" s="1209"/>
      <c r="B232" s="1235" t="s">
        <v>346</v>
      </c>
      <c r="E232" s="1260">
        <f t="shared" si="22"/>
        <v>101.59901864573112</v>
      </c>
      <c r="F232" s="1243">
        <f t="shared" si="23"/>
        <v>0.49280726195766178</v>
      </c>
      <c r="I232" s="1209"/>
      <c r="J232" s="1235"/>
    </row>
    <row r="233" spans="1:10" ht="10.5" customHeight="1" outlineLevel="1">
      <c r="A233" s="1209"/>
      <c r="B233" s="1235" t="s">
        <v>347</v>
      </c>
      <c r="E233" s="1260">
        <f t="shared" si="22"/>
        <v>103.19116781157999</v>
      </c>
      <c r="F233" s="1243">
        <f t="shared" si="23"/>
        <v>1.8668981358143988</v>
      </c>
      <c r="I233" s="1209"/>
      <c r="J233" s="1209"/>
    </row>
    <row r="234" spans="1:10" ht="10.5" customHeight="1" outlineLevel="1">
      <c r="A234" s="1209" t="s">
        <v>161</v>
      </c>
      <c r="B234" s="1235" t="s">
        <v>348</v>
      </c>
      <c r="E234" s="1260">
        <f t="shared" si="22"/>
        <v>103.19116781157999</v>
      </c>
      <c r="F234" s="1243">
        <f t="shared" si="23"/>
        <v>1.8668981358143988</v>
      </c>
      <c r="I234" s="1209"/>
      <c r="J234" s="1249"/>
    </row>
    <row r="235" spans="1:10" ht="10.5" customHeight="1" outlineLevel="1">
      <c r="A235" s="1209"/>
      <c r="B235" s="1235" t="s">
        <v>349</v>
      </c>
      <c r="E235" s="1260">
        <f t="shared" si="22"/>
        <v>103.19116781157999</v>
      </c>
      <c r="F235" s="1243">
        <f t="shared" si="23"/>
        <v>1.8668981358143988</v>
      </c>
      <c r="I235" s="1209"/>
      <c r="J235" s="1230"/>
    </row>
    <row r="236" spans="1:10" ht="10.5" customHeight="1" outlineLevel="1">
      <c r="A236" s="1209"/>
      <c r="B236" s="1235" t="s">
        <v>350</v>
      </c>
      <c r="E236" s="1225">
        <v>103.1</v>
      </c>
      <c r="F236" s="1243">
        <f t="shared" si="23"/>
        <v>1.6765285996055201</v>
      </c>
      <c r="I236" s="1209"/>
      <c r="J236" s="1230"/>
    </row>
    <row r="237" spans="1:10" ht="10.5" customHeight="1" outlineLevel="1">
      <c r="A237" s="1209"/>
      <c r="B237" s="1209"/>
      <c r="E237" s="1225"/>
      <c r="F237" s="1231"/>
      <c r="I237" s="1209"/>
      <c r="J237" s="1230"/>
    </row>
    <row r="238" spans="1:10" ht="10.5" customHeight="1" outlineLevel="1">
      <c r="A238" s="1209"/>
      <c r="B238" s="1214">
        <f>B224+1</f>
        <v>2007</v>
      </c>
      <c r="E238" s="1225"/>
      <c r="F238" s="1231"/>
      <c r="I238" s="1209"/>
      <c r="J238" s="1235"/>
    </row>
    <row r="239" spans="1:10" ht="10.5" customHeight="1" outlineLevel="1">
      <c r="A239" s="1209" t="s">
        <v>158</v>
      </c>
      <c r="B239" s="1230" t="s">
        <v>339</v>
      </c>
      <c r="E239" s="1260">
        <f>E236/E62*E65</f>
        <v>103.1</v>
      </c>
      <c r="F239" s="1243">
        <f>(E239/E225-1)*100</f>
        <v>1.6765285996055201</v>
      </c>
      <c r="G239" s="1244" t="s">
        <v>156</v>
      </c>
      <c r="I239" s="1209"/>
      <c r="J239" s="1235"/>
    </row>
    <row r="240" spans="1:10" ht="10.5" customHeight="1" outlineLevel="1">
      <c r="A240" s="1209"/>
      <c r="B240" s="1230" t="s">
        <v>340</v>
      </c>
      <c r="E240" s="1260">
        <f t="shared" ref="E240:E249" si="24">E239/E65*E66</f>
        <v>103.69883833494676</v>
      </c>
      <c r="F240" s="1243">
        <f t="shared" ref="F240:F250" si="25">(E240/E226-1)*100</f>
        <v>2.2670989496516247</v>
      </c>
      <c r="G240" s="1228"/>
      <c r="I240" s="1209"/>
      <c r="J240" s="1235"/>
    </row>
    <row r="241" spans="1:10" ht="10.5" customHeight="1" outlineLevel="1">
      <c r="A241" s="1209"/>
      <c r="B241" s="1230" t="s">
        <v>341</v>
      </c>
      <c r="E241" s="1260">
        <f t="shared" si="24"/>
        <v>103.69883833494676</v>
      </c>
      <c r="F241" s="1243">
        <f t="shared" si="25"/>
        <v>2.0667716255582835</v>
      </c>
      <c r="G241" s="1228"/>
      <c r="I241" s="1209"/>
      <c r="J241" s="1235"/>
    </row>
    <row r="242" spans="1:10" ht="10.5" customHeight="1" outlineLevel="1">
      <c r="A242" s="1209" t="s">
        <v>159</v>
      </c>
      <c r="B242" s="1235" t="s">
        <v>342</v>
      </c>
      <c r="E242" s="1260">
        <f t="shared" si="24"/>
        <v>103.79864472410455</v>
      </c>
      <c r="F242" s="1243">
        <f t="shared" si="25"/>
        <v>2.1650072094134831</v>
      </c>
      <c r="G242" s="1228"/>
      <c r="I242" s="1209"/>
      <c r="J242" s="1235"/>
    </row>
    <row r="243" spans="1:10" ht="10.5" customHeight="1" outlineLevel="1">
      <c r="A243" s="1209"/>
      <c r="B243" s="1235" t="s">
        <v>343</v>
      </c>
      <c r="E243" s="1260">
        <f t="shared" si="24"/>
        <v>103.79864472410455</v>
      </c>
      <c r="F243" s="1243">
        <f t="shared" si="25"/>
        <v>2.1650072094134831</v>
      </c>
      <c r="G243" s="1228"/>
      <c r="I243" s="1209"/>
      <c r="J243" s="1209"/>
    </row>
    <row r="244" spans="1:10" ht="10.5" customHeight="1" outlineLevel="1">
      <c r="A244" s="1209"/>
      <c r="B244" s="1235" t="s">
        <v>344</v>
      </c>
      <c r="E244" s="1260">
        <f t="shared" si="24"/>
        <v>104.59709583736688</v>
      </c>
      <c r="F244" s="1243">
        <f t="shared" si="25"/>
        <v>2.9508918802551243</v>
      </c>
      <c r="G244" s="1228"/>
      <c r="I244" s="1209"/>
      <c r="J244" s="1209"/>
    </row>
    <row r="245" spans="1:10" ht="10.5" customHeight="1" outlineLevel="1">
      <c r="A245" s="1209" t="s">
        <v>160</v>
      </c>
      <c r="B245" s="1235" t="s">
        <v>345</v>
      </c>
      <c r="E245" s="1260">
        <f t="shared" si="24"/>
        <v>104.59709583736688</v>
      </c>
      <c r="F245" s="1243">
        <f t="shared" si="25"/>
        <v>2.9508918802551243</v>
      </c>
      <c r="G245" s="1228"/>
      <c r="I245" s="1218"/>
      <c r="J245" s="1218"/>
    </row>
    <row r="246" spans="1:10" ht="10.5" customHeight="1" outlineLevel="1">
      <c r="A246" s="1209"/>
      <c r="B246" s="1235" t="s">
        <v>346</v>
      </c>
      <c r="E246" s="1260">
        <f t="shared" si="24"/>
        <v>106.19399806389157</v>
      </c>
      <c r="F246" s="1243">
        <f t="shared" si="25"/>
        <v>4.5226612219384066</v>
      </c>
      <c r="I246" s="1209"/>
      <c r="J246" s="1214"/>
    </row>
    <row r="247" spans="1:10" ht="10.5" customHeight="1" outlineLevel="1">
      <c r="A247" s="1209"/>
      <c r="B247" s="1235" t="s">
        <v>347</v>
      </c>
      <c r="E247" s="1260">
        <f t="shared" si="24"/>
        <v>106.49341723136494</v>
      </c>
      <c r="F247" s="1243">
        <f t="shared" si="25"/>
        <v>3.2001279661982629</v>
      </c>
      <c r="I247" s="1209"/>
      <c r="J247" s="1230"/>
    </row>
    <row r="248" spans="1:10" ht="10.5" customHeight="1" outlineLevel="1">
      <c r="A248" s="1209" t="s">
        <v>161</v>
      </c>
      <c r="B248" s="1235" t="s">
        <v>348</v>
      </c>
      <c r="E248" s="1260">
        <f t="shared" si="24"/>
        <v>106.49341723136494</v>
      </c>
      <c r="F248" s="1243">
        <f t="shared" si="25"/>
        <v>3.2001279661982629</v>
      </c>
      <c r="I248" s="1209"/>
      <c r="J248" s="1230"/>
    </row>
    <row r="249" spans="1:10" ht="10.5" customHeight="1" outlineLevel="1">
      <c r="A249" s="1209"/>
      <c r="B249" s="1235" t="s">
        <v>349</v>
      </c>
      <c r="E249" s="1260">
        <f t="shared" si="24"/>
        <v>106.49341723136494</v>
      </c>
      <c r="F249" s="1243">
        <f t="shared" si="25"/>
        <v>3.2001279661982629</v>
      </c>
      <c r="I249" s="1209"/>
      <c r="J249" s="1230"/>
    </row>
    <row r="250" spans="1:10" ht="10.5" customHeight="1" outlineLevel="1">
      <c r="A250" s="1209"/>
      <c r="B250" s="1235" t="s">
        <v>350</v>
      </c>
      <c r="E250" s="1225">
        <v>106.6</v>
      </c>
      <c r="F250" s="1243">
        <f t="shared" si="25"/>
        <v>3.3947623666343407</v>
      </c>
      <c r="I250" s="1209"/>
      <c r="J250" s="1235"/>
    </row>
    <row r="251" spans="1:10" ht="10.5" customHeight="1" outlineLevel="1">
      <c r="A251" s="1209"/>
      <c r="B251" s="1209"/>
      <c r="E251" s="1225"/>
      <c r="I251" s="1209"/>
      <c r="J251" s="1235"/>
    </row>
    <row r="252" spans="1:10" ht="10.5" customHeight="1" outlineLevel="1">
      <c r="A252" s="1209"/>
      <c r="B252" s="1214">
        <f>B238+1</f>
        <v>2008</v>
      </c>
      <c r="E252" s="1225"/>
      <c r="I252" s="1209"/>
      <c r="J252" s="1235"/>
    </row>
    <row r="253" spans="1:10" ht="10.5" customHeight="1" outlineLevel="1">
      <c r="A253" s="1209" t="s">
        <v>158</v>
      </c>
      <c r="B253" s="1230" t="s">
        <v>339</v>
      </c>
      <c r="E253" s="1260">
        <f>E250/E76*E79</f>
        <v>106.6</v>
      </c>
      <c r="F253" s="1243">
        <f>(E253/E239-1)*100</f>
        <v>3.3947623666343407</v>
      </c>
      <c r="G253" s="1244" t="s">
        <v>156</v>
      </c>
      <c r="I253" s="1209"/>
      <c r="J253" s="1235"/>
    </row>
    <row r="254" spans="1:10" ht="10.5" customHeight="1" outlineLevel="1">
      <c r="A254" s="1209"/>
      <c r="B254" s="1230" t="s">
        <v>340</v>
      </c>
      <c r="E254" s="1260">
        <f t="shared" ref="E254:E263" si="26">E253/E79*E80</f>
        <v>107.19943767572633</v>
      </c>
      <c r="F254" s="1243">
        <f t="shared" ref="F254:F264" si="27">(E254/E240-1)*100</f>
        <v>3.3757363119851558</v>
      </c>
      <c r="G254" s="1228"/>
      <c r="I254" s="1209"/>
      <c r="J254" s="1235"/>
    </row>
    <row r="255" spans="1:10" ht="10.5" customHeight="1" outlineLevel="1">
      <c r="A255" s="1209"/>
      <c r="B255" s="1230" t="s">
        <v>341</v>
      </c>
      <c r="E255" s="1260">
        <f t="shared" si="26"/>
        <v>107.69896907216494</v>
      </c>
      <c r="F255" s="1243">
        <f t="shared" si="27"/>
        <v>3.8574499015097796</v>
      </c>
      <c r="G255" s="1228"/>
      <c r="I255" s="1209"/>
      <c r="J255" s="1235"/>
    </row>
    <row r="256" spans="1:10" ht="10.5" customHeight="1" outlineLevel="1">
      <c r="A256" s="1209" t="s">
        <v>159</v>
      </c>
      <c r="B256" s="1235" t="s">
        <v>342</v>
      </c>
      <c r="E256" s="1260">
        <f t="shared" si="26"/>
        <v>107.29934395501405</v>
      </c>
      <c r="F256" s="1243">
        <f t="shared" si="27"/>
        <v>3.3725866462074983</v>
      </c>
      <c r="G256" s="1228"/>
      <c r="I256" s="1209"/>
      <c r="J256" s="1235"/>
    </row>
    <row r="257" spans="1:10" ht="10.5" customHeight="1" outlineLevel="1">
      <c r="A257" s="1209"/>
      <c r="B257" s="1235" t="s">
        <v>343</v>
      </c>
      <c r="E257" s="1260">
        <f t="shared" si="26"/>
        <v>107.29934395501405</v>
      </c>
      <c r="F257" s="1243">
        <f t="shared" si="27"/>
        <v>3.3725866462074983</v>
      </c>
      <c r="G257" s="1228"/>
      <c r="I257" s="1209"/>
      <c r="J257" s="1235"/>
    </row>
    <row r="258" spans="1:10" ht="10.5" customHeight="1" outlineLevel="1">
      <c r="A258" s="1209"/>
      <c r="B258" s="1235" t="s">
        <v>344</v>
      </c>
      <c r="E258" s="1260">
        <f t="shared" si="26"/>
        <v>108.19850046860356</v>
      </c>
      <c r="F258" s="1243">
        <f t="shared" si="27"/>
        <v>3.4431210564739967</v>
      </c>
      <c r="G258" s="1228"/>
      <c r="I258" s="1209"/>
      <c r="J258" s="1235"/>
    </row>
    <row r="259" spans="1:10" ht="10.5" customHeight="1" outlineLevel="1">
      <c r="A259" s="1209" t="s">
        <v>160</v>
      </c>
      <c r="B259" s="1235" t="s">
        <v>345</v>
      </c>
      <c r="E259" s="1260">
        <f t="shared" si="26"/>
        <v>108.19850046860356</v>
      </c>
      <c r="F259" s="1243">
        <f t="shared" si="27"/>
        <v>3.4431210564739967</v>
      </c>
      <c r="G259" s="1228"/>
      <c r="I259" s="1209"/>
      <c r="J259" s="1235"/>
    </row>
    <row r="260" spans="1:10" ht="10.5" customHeight="1" outlineLevel="1">
      <c r="A260" s="1209"/>
      <c r="B260" s="1235" t="s">
        <v>346</v>
      </c>
      <c r="E260" s="1260">
        <f t="shared" si="26"/>
        <v>109.19756326148078</v>
      </c>
      <c r="F260" s="1243">
        <f t="shared" si="27"/>
        <v>2.8283756637377255</v>
      </c>
      <c r="I260" s="1209"/>
      <c r="J260" s="1214"/>
    </row>
    <row r="261" spans="1:10" ht="10.5" customHeight="1" outlineLevel="1">
      <c r="A261" s="1209"/>
      <c r="B261" s="1235" t="s">
        <v>347</v>
      </c>
      <c r="E261" s="1260">
        <f t="shared" si="26"/>
        <v>109.19756326148078</v>
      </c>
      <c r="F261" s="1243">
        <f t="shared" si="27"/>
        <v>2.5392612054516706</v>
      </c>
      <c r="I261" s="1209"/>
      <c r="J261" s="1230"/>
    </row>
    <row r="262" spans="1:10" ht="10.5" customHeight="1" outlineLevel="1">
      <c r="A262" s="1209" t="s">
        <v>161</v>
      </c>
      <c r="B262" s="1235" t="s">
        <v>348</v>
      </c>
      <c r="E262" s="1260">
        <f t="shared" si="26"/>
        <v>109.19756326148078</v>
      </c>
      <c r="F262" s="1243">
        <f t="shared" si="27"/>
        <v>2.5392612054516706</v>
      </c>
      <c r="I262" s="1209"/>
      <c r="J262" s="1230"/>
    </row>
    <row r="263" spans="1:10" ht="10.5" customHeight="1" outlineLevel="1">
      <c r="A263" s="1209"/>
      <c r="B263" s="1235" t="s">
        <v>349</v>
      </c>
      <c r="E263" s="1260">
        <f t="shared" si="26"/>
        <v>109.19756326148078</v>
      </c>
      <c r="F263" s="1243">
        <f t="shared" si="27"/>
        <v>2.5392612054516706</v>
      </c>
      <c r="I263" s="1209"/>
      <c r="J263" s="1230"/>
    </row>
    <row r="264" spans="1:10" ht="10.5" customHeight="1" outlineLevel="1">
      <c r="A264" s="1209"/>
      <c r="B264" s="1235" t="s">
        <v>350</v>
      </c>
      <c r="E264" s="1225">
        <v>109.9</v>
      </c>
      <c r="F264" s="1243">
        <f t="shared" si="27"/>
        <v>3.0956848030018858</v>
      </c>
      <c r="I264" s="1209"/>
      <c r="J264" s="1235"/>
    </row>
    <row r="265" spans="1:10" ht="10.5" customHeight="1" outlineLevel="1">
      <c r="A265" s="1209"/>
      <c r="B265" s="1209"/>
      <c r="E265" s="1225"/>
      <c r="I265" s="1209"/>
      <c r="J265" s="1235"/>
    </row>
    <row r="266" spans="1:10" ht="10.5" customHeight="1" outlineLevel="1">
      <c r="A266" s="1209"/>
      <c r="B266" s="1214">
        <f>B252+1</f>
        <v>2009</v>
      </c>
      <c r="E266" s="1225"/>
      <c r="I266" s="1209"/>
      <c r="J266" s="1235"/>
    </row>
    <row r="267" spans="1:10" ht="10.5" customHeight="1" outlineLevel="1">
      <c r="A267" s="1209" t="s">
        <v>158</v>
      </c>
      <c r="B267" s="1230" t="s">
        <v>339</v>
      </c>
      <c r="E267" s="1260">
        <f>E264/E90*E93</f>
        <v>109.9</v>
      </c>
      <c r="F267" s="1243">
        <f>(E267/E253-1)*100</f>
        <v>3.0956848030018858</v>
      </c>
      <c r="G267" s="1244" t="s">
        <v>156</v>
      </c>
      <c r="I267" s="1209"/>
      <c r="J267" s="1235"/>
    </row>
    <row r="268" spans="1:10" ht="10.5" customHeight="1" outlineLevel="1">
      <c r="A268" s="1209"/>
      <c r="B268" s="1230" t="s">
        <v>340</v>
      </c>
      <c r="E268" s="1260">
        <f t="shared" ref="E268:E277" si="28">E267/E93*E94</f>
        <v>110.70439158279964</v>
      </c>
      <c r="F268" s="1243">
        <f t="shared" ref="F268:F278" si="29">(E268/E254-1)*100</f>
        <v>3.269563705805667</v>
      </c>
      <c r="G268" s="1228"/>
      <c r="I268" s="1209"/>
      <c r="J268" s="1235"/>
    </row>
    <row r="269" spans="1:10" ht="10.5" customHeight="1" outlineLevel="1">
      <c r="A269" s="1209"/>
      <c r="B269" s="1230" t="s">
        <v>341</v>
      </c>
      <c r="E269" s="1260">
        <f t="shared" si="28"/>
        <v>110.70439158279964</v>
      </c>
      <c r="F269" s="1243">
        <f t="shared" si="29"/>
        <v>2.7905768611590664</v>
      </c>
      <c r="G269" s="1228"/>
      <c r="I269" s="1209"/>
      <c r="J269" s="1235"/>
    </row>
    <row r="270" spans="1:10" ht="10.5" customHeight="1" outlineLevel="1">
      <c r="A270" s="1209" t="s">
        <v>159</v>
      </c>
      <c r="B270" s="1235" t="s">
        <v>342</v>
      </c>
      <c r="E270" s="1260">
        <f t="shared" si="28"/>
        <v>110.70439158279964</v>
      </c>
      <c r="F270" s="1243">
        <f t="shared" si="29"/>
        <v>3.1734095496550152</v>
      </c>
      <c r="G270" s="1228"/>
      <c r="I270" s="1209"/>
      <c r="J270" s="1235"/>
    </row>
    <row r="271" spans="1:10" ht="10.5" customHeight="1" outlineLevel="1">
      <c r="A271" s="1209"/>
      <c r="B271" s="1235" t="s">
        <v>343</v>
      </c>
      <c r="E271" s="1260">
        <f t="shared" si="28"/>
        <v>110.70439158279964</v>
      </c>
      <c r="F271" s="1243">
        <f t="shared" si="29"/>
        <v>3.1734095496550152</v>
      </c>
      <c r="G271" s="1228"/>
      <c r="I271" s="1209"/>
      <c r="J271" s="1235"/>
    </row>
    <row r="272" spans="1:10" ht="10.5" customHeight="1" outlineLevel="1">
      <c r="A272" s="1209"/>
      <c r="B272" s="1235" t="s">
        <v>344</v>
      </c>
      <c r="E272" s="1260">
        <f t="shared" si="28"/>
        <v>111.20713632204941</v>
      </c>
      <c r="F272" s="1243">
        <f t="shared" si="29"/>
        <v>2.7806631703910512</v>
      </c>
      <c r="G272" s="1228"/>
      <c r="I272" s="1209"/>
      <c r="J272" s="1235"/>
    </row>
    <row r="273" spans="1:10" ht="10.5" customHeight="1" outlineLevel="1">
      <c r="A273" s="1209" t="s">
        <v>160</v>
      </c>
      <c r="B273" s="1235" t="s">
        <v>345</v>
      </c>
      <c r="E273" s="1260">
        <f t="shared" si="28"/>
        <v>111.20713632204941</v>
      </c>
      <c r="F273" s="1243">
        <f t="shared" si="29"/>
        <v>2.7806631703910512</v>
      </c>
      <c r="G273" s="1228"/>
      <c r="I273" s="1209"/>
      <c r="J273" s="1235"/>
    </row>
    <row r="274" spans="1:10" ht="10.5" customHeight="1" outlineLevel="1">
      <c r="A274" s="1209"/>
      <c r="B274" s="1235" t="s">
        <v>346</v>
      </c>
      <c r="E274" s="1260">
        <f t="shared" si="28"/>
        <v>111.50878316559927</v>
      </c>
      <c r="F274" s="1243">
        <f t="shared" si="29"/>
        <v>2.1165489733357079</v>
      </c>
      <c r="I274" s="1209"/>
      <c r="J274" s="1214"/>
    </row>
    <row r="275" spans="1:10" ht="10.5" customHeight="1" outlineLevel="1">
      <c r="A275" s="1209"/>
      <c r="B275" s="1235" t="s">
        <v>347</v>
      </c>
      <c r="E275" s="1260">
        <f t="shared" si="28"/>
        <v>111.50878316559927</v>
      </c>
      <c r="F275" s="1243">
        <f t="shared" si="29"/>
        <v>2.1165489733357079</v>
      </c>
      <c r="I275" s="1209"/>
      <c r="J275" s="1230"/>
    </row>
    <row r="276" spans="1:10" ht="10.5" customHeight="1" outlineLevel="1">
      <c r="A276" s="1209" t="s">
        <v>161</v>
      </c>
      <c r="B276" s="1235" t="s">
        <v>348</v>
      </c>
      <c r="E276" s="1260">
        <f t="shared" si="28"/>
        <v>111.50878316559927</v>
      </c>
      <c r="F276" s="1243">
        <f t="shared" si="29"/>
        <v>2.1165489733357079</v>
      </c>
      <c r="I276" s="1209"/>
      <c r="J276" s="1230"/>
    </row>
    <row r="277" spans="1:10" ht="10.5" customHeight="1" outlineLevel="1">
      <c r="A277" s="1209"/>
      <c r="B277" s="1235" t="s">
        <v>349</v>
      </c>
      <c r="E277" s="1260">
        <f t="shared" si="28"/>
        <v>111.50878316559927</v>
      </c>
      <c r="F277" s="1243">
        <f t="shared" si="29"/>
        <v>2.1165489733357079</v>
      </c>
      <c r="I277" s="1209"/>
      <c r="J277" s="1230"/>
    </row>
    <row r="278" spans="1:10" ht="10.5" customHeight="1" outlineLevel="1">
      <c r="A278" s="1209"/>
      <c r="B278" s="1235" t="s">
        <v>350</v>
      </c>
      <c r="E278" s="1225">
        <v>111.7</v>
      </c>
      <c r="F278" s="1243">
        <f t="shared" si="29"/>
        <v>1.6378525932666088</v>
      </c>
      <c r="I278" s="1209"/>
      <c r="J278" s="1235"/>
    </row>
    <row r="279" spans="1:10" ht="10.5" customHeight="1" outlineLevel="1">
      <c r="A279" s="1209"/>
      <c r="B279" s="1209"/>
      <c r="E279" s="1225"/>
      <c r="I279" s="1209"/>
      <c r="J279" s="1235"/>
    </row>
    <row r="280" spans="1:10" ht="10.5" customHeight="1" outlineLevel="1">
      <c r="A280" s="1209"/>
      <c r="B280" s="1214">
        <f>B266+1</f>
        <v>2010</v>
      </c>
      <c r="E280" s="1225"/>
      <c r="I280" s="1209"/>
      <c r="J280" s="1235"/>
    </row>
    <row r="281" spans="1:10" ht="10.5" customHeight="1" outlineLevel="1">
      <c r="A281" s="1209" t="s">
        <v>158</v>
      </c>
      <c r="B281" s="1230" t="s">
        <v>339</v>
      </c>
      <c r="E281" s="1260">
        <f>E278/E104*E107</f>
        <v>111.7</v>
      </c>
      <c r="F281" s="1243">
        <f>(E281/E267-1)*100</f>
        <v>1.6378525932666088</v>
      </c>
      <c r="G281" s="1244" t="s">
        <v>156</v>
      </c>
      <c r="I281" s="1209"/>
      <c r="J281" s="1235"/>
    </row>
    <row r="282" spans="1:10" ht="10.5" customHeight="1" outlineLevel="1">
      <c r="A282" s="1209"/>
      <c r="B282" s="1230" t="s">
        <v>340</v>
      </c>
      <c r="E282" s="1260">
        <f t="shared" ref="E282:E291" si="30">E281/E107*E108</f>
        <v>111.90162454873646</v>
      </c>
      <c r="F282" s="1243">
        <f t="shared" ref="F282:F292" si="31">(E282/E268-1)*100</f>
        <v>1.0814683580473661</v>
      </c>
      <c r="G282" s="1228"/>
      <c r="I282" s="1209"/>
      <c r="J282" s="1235"/>
    </row>
    <row r="283" spans="1:10" ht="10.5" customHeight="1" outlineLevel="1">
      <c r="A283" s="1209"/>
      <c r="B283" s="1230" t="s">
        <v>341</v>
      </c>
      <c r="E283" s="1260">
        <f t="shared" si="30"/>
        <v>111.80081227436824</v>
      </c>
      <c r="F283" s="1243">
        <f t="shared" si="31"/>
        <v>0.99040397213920883</v>
      </c>
      <c r="G283" s="1228"/>
      <c r="I283" s="1209"/>
      <c r="J283" s="1235"/>
    </row>
    <row r="284" spans="1:10" ht="10.5" customHeight="1" outlineLevel="1">
      <c r="A284" s="1209" t="s">
        <v>159</v>
      </c>
      <c r="B284" s="1235" t="s">
        <v>342</v>
      </c>
      <c r="E284" s="1260">
        <f t="shared" si="30"/>
        <v>111.80081227436824</v>
      </c>
      <c r="F284" s="1243">
        <f t="shared" si="31"/>
        <v>0.99040397213920883</v>
      </c>
      <c r="G284" s="1228"/>
      <c r="I284" s="1209"/>
      <c r="J284" s="1235"/>
    </row>
    <row r="285" spans="1:10" ht="10.5" customHeight="1" outlineLevel="1">
      <c r="A285" s="1209"/>
      <c r="B285" s="1235" t="s">
        <v>343</v>
      </c>
      <c r="E285" s="1260">
        <f t="shared" si="30"/>
        <v>111.59918772563178</v>
      </c>
      <c r="F285" s="1243">
        <f t="shared" si="31"/>
        <v>0.80827520032291655</v>
      </c>
      <c r="G285" s="1228"/>
      <c r="I285" s="1209"/>
      <c r="J285" s="1235"/>
    </row>
    <row r="286" spans="1:10" ht="10.5" customHeight="1" outlineLevel="1">
      <c r="A286" s="1209"/>
      <c r="B286" s="1235" t="s">
        <v>344</v>
      </c>
      <c r="E286" s="1260">
        <f t="shared" si="30"/>
        <v>111.59918772563178</v>
      </c>
      <c r="F286" s="1243">
        <f t="shared" si="31"/>
        <v>0.35254158730155805</v>
      </c>
      <c r="G286" s="1228"/>
      <c r="I286" s="1209"/>
      <c r="J286" s="1235"/>
    </row>
    <row r="287" spans="1:10" ht="10.5" customHeight="1" outlineLevel="1">
      <c r="A287" s="1209" t="s">
        <v>160</v>
      </c>
      <c r="B287" s="1235" t="s">
        <v>345</v>
      </c>
      <c r="E287" s="1260">
        <f t="shared" si="30"/>
        <v>111.59918772563178</v>
      </c>
      <c r="F287" s="1243">
        <f t="shared" si="31"/>
        <v>0.35254158730155805</v>
      </c>
      <c r="G287" s="1228"/>
      <c r="I287" s="1209"/>
      <c r="J287" s="1235"/>
    </row>
    <row r="288" spans="1:10" ht="10.5" customHeight="1" outlineLevel="1">
      <c r="A288" s="1209"/>
      <c r="B288" s="1235" t="s">
        <v>346</v>
      </c>
      <c r="E288" s="1260">
        <f t="shared" si="30"/>
        <v>111.59918772563178</v>
      </c>
      <c r="F288" s="1243">
        <f t="shared" si="31"/>
        <v>8.1073936479292286E-2</v>
      </c>
      <c r="I288" s="1209"/>
      <c r="J288" s="1214"/>
    </row>
    <row r="289" spans="1:10" ht="10.5" customHeight="1" outlineLevel="1">
      <c r="A289" s="1209"/>
      <c r="B289" s="1235" t="s">
        <v>347</v>
      </c>
      <c r="E289" s="1260">
        <f t="shared" si="30"/>
        <v>111.59918772563178</v>
      </c>
      <c r="F289" s="1243">
        <f t="shared" si="31"/>
        <v>8.1073936479292286E-2</v>
      </c>
      <c r="I289" s="1209"/>
      <c r="J289" s="1230"/>
    </row>
    <row r="290" spans="1:10" ht="10.5" customHeight="1" outlineLevel="1">
      <c r="A290" s="1209" t="s">
        <v>161</v>
      </c>
      <c r="B290" s="1235" t="s">
        <v>348</v>
      </c>
      <c r="E290" s="1260">
        <f t="shared" si="30"/>
        <v>111.49837545126354</v>
      </c>
      <c r="F290" s="1243">
        <f t="shared" si="31"/>
        <v>-9.3335377180703283E-3</v>
      </c>
      <c r="I290" s="1209"/>
      <c r="J290" s="1230"/>
    </row>
    <row r="291" spans="1:10" ht="10.5" customHeight="1" outlineLevel="1">
      <c r="A291" s="1209"/>
      <c r="B291" s="1235" t="s">
        <v>349</v>
      </c>
      <c r="E291" s="1260">
        <f t="shared" si="30"/>
        <v>111.49837545126354</v>
      </c>
      <c r="F291" s="1243">
        <f t="shared" si="31"/>
        <v>-9.3335377180703283E-3</v>
      </c>
      <c r="I291" s="1209"/>
      <c r="J291" s="1230"/>
    </row>
    <row r="292" spans="1:10" ht="10.5" customHeight="1" outlineLevel="1">
      <c r="A292" s="1209"/>
      <c r="B292" s="1235" t="s">
        <v>350</v>
      </c>
      <c r="E292" s="1225">
        <v>111.6</v>
      </c>
      <c r="F292" s="1243">
        <f t="shared" si="31"/>
        <v>-8.9525514771715553E-2</v>
      </c>
      <c r="I292" s="1209"/>
      <c r="J292" s="1235"/>
    </row>
    <row r="293" spans="1:10" ht="10.5" customHeight="1" outlineLevel="1">
      <c r="A293" s="1209"/>
      <c r="B293" s="1209"/>
      <c r="E293" s="1225"/>
      <c r="I293" s="1209"/>
      <c r="J293" s="1235"/>
    </row>
    <row r="294" spans="1:10" ht="10.5" customHeight="1" outlineLevel="1">
      <c r="A294" s="1209"/>
      <c r="B294" s="1214">
        <f>B280+1</f>
        <v>2011</v>
      </c>
      <c r="E294" s="1225"/>
      <c r="I294" s="1209"/>
      <c r="J294" s="1235"/>
    </row>
    <row r="295" spans="1:10" ht="10.5" customHeight="1" outlineLevel="1">
      <c r="A295" s="1209" t="s">
        <v>158</v>
      </c>
      <c r="B295" s="1230" t="s">
        <v>339</v>
      </c>
      <c r="E295" s="1260">
        <f>E292/E118*E121</f>
        <v>111.6</v>
      </c>
      <c r="F295" s="1243">
        <f>(E295/E281-1)*100</f>
        <v>-8.9525514771715553E-2</v>
      </c>
      <c r="G295" s="1244" t="s">
        <v>156</v>
      </c>
      <c r="I295" s="1209"/>
      <c r="J295" s="1235"/>
    </row>
    <row r="296" spans="1:10" ht="10.5" customHeight="1" outlineLevel="1">
      <c r="A296" s="1209"/>
      <c r="B296" s="1230" t="s">
        <v>340</v>
      </c>
      <c r="E296" s="1260">
        <f t="shared" ref="E296:E305" si="32">E295/E121*E122</f>
        <v>111.80180831826401</v>
      </c>
      <c r="F296" s="1243">
        <f t="shared" ref="F296:F306" si="33">(E296/E282-1)*100</f>
        <v>-8.9199983355903179E-2</v>
      </c>
      <c r="G296" s="1228"/>
      <c r="I296" s="1209"/>
      <c r="J296" s="1235"/>
    </row>
    <row r="297" spans="1:10" ht="10.5" customHeight="1" outlineLevel="1">
      <c r="A297" s="1209"/>
      <c r="B297" s="1230" t="s">
        <v>341</v>
      </c>
      <c r="E297" s="1260">
        <f t="shared" si="32"/>
        <v>111.80180831826401</v>
      </c>
      <c r="F297" s="1243">
        <f t="shared" si="33"/>
        <v>8.9090935522229131E-4</v>
      </c>
      <c r="G297" s="1228"/>
      <c r="I297" s="1209"/>
      <c r="J297" s="1235"/>
    </row>
    <row r="298" spans="1:10" ht="10.5" customHeight="1" outlineLevel="1">
      <c r="A298" s="1209" t="s">
        <v>159</v>
      </c>
      <c r="B298" s="1235" t="s">
        <v>342</v>
      </c>
      <c r="E298" s="1260">
        <f t="shared" si="32"/>
        <v>111.80180831826401</v>
      </c>
      <c r="F298" s="1243">
        <f t="shared" si="33"/>
        <v>8.9090935522229131E-4</v>
      </c>
      <c r="G298" s="1228"/>
      <c r="I298" s="1209"/>
      <c r="J298" s="1235"/>
    </row>
    <row r="299" spans="1:10" ht="10.5" customHeight="1" outlineLevel="1">
      <c r="A299" s="1209"/>
      <c r="B299" s="1235" t="s">
        <v>343</v>
      </c>
      <c r="E299" s="1260">
        <f t="shared" si="32"/>
        <v>111.29728752260398</v>
      </c>
      <c r="F299" s="1243">
        <f t="shared" si="33"/>
        <v>-0.27052186416448576</v>
      </c>
      <c r="G299" s="1228"/>
      <c r="I299" s="1209"/>
      <c r="J299" s="1235"/>
    </row>
    <row r="300" spans="1:10" ht="10.5" customHeight="1" outlineLevel="1">
      <c r="A300" s="1209"/>
      <c r="B300" s="1235" t="s">
        <v>344</v>
      </c>
      <c r="E300" s="1260">
        <f t="shared" si="32"/>
        <v>111.29728752260398</v>
      </c>
      <c r="F300" s="1243">
        <f t="shared" si="33"/>
        <v>-0.27052186416448576</v>
      </c>
      <c r="G300" s="1228"/>
      <c r="I300" s="1209"/>
      <c r="J300" s="1235"/>
    </row>
    <row r="301" spans="1:10" ht="10.5" customHeight="1" outlineLevel="1">
      <c r="A301" s="1209" t="s">
        <v>160</v>
      </c>
      <c r="B301" s="1235" t="s">
        <v>345</v>
      </c>
      <c r="E301" s="1260">
        <f t="shared" si="32"/>
        <v>111.29728752260398</v>
      </c>
      <c r="F301" s="1243">
        <f t="shared" si="33"/>
        <v>-0.27052186416448576</v>
      </c>
      <c r="G301" s="1228"/>
      <c r="I301" s="1209"/>
      <c r="J301" s="1209"/>
    </row>
    <row r="302" spans="1:10" ht="10.5" customHeight="1" outlineLevel="1">
      <c r="A302" s="1209"/>
      <c r="B302" s="1235" t="s">
        <v>346</v>
      </c>
      <c r="E302" s="1260">
        <f t="shared" si="32"/>
        <v>111.39819168173598</v>
      </c>
      <c r="F302" s="1243">
        <f t="shared" si="33"/>
        <v>-0.18010529287180166</v>
      </c>
      <c r="I302" s="1209"/>
      <c r="J302" s="1214"/>
    </row>
    <row r="303" spans="1:10" ht="10.5" customHeight="1" outlineLevel="1">
      <c r="A303" s="1209"/>
      <c r="B303" s="1235" t="s">
        <v>347</v>
      </c>
      <c r="E303" s="1260">
        <f t="shared" si="32"/>
        <v>111.39819168173598</v>
      </c>
      <c r="F303" s="1243">
        <f t="shared" si="33"/>
        <v>-0.18010529287180166</v>
      </c>
      <c r="I303" s="1209"/>
      <c r="J303" s="1230"/>
    </row>
    <row r="304" spans="1:10" ht="10.5" customHeight="1" outlineLevel="1">
      <c r="A304" s="1209" t="s">
        <v>161</v>
      </c>
      <c r="B304" s="1235" t="s">
        <v>348</v>
      </c>
      <c r="E304" s="1260">
        <f t="shared" si="32"/>
        <v>111.39819168173598</v>
      </c>
      <c r="F304" s="1243">
        <f t="shared" si="33"/>
        <v>-8.9852223516340146E-2</v>
      </c>
      <c r="I304" s="1209"/>
      <c r="J304" s="1230"/>
    </row>
    <row r="305" spans="1:10" ht="10.5" customHeight="1" outlineLevel="1">
      <c r="A305" s="1209"/>
      <c r="B305" s="1235" t="s">
        <v>349</v>
      </c>
      <c r="E305" s="1260">
        <f t="shared" si="32"/>
        <v>111.39819168173598</v>
      </c>
      <c r="F305" s="1243">
        <f t="shared" si="33"/>
        <v>-8.9852223516340146E-2</v>
      </c>
      <c r="I305" s="1209"/>
      <c r="J305" s="1230"/>
    </row>
    <row r="306" spans="1:10" ht="10.5" customHeight="1" outlineLevel="1">
      <c r="A306" s="1209"/>
      <c r="B306" s="1235" t="s">
        <v>350</v>
      </c>
      <c r="E306" s="1225">
        <v>111.2</v>
      </c>
      <c r="F306" s="1243">
        <f t="shared" si="33"/>
        <v>-0.35842293906809264</v>
      </c>
      <c r="I306" s="1209"/>
      <c r="J306" s="1235"/>
    </row>
    <row r="307" spans="1:10" ht="10.5" customHeight="1">
      <c r="A307" s="1209"/>
      <c r="B307" s="1209"/>
      <c r="I307" s="1209"/>
      <c r="J307" s="1235"/>
    </row>
    <row r="308" spans="1:10" ht="10.5" customHeight="1">
      <c r="A308" s="1209"/>
      <c r="B308" s="1214">
        <f>B294+1</f>
        <v>2012</v>
      </c>
      <c r="I308" s="1209"/>
      <c r="J308" s="1235"/>
    </row>
    <row r="309" spans="1:10" ht="10.5" customHeight="1">
      <c r="A309" s="1209" t="s">
        <v>158</v>
      </c>
      <c r="B309" s="1230" t="s">
        <v>341</v>
      </c>
      <c r="E309" s="1352">
        <f>E306/E132*E135</f>
        <v>111.30090744101634</v>
      </c>
      <c r="F309" s="1243">
        <f>(E309/E297-1)*100</f>
        <v>-0.44802573838678139</v>
      </c>
      <c r="G309" s="1244" t="s">
        <v>156</v>
      </c>
      <c r="I309" s="1209"/>
      <c r="J309" s="1235"/>
    </row>
    <row r="310" spans="1:10" ht="10.5" customHeight="1">
      <c r="A310" s="1209" t="s">
        <v>159</v>
      </c>
      <c r="B310" s="1235" t="s">
        <v>344</v>
      </c>
      <c r="E310" s="1352">
        <f>E309/E135*E136</f>
        <v>111.09909255898366</v>
      </c>
      <c r="F310" s="1243">
        <f>(E310/E300-1)*100</f>
        <v>-0.17807708348693829</v>
      </c>
      <c r="G310" s="1228"/>
      <c r="I310" s="1209"/>
      <c r="J310" s="1235"/>
    </row>
    <row r="311" spans="1:10" ht="10.5" customHeight="1">
      <c r="A311" s="1209" t="s">
        <v>160</v>
      </c>
      <c r="B311" s="1235" t="s">
        <v>347</v>
      </c>
      <c r="E311" s="1352">
        <f>E310/E136*E137</f>
        <v>111.502722323049</v>
      </c>
      <c r="F311" s="1243">
        <f>(E311/E303-1)*100</f>
        <v>9.3835132990016668E-2</v>
      </c>
      <c r="G311" s="1228"/>
      <c r="I311" s="1209"/>
      <c r="J311" s="1235"/>
    </row>
    <row r="312" spans="1:10" ht="10.5" customHeight="1">
      <c r="A312" s="1209" t="s">
        <v>161</v>
      </c>
      <c r="B312" s="1235" t="s">
        <v>350</v>
      </c>
      <c r="E312" s="1352">
        <v>111.6</v>
      </c>
      <c r="F312" s="1243">
        <f>(E312/E306-1)*100</f>
        <v>0.3597122302158251</v>
      </c>
      <c r="G312" s="1228"/>
      <c r="I312" s="1209"/>
      <c r="J312" s="1235"/>
    </row>
    <row r="313" spans="1:10" ht="10.5" customHeight="1">
      <c r="A313" s="1209"/>
      <c r="B313" s="1209"/>
      <c r="E313" s="1352"/>
      <c r="I313" s="1209"/>
      <c r="J313" s="1235"/>
    </row>
    <row r="314" spans="1:10" ht="10.5" customHeight="1">
      <c r="A314" s="1209"/>
      <c r="B314" s="1214">
        <f>B308+1</f>
        <v>2013</v>
      </c>
      <c r="E314" s="1352"/>
      <c r="I314" s="1209"/>
      <c r="J314" s="1235"/>
    </row>
    <row r="315" spans="1:10" ht="10.5" customHeight="1">
      <c r="A315" s="1209" t="s">
        <v>158</v>
      </c>
      <c r="B315" s="1230" t="s">
        <v>341</v>
      </c>
      <c r="E315" s="1352">
        <f>E312/E138*E141</f>
        <v>111.39782608695653</v>
      </c>
      <c r="F315" s="1243">
        <f>E315/E309-1</f>
        <v>8.7078037518750762E-4</v>
      </c>
      <c r="G315" s="1244" t="s">
        <v>156</v>
      </c>
      <c r="I315" s="1209"/>
      <c r="J315" s="1235"/>
    </row>
    <row r="316" spans="1:10" ht="10.5" customHeight="1">
      <c r="A316" s="1209" t="s">
        <v>159</v>
      </c>
      <c r="B316" s="1235" t="s">
        <v>344</v>
      </c>
      <c r="E316" s="1352">
        <f>E315/E141*E142</f>
        <v>110.69021739130434</v>
      </c>
      <c r="F316" s="1243">
        <f>E316/E310-1</f>
        <v>-3.680274593262145E-3</v>
      </c>
      <c r="G316" s="1228"/>
      <c r="I316" s="1209"/>
      <c r="J316" s="1235"/>
    </row>
    <row r="317" spans="1:10" ht="10.5" customHeight="1">
      <c r="A317" s="1209" t="s">
        <v>160</v>
      </c>
      <c r="B317" s="1235" t="s">
        <v>347</v>
      </c>
      <c r="E317" s="1352">
        <f>E316/E142*E143</f>
        <v>110.69021739130434</v>
      </c>
      <c r="F317" s="1243">
        <f>E317/E311-1</f>
        <v>-7.2868618345536262E-3</v>
      </c>
      <c r="G317" s="1228"/>
      <c r="I317" s="1209"/>
      <c r="J317" s="1235"/>
    </row>
    <row r="318" spans="1:10" ht="10.5" customHeight="1">
      <c r="A318" s="1209" t="s">
        <v>161</v>
      </c>
      <c r="B318" s="1235" t="s">
        <v>350</v>
      </c>
      <c r="E318" s="1352">
        <f>E317/E143*E144</f>
        <v>110.69021739130434</v>
      </c>
      <c r="F318" s="1243">
        <f>E318/E312-1</f>
        <v>-8.152173913043459E-3</v>
      </c>
      <c r="G318" s="1228"/>
      <c r="I318" s="1209"/>
      <c r="J318" s="1235"/>
    </row>
    <row r="319" spans="1:10" ht="10.5" customHeight="1">
      <c r="A319" s="1209"/>
      <c r="B319" s="1209"/>
      <c r="E319" s="1352"/>
      <c r="I319" s="1209"/>
      <c r="J319" s="1235"/>
    </row>
    <row r="320" spans="1:10" ht="10.5" customHeight="1">
      <c r="A320" s="1209"/>
      <c r="B320" s="1249">
        <f>B314+1</f>
        <v>2014</v>
      </c>
      <c r="E320" s="1352"/>
    </row>
    <row r="321" spans="1:10" ht="10.5" customHeight="1">
      <c r="A321" s="1209" t="s">
        <v>158</v>
      </c>
      <c r="B321" s="1230" t="s">
        <v>341</v>
      </c>
      <c r="E321" s="1352">
        <f>E318/E144*E147</f>
        <v>110.38695652173912</v>
      </c>
      <c r="F321" s="1243">
        <f>(E321/E315-1)*100</f>
        <v>-0.90744101633395413</v>
      </c>
      <c r="G321" s="1244" t="s">
        <v>156</v>
      </c>
    </row>
    <row r="322" spans="1:10" ht="10.5" customHeight="1">
      <c r="A322" s="1209" t="s">
        <v>159</v>
      </c>
      <c r="B322" s="1235" t="s">
        <v>344</v>
      </c>
      <c r="E322" s="1352">
        <f>E321/E147*E148</f>
        <v>107.35434782608695</v>
      </c>
      <c r="F322" s="1243">
        <f>(E322/E316-1)*100</f>
        <v>-3.013698630136985</v>
      </c>
      <c r="G322" s="1228"/>
    </row>
    <row r="323" spans="1:10" ht="10.5" customHeight="1">
      <c r="A323" s="1209" t="s">
        <v>160</v>
      </c>
      <c r="B323" s="1235" t="s">
        <v>347</v>
      </c>
      <c r="E323" s="1352">
        <f>E322/E148*E149</f>
        <v>107.45543478260869</v>
      </c>
      <c r="F323" s="1243">
        <f>(E323/E317-1)*100</f>
        <v>-2.9223744292237397</v>
      </c>
      <c r="G323" s="1228"/>
    </row>
    <row r="324" spans="1:10" ht="10.5" customHeight="1">
      <c r="A324" s="1209" t="s">
        <v>161</v>
      </c>
      <c r="B324" s="1235" t="s">
        <v>350</v>
      </c>
      <c r="E324" s="1352">
        <f>E323/E149*E150</f>
        <v>107.45543478260869</v>
      </c>
      <c r="F324" s="1243">
        <f>(E324/E318-1)*100</f>
        <v>-2.9223744292237397</v>
      </c>
      <c r="G324" s="1228"/>
    </row>
    <row r="325" spans="1:10" ht="10.5" customHeight="1">
      <c r="A325" s="1209"/>
      <c r="B325" s="1209"/>
      <c r="E325" s="1352"/>
      <c r="I325" s="1209"/>
      <c r="J325" s="1235"/>
    </row>
    <row r="326" spans="1:10" ht="10.5" customHeight="1">
      <c r="A326" s="1209"/>
      <c r="B326" s="1249">
        <f>B320+1</f>
        <v>2015</v>
      </c>
      <c r="E326" s="1352"/>
    </row>
    <row r="327" spans="1:10" ht="10.5" customHeight="1">
      <c r="A327" s="1209" t="s">
        <v>158</v>
      </c>
      <c r="B327" s="1230" t="s">
        <v>341</v>
      </c>
      <c r="E327" s="1352">
        <f>E324/E150*E153</f>
        <v>103.41195652173913</v>
      </c>
      <c r="F327" s="1243">
        <f>(E327/E321-1)*100</f>
        <v>-6.3186813186813184</v>
      </c>
      <c r="G327" s="1244" t="s">
        <v>156</v>
      </c>
    </row>
    <row r="328" spans="1:10" ht="10.5" customHeight="1">
      <c r="A328" s="1209" t="s">
        <v>159</v>
      </c>
      <c r="B328" s="1235" t="s">
        <v>344</v>
      </c>
      <c r="E328" s="1352">
        <f>E327/E153*E154</f>
        <v>103.41195652173913</v>
      </c>
      <c r="F328" s="1243">
        <f>(E328/E322-1)*100</f>
        <v>-3.6723163841807849</v>
      </c>
      <c r="G328" s="1228"/>
    </row>
    <row r="329" spans="1:10" ht="10.5" customHeight="1">
      <c r="A329" s="1209" t="s">
        <v>160</v>
      </c>
      <c r="B329" s="1235" t="s">
        <v>347</v>
      </c>
      <c r="E329" s="1352">
        <f>E328/E154*E155</f>
        <v>103.41195652173913</v>
      </c>
      <c r="F329" s="1243">
        <f>(E329/E323-1)*100</f>
        <v>-3.7629350893697011</v>
      </c>
      <c r="G329" s="1228"/>
    </row>
    <row r="330" spans="1:10" ht="10.5" customHeight="1">
      <c r="A330" s="1209" t="s">
        <v>161</v>
      </c>
      <c r="B330" s="1235" t="s">
        <v>350</v>
      </c>
      <c r="E330" s="1352">
        <f>E329/E155*E156</f>
        <v>103.20978260869565</v>
      </c>
      <c r="F330" s="1243">
        <f>(E330/E324-1)*100</f>
        <v>-3.9510818438381889</v>
      </c>
      <c r="G330" s="1228"/>
    </row>
    <row r="331" spans="1:10" ht="10.5" customHeight="1">
      <c r="E331" s="1352"/>
    </row>
    <row r="332" spans="1:10" ht="10.5" customHeight="1">
      <c r="A332" s="1209"/>
      <c r="B332" s="1249">
        <f>B326+1</f>
        <v>2016</v>
      </c>
      <c r="E332" s="1352"/>
    </row>
    <row r="333" spans="1:10" ht="10.5" customHeight="1">
      <c r="A333" s="1209" t="s">
        <v>158</v>
      </c>
      <c r="B333" s="1230" t="s">
        <v>341</v>
      </c>
      <c r="E333" s="1352">
        <f>E330/E156*E159</f>
        <v>102.50217391304348</v>
      </c>
      <c r="F333" s="1243">
        <f>(E333/E327-1)*100</f>
        <v>-0.87976539589442737</v>
      </c>
      <c r="G333" s="1244" t="s">
        <v>156</v>
      </c>
    </row>
    <row r="334" spans="1:10" ht="10.5" customHeight="1">
      <c r="A334" s="1209" t="s">
        <v>159</v>
      </c>
      <c r="B334" s="1235" t="s">
        <v>344</v>
      </c>
      <c r="E334" s="1352">
        <f>E333/E159*E160</f>
        <v>102.50217391304348</v>
      </c>
      <c r="F334" s="1243">
        <f>(E334/E328-1)*100</f>
        <v>-0.87976539589442737</v>
      </c>
      <c r="G334" s="1228"/>
    </row>
    <row r="335" spans="1:10" ht="10.5" customHeight="1">
      <c r="A335" s="1209" t="s">
        <v>160</v>
      </c>
      <c r="B335" s="1235" t="s">
        <v>347</v>
      </c>
      <c r="E335" s="1352">
        <f>E334/E160*E161</f>
        <v>102.50217391304348</v>
      </c>
      <c r="F335" s="1243">
        <f>(E335/E329-1)*100</f>
        <v>-0.87976539589442737</v>
      </c>
      <c r="G335" s="1228"/>
    </row>
    <row r="336" spans="1:10" ht="10.5" customHeight="1">
      <c r="A336" s="1209" t="s">
        <v>161</v>
      </c>
      <c r="B336" s="1235" t="s">
        <v>350</v>
      </c>
      <c r="E336" s="1352">
        <v>103.3</v>
      </c>
      <c r="F336" s="1243">
        <f>(E336/E330-1)*100</f>
        <v>8.7411666824643852E-2</v>
      </c>
      <c r="G336" s="1228"/>
    </row>
    <row r="338" spans="1:7" ht="10.5" customHeight="1">
      <c r="A338" s="1209"/>
      <c r="B338" s="1249">
        <f>B332+1</f>
        <v>2017</v>
      </c>
    </row>
    <row r="339" spans="1:7" ht="10.5" customHeight="1">
      <c r="A339" s="1209" t="s">
        <v>158</v>
      </c>
      <c r="B339" s="1230" t="s">
        <v>341</v>
      </c>
      <c r="E339" s="1352">
        <f>E336/E162*E165</f>
        <v>103.3</v>
      </c>
      <c r="F339" s="1243">
        <f>(E339/E333-1)*100</f>
        <v>0.77835040614195883</v>
      </c>
      <c r="G339" s="1244" t="s">
        <v>156</v>
      </c>
    </row>
    <row r="340" spans="1:7" ht="10.5" customHeight="1">
      <c r="A340" s="1209" t="s">
        <v>159</v>
      </c>
      <c r="B340" s="1235" t="s">
        <v>344</v>
      </c>
      <c r="E340" s="1352">
        <v>96</v>
      </c>
      <c r="F340" s="1243">
        <f>(E340/E334-1)*100</f>
        <v>-6.3434497677673836</v>
      </c>
      <c r="G340" s="1228"/>
    </row>
    <row r="341" spans="1:7" ht="10.5" customHeight="1">
      <c r="A341" s="1209" t="s">
        <v>160</v>
      </c>
      <c r="B341" s="1235" t="s">
        <v>347</v>
      </c>
      <c r="E341" s="1352">
        <v>96</v>
      </c>
      <c r="F341" s="1243">
        <f>(E341/E335-1)*100</f>
        <v>-6.3434497677673836</v>
      </c>
      <c r="G341" s="1228"/>
    </row>
    <row r="342" spans="1:7" ht="10.5" customHeight="1">
      <c r="A342" s="1209" t="s">
        <v>161</v>
      </c>
      <c r="B342" s="1235" t="s">
        <v>350</v>
      </c>
      <c r="E342" s="1352">
        <v>95.6</v>
      </c>
      <c r="F342" s="1243">
        <f>(E342/E336-1)*100</f>
        <v>-7.4540174249758007</v>
      </c>
      <c r="G342" s="1228"/>
    </row>
    <row r="344" spans="1:7" ht="10.5" customHeight="1">
      <c r="A344" s="1209"/>
      <c r="B344" s="1249">
        <f>B338+1</f>
        <v>2018</v>
      </c>
    </row>
    <row r="345" spans="1:7" ht="10.5" customHeight="1">
      <c r="A345" s="1209" t="s">
        <v>158</v>
      </c>
      <c r="B345" s="1230" t="s">
        <v>341</v>
      </c>
      <c r="E345" s="1225">
        <f>E342/E168*E171</f>
        <v>94.72293577981651</v>
      </c>
      <c r="F345" s="1243">
        <f>(E345/E339-1)*100</f>
        <v>-8.3030631366732717</v>
      </c>
      <c r="G345" s="1244" t="s">
        <v>156</v>
      </c>
    </row>
    <row r="346" spans="1:7" ht="10.5" customHeight="1">
      <c r="A346" s="1209" t="s">
        <v>159</v>
      </c>
      <c r="B346" s="1235" t="s">
        <v>344</v>
      </c>
      <c r="E346" s="1225">
        <f>E345/E171*E172</f>
        <v>93.955504587155957</v>
      </c>
      <c r="F346" s="1243">
        <f>(E346/E340-1)*100</f>
        <v>-2.1296827217125447</v>
      </c>
      <c r="G346" s="1228"/>
    </row>
    <row r="347" spans="1:7" ht="10.5" customHeight="1">
      <c r="A347" s="1209" t="s">
        <v>160</v>
      </c>
      <c r="B347" s="1235" t="s">
        <v>347</v>
      </c>
      <c r="E347" s="1225">
        <f>E346/E172*E173</f>
        <v>93.955504587155957</v>
      </c>
      <c r="F347" s="1243">
        <f>(E347/E341-1)*100</f>
        <v>-2.1296827217125447</v>
      </c>
      <c r="G347" s="1228"/>
    </row>
    <row r="348" spans="1:7" ht="10.5" customHeight="1">
      <c r="A348" s="1209" t="s">
        <v>161</v>
      </c>
      <c r="B348" s="1235" t="s">
        <v>350</v>
      </c>
      <c r="E348" s="1225">
        <f>E347/E173*E174</f>
        <v>93.955504587155957</v>
      </c>
      <c r="F348" s="1243">
        <f>(E348/E342-1)*100</f>
        <v>-1.7201834862385357</v>
      </c>
      <c r="G348" s="1228"/>
    </row>
  </sheetData>
  <phoneticPr fontId="10" type="noConversion"/>
  <dataValidations count="1">
    <dataValidation type="custom" allowBlank="1" showInputMessage="1" showErrorMessage="1" sqref="J303:J319 B178 J181:J190 B180:B181 B267:B278 H178:J180 F178:F180 F224 B253:B264 F183 J289:J300 J275:J287 J261:J273 J247:J259 J245 J193:J204 J207:J218 J221:J232 J235:J242 B183:B195 B197:B209 B211:B223 B239:B250 B225:B236 B295:B306 B281:B292 B315:B318 B309:B312 J135:J138 J141:J144 E139 N139 B141:B144 B135:B138 E78 K2:N2 J4:J7 E3:F3 E92 B9:B21 B23:B35 B37:B49 B65:B76 B51:B62 B121:B132 B107:B118 B93:B104 B79:B90 E49 E133 F5:F7 B7 D3:D7 C2:G2 H2:H7 J9:J21 J23:J35 J37:J49 J65:J76 J51:J62 J121:J132 J107:J118 J93:J104 J79:J90 B4 N3 N78 N49 N92 N133 K3:M7 J147:J150 B321:B324 E145 N145 B153:B156 B327:B330 B147:B150 J153:J156 E151 N151 J325 B159:B163 B333:B336 J165:J168 B339:B342 J159:J163 B165:B168 B171:B174 G3:G177 J171:J174 G181:G65542 B345:B348">
      <formula1>-1</formula1>
    </dataValidation>
  </dataValidations>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JA277"/>
  <sheetViews>
    <sheetView showGridLines="0" zoomScale="85" zoomScaleNormal="85" workbookViewId="0"/>
  </sheetViews>
  <sheetFormatPr defaultRowHeight="12.75" outlineLevelRow="2" outlineLevelCol="1"/>
  <cols>
    <col min="1" max="1" width="7.140625" style="398" customWidth="1"/>
    <col min="2" max="2" width="1.5703125" style="398" customWidth="1"/>
    <col min="3" max="3" width="7.85546875" style="398" hidden="1" customWidth="1" outlineLevel="1"/>
    <col min="4" max="4" width="7.140625" style="398" hidden="1" customWidth="1" outlineLevel="1"/>
    <col min="5" max="5" width="6.85546875" style="398" hidden="1" customWidth="1" outlineLevel="1"/>
    <col min="6" max="6" width="1.5703125" style="398" hidden="1" customWidth="1" outlineLevel="1"/>
    <col min="7" max="7" width="7.85546875" style="398" hidden="1" customWidth="1" outlineLevel="1"/>
    <col min="8" max="8" width="7.140625" style="398" hidden="1" customWidth="1" outlineLevel="1"/>
    <col min="9" max="9" width="6.85546875" style="398" hidden="1" customWidth="1" outlineLevel="1"/>
    <col min="10" max="10" width="1.5703125" style="398" hidden="1" customWidth="1" outlineLevel="1"/>
    <col min="11" max="11" width="7.85546875" style="398" hidden="1" customWidth="1" outlineLevel="1"/>
    <col min="12" max="12" width="7.140625" style="398" hidden="1" customWidth="1" outlineLevel="1"/>
    <col min="13" max="13" width="6.85546875" style="398" hidden="1" customWidth="1" outlineLevel="1"/>
    <col min="14" max="14" width="1.5703125" style="398" hidden="1" customWidth="1" outlineLevel="1"/>
    <col min="15" max="15" width="7.85546875" style="398" hidden="1" customWidth="1" outlineLevel="1"/>
    <col min="16" max="16" width="7.140625" style="398" hidden="1" customWidth="1" outlineLevel="1"/>
    <col min="17" max="17" width="6.85546875" style="398" hidden="1" customWidth="1" outlineLevel="1"/>
    <col min="18" max="18" width="1.5703125" style="398" hidden="1" customWidth="1" outlineLevel="1"/>
    <col min="19" max="19" width="7.85546875" style="398" hidden="1" customWidth="1" outlineLevel="1"/>
    <col min="20" max="20" width="7.140625" style="398" hidden="1" customWidth="1" outlineLevel="1"/>
    <col min="21" max="21" width="6.85546875" style="398" hidden="1" customWidth="1" outlineLevel="1"/>
    <col min="22" max="22" width="1.5703125" style="398" hidden="1" customWidth="1" outlineLevel="1"/>
    <col min="23" max="23" width="7.85546875" style="398" hidden="1" customWidth="1" outlineLevel="1"/>
    <col min="24" max="24" width="7.140625" style="398" hidden="1" customWidth="1" outlineLevel="1"/>
    <col min="25" max="25" width="6.85546875" style="398" hidden="1" customWidth="1" outlineLevel="1"/>
    <col min="26" max="26" width="1.5703125" style="398" hidden="1" customWidth="1" outlineLevel="1"/>
    <col min="27" max="27" width="7.85546875" style="398" hidden="1" customWidth="1" outlineLevel="1"/>
    <col min="28" max="28" width="7.140625" style="398" hidden="1" customWidth="1" outlineLevel="1"/>
    <col min="29" max="29" width="6.85546875" style="398" hidden="1" customWidth="1" outlineLevel="1"/>
    <col min="30" max="30" width="1.5703125" style="398" hidden="1" customWidth="1" outlineLevel="1"/>
    <col min="31" max="31" width="7.85546875" style="398" hidden="1" customWidth="1" outlineLevel="1"/>
    <col min="32" max="32" width="7.140625" style="398" hidden="1" customWidth="1" outlineLevel="1"/>
    <col min="33" max="33" width="6.85546875" style="398" hidden="1" customWidth="1" outlineLevel="1"/>
    <col min="34" max="34" width="1.5703125" style="398" hidden="1" customWidth="1" outlineLevel="1"/>
    <col min="35" max="35" width="7.85546875" style="398" hidden="1" customWidth="1" outlineLevel="1"/>
    <col min="36" max="36" width="7.140625" style="398" hidden="1" customWidth="1" outlineLevel="1"/>
    <col min="37" max="37" width="6.85546875" style="398" hidden="1" customWidth="1" outlineLevel="1"/>
    <col min="38" max="38" width="1.5703125" style="398" hidden="1" customWidth="1" outlineLevel="1"/>
    <col min="39" max="39" width="7.85546875" style="398" hidden="1" customWidth="1" outlineLevel="1"/>
    <col min="40" max="40" width="7.140625" style="398" hidden="1" customWidth="1" outlineLevel="1"/>
    <col min="41" max="41" width="6.85546875" style="398" hidden="1" customWidth="1" outlineLevel="1"/>
    <col min="42" max="42" width="1.5703125" style="398" hidden="1" customWidth="1" outlineLevel="1"/>
    <col min="43" max="43" width="7.85546875" style="398" hidden="1" customWidth="1" outlineLevel="1"/>
    <col min="44" max="44" width="7.140625" style="398" hidden="1" customWidth="1" outlineLevel="1"/>
    <col min="45" max="45" width="6.85546875" style="398" hidden="1" customWidth="1" outlineLevel="1"/>
    <col min="46" max="46" width="1.5703125" style="398" hidden="1" customWidth="1" outlineLevel="1"/>
    <col min="47" max="47" width="7.85546875" style="398" hidden="1" customWidth="1" outlineLevel="1"/>
    <col min="48" max="48" width="7.140625" style="398" hidden="1" customWidth="1" outlineLevel="1"/>
    <col min="49" max="49" width="6.85546875" style="398" hidden="1" customWidth="1" outlineLevel="1"/>
    <col min="50" max="50" width="1.5703125" style="398" hidden="1" customWidth="1" outlineLevel="1"/>
    <col min="51" max="51" width="7.85546875" style="398" hidden="1" customWidth="1" outlineLevel="1"/>
    <col min="52" max="52" width="7.140625" style="398" hidden="1" customWidth="1" outlineLevel="1"/>
    <col min="53" max="53" width="6.85546875" style="398" hidden="1" customWidth="1" outlineLevel="1"/>
    <col min="54" max="54" width="1.5703125" style="398" hidden="1" customWidth="1" outlineLevel="1"/>
    <col min="55" max="55" width="7.85546875" style="398" hidden="1" customWidth="1" outlineLevel="1"/>
    <col min="56" max="56" width="7.140625" style="398" hidden="1" customWidth="1" outlineLevel="1"/>
    <col min="57" max="57" width="6.85546875" style="398" hidden="1" customWidth="1" outlineLevel="1"/>
    <col min="58" max="58" width="1.5703125" style="398" hidden="1" customWidth="1" outlineLevel="1"/>
    <col min="59" max="59" width="7.85546875" style="398" hidden="1" customWidth="1" outlineLevel="1"/>
    <col min="60" max="60" width="7.140625" style="398" hidden="1" customWidth="1" outlineLevel="1"/>
    <col min="61" max="61" width="6.85546875" style="398" hidden="1" customWidth="1" outlineLevel="1"/>
    <col min="62" max="62" width="1.5703125" style="398" hidden="1" customWidth="1" outlineLevel="1"/>
    <col min="63" max="63" width="7.140625" style="398" hidden="1" customWidth="1" outlineLevel="1" collapsed="1"/>
    <col min="64" max="64" width="7.140625" style="398" hidden="1" customWidth="1" outlineLevel="1"/>
    <col min="65" max="65" width="6.42578125" style="398" hidden="1" customWidth="1" outlineLevel="1"/>
    <col min="66" max="66" width="1.5703125" style="398" hidden="1" customWidth="1" outlineLevel="1"/>
    <col min="67" max="68" width="7.140625" style="398" hidden="1" customWidth="1" outlineLevel="1"/>
    <col min="69" max="69" width="6.85546875" style="398" hidden="1" customWidth="1" outlineLevel="1"/>
    <col min="70" max="70" width="1.5703125" style="398" hidden="1" customWidth="1" outlineLevel="1"/>
    <col min="71" max="71" width="7.5703125" style="398" hidden="1" customWidth="1" outlineLevel="1"/>
    <col min="72" max="72" width="7.140625" style="398" hidden="1" customWidth="1" outlineLevel="1"/>
    <col min="73" max="73" width="6.85546875" style="398" hidden="1" customWidth="1" outlineLevel="1"/>
    <col min="74" max="74" width="2" style="398" hidden="1" customWidth="1" outlineLevel="1"/>
    <col min="75" max="76" width="7.140625" style="398" hidden="1" customWidth="1" outlineLevel="1"/>
    <col min="77" max="77" width="6.85546875" style="398" hidden="1" customWidth="1" outlineLevel="1"/>
    <col min="78" max="78" width="2" style="398" hidden="1" customWidth="1" outlineLevel="1"/>
    <col min="79" max="79" width="10.28515625" style="398" hidden="1" customWidth="1" outlineLevel="1" collapsed="1"/>
    <col min="80" max="80" width="7.42578125" style="398" hidden="1" customWidth="1" outlineLevel="1"/>
    <col min="81" max="81" width="6.85546875" style="398" hidden="1" customWidth="1" outlineLevel="1"/>
    <col min="82" max="82" width="2" style="398" hidden="1" customWidth="1" outlineLevel="1"/>
    <col min="83" max="83" width="8" style="398" hidden="1" customWidth="1" outlineLevel="1"/>
    <col min="84" max="84" width="7.140625" style="398" hidden="1" customWidth="1" outlineLevel="1"/>
    <col min="85" max="85" width="6.85546875" style="398" hidden="1" customWidth="1" outlineLevel="1"/>
    <col min="86" max="86" width="2" style="398" hidden="1" customWidth="1" outlineLevel="1"/>
    <col min="87" max="87" width="10.28515625" style="398" hidden="1" customWidth="1" outlineLevel="1"/>
    <col min="88" max="88" width="7.140625" style="398" hidden="1" customWidth="1" outlineLevel="1"/>
    <col min="89" max="89" width="6.85546875" style="398" hidden="1" customWidth="1" outlineLevel="1"/>
    <col min="90" max="90" width="2" style="398" hidden="1" customWidth="1" outlineLevel="1"/>
    <col min="91" max="91" width="10.42578125" style="398" hidden="1" customWidth="1" outlineLevel="1"/>
    <col min="92" max="92" width="7.140625" style="398" hidden="1" customWidth="1" outlineLevel="1"/>
    <col min="93" max="93" width="6.85546875" style="398" hidden="1" customWidth="1" outlineLevel="1"/>
    <col min="94" max="94" width="2" style="398" hidden="1" customWidth="1" outlineLevel="1"/>
    <col min="95" max="95" width="10.42578125" style="398" hidden="1" customWidth="1" outlineLevel="1"/>
    <col min="96" max="96" width="7.140625" style="398" hidden="1" customWidth="1" outlineLevel="1"/>
    <col min="97" max="97" width="6.85546875" style="398" hidden="1" customWidth="1" outlineLevel="1"/>
    <col min="98" max="98" width="2" style="398" hidden="1" customWidth="1" outlineLevel="1"/>
    <col min="99" max="99" width="9.42578125" style="398" customWidth="1" collapsed="1"/>
    <col min="100" max="100" width="8.42578125" style="398" customWidth="1"/>
    <col min="101" max="101" width="7.28515625" style="398" customWidth="1"/>
    <col min="102" max="102" width="2" style="398" customWidth="1"/>
    <col min="103" max="103" width="9.28515625" style="398" customWidth="1"/>
    <col min="104" max="104" width="7.140625" style="398" customWidth="1"/>
    <col min="105" max="105" width="7.5703125" style="398" customWidth="1"/>
    <col min="106" max="106" width="2" style="398" customWidth="1"/>
    <col min="107" max="107" width="9.7109375" style="398" customWidth="1"/>
    <col min="108" max="108" width="8.85546875" style="398" customWidth="1"/>
    <col min="109" max="109" width="9.140625" style="398" customWidth="1"/>
    <col min="110" max="110" width="2" style="398" customWidth="1"/>
    <col min="111" max="111" width="9" style="398" customWidth="1"/>
    <col min="112" max="112" width="8.140625" style="398" customWidth="1"/>
    <col min="113" max="113" width="7.5703125" style="398" customWidth="1"/>
    <col min="114" max="114" width="6.7109375" style="398" customWidth="1"/>
    <col min="115" max="115" width="9.28515625" style="398" customWidth="1"/>
    <col min="116" max="116" width="8.140625" style="398" customWidth="1"/>
    <col min="117" max="117" width="8" style="398" customWidth="1"/>
    <col min="118" max="118" width="6.140625" style="398" bestFit="1" customWidth="1"/>
    <col min="119" max="119" width="6.140625" style="398" customWidth="1"/>
    <col min="120" max="120" width="8.7109375" style="398" customWidth="1"/>
    <col min="121" max="121" width="8.5703125" style="398" customWidth="1"/>
    <col min="122" max="122" width="7.85546875" style="398" customWidth="1"/>
    <col min="123" max="124" width="6.7109375" style="398" customWidth="1"/>
    <col min="125" max="125" width="13.42578125" style="398" bestFit="1" customWidth="1"/>
    <col min="126" max="126" width="9.42578125" style="398" bestFit="1" customWidth="1"/>
    <col min="127" max="127" width="9.140625" style="398" customWidth="1"/>
    <col min="128" max="128" width="7.5703125" style="398" customWidth="1"/>
    <col min="129" max="129" width="6.7109375" style="398" customWidth="1"/>
    <col min="130" max="130" width="13.42578125" style="398" bestFit="1" customWidth="1"/>
    <col min="131" max="131" width="9.42578125" style="398" bestFit="1" customWidth="1"/>
    <col min="132" max="132" width="10.85546875" style="398" customWidth="1"/>
    <col min="133" max="133" width="7.5703125" style="398" customWidth="1"/>
    <col min="134" max="134" width="6.7109375" style="398" customWidth="1"/>
    <col min="135" max="135" width="13.42578125" style="398" bestFit="1" customWidth="1"/>
    <col min="136" max="136" width="9.42578125" style="398" bestFit="1" customWidth="1"/>
    <col min="137" max="137" width="10.85546875" style="398" customWidth="1"/>
    <col min="138" max="138" width="7.5703125" style="398" customWidth="1"/>
    <col min="139" max="139" width="15.7109375" style="398" customWidth="1"/>
    <col min="140" max="140" width="9" style="398" bestFit="1" customWidth="1"/>
    <col min="141" max="142" width="12.5703125" style="398" bestFit="1" customWidth="1"/>
    <col min="143" max="145" width="12.5703125" style="398" customWidth="1"/>
    <col min="146" max="146" width="13" style="398" hidden="1" customWidth="1" outlineLevel="1"/>
    <col min="147" max="147" width="12.5703125" style="398" hidden="1" customWidth="1" outlineLevel="1"/>
    <col min="148" max="150" width="9.28515625" style="398" hidden="1" customWidth="1" outlineLevel="1"/>
    <col min="151" max="151" width="11.28515625" style="398" hidden="1" customWidth="1" outlineLevel="1"/>
    <col min="152" max="152" width="7.5703125" style="398" hidden="1" customWidth="1" outlineLevel="1"/>
    <col min="153" max="154" width="11.140625" style="398" hidden="1" customWidth="1" outlineLevel="1"/>
    <col min="155" max="155" width="40" style="398" hidden="1" customWidth="1" outlineLevel="1"/>
    <col min="156" max="156" width="0" style="398" hidden="1" customWidth="1" outlineLevel="1"/>
    <col min="157" max="157" width="2.7109375" style="398" hidden="1" customWidth="1" outlineLevel="1"/>
    <col min="158" max="158" width="13.85546875" style="398" hidden="1" customWidth="1" outlineLevel="1"/>
    <col min="159" max="159" width="0" style="398" hidden="1" customWidth="1" outlineLevel="1"/>
    <col min="160" max="160" width="9.140625" style="398" collapsed="1"/>
    <col min="161" max="16384" width="9.140625" style="398"/>
  </cols>
  <sheetData>
    <row r="1" spans="1:158">
      <c r="A1" s="582" t="s">
        <v>442</v>
      </c>
      <c r="DC1" s="804"/>
      <c r="DG1" s="804"/>
      <c r="DK1" s="804"/>
      <c r="DP1" s="804"/>
      <c r="DU1" s="804"/>
      <c r="DZ1" s="804"/>
      <c r="EE1" s="804"/>
      <c r="EW1" s="805"/>
      <c r="EX1" s="805"/>
    </row>
    <row r="2" spans="1:158">
      <c r="A2" s="686" t="s">
        <v>712</v>
      </c>
      <c r="B2" s="584"/>
      <c r="C2" s="584"/>
      <c r="D2" s="584"/>
      <c r="E2" s="584"/>
      <c r="F2" s="584"/>
      <c r="G2" s="584"/>
      <c r="H2" s="584"/>
      <c r="I2" s="584"/>
      <c r="J2" s="584"/>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584"/>
      <c r="AJ2" s="584"/>
      <c r="AK2" s="584"/>
      <c r="AL2" s="584"/>
      <c r="AM2" s="584"/>
      <c r="AN2" s="584"/>
      <c r="AO2" s="584"/>
      <c r="AP2" s="584"/>
      <c r="AQ2" s="584"/>
      <c r="AR2" s="584"/>
      <c r="AS2" s="584"/>
      <c r="AT2" s="584"/>
      <c r="AU2" s="584"/>
      <c r="AV2" s="584"/>
      <c r="AW2" s="584"/>
      <c r="AX2" s="584"/>
      <c r="AY2" s="584"/>
      <c r="AZ2" s="584"/>
      <c r="BA2" s="584"/>
      <c r="BB2" s="584"/>
      <c r="BC2" s="584"/>
      <c r="BD2" s="584"/>
      <c r="BE2" s="584"/>
      <c r="BF2" s="584"/>
      <c r="BG2" s="584"/>
      <c r="BH2" s="584"/>
      <c r="BI2" s="584"/>
      <c r="BJ2" s="584"/>
      <c r="BK2" s="584"/>
      <c r="BL2" s="584"/>
      <c r="BM2" s="584"/>
      <c r="BN2" s="584"/>
      <c r="BO2" s="584"/>
      <c r="BP2" s="584"/>
      <c r="BQ2" s="584"/>
      <c r="BR2" s="584"/>
      <c r="BS2" s="584"/>
      <c r="BT2" s="584"/>
      <c r="BU2" s="584"/>
      <c r="BV2" s="584"/>
      <c r="BW2" s="584"/>
      <c r="BX2" s="584"/>
      <c r="BY2" s="584"/>
      <c r="BZ2" s="584"/>
      <c r="CA2" s="584"/>
      <c r="CB2" s="584"/>
      <c r="CC2" s="584"/>
      <c r="CD2" s="584"/>
      <c r="CE2" s="584"/>
      <c r="CF2" s="584"/>
      <c r="CG2" s="584"/>
      <c r="CH2" s="584"/>
      <c r="CI2" s="584"/>
      <c r="CJ2" s="584"/>
      <c r="CK2" s="584"/>
      <c r="CL2" s="584"/>
      <c r="CM2" s="584"/>
      <c r="CN2" s="584"/>
      <c r="CO2" s="584"/>
      <c r="CP2" s="584"/>
      <c r="CQ2" s="584"/>
      <c r="CR2" s="584"/>
      <c r="CS2" s="584"/>
      <c r="CT2" s="584"/>
      <c r="CU2" s="584"/>
      <c r="CV2" s="584"/>
      <c r="CW2" s="584"/>
      <c r="CX2" s="584"/>
      <c r="CY2" s="584"/>
      <c r="CZ2" s="584"/>
      <c r="DA2" s="584"/>
      <c r="DB2" s="584"/>
      <c r="DC2" s="584"/>
      <c r="DD2" s="584"/>
      <c r="DE2" s="584"/>
      <c r="DF2" s="584"/>
      <c r="DG2" s="584"/>
      <c r="DH2" s="584"/>
      <c r="DI2" s="584"/>
      <c r="DJ2" s="584"/>
      <c r="DK2" s="584"/>
      <c r="DL2" s="584"/>
      <c r="DM2" s="584"/>
      <c r="DN2" s="584"/>
      <c r="DO2" s="584"/>
      <c r="DP2" s="584"/>
      <c r="DQ2" s="584"/>
      <c r="DR2" s="584"/>
      <c r="DS2" s="584"/>
      <c r="DT2" s="584"/>
      <c r="DU2" s="584"/>
      <c r="DV2" s="584"/>
      <c r="DW2" s="584"/>
      <c r="DX2" s="584"/>
      <c r="DY2" s="584"/>
      <c r="DZ2" s="584"/>
      <c r="EA2" s="584"/>
      <c r="EB2" s="584"/>
      <c r="EC2" s="584"/>
      <c r="ED2" s="584"/>
      <c r="EE2" s="584"/>
      <c r="EF2" s="584"/>
      <c r="EG2" s="584"/>
      <c r="EH2" s="584"/>
      <c r="EI2" s="584"/>
      <c r="EJ2" s="584"/>
      <c r="EK2" s="584"/>
      <c r="EL2" s="584"/>
      <c r="EM2" s="584"/>
      <c r="EN2" s="584"/>
      <c r="EO2" s="584"/>
      <c r="EP2" s="584"/>
      <c r="EQ2" s="806"/>
      <c r="ER2" s="806"/>
      <c r="ES2" s="507"/>
      <c r="ET2" s="507"/>
      <c r="EU2" s="507"/>
      <c r="EV2" s="804"/>
      <c r="EW2" s="805"/>
      <c r="EX2" s="805"/>
      <c r="EY2" s="507"/>
      <c r="EZ2" s="507"/>
      <c r="FA2" s="507"/>
      <c r="FB2" s="507"/>
    </row>
    <row r="3" spans="1:158" ht="13.5" thickBot="1">
      <c r="A3" s="585" t="s">
        <v>148</v>
      </c>
      <c r="EJ3" s="579"/>
      <c r="EK3" s="579"/>
      <c r="EL3" s="579"/>
      <c r="EM3" s="579"/>
      <c r="EN3" s="579"/>
      <c r="EO3" s="579"/>
      <c r="EP3" s="579"/>
      <c r="EQ3" s="579"/>
      <c r="ER3" s="579"/>
      <c r="EV3" s="804"/>
      <c r="EW3" s="805"/>
      <c r="EX3" s="805"/>
      <c r="EY3" s="507"/>
      <c r="EZ3" s="507"/>
      <c r="FA3" s="507"/>
      <c r="FB3" s="507"/>
    </row>
    <row r="4" spans="1:158" ht="12.75" customHeight="1" thickBot="1">
      <c r="A4" s="1356" t="s">
        <v>149</v>
      </c>
      <c r="BK4" s="807" t="s">
        <v>351</v>
      </c>
      <c r="BL4" s="808"/>
      <c r="BM4" s="808"/>
      <c r="BN4" s="808"/>
      <c r="BO4" s="808"/>
      <c r="BP4" s="808"/>
      <c r="BQ4" s="808"/>
      <c r="BR4" s="808"/>
      <c r="BS4" s="808"/>
      <c r="BT4" s="808"/>
      <c r="BU4" s="809"/>
      <c r="DC4" s="810"/>
      <c r="DD4" s="804"/>
      <c r="DE4" s="804"/>
      <c r="DG4" s="587"/>
      <c r="DH4" s="804"/>
      <c r="DK4" s="810"/>
      <c r="DL4" s="804"/>
      <c r="DP4" s="810"/>
      <c r="DQ4" s="804"/>
      <c r="DU4" s="810"/>
      <c r="DV4" s="804"/>
      <c r="DZ4" s="810"/>
      <c r="EA4" s="804"/>
      <c r="EE4" s="810"/>
      <c r="EF4" s="804"/>
      <c r="EJ4" s="579"/>
      <c r="EK4" s="579"/>
      <c r="EL4" s="579"/>
      <c r="EM4" s="579"/>
      <c r="EN4" s="579"/>
      <c r="EO4" s="579"/>
      <c r="EP4" s="579"/>
      <c r="EQ4" s="579"/>
      <c r="ER4" s="579"/>
      <c r="EV4" s="804"/>
      <c r="EW4" s="805"/>
      <c r="EX4" s="805"/>
      <c r="EY4" s="507"/>
      <c r="EZ4" s="507"/>
      <c r="FA4" s="507"/>
      <c r="FB4" s="507"/>
    </row>
    <row r="5" spans="1:158">
      <c r="DG5" s="810"/>
      <c r="DK5" s="810"/>
      <c r="DP5" s="810"/>
      <c r="DU5" s="810"/>
      <c r="DZ5" s="810"/>
      <c r="EE5" s="810"/>
      <c r="EJ5" s="579"/>
      <c r="EK5" s="579"/>
      <c r="EL5" s="579"/>
      <c r="EM5" s="579"/>
      <c r="EN5" s="579"/>
      <c r="EO5" s="579"/>
      <c r="EP5" s="579"/>
      <c r="EQ5" s="579"/>
      <c r="ER5" s="579"/>
      <c r="EV5" s="804"/>
      <c r="EW5" s="805"/>
      <c r="EX5" s="805"/>
      <c r="EY5" s="507"/>
      <c r="EZ5" s="507"/>
      <c r="FA5" s="507"/>
      <c r="FB5" s="507"/>
    </row>
    <row r="6" spans="1:158">
      <c r="C6" s="811">
        <f>G6-1</f>
        <v>1989</v>
      </c>
      <c r="D6" s="812"/>
      <c r="E6" s="812"/>
      <c r="G6" s="811">
        <f>K6-1</f>
        <v>1990</v>
      </c>
      <c r="H6" s="812"/>
      <c r="I6" s="812"/>
      <c r="K6" s="811">
        <f>O6-1</f>
        <v>1991</v>
      </c>
      <c r="L6" s="812"/>
      <c r="M6" s="812"/>
      <c r="O6" s="811">
        <f>S6-1</f>
        <v>1992</v>
      </c>
      <c r="P6" s="812"/>
      <c r="Q6" s="812"/>
      <c r="S6" s="811">
        <f>W6-1</f>
        <v>1993</v>
      </c>
      <c r="T6" s="812"/>
      <c r="U6" s="812"/>
      <c r="W6" s="811">
        <f>AA6-1</f>
        <v>1994</v>
      </c>
      <c r="X6" s="812"/>
      <c r="Y6" s="812"/>
      <c r="AA6" s="811">
        <v>1995</v>
      </c>
      <c r="AB6" s="812"/>
      <c r="AC6" s="812"/>
      <c r="AE6" s="811" t="s">
        <v>403</v>
      </c>
      <c r="AF6" s="812"/>
      <c r="AG6" s="812"/>
      <c r="AI6" s="811">
        <v>1996</v>
      </c>
      <c r="AJ6" s="812"/>
      <c r="AK6" s="812"/>
      <c r="AM6" s="811">
        <f>AQ6-1</f>
        <v>1997</v>
      </c>
      <c r="AN6" s="812"/>
      <c r="AO6" s="812"/>
      <c r="AQ6" s="811">
        <f>AU6-1</f>
        <v>1998</v>
      </c>
      <c r="AR6" s="812"/>
      <c r="AS6" s="812"/>
      <c r="AU6" s="811">
        <f>AY6-1</f>
        <v>1999</v>
      </c>
      <c r="AV6" s="812"/>
      <c r="AW6" s="812"/>
      <c r="AY6" s="811">
        <f>BC6-1</f>
        <v>2000</v>
      </c>
      <c r="AZ6" s="812"/>
      <c r="BA6" s="812"/>
      <c r="BC6" s="811">
        <f>BG6-1</f>
        <v>2001</v>
      </c>
      <c r="BD6" s="812"/>
      <c r="BE6" s="812"/>
      <c r="BG6" s="811">
        <v>2002</v>
      </c>
      <c r="BH6" s="812"/>
      <c r="BI6" s="812"/>
      <c r="BK6" s="811" t="s">
        <v>354</v>
      </c>
      <c r="BL6" s="812"/>
      <c r="BM6" s="812"/>
      <c r="BO6" s="811" t="s">
        <v>355</v>
      </c>
      <c r="BP6" s="812"/>
      <c r="BQ6" s="812"/>
      <c r="BS6" s="811">
        <v>2003</v>
      </c>
      <c r="BT6" s="812"/>
      <c r="BU6" s="812"/>
      <c r="BW6" s="811">
        <v>2004</v>
      </c>
      <c r="BX6" s="812"/>
      <c r="BY6" s="812"/>
      <c r="CA6" s="811">
        <f>BW6+1</f>
        <v>2005</v>
      </c>
      <c r="CB6" s="812"/>
      <c r="CC6" s="812"/>
      <c r="CE6" s="811">
        <f>CA6+1</f>
        <v>2006</v>
      </c>
      <c r="CF6" s="812"/>
      <c r="CG6" s="812"/>
      <c r="CI6" s="811">
        <f>CE6+1</f>
        <v>2007</v>
      </c>
      <c r="CJ6" s="812"/>
      <c r="CK6" s="812"/>
      <c r="CM6" s="811">
        <f>CI6+1</f>
        <v>2008</v>
      </c>
      <c r="CN6" s="812"/>
      <c r="CO6" s="812"/>
      <c r="CQ6" s="811">
        <f>CM6+1</f>
        <v>2009</v>
      </c>
      <c r="CR6" s="812"/>
      <c r="CS6" s="812"/>
      <c r="CU6" s="811">
        <f>CQ6+1</f>
        <v>2010</v>
      </c>
      <c r="CV6" s="1355"/>
      <c r="CW6" s="812"/>
      <c r="CY6" s="811">
        <f>CU6+1</f>
        <v>2011</v>
      </c>
      <c r="CZ6" s="812"/>
      <c r="DA6" s="812"/>
      <c r="DC6" s="811">
        <v>2012</v>
      </c>
      <c r="DD6" s="813"/>
      <c r="DE6" s="813"/>
      <c r="DG6" s="811">
        <v>2013</v>
      </c>
      <c r="DH6" s="813"/>
      <c r="DI6" s="813"/>
      <c r="DK6" s="811">
        <v>2014</v>
      </c>
      <c r="DL6" s="813"/>
      <c r="DM6" s="813"/>
      <c r="DP6" s="811">
        <v>2015</v>
      </c>
      <c r="DQ6" s="813"/>
      <c r="DR6" s="813"/>
      <c r="DU6" s="811">
        <f>DP6+1</f>
        <v>2016</v>
      </c>
      <c r="DV6" s="813"/>
      <c r="DW6" s="813"/>
      <c r="DZ6" s="811">
        <v>2017</v>
      </c>
      <c r="EA6" s="813"/>
      <c r="EB6" s="813"/>
      <c r="EE6" s="814">
        <f>DZ6+1</f>
        <v>2018</v>
      </c>
      <c r="EF6" s="813"/>
      <c r="EG6" s="813"/>
      <c r="EJ6" s="1059" t="s">
        <v>690</v>
      </c>
      <c r="EK6" s="1060"/>
      <c r="EL6" s="579"/>
      <c r="EM6" s="579"/>
      <c r="EN6" s="579"/>
      <c r="EO6" s="579"/>
      <c r="EP6" s="579"/>
      <c r="EQ6" s="579"/>
      <c r="ER6" s="579"/>
      <c r="ES6" s="815"/>
      <c r="ET6" s="815"/>
      <c r="EU6" s="815"/>
      <c r="EV6" s="804"/>
      <c r="EW6" s="805"/>
      <c r="EX6" s="805"/>
      <c r="EY6" s="507"/>
      <c r="EZ6" s="507"/>
      <c r="FA6" s="507"/>
      <c r="FB6" s="507"/>
    </row>
    <row r="7" spans="1:158">
      <c r="EJ7" s="1061"/>
      <c r="EK7" s="1062"/>
      <c r="EL7" s="579"/>
      <c r="EM7" s="579"/>
      <c r="EN7" s="579"/>
      <c r="EO7" s="579"/>
      <c r="EP7" s="579"/>
      <c r="EQ7" s="579"/>
      <c r="ER7" s="579"/>
      <c r="EW7" s="805"/>
      <c r="EX7" s="805"/>
      <c r="EY7" s="507"/>
      <c r="EZ7" s="507"/>
      <c r="FA7" s="507"/>
      <c r="FB7" s="507"/>
    </row>
    <row r="8" spans="1:158" outlineLevel="1">
      <c r="A8" s="816" t="s">
        <v>150</v>
      </c>
      <c r="CE8" s="817"/>
      <c r="DG8" s="818" t="s">
        <v>150</v>
      </c>
      <c r="DP8" s="1585" t="str">
        <f>DG8</f>
        <v>1. Net Sales (Year-to-Year % Increase/Comps)</v>
      </c>
      <c r="DQ8" s="1585"/>
      <c r="DR8" s="1585"/>
      <c r="DS8" s="1585"/>
      <c r="DT8" s="1585"/>
      <c r="DU8" s="1585"/>
      <c r="DV8" s="1585"/>
      <c r="DW8" s="1585"/>
      <c r="EJ8" s="1063"/>
      <c r="EK8" s="1064"/>
      <c r="EQ8" s="802"/>
      <c r="ER8" s="802"/>
      <c r="EW8" s="805"/>
      <c r="EX8" s="805"/>
      <c r="EY8" s="507"/>
      <c r="EZ8" s="507"/>
      <c r="FA8" s="507"/>
      <c r="FB8" s="507"/>
    </row>
    <row r="9" spans="1:158" outlineLevel="1">
      <c r="DC9" s="579"/>
      <c r="EJ9" s="1065" t="s">
        <v>691</v>
      </c>
      <c r="EK9" s="1066" t="s">
        <v>692</v>
      </c>
      <c r="EW9" s="805"/>
      <c r="EX9" s="805"/>
    </row>
    <row r="10" spans="1:158" outlineLevel="1">
      <c r="A10" s="819" t="s">
        <v>140</v>
      </c>
      <c r="C10" s="820">
        <v>3341</v>
      </c>
      <c r="D10" s="821">
        <v>5.3</v>
      </c>
      <c r="E10" s="822">
        <v>2.1</v>
      </c>
      <c r="G10" s="820">
        <v>3530</v>
      </c>
      <c r="H10" s="821">
        <f>(G10/C10-1)*100</f>
        <v>5.6569889254714179</v>
      </c>
      <c r="I10" s="822">
        <v>4.3</v>
      </c>
      <c r="K10" s="820">
        <v>3433</v>
      </c>
      <c r="L10" s="821">
        <f>(K10/G10-1)*100</f>
        <v>-2.7478753541076539</v>
      </c>
      <c r="M10" s="822">
        <v>-5.2</v>
      </c>
      <c r="O10" s="820">
        <v>3793</v>
      </c>
      <c r="P10" s="821">
        <f>(O10/K10-1)*100</f>
        <v>10.486454995630634</v>
      </c>
      <c r="Q10" s="822">
        <v>12</v>
      </c>
      <c r="S10" s="820">
        <v>3964</v>
      </c>
      <c r="T10" s="821">
        <f>(S10/O10-1)*100</f>
        <v>4.5083047719483238</v>
      </c>
      <c r="U10" s="822">
        <v>4.7</v>
      </c>
      <c r="W10" s="820">
        <v>4350</v>
      </c>
      <c r="X10" s="821">
        <f>(W10/S10-1)*100</f>
        <v>9.7376387487386538</v>
      </c>
      <c r="Y10" s="822">
        <v>10</v>
      </c>
      <c r="AA10" s="820">
        <v>4367</v>
      </c>
      <c r="AB10" s="821">
        <f>(AA10/W10-1)*100</f>
        <v>0.39080459770115539</v>
      </c>
      <c r="AC10" s="822">
        <v>-1.2</v>
      </c>
      <c r="AE10" s="820">
        <v>6056</v>
      </c>
      <c r="AF10" s="821">
        <f>(AE10/AA10-1)*100</f>
        <v>38.67643691321274</v>
      </c>
      <c r="AG10" s="822" t="s">
        <v>24</v>
      </c>
      <c r="AI10" s="820">
        <v>4452</v>
      </c>
      <c r="AJ10" s="821">
        <f>(AI10/AA10-1)*100</f>
        <v>1.9464163040989302</v>
      </c>
      <c r="AK10" s="822">
        <v>-0.8</v>
      </c>
      <c r="AM10" s="820">
        <v>6477.3</v>
      </c>
      <c r="AN10" s="821">
        <f>(AM10/AE10-1)*100</f>
        <v>6.9567371202113648</v>
      </c>
      <c r="AO10" s="822">
        <v>4.5</v>
      </c>
      <c r="AQ10" s="820">
        <v>6755</v>
      </c>
      <c r="AR10" s="821">
        <f>(AQ10/AM10-1)*100</f>
        <v>4.2872801939079608</v>
      </c>
      <c r="AS10" s="822">
        <v>1.9</v>
      </c>
      <c r="AU10" s="820">
        <v>7339</v>
      </c>
      <c r="AV10" s="821">
        <f>(AU10/AQ10-1)*100</f>
        <v>8.6454478164322843</v>
      </c>
      <c r="AW10" s="822">
        <v>-0.5</v>
      </c>
      <c r="AY10" s="820">
        <v>7528</v>
      </c>
      <c r="AZ10" s="821">
        <f>(AY10/AU10-1)*100</f>
        <v>2.5752827360675745</v>
      </c>
      <c r="BA10" s="822">
        <v>-3.1</v>
      </c>
      <c r="BC10" s="820">
        <v>7522</v>
      </c>
      <c r="BD10" s="821">
        <f>(BC10/AY10-1)*100</f>
        <v>-7.9702444208284984E-2</v>
      </c>
      <c r="BE10" s="822">
        <v>-1.5</v>
      </c>
      <c r="BG10" s="820">
        <v>7728</v>
      </c>
      <c r="BH10" s="821">
        <f>(BG10/BC10-1)*100</f>
        <v>2.7386333421962172</v>
      </c>
      <c r="BI10" s="822">
        <v>4.4000000000000004</v>
      </c>
      <c r="BK10" s="820">
        <v>4049</v>
      </c>
      <c r="BL10" s="821">
        <f>(BK10/AY10-1)*100</f>
        <v>-46.214133900106269</v>
      </c>
      <c r="BM10" s="822">
        <v>-1.5</v>
      </c>
      <c r="BO10" s="820">
        <v>3990</v>
      </c>
      <c r="BP10" s="821">
        <f>(BO10/BK10-1)*100</f>
        <v>-1.4571499135589083</v>
      </c>
      <c r="BQ10" s="822">
        <v>4.4000000000000004</v>
      </c>
      <c r="BS10" s="820">
        <v>3669</v>
      </c>
      <c r="BT10" s="821">
        <f>(BS10/BO10-1)*100</f>
        <v>-8.045112781954888</v>
      </c>
      <c r="BU10" s="822">
        <v>-4.5999999999999996</v>
      </c>
      <c r="BW10" s="820">
        <v>3972</v>
      </c>
      <c r="BX10" s="821">
        <f>(BW10/BS10-1)*100</f>
        <v>8.2583810302534708</v>
      </c>
      <c r="BY10" s="822">
        <v>9.1</v>
      </c>
      <c r="CA10" s="820">
        <v>4118</v>
      </c>
      <c r="CB10" s="821">
        <f>(CA10/BW10-1)*100</f>
        <v>3.6757301107754214</v>
      </c>
      <c r="CC10" s="822">
        <v>3</v>
      </c>
      <c r="CE10" s="820">
        <v>4219</v>
      </c>
      <c r="CF10" s="821">
        <f>(CE10/CA10-1)*100</f>
        <v>2.4526469159786402</v>
      </c>
      <c r="CG10" s="822">
        <v>2.6</v>
      </c>
      <c r="CI10" s="820">
        <v>4349</v>
      </c>
      <c r="CJ10" s="821">
        <f>(CI10/CE10-1)*100</f>
        <v>3.0812988859919344</v>
      </c>
      <c r="CK10" s="822">
        <v>3.4</v>
      </c>
      <c r="CM10" s="820">
        <v>4127</v>
      </c>
      <c r="CN10" s="821">
        <f>(CM10/CI10-1)*100</f>
        <v>-5.1046217521269259</v>
      </c>
      <c r="CO10" s="822">
        <v>-7.4</v>
      </c>
      <c r="CQ10" s="820">
        <v>3886.4351206486276</v>
      </c>
      <c r="CR10" s="821">
        <f>(CQ10/CM10-1)*100</f>
        <v>-5.8290496571691826</v>
      </c>
      <c r="CS10" s="822">
        <v>-7.5</v>
      </c>
      <c r="CU10" s="820">
        <v>3929</v>
      </c>
      <c r="CV10" s="821">
        <f>(CU10/CQ10-1)*100</f>
        <v>1.095216516679387</v>
      </c>
      <c r="CW10" s="822">
        <v>1.6</v>
      </c>
      <c r="CY10" s="820">
        <v>3943</v>
      </c>
      <c r="CZ10" s="821">
        <f>(CY10/CU10-1)*100</f>
        <v>0.35632476457114759</v>
      </c>
      <c r="DA10" s="822">
        <v>3.8</v>
      </c>
      <c r="DC10" s="820">
        <v>3152</v>
      </c>
      <c r="DD10" s="821">
        <f>(DC10/CY10-1)*100</f>
        <v>-20.060867359878266</v>
      </c>
      <c r="DE10" s="822">
        <v>-18.899999999999999</v>
      </c>
      <c r="DG10" s="1354">
        <f>2635</f>
        <v>2635</v>
      </c>
      <c r="DH10" s="821">
        <f>(DG10/DC10-1)*100</f>
        <v>-16.402284263959388</v>
      </c>
      <c r="DI10" s="822">
        <f>qtrSales!F200</f>
        <v>-16.600000000000001</v>
      </c>
      <c r="DJ10" s="823"/>
      <c r="DK10" s="1354">
        <f>qtrSales!S207</f>
        <v>2801</v>
      </c>
      <c r="DL10" s="821">
        <f>(DK10/DG10-1)*100</f>
        <v>6.299810246679316</v>
      </c>
      <c r="DM10" s="822">
        <f>qtrSales!F207</f>
        <v>6.2</v>
      </c>
      <c r="DP10" s="1354">
        <f>qtrSales!$S214</f>
        <v>2857</v>
      </c>
      <c r="DQ10" s="821">
        <f>(DP10/DK10-1)*100</f>
        <v>1.9992859692966825</v>
      </c>
      <c r="DR10" s="822">
        <f>qtrSales!$F214</f>
        <v>3.4</v>
      </c>
      <c r="DS10" s="756"/>
      <c r="DT10" s="756"/>
      <c r="DU10" s="1354">
        <f>qtrSales!S221</f>
        <v>2811</v>
      </c>
      <c r="DV10" s="821">
        <f>(DU10/DP10-1)*100</f>
        <v>-1.610080504025202</v>
      </c>
      <c r="DW10" s="822">
        <f>qtrSales!F221</f>
        <v>-0.4</v>
      </c>
      <c r="DX10" s="756"/>
      <c r="DY10" s="756"/>
      <c r="DZ10" s="1354">
        <f>qtrSales!S228</f>
        <v>2706</v>
      </c>
      <c r="EA10" s="821">
        <f>(DZ10/DU10-1)*100</f>
        <v>-3.7353255069370372</v>
      </c>
      <c r="EB10" s="822">
        <f>qtrSales!F228</f>
        <v>-3.5</v>
      </c>
      <c r="EC10" s="756"/>
      <c r="ED10" s="756"/>
      <c r="EE10" s="1528">
        <f>qtrSales!S235</f>
        <v>2662.7040000000002</v>
      </c>
      <c r="EF10" s="821">
        <f>(EE10/DZ10-1)*100</f>
        <v>-1.5999999999999903</v>
      </c>
      <c r="EG10" s="822">
        <f>qtrSales!F235</f>
        <v>4</v>
      </c>
      <c r="EH10" s="756"/>
      <c r="EI10" s="756"/>
      <c r="EJ10" s="1067">
        <f>EB10+DW10</f>
        <v>-3.9</v>
      </c>
      <c r="EK10" s="1068">
        <f>DW10+EB10+DR10</f>
        <v>-0.5</v>
      </c>
      <c r="EL10" s="822"/>
      <c r="EM10" s="822"/>
      <c r="EN10" s="822"/>
      <c r="EO10" s="822"/>
      <c r="EP10" s="822"/>
      <c r="EQ10" s="822"/>
      <c r="ER10" s="822"/>
      <c r="ES10" s="822"/>
      <c r="ET10" s="822"/>
      <c r="EU10" s="822"/>
      <c r="EV10" s="822"/>
      <c r="EW10" s="805"/>
      <c r="EX10" s="805"/>
    </row>
    <row r="11" spans="1:158" outlineLevel="1">
      <c r="A11" s="819" t="s">
        <v>141</v>
      </c>
      <c r="C11" s="824">
        <v>3438</v>
      </c>
      <c r="D11" s="821">
        <v>7.1</v>
      </c>
      <c r="E11" s="822">
        <v>4.5999999999999996</v>
      </c>
      <c r="G11" s="824">
        <v>3580</v>
      </c>
      <c r="H11" s="821">
        <f>(G11/C11-1)*100</f>
        <v>4.1303083187899992</v>
      </c>
      <c r="I11" s="822">
        <v>2.2000000000000002</v>
      </c>
      <c r="K11" s="824">
        <v>3456</v>
      </c>
      <c r="L11" s="821">
        <f>(K11/G11-1)*100</f>
        <v>-3.4636871508379907</v>
      </c>
      <c r="M11" s="822">
        <v>-5.3</v>
      </c>
      <c r="O11" s="824">
        <v>3789</v>
      </c>
      <c r="P11" s="821">
        <f>(O11/K11-1)*100</f>
        <v>9.635416666666675</v>
      </c>
      <c r="Q11" s="822">
        <v>10.6</v>
      </c>
      <c r="S11" s="824">
        <v>3963</v>
      </c>
      <c r="T11" s="821">
        <f>(S11/O11-1)*100</f>
        <v>4.5922406967537688</v>
      </c>
      <c r="U11" s="822">
        <v>2.6</v>
      </c>
      <c r="W11" s="824">
        <v>4242</v>
      </c>
      <c r="X11" s="821">
        <f>(W11/S11-1)*100</f>
        <v>7.0401211203633629</v>
      </c>
      <c r="Y11" s="822">
        <v>5</v>
      </c>
      <c r="AA11" s="824">
        <v>4435</v>
      </c>
      <c r="AB11" s="821">
        <f>(AA11/W11-1)*100</f>
        <v>4.5497406883545422</v>
      </c>
      <c r="AC11" s="822">
        <v>2.2000000000000002</v>
      </c>
      <c r="AE11" s="824">
        <v>6013</v>
      </c>
      <c r="AF11" s="821">
        <f>(AE11/AA11-1)*100</f>
        <v>35.580608793686586</v>
      </c>
      <c r="AG11" s="822" t="s">
        <v>24</v>
      </c>
      <c r="AI11" s="824">
        <v>4507</v>
      </c>
      <c r="AJ11" s="821">
        <f>(AI11/AA11-1)*100</f>
        <v>1.6234498308906442</v>
      </c>
      <c r="AK11" s="822">
        <v>0.4</v>
      </c>
      <c r="AM11" s="824">
        <v>6385.6</v>
      </c>
      <c r="AN11" s="821">
        <f>(AM11/AE11-1)*100</f>
        <v>6.1965740894728061</v>
      </c>
      <c r="AO11" s="822">
        <v>2</v>
      </c>
      <c r="AQ11" s="824">
        <v>6482</v>
      </c>
      <c r="AR11" s="821">
        <f>(AQ11/AM11-1)*100</f>
        <v>1.5096467050864426</v>
      </c>
      <c r="AS11" s="822">
        <v>-2.5</v>
      </c>
      <c r="AU11" s="824">
        <v>7104</v>
      </c>
      <c r="AV11" s="821">
        <f>(AU11/AQ11-1)*100</f>
        <v>9.5958037642702934</v>
      </c>
      <c r="AW11" s="822">
        <v>0</v>
      </c>
      <c r="AY11" s="824">
        <v>7207</v>
      </c>
      <c r="AZ11" s="821">
        <f>(AY11/AU11-1)*100</f>
        <v>1.449887387387383</v>
      </c>
      <c r="BA11" s="822">
        <v>-1.5</v>
      </c>
      <c r="BC11" s="824">
        <v>7211</v>
      </c>
      <c r="BD11" s="821">
        <f>(BC11/AY11-1)*100</f>
        <v>5.5501595670870429E-2</v>
      </c>
      <c r="BE11" s="822">
        <v>-1.5</v>
      </c>
      <c r="BG11" s="824">
        <v>7198</v>
      </c>
      <c r="BH11" s="821">
        <f>(BG11/BC11-1)*100</f>
        <v>-0.18028012758285472</v>
      </c>
      <c r="BI11" s="822">
        <v>-2.4</v>
      </c>
      <c r="BK11" s="824">
        <v>3842</v>
      </c>
      <c r="BL11" s="821">
        <f>(BK11/AY11-1)*100</f>
        <v>-46.690717358124047</v>
      </c>
      <c r="BM11" s="822">
        <v>-1.5</v>
      </c>
      <c r="BO11" s="824">
        <v>3605.982</v>
      </c>
      <c r="BP11" s="821">
        <f>(BO11/BK11-1)*100</f>
        <v>-6.1431025507548203</v>
      </c>
      <c r="BQ11" s="822">
        <v>-2.4</v>
      </c>
      <c r="BS11" s="824">
        <v>3578</v>
      </c>
      <c r="BT11" s="821">
        <f>(BS11/BO11-1)*100</f>
        <v>-0.77598834381313875</v>
      </c>
      <c r="BU11" s="822">
        <v>2.5</v>
      </c>
      <c r="BW11" s="824">
        <v>3778</v>
      </c>
      <c r="BX11" s="821">
        <f>(BW11/BS11-1)*100</f>
        <v>5.5897149245388578</v>
      </c>
      <c r="BY11" s="822">
        <v>6.9</v>
      </c>
      <c r="CA11" s="824">
        <v>3981</v>
      </c>
      <c r="CB11" s="821">
        <f>(CA11/BW11-1)*100</f>
        <v>5.3732133403917359</v>
      </c>
      <c r="CC11" s="822">
        <v>4.2</v>
      </c>
      <c r="CE11" s="824">
        <v>4237.0879999999997</v>
      </c>
      <c r="CF11" s="821">
        <f>(CE11/CA11-1)*100</f>
        <v>6.4327555890479671</v>
      </c>
      <c r="CG11" s="822">
        <v>7.6</v>
      </c>
      <c r="CI11" s="824">
        <v>4390</v>
      </c>
      <c r="CJ11" s="821">
        <f>(CI11/CE11-1)*100</f>
        <v>3.6088936552651329</v>
      </c>
      <c r="CK11" s="822">
        <v>2.9</v>
      </c>
      <c r="CM11" s="824">
        <v>4282.4964120962914</v>
      </c>
      <c r="CN11" s="821">
        <f>(CM11/CI11-1)*100</f>
        <v>-2.448828881633458</v>
      </c>
      <c r="CO11" s="822">
        <v>-4.3</v>
      </c>
      <c r="CQ11" s="824">
        <v>3942.6502200871132</v>
      </c>
      <c r="CR11" s="821">
        <f>(CQ11/CM11-1)*100</f>
        <v>-7.9357029009820668</v>
      </c>
      <c r="CS11" s="822">
        <v>-9.5</v>
      </c>
      <c r="CU11" s="824">
        <v>3938</v>
      </c>
      <c r="CV11" s="821">
        <f>(CU11/CQ11-1)*100</f>
        <v>-0.11794655441208501</v>
      </c>
      <c r="CW11" s="822">
        <v>0.9</v>
      </c>
      <c r="CY11" s="824">
        <v>3906</v>
      </c>
      <c r="CZ11" s="821">
        <f>(CY11/CU11-1)*100</f>
        <v>-0.81259522600304335</v>
      </c>
      <c r="DA11" s="822">
        <v>1.5</v>
      </c>
      <c r="DC11" s="1353">
        <v>3022</v>
      </c>
      <c r="DD11" s="821">
        <f>(DC11/CY11-1)*100</f>
        <v>-22.63184843830005</v>
      </c>
      <c r="DE11" s="822">
        <f>qtrSales!F194</f>
        <v>-21.7</v>
      </c>
      <c r="DG11" s="1353">
        <v>2663</v>
      </c>
      <c r="DH11" s="821">
        <f>(DG11/DC11-1)*100</f>
        <v>-11.87954996690933</v>
      </c>
      <c r="DI11" s="822">
        <f>qtrSales!F201</f>
        <v>-11.9</v>
      </c>
      <c r="DJ11" s="823"/>
      <c r="DK11" s="1353">
        <f>qtrSales!S208</f>
        <v>2799</v>
      </c>
      <c r="DL11" s="821">
        <f>(DK11/DG11-1)*100</f>
        <v>5.1070221554637696</v>
      </c>
      <c r="DM11" s="822">
        <f>qtrSales!F208</f>
        <v>6</v>
      </c>
      <c r="DP11" s="1353">
        <f>qtrSales!$S215</f>
        <v>2875</v>
      </c>
      <c r="DQ11" s="821">
        <f>(DP11/DK11-1)*100</f>
        <v>2.7152554483744096</v>
      </c>
      <c r="DR11" s="822">
        <f>qtrSales!$F215</f>
        <v>4.0999999999999996</v>
      </c>
      <c r="DU11" s="1353">
        <f>qtrSales!S222</f>
        <v>2918</v>
      </c>
      <c r="DV11" s="821">
        <f t="shared" ref="DV11:DV16" si="0">(DU11/DP11-1)*100</f>
        <v>1.4956521739130535</v>
      </c>
      <c r="DW11" s="822">
        <f>qtrSales!F222</f>
        <v>2.2000000000000002</v>
      </c>
      <c r="DZ11" s="1353">
        <f>qtrSales!S229</f>
        <v>2962.0000000000005</v>
      </c>
      <c r="EA11" s="821">
        <f>(DZ11/DU11-1)*100</f>
        <v>1.5078821110349638</v>
      </c>
      <c r="EB11" s="822">
        <f>qtrSales!F229</f>
        <v>-1.3</v>
      </c>
      <c r="EE11" s="949">
        <f>qtrSales!S236</f>
        <v>2938.3040000000005</v>
      </c>
      <c r="EF11" s="821">
        <f>(EE11/DZ11-1)*100</f>
        <v>-0.80000000000000071</v>
      </c>
      <c r="EG11" s="822">
        <f>qtrSales!F236</f>
        <v>1</v>
      </c>
      <c r="EJ11" s="1067">
        <f t="shared" ref="EJ11:EJ13" si="1">EB11+DW11</f>
        <v>0.90000000000000013</v>
      </c>
      <c r="EK11" s="1068">
        <f>DW11+EB11+DR11</f>
        <v>5</v>
      </c>
      <c r="EL11" s="822"/>
      <c r="EM11" s="822"/>
      <c r="EN11" s="822"/>
      <c r="EO11" s="822"/>
      <c r="EP11" s="822"/>
      <c r="EQ11" s="822"/>
      <c r="ER11" s="822"/>
      <c r="ES11" s="822"/>
      <c r="ET11" s="822"/>
      <c r="EU11" s="822"/>
      <c r="EV11" s="822"/>
      <c r="EW11" s="805"/>
      <c r="EX11" s="805"/>
    </row>
    <row r="12" spans="1:158" outlineLevel="1">
      <c r="A12" s="819" t="s">
        <v>142</v>
      </c>
      <c r="C12" s="824">
        <v>4061</v>
      </c>
      <c r="D12" s="821">
        <v>12.5</v>
      </c>
      <c r="E12" s="822">
        <v>11.3</v>
      </c>
      <c r="G12" s="824">
        <v>3995</v>
      </c>
      <c r="H12" s="821">
        <f>(G12/C12-1)*100</f>
        <v>-1.6252154641713812</v>
      </c>
      <c r="I12" s="822">
        <v>-3.6</v>
      </c>
      <c r="K12" s="824">
        <v>3937</v>
      </c>
      <c r="L12" s="821">
        <f>(K12/G12-1)*100</f>
        <v>-1.4518147684605798</v>
      </c>
      <c r="M12" s="822">
        <v>-3</v>
      </c>
      <c r="O12" s="824">
        <v>4342</v>
      </c>
      <c r="P12" s="821">
        <f>(O12/K12-1)*100</f>
        <v>10.28702057404114</v>
      </c>
      <c r="Q12" s="822">
        <v>10.5</v>
      </c>
      <c r="S12" s="824">
        <v>4735</v>
      </c>
      <c r="T12" s="821">
        <f>(S12/O12-1)*100</f>
        <v>9.0511285122063523</v>
      </c>
      <c r="U12" s="822">
        <v>7.5</v>
      </c>
      <c r="W12" s="824">
        <v>5149</v>
      </c>
      <c r="X12" s="821">
        <f>(W12/S12-1)*100</f>
        <v>8.7434002111932418</v>
      </c>
      <c r="Y12" s="822">
        <v>8.1999999999999993</v>
      </c>
      <c r="AA12" s="824">
        <v>5128</v>
      </c>
      <c r="AB12" s="821">
        <f>(AA12/W12-1)*100</f>
        <v>-0.40784618372499137</v>
      </c>
      <c r="AC12" s="822">
        <v>-3.1</v>
      </c>
      <c r="AE12" s="824">
        <v>7031</v>
      </c>
      <c r="AF12" s="821">
        <f>(AE12/AA12-1)*100</f>
        <v>37.109984399375982</v>
      </c>
      <c r="AG12" s="822" t="s">
        <v>24</v>
      </c>
      <c r="AI12" s="824">
        <v>5537</v>
      </c>
      <c r="AJ12" s="821">
        <f>(AI12/AA12-1)*100</f>
        <v>7.9758190327612999</v>
      </c>
      <c r="AK12" s="822">
        <v>6.2</v>
      </c>
      <c r="AM12" s="824">
        <v>7103.3</v>
      </c>
      <c r="AN12" s="821">
        <f>(AM12/AE12-1)*100</f>
        <v>1.0283032285592464</v>
      </c>
      <c r="AO12" s="822">
        <v>-2.5</v>
      </c>
      <c r="AQ12" s="824">
        <v>7129</v>
      </c>
      <c r="AR12" s="821">
        <f>(AQ12/AM12-1)*100</f>
        <v>0.36180366871736425</v>
      </c>
      <c r="AS12" s="822">
        <v>-4</v>
      </c>
      <c r="AU12" s="824">
        <v>7639</v>
      </c>
      <c r="AV12" s="821">
        <f>(AU12/AQ12-1)*100</f>
        <v>7.1538785243372205</v>
      </c>
      <c r="AW12" s="822">
        <v>-3</v>
      </c>
      <c r="AY12" s="824">
        <v>7538</v>
      </c>
      <c r="AZ12" s="821">
        <f>(AY12/AU12-1)*100</f>
        <v>-1.3221625867260167</v>
      </c>
      <c r="BA12" s="822">
        <v>-3.7</v>
      </c>
      <c r="BC12" s="824">
        <v>7729</v>
      </c>
      <c r="BD12" s="821">
        <f>(BC12/AY12-1)*100</f>
        <v>2.5338286017511313</v>
      </c>
      <c r="BE12" s="822">
        <v>5.0999999999999996</v>
      </c>
      <c r="BG12" s="824">
        <v>7872</v>
      </c>
      <c r="BH12" s="821">
        <f>(BG12/BC12-1)*100</f>
        <v>1.8501746668391661</v>
      </c>
      <c r="BI12" s="822">
        <v>3.9</v>
      </c>
      <c r="BK12" s="824">
        <v>4346</v>
      </c>
      <c r="BL12" s="821">
        <f>(BK12/AY12-1)*100</f>
        <v>-42.345449721411512</v>
      </c>
      <c r="BM12" s="822">
        <v>5.0999999999999996</v>
      </c>
      <c r="BO12" s="824">
        <v>4294</v>
      </c>
      <c r="BP12" s="821">
        <f>(BO12/BK12-1)*100</f>
        <v>-1.1965025310630484</v>
      </c>
      <c r="BQ12" s="822">
        <v>3.9</v>
      </c>
      <c r="BS12" s="824">
        <v>4268</v>
      </c>
      <c r="BT12" s="821">
        <f>(BS12/BO12-1)*100</f>
        <v>-0.60549604098741883</v>
      </c>
      <c r="BU12" s="822">
        <v>1.7</v>
      </c>
      <c r="BW12" s="824">
        <v>4391</v>
      </c>
      <c r="BX12" s="821">
        <f>(BW12/BS12-1)*100</f>
        <v>2.8819119025304651</v>
      </c>
      <c r="BY12" s="822">
        <v>2.6202364955657078</v>
      </c>
      <c r="CA12" s="824">
        <v>4479</v>
      </c>
      <c r="CB12" s="821">
        <f>(CA12/BW12-1)*100</f>
        <v>2.0040992940104863</v>
      </c>
      <c r="CC12" s="822">
        <v>2.5</v>
      </c>
      <c r="CE12" s="824">
        <v>4781</v>
      </c>
      <c r="CF12" s="821">
        <f>(CE12/CA12-1)*100</f>
        <v>6.7425764679615918</v>
      </c>
      <c r="CG12" s="822">
        <v>6.5</v>
      </c>
      <c r="CI12" s="824">
        <v>4728</v>
      </c>
      <c r="CJ12" s="821">
        <f>(CI12/CE12-1)*100</f>
        <v>-1.1085546956703607</v>
      </c>
      <c r="CK12" s="822">
        <v>-2.4</v>
      </c>
      <c r="CM12" s="824">
        <v>4317.814358998382</v>
      </c>
      <c r="CN12" s="821">
        <f>(CM12/CI12-1)*100</f>
        <v>-8.6756692259225439</v>
      </c>
      <c r="CO12" s="822">
        <v>-10.1</v>
      </c>
      <c r="CQ12" s="824">
        <v>4180.3941909596269</v>
      </c>
      <c r="CR12" s="821">
        <f>(CQ12/CM12-1)*100</f>
        <v>-3.1826326148638007</v>
      </c>
      <c r="CS12" s="822">
        <v>-4.5999999999999996</v>
      </c>
      <c r="CU12" s="824">
        <v>4189</v>
      </c>
      <c r="CV12" s="821">
        <f>(CU12/CQ12-1)*100</f>
        <v>0.20586118550693921</v>
      </c>
      <c r="CW12" s="822">
        <v>1.9</v>
      </c>
      <c r="CY12" s="824">
        <v>3986</v>
      </c>
      <c r="CZ12" s="821">
        <f>(CY12/CU12-1)*100</f>
        <v>-4.8460253043685846</v>
      </c>
      <c r="DA12" s="822">
        <v>-1.6</v>
      </c>
      <c r="DC12" s="1353">
        <v>2927</v>
      </c>
      <c r="DD12" s="821">
        <f>(DC12/CY12-1)*100</f>
        <v>-26.56798795785248</v>
      </c>
      <c r="DE12" s="822">
        <f>qtrSales!F195</f>
        <v>-26.1</v>
      </c>
      <c r="DG12" s="1353">
        <v>2779</v>
      </c>
      <c r="DH12" s="821">
        <f>(DG12/DC12-1)*100</f>
        <v>-5.0563717116501543</v>
      </c>
      <c r="DI12" s="822">
        <f>qtrSales!F202</f>
        <v>-4.8</v>
      </c>
      <c r="DJ12" s="823"/>
      <c r="DK12" s="1353">
        <f>qtrSales!S209</f>
        <v>2764</v>
      </c>
      <c r="DL12" s="821">
        <f>(DK12/DG12-1)*100</f>
        <v>-0.53976250449802032</v>
      </c>
      <c r="DM12" s="822">
        <f>qtrSales!F209</f>
        <v>0</v>
      </c>
      <c r="DP12" s="1353">
        <f>qtrSales!$S216</f>
        <v>2897</v>
      </c>
      <c r="DQ12" s="821">
        <f>(DP12/DK12-1)*100</f>
        <v>4.8118668596237368</v>
      </c>
      <c r="DR12" s="822">
        <f>qtrSales!$F216</f>
        <v>6.4</v>
      </c>
      <c r="DU12" s="1353">
        <f>qtrSales!S223</f>
        <v>2857</v>
      </c>
      <c r="DV12" s="821">
        <f t="shared" si="0"/>
        <v>-1.3807386952019329</v>
      </c>
      <c r="DW12" s="822">
        <f>qtrSales!F223</f>
        <v>-0.8</v>
      </c>
      <c r="DZ12" s="1353">
        <f>qtrSales!S230</f>
        <v>2807</v>
      </c>
      <c r="EA12" s="821">
        <f>(DZ12/DU12-1)*100</f>
        <v>-1.7500875043752195</v>
      </c>
      <c r="EB12" s="822">
        <f>qtrSales!F230</f>
        <v>1.7</v>
      </c>
      <c r="EE12" s="949">
        <f>qtrSales!S237</f>
        <v>2728.404</v>
      </c>
      <c r="EF12" s="821">
        <f>(EE12/DZ12-1)*100</f>
        <v>-2.8000000000000025</v>
      </c>
      <c r="EG12" s="822">
        <f>qtrSales!F237</f>
        <v>-0.5</v>
      </c>
      <c r="EJ12" s="1067">
        <f t="shared" si="1"/>
        <v>0.89999999999999991</v>
      </c>
      <c r="EK12" s="1068">
        <f>DW12+EB12+DR12</f>
        <v>7.3000000000000007</v>
      </c>
      <c r="EL12" s="822"/>
      <c r="EM12" s="822"/>
      <c r="EN12" s="822"/>
      <c r="EO12" s="822"/>
      <c r="EP12" s="826"/>
      <c r="EQ12" s="822"/>
      <c r="ER12" s="822"/>
      <c r="ES12" s="822"/>
      <c r="ET12" s="822"/>
      <c r="EU12" s="822"/>
      <c r="EV12" s="822"/>
      <c r="EW12" s="805"/>
      <c r="EX12" s="805"/>
    </row>
    <row r="13" spans="1:158" outlineLevel="1">
      <c r="A13" s="819" t="s">
        <v>143</v>
      </c>
      <c r="C13" s="827">
        <v>5263</v>
      </c>
      <c r="D13" s="821">
        <v>8.8000000000000007</v>
      </c>
      <c r="E13" s="822">
        <v>7.7</v>
      </c>
      <c r="G13" s="827">
        <v>5260</v>
      </c>
      <c r="H13" s="821">
        <f>(G13/C13-1)*100</f>
        <v>-5.7001710051296506E-2</v>
      </c>
      <c r="I13" s="822">
        <v>-2.2000000000000002</v>
      </c>
      <c r="K13" s="827">
        <v>5375</v>
      </c>
      <c r="L13" s="821">
        <f>(K13/G13-1)*100</f>
        <v>2.1863117870722482</v>
      </c>
      <c r="M13" s="822">
        <v>0.5</v>
      </c>
      <c r="O13" s="827">
        <v>6085</v>
      </c>
      <c r="P13" s="821">
        <f>(O13/K13-1)*100</f>
        <v>13.209302325581396</v>
      </c>
      <c r="Q13" s="822">
        <v>8</v>
      </c>
      <c r="S13" s="827">
        <v>6321</v>
      </c>
      <c r="T13" s="821">
        <f>(S13/O13-1)*100</f>
        <v>3.8783894823336107</v>
      </c>
      <c r="U13" s="822">
        <v>10.199999999999999</v>
      </c>
      <c r="W13" s="827">
        <v>6639</v>
      </c>
      <c r="X13" s="821">
        <f>(W13/S13-1)*100</f>
        <v>5.0308495491219851</v>
      </c>
      <c r="Y13" s="822">
        <v>5.6</v>
      </c>
      <c r="AA13" s="827">
        <v>6632</v>
      </c>
      <c r="AB13" s="821">
        <f>(AA13/W13-1)*100</f>
        <v>-0.10543756589848075</v>
      </c>
      <c r="AC13" s="822">
        <v>-2.5</v>
      </c>
      <c r="AE13" s="827">
        <v>8932</v>
      </c>
      <c r="AF13" s="821">
        <f>(AE13/AA13-1)*100</f>
        <v>34.680337756332925</v>
      </c>
      <c r="AG13" s="822" t="s">
        <v>24</v>
      </c>
      <c r="AI13" s="827">
        <v>8156</v>
      </c>
      <c r="AJ13" s="821">
        <f>(AI13/AA13-1)*100</f>
        <v>22.979493365500602</v>
      </c>
      <c r="AK13" s="822">
        <v>5.6</v>
      </c>
      <c r="AM13" s="827">
        <v>9515</v>
      </c>
      <c r="AN13" s="821">
        <f>(AM13/AE13-1)*100</f>
        <v>6.5270935960591192</v>
      </c>
      <c r="AO13" s="822">
        <v>-2.8</v>
      </c>
      <c r="AQ13" s="827">
        <v>9072</v>
      </c>
      <c r="AR13" s="821">
        <f>(AQ13/AM13-1)*100</f>
        <v>-4.6558066211245368</v>
      </c>
      <c r="AS13" s="822">
        <v>-2.8</v>
      </c>
      <c r="AU13" s="827">
        <v>9661</v>
      </c>
      <c r="AV13" s="821">
        <f>(AU13/AQ13-1)*100</f>
        <v>6.4925044091710848</v>
      </c>
      <c r="AW13" s="822">
        <v>-1.4</v>
      </c>
      <c r="AY13" s="827">
        <v>9573</v>
      </c>
      <c r="AZ13" s="821">
        <f>(AY13/AU13-1)*100</f>
        <v>-0.91087879101542368</v>
      </c>
      <c r="BA13" s="822">
        <v>-1.6</v>
      </c>
      <c r="BC13" s="827">
        <v>9542</v>
      </c>
      <c r="BD13" s="821">
        <f>(BC13/AY13-1)*100</f>
        <v>-0.32382743131724734</v>
      </c>
      <c r="BE13" s="822">
        <v>1</v>
      </c>
      <c r="BG13" s="827">
        <v>9549</v>
      </c>
      <c r="BH13" s="821">
        <f>(BG13/BC13-1)*100</f>
        <v>7.3359882624179917E-2</v>
      </c>
      <c r="BI13" s="822">
        <v>1.9</v>
      </c>
      <c r="BK13" s="827">
        <v>5855</v>
      </c>
      <c r="BL13" s="821">
        <f>(BK13/AY13-1)*100</f>
        <v>-38.83839966572652</v>
      </c>
      <c r="BM13" s="822">
        <v>1</v>
      </c>
      <c r="BO13" s="827">
        <v>5743</v>
      </c>
      <c r="BP13" s="821">
        <f>(BO13/BK13-1)*100</f>
        <v>-1.9128949615713098</v>
      </c>
      <c r="BQ13" s="822">
        <v>1.9</v>
      </c>
      <c r="BS13" s="827">
        <v>5998</v>
      </c>
      <c r="BT13" s="821">
        <f>(BS13/BO13-1)*100</f>
        <v>4.4401880550235084</v>
      </c>
      <c r="BU13" s="822">
        <v>2.8</v>
      </c>
      <c r="BW13" s="827">
        <v>5955</v>
      </c>
      <c r="BX13" s="821">
        <f>(BW13/BS13-1)*100</f>
        <v>-0.71690563521173978</v>
      </c>
      <c r="BY13" s="822">
        <v>2.8</v>
      </c>
      <c r="CA13" s="827">
        <v>6203.0839999999998</v>
      </c>
      <c r="CB13" s="821">
        <f>(CA13/BW13-1)*100</f>
        <v>4.1659781696053777</v>
      </c>
      <c r="CC13" s="822">
        <v>2.6</v>
      </c>
      <c r="CE13" s="827">
        <v>6668</v>
      </c>
      <c r="CF13" s="821">
        <f>(CE13/CA13-1)*100</f>
        <v>7.4949170444894797</v>
      </c>
      <c r="CG13" s="822">
        <v>3.2</v>
      </c>
      <c r="CI13" s="827">
        <v>6390</v>
      </c>
      <c r="CJ13" s="821">
        <f>(CI13/CE13-1)*100</f>
        <v>-4.1691661667666473</v>
      </c>
      <c r="CK13" s="822">
        <v>-2.2999999999999998</v>
      </c>
      <c r="CM13" s="827">
        <v>5759.2217076112174</v>
      </c>
      <c r="CN13" s="821">
        <f>(CM13/CI13-1)*100</f>
        <v>-9.8713347791671744</v>
      </c>
      <c r="CO13" s="822">
        <v>-10.8</v>
      </c>
      <c r="CQ13" s="827">
        <v>5550</v>
      </c>
      <c r="CR13" s="821">
        <f>(CQ13/CM13-1)*100</f>
        <v>-3.6328121790261347</v>
      </c>
      <c r="CS13" s="822">
        <v>-4.5</v>
      </c>
      <c r="CU13" s="827">
        <v>5703</v>
      </c>
      <c r="CV13" s="821">
        <f>(CU13/CQ13-1)*100</f>
        <v>2.7567567567567508</v>
      </c>
      <c r="CW13" s="822">
        <v>4.5</v>
      </c>
      <c r="CY13" s="827">
        <v>5425</v>
      </c>
      <c r="CZ13" s="821">
        <f>(CY13/CU13-1)*100</f>
        <v>-4.8746273890934555</v>
      </c>
      <c r="DA13" s="822">
        <v>-1.8</v>
      </c>
      <c r="DC13" s="1357">
        <v>3884</v>
      </c>
      <c r="DD13" s="821">
        <f>(DC13/CY13-1)*100</f>
        <v>-28.405529953917053</v>
      </c>
      <c r="DE13" s="822">
        <f>qtrSales!F196</f>
        <v>-31.7</v>
      </c>
      <c r="DG13" s="1357">
        <v>3782</v>
      </c>
      <c r="DH13" s="821">
        <f>(DG13/DC13-1)*100</f>
        <v>-2.626158599382078</v>
      </c>
      <c r="DI13" s="822">
        <f>qtrSales!F203</f>
        <v>2</v>
      </c>
      <c r="DJ13" s="823"/>
      <c r="DK13" s="1357">
        <f>qtrSales!S210</f>
        <v>3893</v>
      </c>
      <c r="DL13" s="821">
        <f>(DK13/DG13-1)*100</f>
        <v>2.9349550502379751</v>
      </c>
      <c r="DM13" s="822">
        <f>qtrSales!F210</f>
        <v>4.4000000000000004</v>
      </c>
      <c r="DP13" s="1357">
        <f>qtrSales!$S217</f>
        <v>3996</v>
      </c>
      <c r="DQ13" s="821">
        <f>(DP13/DK13-1)*100</f>
        <v>2.6457744669920347</v>
      </c>
      <c r="DR13" s="822">
        <f>qtrSales!$F217</f>
        <v>4.0999999999999996</v>
      </c>
      <c r="DU13" s="1357">
        <f>qtrSales!S224</f>
        <v>3961</v>
      </c>
      <c r="DV13" s="821">
        <f t="shared" si="0"/>
        <v>-0.87587587587587556</v>
      </c>
      <c r="DW13" s="822">
        <f>qtrSales!F224</f>
        <v>-0.7</v>
      </c>
      <c r="DX13" s="823"/>
      <c r="DZ13" s="1357">
        <v>4031</v>
      </c>
      <c r="EA13" s="821">
        <f>(DZ13/DU13-1)*100</f>
        <v>1.7672304973491482</v>
      </c>
      <c r="EB13" s="822">
        <f>qtrSales!F231</f>
        <v>2.6</v>
      </c>
      <c r="EC13" s="587"/>
      <c r="EE13" s="827">
        <f>qtrSales!S238</f>
        <v>3724.6440000000002</v>
      </c>
      <c r="EF13" s="821">
        <f>(EE13/DZ13-1)*100</f>
        <v>-7.5999999999999961</v>
      </c>
      <c r="EG13" s="822">
        <f>qtrSales!F238</f>
        <v>-1</v>
      </c>
      <c r="EH13" s="587"/>
      <c r="EJ13" s="1069">
        <f t="shared" si="1"/>
        <v>1.9000000000000001</v>
      </c>
      <c r="EK13" s="1070">
        <f>DW13+EB13+DR13</f>
        <v>6</v>
      </c>
      <c r="EL13" s="822"/>
      <c r="EM13" s="822"/>
      <c r="EN13" s="822"/>
      <c r="EO13" s="822"/>
      <c r="EP13" s="822"/>
      <c r="EQ13" s="822"/>
      <c r="ER13" s="822"/>
      <c r="ES13" s="822"/>
      <c r="ET13" s="822"/>
      <c r="EU13" s="822"/>
      <c r="EV13" s="822"/>
      <c r="EW13" s="805"/>
      <c r="EX13" s="805"/>
    </row>
    <row r="14" spans="1:158" s="507" customFormat="1" outlineLevel="1">
      <c r="A14" s="828" t="s">
        <v>144</v>
      </c>
      <c r="C14" s="829">
        <f>SUM(C10:C13)</f>
        <v>16103</v>
      </c>
      <c r="D14" s="830">
        <v>8.6</v>
      </c>
      <c r="E14" s="831">
        <v>7.2</v>
      </c>
      <c r="G14" s="829">
        <f>SUM(G10:G13)</f>
        <v>16365</v>
      </c>
      <c r="H14" s="830">
        <f>(G14/C14-1)*100</f>
        <v>1.6270260199962694</v>
      </c>
      <c r="I14" s="831">
        <v>-0.3</v>
      </c>
      <c r="K14" s="829">
        <f>SUM(K10:K13)</f>
        <v>16201</v>
      </c>
      <c r="L14" s="830">
        <f>(K14/G14-1)*100</f>
        <v>-1.0021387106630031</v>
      </c>
      <c r="M14" s="831">
        <v>-1.5</v>
      </c>
      <c r="O14" s="829">
        <f>SUM(O10:O13)</f>
        <v>18009</v>
      </c>
      <c r="P14" s="830">
        <f>(O14/K14-1)*100</f>
        <v>11.159804950311702</v>
      </c>
      <c r="Q14" s="831">
        <v>9.6999999999999993</v>
      </c>
      <c r="S14" s="829">
        <f>SUM(S10:S13)</f>
        <v>18983</v>
      </c>
      <c r="T14" s="830">
        <f>(S14/O14-1)*100</f>
        <v>5.4084069076572927</v>
      </c>
      <c r="U14" s="831">
        <v>5.3</v>
      </c>
      <c r="W14" s="829">
        <f>SUM(W10:W13)</f>
        <v>20380</v>
      </c>
      <c r="X14" s="830">
        <f>(W14/S14-1)*100</f>
        <v>7.3592161407575185</v>
      </c>
      <c r="Y14" s="831">
        <v>7.0711579980372905</v>
      </c>
      <c r="AA14" s="829">
        <f>SUM(AA10:AA13)</f>
        <v>20562</v>
      </c>
      <c r="AB14" s="830">
        <f>(AA14/W14-1)*100</f>
        <v>0.89303238469087276</v>
      </c>
      <c r="AC14" s="831">
        <v>-1.359799630386149</v>
      </c>
      <c r="AE14" s="829">
        <f>SUM(AE10:AE13)</f>
        <v>28032</v>
      </c>
      <c r="AF14" s="830">
        <f>(AE14/AA14-1)*100</f>
        <v>36.329150860811211</v>
      </c>
      <c r="AG14" s="831" t="s">
        <v>24</v>
      </c>
      <c r="AI14" s="829">
        <f>SUM(AI10:AI13)</f>
        <v>22652</v>
      </c>
      <c r="AJ14" s="830">
        <f>(AI14/AA14-1)*100</f>
        <v>10.164380896799919</v>
      </c>
      <c r="AK14" s="831">
        <v>3.4540325784664283</v>
      </c>
      <c r="AM14" s="829">
        <f>SUM(AM10:AM13)</f>
        <v>29481.200000000001</v>
      </c>
      <c r="AN14" s="830">
        <f>(AM14/AE14-1)*100</f>
        <v>5.1698059360730575</v>
      </c>
      <c r="AO14" s="831">
        <v>-8.4162110090498482E-2</v>
      </c>
      <c r="AQ14" s="829">
        <f>SUM(AQ10:AQ13)</f>
        <v>29438</v>
      </c>
      <c r="AR14" s="830">
        <f>(AQ14/AM14-1)*100</f>
        <v>-0.14653406238552824</v>
      </c>
      <c r="AS14" s="831">
        <v>-1.9</v>
      </c>
      <c r="AU14" s="829">
        <f>SUM(AU10:AU13)</f>
        <v>31743</v>
      </c>
      <c r="AV14" s="830">
        <f>(AU14/AQ14-1)*100</f>
        <v>7.8300156260615594</v>
      </c>
      <c r="AW14" s="831">
        <v>-1.1000000000000001</v>
      </c>
      <c r="AY14" s="829">
        <f>SUM(AY10:AY13)</f>
        <v>31846</v>
      </c>
      <c r="AZ14" s="830">
        <f>(AY14/AU14-1)*100</f>
        <v>0.3244809879343391</v>
      </c>
      <c r="BA14" s="831">
        <v>-2.4</v>
      </c>
      <c r="BC14" s="829">
        <f>SUM(BC10:BC13)</f>
        <v>32004</v>
      </c>
      <c r="BD14" s="830">
        <f>(BC14/AY14-1)*100</f>
        <v>0.49613766250078406</v>
      </c>
      <c r="BE14" s="831">
        <v>3.125</v>
      </c>
      <c r="BG14" s="829">
        <f>SUM(BG10:BG13)</f>
        <v>32347</v>
      </c>
      <c r="BH14" s="830">
        <f>(BG14/BC14-1)*100</f>
        <v>1.0717410323709542</v>
      </c>
      <c r="BI14" s="831">
        <v>2.8250000000000002</v>
      </c>
      <c r="BK14" s="829">
        <v>17840</v>
      </c>
      <c r="BL14" s="830">
        <f>(BK14/AY14-1)*100</f>
        <v>-43.980405702443001</v>
      </c>
      <c r="BM14" s="831">
        <v>3.125</v>
      </c>
      <c r="BO14" s="829">
        <v>17384</v>
      </c>
      <c r="BP14" s="830">
        <f>(BO14/BK14-1)*100</f>
        <v>-2.556053811659198</v>
      </c>
      <c r="BQ14" s="831">
        <v>2.8250000000000002</v>
      </c>
      <c r="BS14" s="829">
        <f>SUM(BS10:BS13)</f>
        <v>17513</v>
      </c>
      <c r="BT14" s="830">
        <f>(BS14/BO14-1)*100</f>
        <v>0.74206166589967371</v>
      </c>
      <c r="BU14" s="831">
        <v>0.8</v>
      </c>
      <c r="BW14" s="829">
        <f>SUM(BW10:BW13)</f>
        <v>18096</v>
      </c>
      <c r="BX14" s="830">
        <f>(BW14/BS14-1)*100</f>
        <v>3.3289556329583636</v>
      </c>
      <c r="BY14" s="831">
        <v>4.9000000000000004</v>
      </c>
      <c r="CA14" s="829">
        <f>SUM(CA10:CA13)</f>
        <v>18781.083999999999</v>
      </c>
      <c r="CB14" s="830">
        <f>(CA14/BW14-1)*100</f>
        <v>3.7858311229000741</v>
      </c>
      <c r="CC14" s="831">
        <v>2.9</v>
      </c>
      <c r="CE14" s="829">
        <f>SUM(CE10:CE13)</f>
        <v>19905.088</v>
      </c>
      <c r="CF14" s="830">
        <f>(CE14/CA14-1)*100</f>
        <v>5.9847663745074664</v>
      </c>
      <c r="CG14" s="831">
        <v>4.9625677213785737</v>
      </c>
      <c r="CI14" s="829">
        <f>SUM(CI10:CI13)</f>
        <v>19857</v>
      </c>
      <c r="CJ14" s="830">
        <f>(CI14/CE14-1)*100</f>
        <v>-0.24158647276515399</v>
      </c>
      <c r="CK14" s="831">
        <v>0.37257893941683046</v>
      </c>
      <c r="CM14" s="829">
        <f>SUM(CM10:CM13)</f>
        <v>18486.532478705889</v>
      </c>
      <c r="CN14" s="830">
        <f>(CM14/CI14-1)*100</f>
        <v>-6.9016846517304327</v>
      </c>
      <c r="CO14" s="831">
        <v>-8.5</v>
      </c>
      <c r="CQ14" s="829">
        <f>SUM(CQ10:CQ13)</f>
        <v>17559.479531695368</v>
      </c>
      <c r="CR14" s="830">
        <f>(CQ14/CM14-1)*100</f>
        <v>-5.0147476173715511</v>
      </c>
      <c r="CS14" s="831">
        <v>-6.3080360850075161</v>
      </c>
      <c r="CU14" s="829">
        <f>SUM(CU10:CU13)</f>
        <v>17759</v>
      </c>
      <c r="CV14" s="830">
        <f>(CU14/CQ14-1)*100</f>
        <v>1.1362550236440283</v>
      </c>
      <c r="CW14" s="831">
        <v>2.4532615502896973</v>
      </c>
      <c r="CY14" s="829">
        <f>SUM(CY10:CY13)</f>
        <v>17260</v>
      </c>
      <c r="CZ14" s="830">
        <f>(CY14/CU14-1)*100</f>
        <v>-2.809842896559489</v>
      </c>
      <c r="DA14" s="831">
        <v>0.2</v>
      </c>
      <c r="DC14" s="829">
        <f>SUM(DC10:DC13)</f>
        <v>12985</v>
      </c>
      <c r="DD14" s="830">
        <f>(DC14/CY14-1)*100</f>
        <v>-24.768250289687131</v>
      </c>
      <c r="DE14" s="831">
        <v>-25.2</v>
      </c>
      <c r="DG14" s="829">
        <f>SUM(DG10:DG13)</f>
        <v>11859</v>
      </c>
      <c r="DH14" s="830">
        <f>(DG14/DC14-1)*100</f>
        <v>-8.6715440893338496</v>
      </c>
      <c r="DI14" s="822">
        <f>qtrSales!F204</f>
        <v>-6.8476178429884484</v>
      </c>
      <c r="DK14" s="829">
        <f>SUM(DK10:DK13)</f>
        <v>12257</v>
      </c>
      <c r="DL14" s="830">
        <f>(DK14/DG14-1)*100</f>
        <v>3.3561008516738378</v>
      </c>
      <c r="DM14" s="822">
        <f>qtrSales!F211</f>
        <v>4.4000000000000004</v>
      </c>
      <c r="DP14" s="829">
        <f>SUM(DP10:DP13)</f>
        <v>12625</v>
      </c>
      <c r="DQ14" s="830">
        <f>(DP14/DK14-1)*100</f>
        <v>3.0023659949416581</v>
      </c>
      <c r="DR14" s="822">
        <f>qtrSales!$F218</f>
        <v>4.5</v>
      </c>
      <c r="DU14" s="829">
        <f>SUM(DU10:DU13)</f>
        <v>12547</v>
      </c>
      <c r="DV14" s="821">
        <f t="shared" si="0"/>
        <v>-0.61782178217821837</v>
      </c>
      <c r="DW14" s="822">
        <f>qtrSales!$F$225</f>
        <v>0</v>
      </c>
      <c r="DZ14" s="829">
        <f>SUM(DZ10:DZ13)</f>
        <v>12506</v>
      </c>
      <c r="EA14" s="830">
        <f>(DZ14/DU14-1)*100</f>
        <v>-0.32677133976248829</v>
      </c>
      <c r="EB14" s="822">
        <f>qtrSales!F232</f>
        <v>0.1</v>
      </c>
      <c r="EE14" s="829">
        <f>SUM(EE10:EE13)</f>
        <v>12054.056</v>
      </c>
      <c r="EF14" s="830">
        <f>(EE14/DZ14-1)*100</f>
        <v>-3.6138173676635188</v>
      </c>
      <c r="EG14" s="822">
        <f>qtrSales!F239</f>
        <v>0.70517956777370217</v>
      </c>
      <c r="EJ14" s="1071">
        <f>EB14+DW14</f>
        <v>0.1</v>
      </c>
      <c r="EK14" s="1072">
        <f>DW14+EB14+DR14</f>
        <v>4.5999999999999996</v>
      </c>
      <c r="EL14" s="831"/>
      <c r="EM14" s="831"/>
      <c r="EN14" s="831"/>
      <c r="EO14" s="831"/>
      <c r="EP14" s="831"/>
      <c r="EQ14" s="831"/>
      <c r="ER14" s="831"/>
      <c r="ES14" s="831"/>
      <c r="ET14" s="831"/>
      <c r="EU14" s="831"/>
      <c r="EV14" s="831"/>
      <c r="EW14" s="832"/>
      <c r="EX14" s="832"/>
    </row>
    <row r="15" spans="1:158" hidden="1" outlineLevel="2">
      <c r="A15" s="819" t="s">
        <v>145</v>
      </c>
      <c r="C15" s="824">
        <f>C10+C11</f>
        <v>6779</v>
      </c>
      <c r="D15" s="821">
        <f>SUMPRODUCT(D10:D11,$C10:$C11)/C15</f>
        <v>6.2128780056055462</v>
      </c>
      <c r="E15" s="822">
        <f>SUMPRODUCT(E10:E11,$C10:$C11)/C15</f>
        <v>3.3678861188965925</v>
      </c>
      <c r="G15" s="824">
        <f>G10+G11</f>
        <v>7110</v>
      </c>
      <c r="H15" s="821">
        <f>SUMPRODUCT(H10:H11,$C10:$C11)/G15</f>
        <v>4.6554149085794689</v>
      </c>
      <c r="I15" s="822">
        <f>SUMPRODUCT(I10:I11,$C10:$C11)/G15</f>
        <v>3.0843741209563995</v>
      </c>
      <c r="K15" s="824">
        <f>K10+K11</f>
        <v>6889</v>
      </c>
      <c r="L15" s="821">
        <f>SUMPRODUCT(L10:L11,$C10:$C11)/K15</f>
        <v>-3.0612292034627204</v>
      </c>
      <c r="M15" s="822">
        <f>SUMPRODUCT(M10:M11,$C10:$C11)/K15</f>
        <v>-5.1668747278269702</v>
      </c>
      <c r="O15" s="824">
        <f>O10+O11</f>
        <v>7582</v>
      </c>
      <c r="P15" s="821">
        <f>SUMPRODUCT(P10:P11,$C10:$C11)/O15</f>
        <v>8.9899510208918478</v>
      </c>
      <c r="Q15" s="822">
        <f>SUMPRODUCT(Q10:Q11,$C10:$C11)/O15</f>
        <v>10.094275916644683</v>
      </c>
      <c r="S15" s="824">
        <f>S10+S11</f>
        <v>7927</v>
      </c>
      <c r="T15" s="821">
        <f>SUMPRODUCT(T10:T11,$C10:$C11)/S15</f>
        <v>3.8918089767274888</v>
      </c>
      <c r="U15" s="822">
        <f>SUMPRODUCT(U10:U11,$C10:$C11)/S15</f>
        <v>3.1085530465497668</v>
      </c>
      <c r="W15" s="824">
        <f>W10+W11</f>
        <v>8592</v>
      </c>
      <c r="X15" s="821">
        <f>SUMPRODUCT(X10:X11,$C10:$C11)/W15</f>
        <v>6.6035134394023602</v>
      </c>
      <c r="Y15" s="822">
        <f>SUMPRODUCT(Y10:Y11,$C10:$C11)/W15</f>
        <v>5.889199255121043</v>
      </c>
      <c r="AA15" s="824">
        <f>AA10+AA11</f>
        <v>8802</v>
      </c>
      <c r="AB15" s="821">
        <f>SUMPRODUCT(AB10:AB11,$C10:$C11)/AA15</f>
        <v>1.9254358836040075</v>
      </c>
      <c r="AC15" s="822">
        <f>SUMPRODUCT(AC10:AC11,$C10:$C11)/AA15</f>
        <v>0.40381731424676215</v>
      </c>
      <c r="AE15" s="824">
        <f>AE10+AE11</f>
        <v>12069</v>
      </c>
      <c r="AF15" s="821">
        <f>SUMPRODUCT(AF10:AF11,$C10:$C11)/AE15</f>
        <v>20.842166605330871</v>
      </c>
      <c r="AG15" s="822" t="s">
        <v>24</v>
      </c>
      <c r="AI15" s="824">
        <f>AI10+AI11</f>
        <v>8959</v>
      </c>
      <c r="AJ15" s="821">
        <f>SUMPRODUCT(AJ10:AJ11,$C10:$C11)/AI15</f>
        <v>1.3488556078353122</v>
      </c>
      <c r="AK15" s="822">
        <f>SUMPRODUCT(AK10:AK11,$C10:$C11)/AI15</f>
        <v>-0.14483759348141534</v>
      </c>
      <c r="AM15" s="824">
        <f>AM10+AM11</f>
        <v>12862.900000000001</v>
      </c>
      <c r="AN15" s="821">
        <f>SUMPRODUCT(AN10:AN11,$C10:$C11)/AM15</f>
        <v>3.4631599746739594</v>
      </c>
      <c r="AO15" s="822">
        <f>SUMPRODUCT(AO10:AO11,$C10:$C11)/AM15</f>
        <v>1.7033872610375573</v>
      </c>
      <c r="AQ15" s="824">
        <f>AQ10+AQ11</f>
        <v>13237</v>
      </c>
      <c r="AR15" s="821">
        <f>SUMPRODUCT(AR10:AR11,$C10:$C11)/AQ15</f>
        <v>1.474198723270657</v>
      </c>
      <c r="AS15" s="822">
        <f>SUMPRODUCT(AS10:AS11,$C10:$C11)/AQ15</f>
        <v>-0.1697590088388608</v>
      </c>
      <c r="AU15" s="824">
        <f>AU10+AU11</f>
        <v>14443</v>
      </c>
      <c r="AV15" s="821">
        <f>SUMPRODUCT(AV10:AV11,$C10:$C11)/AU15</f>
        <v>4.2840694105283896</v>
      </c>
      <c r="AW15" s="822">
        <f>SUMPRODUCT(AW10:AW11,$C10:$C11)/AU15</f>
        <v>-0.11566156615661566</v>
      </c>
      <c r="AY15" s="824">
        <f>AY10+AY11</f>
        <v>14735</v>
      </c>
      <c r="AZ15" s="821">
        <f>SUMPRODUCT(AZ10:AZ11,$C10:$C11)/AY15</f>
        <v>0.9222078357000062</v>
      </c>
      <c r="BA15" s="822">
        <f>SUMPRODUCT(BA10:BA11,$C10:$C11)/AY15</f>
        <v>-1.052874109263658</v>
      </c>
      <c r="BC15" s="824">
        <f>BC10+BC11</f>
        <v>14733</v>
      </c>
      <c r="BD15" s="821">
        <f>SUMPRODUCT(BD10:BD11,$C10:$C11)/BC15</f>
        <v>-5.1226077637567102E-3</v>
      </c>
      <c r="BE15" s="822">
        <f>SUMPRODUCT(BE10:BE11,$C10:$C11)/BC15</f>
        <v>-0.69018529830991648</v>
      </c>
      <c r="BG15" s="824">
        <f>BG10+BG11</f>
        <v>14926</v>
      </c>
      <c r="BH15" s="821">
        <f>SUMPRODUCT(BH10:BH11,$C10:$C11)/BG15</f>
        <v>0.57148404915233197</v>
      </c>
      <c r="BI15" s="822">
        <f>SUMPRODUCT(BI10:BI11,$C10:$C11)/BG15</f>
        <v>0.43207825271338623</v>
      </c>
      <c r="BK15" s="824">
        <f>BK10+BK11</f>
        <v>7891</v>
      </c>
      <c r="BL15" s="821">
        <f>SUMPRODUCT(BL10:BL11,$C10:$C11)/BK15</f>
        <v>-39.909277358697949</v>
      </c>
      <c r="BM15" s="822">
        <f>SUMPRODUCT(BM10:BM11,$C10:$C11)/BK15</f>
        <v>-1.2886199467748067</v>
      </c>
      <c r="BO15" s="824">
        <f>BO10+BO11</f>
        <v>7595.982</v>
      </c>
      <c r="BP15" s="821">
        <f>SUMPRODUCT(BP10:BP11,$C10:$C11)/BO15</f>
        <v>-3.421325173057991</v>
      </c>
      <c r="BQ15" s="822">
        <f>SUMPRODUCT(BQ10:BQ11,$C10:$C11)/BO15</f>
        <v>0.84902781496849289</v>
      </c>
      <c r="BS15" s="824">
        <f>BS10+BS11</f>
        <v>7247</v>
      </c>
      <c r="BT15" s="821">
        <f>SUMPRODUCT(BT10:BT11,$C10:$C11)/BS15</f>
        <v>-4.0770759942791299</v>
      </c>
      <c r="BU15" s="822">
        <f>SUMPRODUCT(BU10:BU11,$C10:$C11)/BS15</f>
        <v>-0.93467641782806654</v>
      </c>
      <c r="BW15" s="824">
        <f>BW10+BW11</f>
        <v>7750</v>
      </c>
      <c r="BX15" s="821">
        <f>SUMPRODUCT(BX10:BX11,$C10:$C11)/BW15</f>
        <v>6.0398310880827664</v>
      </c>
      <c r="BY15" s="822">
        <f>SUMPRODUCT(BY10:BY11,$C10:$C11)/BW15</f>
        <v>6.983909677419355</v>
      </c>
      <c r="CA15" s="824">
        <f>CA10+CA11</f>
        <v>8099</v>
      </c>
      <c r="CB15" s="821">
        <f>SUMPRODUCT(CB10:CB11,$C10:$C11)/CA15</f>
        <v>3.7972245665350624</v>
      </c>
      <c r="CC15" s="822">
        <f>SUMPRODUCT(CC10:CC11,$C10:$C11)/CA15</f>
        <v>3.0204469687615751</v>
      </c>
      <c r="CE15" s="824">
        <f>CE10+CE11</f>
        <v>8456.0879999999997</v>
      </c>
      <c r="CF15" s="821">
        <f>SUMPRODUCT(CF10:CF11,$C10:$C11)/CE15</f>
        <v>3.5844124447890735</v>
      </c>
      <c r="CG15" s="822">
        <f>SUMPRODUCT(CG10:CG11,$C10:$C11)/CE15</f>
        <v>4.1171993479727274</v>
      </c>
      <c r="CI15" s="824">
        <f>CI10+CI11</f>
        <v>8739</v>
      </c>
      <c r="CJ15" s="821">
        <f>SUMPRODUCT(CJ10:CJ11,$C10:$C11)/CI15</f>
        <v>2.5977796046344639</v>
      </c>
      <c r="CK15" s="822">
        <f>SUMPRODUCT(CK10:CK11,$C10:$C11)/CI15</f>
        <v>2.4407369264217871</v>
      </c>
      <c r="CM15" s="824">
        <f>CM10+CM11</f>
        <v>8409.4964120962904</v>
      </c>
      <c r="CN15" s="821">
        <f>SUMPRODUCT(CN10:CN11,$C10:$C11)/CM15</f>
        <v>-3.029148681515629</v>
      </c>
      <c r="CO15" s="822">
        <f>SUMPRODUCT(CO10:CO11,$C10:$C11)/CM15</f>
        <v>-4.6978794049038521</v>
      </c>
      <c r="CQ15" s="824">
        <f>CQ10+CQ11</f>
        <v>7829.0853407357408</v>
      </c>
      <c r="CR15" s="821">
        <f>SUMPRODUCT(CR10:CR11,$C10:$C11)/CQ15</f>
        <v>-5.9723198104498501</v>
      </c>
      <c r="CS15" s="822">
        <f>SUMPRODUCT(CS10:CS11,$C10:$C11)/CQ15</f>
        <v>-7.3723171338653319</v>
      </c>
      <c r="CU15" s="824">
        <f>CU10+CU11</f>
        <v>7867</v>
      </c>
      <c r="CV15" s="821">
        <f>SUMPRODUCT(CV10:CV11,$C10:$C11)/CU15</f>
        <v>0.41357800027419395</v>
      </c>
      <c r="CW15" s="822">
        <f>SUMPRODUCT(CW10:CW11,$C10:$C11)/CU15</f>
        <v>1.0728104741324522</v>
      </c>
      <c r="CY15" s="824">
        <f>CY10+CY11</f>
        <v>7849</v>
      </c>
      <c r="CZ15" s="821">
        <f>SUMPRODUCT(CZ10:CZ11,$C10:$C11)/CY15</f>
        <v>-0.20425803905800219</v>
      </c>
      <c r="DA15" s="822">
        <f>SUMPRODUCT(DA10:DA11,$C10:$C11)/CY15</f>
        <v>2.274531787488852</v>
      </c>
      <c r="DC15" s="833">
        <f>DC10+DC11</f>
        <v>6174</v>
      </c>
      <c r="DD15" s="834">
        <f>SUMPRODUCT(DD10:DD11,$C10:$C11)/DC15</f>
        <v>-23.458317586690779</v>
      </c>
      <c r="DE15" s="835">
        <f>SUMPRODUCT(DE10:DE11,$C10:$C11)/DC15</f>
        <v>-22.311224489795919</v>
      </c>
      <c r="DG15" s="833">
        <f>DG10+DG11</f>
        <v>5298</v>
      </c>
      <c r="DH15" s="834">
        <f>SUMPRODUCT(DH10:DH11,$C10:$C11)/DG15</f>
        <v>-18.052458382809096</v>
      </c>
      <c r="DI15" s="835">
        <f>SUMPRODUCT(DI10:DI11,$C10:$C11)/DG15</f>
        <v>-18.190411476028693</v>
      </c>
      <c r="DK15" s="833">
        <f>DK10+DK11</f>
        <v>5600</v>
      </c>
      <c r="DL15" s="834">
        <f>SUMPRODUCT(DL10:DL11,$C10:$C11)/DK15</f>
        <v>6.8938586079714348</v>
      </c>
      <c r="DM15" s="835">
        <f>SUMPRODUCT(DM10:DM11,$C10:$C11)/DK15</f>
        <v>7.382535714285714</v>
      </c>
      <c r="DP15" s="833">
        <f>DP10+DP11</f>
        <v>5732</v>
      </c>
      <c r="DQ15" s="834">
        <f>SUMPRODUCT(DQ10:DQ11,$C10:$C11)/DP15</f>
        <v>2.7939048595484013</v>
      </c>
      <c r="DR15" s="835">
        <f>SUMPRODUCT(DR10:DR11,$C10:$C11)/DP15</f>
        <v>4.4408932309839493</v>
      </c>
      <c r="DU15" s="833">
        <f>DU10+DU11</f>
        <v>5729</v>
      </c>
      <c r="DV15" s="821">
        <f t="shared" si="0"/>
        <v>-5.2337752965803119E-2</v>
      </c>
      <c r="DW15" s="835">
        <f>SUMPRODUCT(DW10:DW11,$C10:$C11)/DU15</f>
        <v>1.0869610752312795</v>
      </c>
      <c r="DZ15" s="824">
        <f>DZ10+DZ11</f>
        <v>5668</v>
      </c>
      <c r="EA15" s="821">
        <f>SUMPRODUCT(EA10:EA11,$C10:$C11)/DZ15</f>
        <v>-1.2871601660088983</v>
      </c>
      <c r="EB15" s="822">
        <f>SUMPRODUCT(EB10:EB11,$C10:$C11)/DZ15</f>
        <v>-2.8516055045871562</v>
      </c>
      <c r="EE15" s="824">
        <f>EE10+EE11</f>
        <v>5601.0080000000007</v>
      </c>
      <c r="EF15" s="821">
        <f>SUMPRODUCT(EF10:EF11,$C10:$C11)/EE15</f>
        <v>-1.4454541039755646</v>
      </c>
      <c r="EG15" s="822">
        <f>SUMPRODUCT(EG10:EG11,$C10:$C11)/EE15</f>
        <v>2.9998171757655046</v>
      </c>
      <c r="EJ15" s="1067"/>
      <c r="EK15" s="1068"/>
      <c r="EL15" s="835"/>
      <c r="EM15" s="835"/>
      <c r="EN15" s="835"/>
      <c r="EO15" s="835"/>
      <c r="EP15" s="835"/>
      <c r="EQ15" s="835"/>
      <c r="ER15" s="835"/>
      <c r="ES15" s="835"/>
      <c r="ET15" s="835"/>
      <c r="EU15" s="835"/>
      <c r="EV15" s="835"/>
      <c r="EW15" s="805"/>
      <c r="EX15" s="805"/>
      <c r="EY15" s="507"/>
      <c r="EZ15" s="507"/>
      <c r="FA15" s="507"/>
      <c r="FB15" s="507"/>
    </row>
    <row r="16" spans="1:158" hidden="1" outlineLevel="2">
      <c r="A16" s="819" t="s">
        <v>146</v>
      </c>
      <c r="C16" s="824">
        <f>C10+C11+C12</f>
        <v>10840</v>
      </c>
      <c r="D16" s="821">
        <f>SUMPRODUCT(D10:D12,$C10:$C12)/C16</f>
        <v>8.5682287822878234</v>
      </c>
      <c r="E16" s="822">
        <f>SUMPRODUCT(E10:E12,$C10:$C12)/C16</f>
        <v>6.339501845018451</v>
      </c>
      <c r="G16" s="824">
        <f>G10+G11+G12</f>
        <v>11105</v>
      </c>
      <c r="H16" s="821">
        <f>SUMPRODUCT(H10:H12,$C10:$C12)/G16</f>
        <v>2.3863124718595268</v>
      </c>
      <c r="I16" s="822">
        <f>SUMPRODUCT(I10:I12,$C10:$C12)/G16</f>
        <v>0.65828905898244039</v>
      </c>
      <c r="K16" s="824">
        <f>K10+K11+K12</f>
        <v>10826</v>
      </c>
      <c r="L16" s="821">
        <f>SUMPRODUCT(L10:L12,$C10:$C12)/K16</f>
        <v>-2.4925759982794289</v>
      </c>
      <c r="M16" s="822">
        <f>SUMPRODUCT(M10:M12,$C10:$C12)/K16</f>
        <v>-4.4132274154812485</v>
      </c>
      <c r="O16" s="824">
        <f>O10+O11+O12</f>
        <v>11924</v>
      </c>
      <c r="P16" s="821">
        <f>SUMPRODUCT(P10:P12,$C10:$C12)/O16</f>
        <v>9.2198422669895219</v>
      </c>
      <c r="Q16" s="822">
        <f>SUMPRODUCT(Q10:Q12,$C10:$C12)/O16</f>
        <v>9.9945739684669572</v>
      </c>
      <c r="S16" s="824">
        <f>S10+S11+S12</f>
        <v>12662</v>
      </c>
      <c r="T16" s="821">
        <f>SUMPRODUCT(T10:T12,$C10:$C12)/S16</f>
        <v>5.33936207918092</v>
      </c>
      <c r="U16" s="822">
        <f>SUMPRODUCT(U10:U12,$C10:$C12)/S16</f>
        <v>4.3515242457747592</v>
      </c>
      <c r="W16" s="824">
        <f>W10+W11+W12</f>
        <v>13741</v>
      </c>
      <c r="X16" s="821">
        <f>SUMPRODUCT(X10:X12,$C10:$C12)/W16</f>
        <v>6.7130729735099939</v>
      </c>
      <c r="Y16" s="822">
        <f>SUMPRODUCT(Y10:Y12,$C10:$C12)/W16</f>
        <v>6.1058292700676802</v>
      </c>
      <c r="AA16" s="824">
        <f>AA10+AA11+AA12</f>
        <v>13930</v>
      </c>
      <c r="AB16" s="821">
        <f>SUMPRODUCT(AB10:AB12,$C10:$C12)/AA16</f>
        <v>1.0977331870334017</v>
      </c>
      <c r="AC16" s="822">
        <f>SUMPRODUCT(AC10:AC12,$C10:$C12)/AA16</f>
        <v>-0.64857860732232597</v>
      </c>
      <c r="AE16" s="824">
        <f>AE10+AE11+AE12</f>
        <v>19100</v>
      </c>
      <c r="AF16" s="821">
        <f>SUMPRODUCT(AF10:AF12,$C10:$C12)/AE16</f>
        <v>21.060091906052573</v>
      </c>
      <c r="AG16" s="822" t="s">
        <v>24</v>
      </c>
      <c r="AI16" s="824">
        <f>AI10+AI11+AI12</f>
        <v>14496</v>
      </c>
      <c r="AJ16" s="821">
        <f>SUMPRODUCT(AJ10:AJ12,$C10:$C12)/AI16</f>
        <v>3.0680324560320229</v>
      </c>
      <c r="AK16" s="822">
        <f>SUMPRODUCT(AK10:AK12,$C10:$C12)/AI16</f>
        <v>1.6473923841059603</v>
      </c>
      <c r="AM16" s="824">
        <f>AM10+AM11+AM12</f>
        <v>19966.2</v>
      </c>
      <c r="AN16" s="821">
        <f>SUMPRODUCT(AN10:AN12,$C10:$C12)/AM16</f>
        <v>2.4402349896030677</v>
      </c>
      <c r="AO16" s="822">
        <f>SUMPRODUCT(AO10:AO12,$C10:$C12)/AM16</f>
        <v>0.58889523294367474</v>
      </c>
      <c r="AQ16" s="824">
        <f>AQ10+AQ11+AQ12</f>
        <v>20366</v>
      </c>
      <c r="AR16" s="821">
        <f>SUMPRODUCT(AR10:AR12,$C10:$C12)/AQ16</f>
        <v>1.0303080231068891</v>
      </c>
      <c r="AS16" s="822">
        <f>SUMPRODUCT(AS10:AS12,$C10:$C12)/AQ16</f>
        <v>-0.9079397034272807</v>
      </c>
      <c r="AU16" s="824">
        <f>AU10+AU11+AU12</f>
        <v>22082</v>
      </c>
      <c r="AV16" s="821">
        <f>SUMPRODUCT(AV10:AV12,$C10:$C12)/AU16</f>
        <v>4.1176847741868938</v>
      </c>
      <c r="AW16" s="822">
        <f>SUMPRODUCT(AW10:AW12,$C10:$C12)/AU16</f>
        <v>-0.62736618059958338</v>
      </c>
      <c r="AY16" s="824">
        <f>AY10+AY11+AY12</f>
        <v>22273</v>
      </c>
      <c r="AZ16" s="821">
        <f>SUMPRODUCT(AZ10:AZ12,$C10:$C12)/AY16</f>
        <v>0.36903112263032539</v>
      </c>
      <c r="BA16" s="822">
        <f>SUMPRODUCT(BA10:BA12,$C10:$C12)/AY16</f>
        <v>-1.3711579041889284</v>
      </c>
      <c r="BC16" s="824">
        <f>BC10+BC11+BC12</f>
        <v>22462</v>
      </c>
      <c r="BD16" s="821">
        <f>SUMPRODUCT(BD10:BD12,$C10:$C12)/BC16</f>
        <v>0.45474163349336283</v>
      </c>
      <c r="BE16" s="822">
        <f>SUMPRODUCT(BE10:BE12,$C10:$C12)/BC16</f>
        <v>0.46935268453387935</v>
      </c>
      <c r="BG16" s="824">
        <f>BG10+BG11+BG12</f>
        <v>22798</v>
      </c>
      <c r="BH16" s="821">
        <f>SUMPRODUCT(BH10:BH12,$C10:$C12)/BG16</f>
        <v>0.70372533729632247</v>
      </c>
      <c r="BI16" s="822">
        <f>SUMPRODUCT(BI10:BI12,$C10:$C12)/BG16</f>
        <v>0.97759013948591988</v>
      </c>
      <c r="BK16" s="824">
        <f>BK10+BK11+BK12</f>
        <v>12237</v>
      </c>
      <c r="BL16" s="821">
        <f>SUMPRODUCT(BL10:BL12,$C10:$C12)/BK16</f>
        <v>-39.788263377963361</v>
      </c>
      <c r="BM16" s="822">
        <f>SUMPRODUCT(BM10:BM12,$C10:$C12)/BK16</f>
        <v>0.86153468987496928</v>
      </c>
      <c r="BO16" s="824">
        <f>BO10+BO11+BO12</f>
        <v>11889.982</v>
      </c>
      <c r="BP16" s="821">
        <f>SUMPRODUCT(BP10:BP12,$C10:$C12)/BO16</f>
        <v>-2.5943959552960152</v>
      </c>
      <c r="BQ16" s="822">
        <f>SUMPRODUCT(BQ10:BQ12,$C10:$C12)/BO16</f>
        <v>1.8744435441533891</v>
      </c>
      <c r="BS16" s="824">
        <f>BS10+BS11+BS12</f>
        <v>11515</v>
      </c>
      <c r="BT16" s="821">
        <f>SUMPRODUCT(BT10:BT12,$C10:$C12)/BS16</f>
        <v>-2.7794606298732751</v>
      </c>
      <c r="BU16" s="822">
        <f>SUMPRODUCT(BU10:BU12,$C10:$C12)/BS16</f>
        <v>1.1298306556665329E-2</v>
      </c>
      <c r="BW16" s="824">
        <f>BW10+BW11+BW12</f>
        <v>12141</v>
      </c>
      <c r="BX16" s="821">
        <f>SUMPRODUCT(BX10:BX12,$C10:$C12)/BW16</f>
        <v>4.8193835078508904</v>
      </c>
      <c r="BY16" s="822">
        <f>SUMPRODUCT(BY10:BY12,$C10:$C12)/BW16</f>
        <v>5.3344930737577085</v>
      </c>
      <c r="CA16" s="824">
        <f>CA10+CA11+CA12</f>
        <v>12578</v>
      </c>
      <c r="CB16" s="821">
        <f>SUMPRODUCT(CB10:CB12,$C10:$C12)/CA16</f>
        <v>3.0920948479364014</v>
      </c>
      <c r="CC16" s="822">
        <f>SUMPRODUCT(CC10:CC12,$C10:$C12)/CA16</f>
        <v>2.7520352997296866</v>
      </c>
      <c r="CE16" s="824">
        <f>CE10+CE11+CE12</f>
        <v>13237.088</v>
      </c>
      <c r="CF16" s="821">
        <f>SUMPRODUCT(CF10:CF12,$C10:$C12)/CE16</f>
        <v>4.3583384878776634</v>
      </c>
      <c r="CG16" s="822">
        <f>SUMPRODUCT(CG10:CG12,$C10:$C12)/CE16</f>
        <v>4.6242723475132905</v>
      </c>
      <c r="CI16" s="824">
        <f>CI10+CI11+CI12</f>
        <v>13467</v>
      </c>
      <c r="CJ16" s="821">
        <f>SUMPRODUCT(CJ10:CJ12,$C10:$C12)/CI16</f>
        <v>1.3514632320326163</v>
      </c>
      <c r="CK16" s="822">
        <f>SUMPRODUCT(CK10:CK12,$C10:$C12)/CI16</f>
        <v>0.86011732382861805</v>
      </c>
      <c r="CM16" s="824">
        <f>CM10+CM11+CM12</f>
        <v>12727.310771094672</v>
      </c>
      <c r="CN16" s="821">
        <f>SUMPRODUCT(CN10:CN12,$C10:$C12)/CM16</f>
        <v>-4.7697042043833182</v>
      </c>
      <c r="CO16" s="822">
        <f>SUMPRODUCT(CO10:CO12,$C10:$C12)/CM16</f>
        <v>-6.326780373971669</v>
      </c>
      <c r="CQ16" s="824">
        <f>CQ10+CQ11+CQ12</f>
        <v>12009.479531695368</v>
      </c>
      <c r="CR16" s="821">
        <f>SUMPRODUCT(CR10:CR12,$C10:$C12)/CQ16</f>
        <v>-4.9696135764773777</v>
      </c>
      <c r="CS16" s="822">
        <f>SUMPRODUCT(CS10:CS12,$C10:$C12)/CQ16</f>
        <v>-6.3615662775699668</v>
      </c>
      <c r="CU16" s="824">
        <f>CU10+CU11+CU12</f>
        <v>12056</v>
      </c>
      <c r="CV16" s="821">
        <f>SUMPRODUCT(CV10:CV12,$C10:$C12)/CU16</f>
        <v>0.33921867970311581</v>
      </c>
      <c r="CW16" s="822">
        <f>SUMPRODUCT(CW10:CW12,$C10:$C12)/CU16</f>
        <v>1.3400547445255475</v>
      </c>
      <c r="CY16" s="824">
        <f>CY10+CY11+CY12</f>
        <v>11835</v>
      </c>
      <c r="CZ16" s="821">
        <f>SUMPRODUCT(CZ10:CZ12,$C10:$C12)/CY16</f>
        <v>-1.7983041917707716</v>
      </c>
      <c r="DA16" s="822">
        <f>SUMPRODUCT(DA10:DA12,$C10:$C12)/CY16</f>
        <v>0.95945923109421194</v>
      </c>
      <c r="DC16" s="833">
        <f>DC10+DC11+DC12</f>
        <v>9101</v>
      </c>
      <c r="DD16" s="834">
        <f>SUMPRODUCT(DD10:DD12,$C10:$C12)/DC16</f>
        <v>-27.768844289316316</v>
      </c>
      <c r="DE16" s="835">
        <f>SUMPRODUCT(DE10:DE12,$C10:$C12)/DC16</f>
        <v>-26.781848148555106</v>
      </c>
      <c r="DG16" s="833">
        <f>DG10+DG11+DG12</f>
        <v>8077</v>
      </c>
      <c r="DH16" s="834">
        <f>SUMPRODUCT(DH10:DH12,$C10:$C12)/DG16</f>
        <v>-14.38353968467672</v>
      </c>
      <c r="DI16" s="835">
        <f>SUMPRODUCT(DI10:DI12,$C10:$C12)/DG16</f>
        <v>-14.345128141636749</v>
      </c>
      <c r="DK16" s="833">
        <f>DK10+DK11+DK12</f>
        <v>8364</v>
      </c>
      <c r="DL16" s="834">
        <f>SUMPRODUCT(DL10:DL12,$C10:$C12)/DK16</f>
        <v>4.3536146190666631</v>
      </c>
      <c r="DM16" s="835">
        <f>SUMPRODUCT(DM10:DM12,$C10:$C12)/DK16</f>
        <v>4.9428742228598752</v>
      </c>
      <c r="DP16" s="833">
        <f>DP10+DP11+DP12</f>
        <v>8629</v>
      </c>
      <c r="DQ16" s="834">
        <f>SUMPRODUCT(DQ10:DQ12,$C10:$C12)/DP16</f>
        <v>4.1204837144354425</v>
      </c>
      <c r="DR16" s="835">
        <f>SUMPRODUCT(DR10:DR12,$C10:$C12)/DP16</f>
        <v>5.9619422876347201</v>
      </c>
      <c r="DU16" s="833">
        <f>DU10+DU11+DU12</f>
        <v>8586</v>
      </c>
      <c r="DV16" s="821">
        <f t="shared" si="0"/>
        <v>-0.4983196198864337</v>
      </c>
      <c r="DW16" s="835">
        <f>SUMPRODUCT(DW10:DW12,$C10:$C12)/DU16</f>
        <v>0.34689028651292808</v>
      </c>
      <c r="DZ16" s="824">
        <f>DZ10+DZ11+DZ12</f>
        <v>8475</v>
      </c>
      <c r="EA16" s="821">
        <f>SUMPRODUCT(EA10:EA12,$C10:$C12)/DZ16</f>
        <v>-1.6994370709387849</v>
      </c>
      <c r="EB16" s="822">
        <f>SUMPRODUCT(EB10:EB12,$C10:$C12)/DZ16</f>
        <v>-1.0925309734513275</v>
      </c>
      <c r="EE16" s="824">
        <f>EE10+EE11+EE12</f>
        <v>8329.4120000000003</v>
      </c>
      <c r="EF16" s="821">
        <f>SUMPRODUCT(EF10:EF12,$C10:$C12)/EE16</f>
        <v>-2.3371157531888183</v>
      </c>
      <c r="EG16" s="822">
        <f>SUMPRODUCT(EG10:EG12,$C10:$C12)/EE16</f>
        <v>1.7734144979261441</v>
      </c>
      <c r="EJ16" s="1073"/>
      <c r="EK16" s="1074"/>
      <c r="EL16" s="835"/>
      <c r="EM16" s="835"/>
      <c r="EN16" s="835"/>
      <c r="EO16" s="835"/>
      <c r="EP16" s="835"/>
      <c r="EQ16" s="835"/>
      <c r="ER16" s="835"/>
      <c r="ES16" s="835"/>
      <c r="ET16" s="835"/>
      <c r="EU16" s="835"/>
      <c r="EV16" s="835"/>
      <c r="EW16" s="805"/>
      <c r="EX16" s="805"/>
      <c r="EY16" s="507"/>
      <c r="EZ16" s="507"/>
      <c r="FA16" s="507"/>
      <c r="FB16" s="507"/>
    </row>
    <row r="17" spans="1:161" outlineLevel="1" collapsed="1">
      <c r="C17" s="706"/>
      <c r="D17" s="687"/>
      <c r="E17" s="687"/>
      <c r="G17" s="706"/>
      <c r="H17" s="687"/>
      <c r="I17" s="687"/>
      <c r="K17" s="706"/>
      <c r="L17" s="687"/>
      <c r="M17" s="687"/>
      <c r="O17" s="706"/>
      <c r="S17" s="706"/>
      <c r="W17" s="706"/>
      <c r="AA17" s="706"/>
      <c r="AE17" s="706"/>
      <c r="AI17" s="706"/>
      <c r="AM17" s="706"/>
      <c r="AQ17" s="706"/>
      <c r="AU17" s="706"/>
      <c r="AY17" s="706"/>
      <c r="BC17" s="706"/>
      <c r="BG17" s="706"/>
      <c r="BK17" s="706"/>
      <c r="BO17" s="706"/>
      <c r="BS17" s="706"/>
      <c r="BW17" s="706"/>
      <c r="CA17" s="706"/>
      <c r="CE17" s="706"/>
      <c r="CI17" s="706"/>
      <c r="CM17" s="706"/>
      <c r="CQ17" s="706"/>
      <c r="CU17" s="706"/>
      <c r="CY17" s="706"/>
      <c r="DE17" s="823"/>
      <c r="DJ17" s="823"/>
      <c r="DP17" s="706"/>
      <c r="DZ17" s="587"/>
      <c r="EE17" s="587"/>
      <c r="EJ17" s="1075"/>
      <c r="EK17" s="1074"/>
      <c r="EW17" s="805"/>
      <c r="EX17" s="805"/>
      <c r="EY17" s="836"/>
      <c r="EZ17" s="837"/>
      <c r="FA17" s="507"/>
      <c r="FB17" s="507"/>
    </row>
    <row r="18" spans="1:161" outlineLevel="1">
      <c r="A18" s="816" t="s">
        <v>363</v>
      </c>
      <c r="C18" s="706"/>
      <c r="D18" s="687"/>
      <c r="E18" s="687"/>
      <c r="G18" s="706"/>
      <c r="H18" s="687"/>
      <c r="I18" s="687"/>
      <c r="K18" s="706"/>
      <c r="L18" s="687"/>
      <c r="M18" s="687"/>
      <c r="O18" s="706"/>
      <c r="S18" s="706"/>
      <c r="W18" s="706"/>
      <c r="AA18" s="706"/>
      <c r="AE18" s="706"/>
      <c r="AI18" s="706"/>
      <c r="AM18" s="706"/>
      <c r="AQ18" s="706"/>
      <c r="AU18" s="706"/>
      <c r="AY18" s="706"/>
      <c r="BC18" s="706"/>
      <c r="BG18" s="706"/>
      <c r="BK18" s="706"/>
      <c r="BO18" s="706"/>
      <c r="BS18" s="706"/>
      <c r="BW18" s="706"/>
      <c r="CA18" s="706"/>
      <c r="CE18" s="706"/>
      <c r="CI18" s="706"/>
      <c r="CM18" s="706"/>
      <c r="CQ18" s="706"/>
      <c r="CY18" s="706"/>
      <c r="DE18" s="823"/>
      <c r="DG18" s="818" t="s">
        <v>363</v>
      </c>
      <c r="DJ18" s="823"/>
      <c r="DK18" s="678"/>
      <c r="DP18" s="1585" t="str">
        <f>DG18</f>
        <v>2. Cost of Goods Sold (% Gross Margin / bps Change)</v>
      </c>
      <c r="DQ18" s="1585"/>
      <c r="DR18" s="1585"/>
      <c r="DS18" s="1585"/>
      <c r="DT18" s="1585"/>
      <c r="DU18" s="1585"/>
      <c r="DV18" s="1585"/>
      <c r="DW18" s="1585"/>
      <c r="EJ18" s="1075"/>
      <c r="EK18" s="1074"/>
      <c r="EW18" s="805"/>
      <c r="EX18" s="805"/>
      <c r="EY18" s="805"/>
      <c r="EZ18" s="805"/>
      <c r="FA18" s="805"/>
      <c r="FB18" s="507"/>
    </row>
    <row r="19" spans="1:161" outlineLevel="1">
      <c r="C19" s="706"/>
      <c r="D19" s="687"/>
      <c r="E19" s="687"/>
      <c r="G19" s="706"/>
      <c r="H19" s="687"/>
      <c r="I19" s="687"/>
      <c r="K19" s="706"/>
      <c r="L19" s="687"/>
      <c r="M19" s="687"/>
      <c r="O19" s="706"/>
      <c r="S19" s="706"/>
      <c r="W19" s="706"/>
      <c r="AA19" s="706"/>
      <c r="AE19" s="706"/>
      <c r="AI19" s="706"/>
      <c r="AM19" s="706"/>
      <c r="AQ19" s="706"/>
      <c r="AU19" s="706"/>
      <c r="AY19" s="706"/>
      <c r="BC19" s="706"/>
      <c r="BG19" s="706"/>
      <c r="BK19" s="706"/>
      <c r="BO19" s="706"/>
      <c r="BS19" s="706"/>
      <c r="BW19" s="706"/>
      <c r="CA19" s="706"/>
      <c r="CE19" s="706"/>
      <c r="CI19" s="706"/>
      <c r="CM19" s="706"/>
      <c r="CQ19" s="706"/>
      <c r="CU19" s="706"/>
      <c r="CY19" s="706"/>
      <c r="DE19" s="838"/>
      <c r="DG19" s="591"/>
      <c r="DJ19" s="823"/>
      <c r="DK19" s="591"/>
      <c r="DP19" s="591"/>
      <c r="DU19" s="591"/>
      <c r="DZ19" s="591"/>
      <c r="EE19" s="591"/>
      <c r="EJ19" s="1076"/>
      <c r="EK19" s="1077"/>
      <c r="EW19" s="805"/>
      <c r="EX19" s="805"/>
      <c r="EY19" s="805"/>
      <c r="EZ19" s="805"/>
      <c r="FA19" s="805"/>
      <c r="FB19" s="507"/>
    </row>
    <row r="20" spans="1:161" outlineLevel="1">
      <c r="A20" s="819" t="s">
        <v>140</v>
      </c>
      <c r="C20" s="695">
        <v>2189</v>
      </c>
      <c r="D20" s="839">
        <f>(1-C20/C10)*100</f>
        <v>34.480694402873389</v>
      </c>
      <c r="E20" s="840" t="s">
        <v>24</v>
      </c>
      <c r="G20" s="695">
        <v>2329</v>
      </c>
      <c r="H20" s="839">
        <f>(1-G20/G10)*100</f>
        <v>34.022662889518415</v>
      </c>
      <c r="I20" s="840">
        <f>(H20-D20)*100</f>
        <v>-45.803151335497461</v>
      </c>
      <c r="K20" s="695">
        <v>2320</v>
      </c>
      <c r="L20" s="839">
        <f>(1-K20/K10)*100</f>
        <v>32.420623361491408</v>
      </c>
      <c r="M20" s="840">
        <f>(L20-H20)*100</f>
        <v>-160.20395280270066</v>
      </c>
      <c r="O20" s="695">
        <v>2560</v>
      </c>
      <c r="P20" s="839">
        <f>(1-O20/O10)*100</f>
        <v>32.50725019773266</v>
      </c>
      <c r="Q20" s="840">
        <f>(P20-L20)*100</f>
        <v>8.6626836241251226</v>
      </c>
      <c r="S20" s="695">
        <v>2684</v>
      </c>
      <c r="T20" s="839">
        <f>(1-S20/S10)*100</f>
        <v>32.290615539858727</v>
      </c>
      <c r="U20" s="840">
        <f>(T20-P20)*100</f>
        <v>-21.663465787393221</v>
      </c>
      <c r="W20" s="695">
        <v>2955</v>
      </c>
      <c r="X20" s="839">
        <f>(1-W20/W10)*100</f>
        <v>32.068965517241374</v>
      </c>
      <c r="Y20" s="840">
        <f>(X20-T20)*100</f>
        <v>-22.165002261735367</v>
      </c>
      <c r="AA20" s="695">
        <v>2997</v>
      </c>
      <c r="AB20" s="839">
        <f>(1-AA20/AA10)*100</f>
        <v>31.371651019006187</v>
      </c>
      <c r="AC20" s="840">
        <f>(AB20-X20)*100</f>
        <v>-69.731449823518687</v>
      </c>
      <c r="AE20" s="695">
        <v>4356</v>
      </c>
      <c r="AF20" s="839">
        <f>(1-AE20/AE10)*100</f>
        <v>28.07133421400264</v>
      </c>
      <c r="AG20" s="840">
        <f>(AF20-AB20)*100</f>
        <v>-330.0316805003547</v>
      </c>
      <c r="AI20" s="695">
        <v>3112</v>
      </c>
      <c r="AJ20" s="839">
        <f>(1-AI20/AI10)*100</f>
        <v>30.098831985624443</v>
      </c>
      <c r="AK20" s="840">
        <f>(AJ20-AB20)*100</f>
        <v>-127.28190333817437</v>
      </c>
      <c r="AM20" s="695">
        <v>4673.3</v>
      </c>
      <c r="AN20" s="839">
        <f>(1-AM20/AM10)*100</f>
        <v>27.851110802340486</v>
      </c>
      <c r="AO20" s="840">
        <f>(AN20-AJ20)*100</f>
        <v>-224.77211832839572</v>
      </c>
      <c r="AQ20" s="695">
        <v>4841.9526233433089</v>
      </c>
      <c r="AR20" s="839">
        <f>(1-AQ20/AQ10)*100</f>
        <v>28.320464495287801</v>
      </c>
      <c r="AS20" s="840">
        <f>(AR20-AN20)*100</f>
        <v>46.935369294731544</v>
      </c>
      <c r="AU20" s="695">
        <v>5025</v>
      </c>
      <c r="AV20" s="839">
        <f>(1-AU20/AU10)*100</f>
        <v>31.530181223599939</v>
      </c>
      <c r="AW20" s="840">
        <f>(AV20-AR20)*100</f>
        <v>320.97167283121382</v>
      </c>
      <c r="AY20" s="695">
        <v>5226</v>
      </c>
      <c r="AZ20" s="839">
        <f>(1-AY20/AY10)*100</f>
        <v>30.579171094580239</v>
      </c>
      <c r="BA20" s="840">
        <f>(AZ20-AV20)*100</f>
        <v>-95.101012901969995</v>
      </c>
      <c r="BC20" s="695">
        <v>5273</v>
      </c>
      <c r="BD20" s="839">
        <f>(1-BC20/BC10)*100</f>
        <v>29.898963041744221</v>
      </c>
      <c r="BE20" s="840">
        <f>(BD20-AZ20)*100</f>
        <v>-68.02080528360186</v>
      </c>
      <c r="BG20" s="695">
        <v>5360</v>
      </c>
      <c r="BH20" s="839">
        <f>(1-BG20/BG10)*100</f>
        <v>30.641821946169767</v>
      </c>
      <c r="BI20" s="840">
        <f>(BH20-BD20)*100</f>
        <v>74.285890442554603</v>
      </c>
      <c r="BK20" s="695">
        <v>2593</v>
      </c>
      <c r="BL20" s="839">
        <f>(1-BK20/BK10)*100</f>
        <v>35.959496171894287</v>
      </c>
      <c r="BM20" s="840">
        <f>(BL20-AZ20)*100</f>
        <v>538.03250773140473</v>
      </c>
      <c r="BO20" s="695">
        <v>2483</v>
      </c>
      <c r="BP20" s="839">
        <f>(1-BO20/BO10)*100</f>
        <v>37.769423558897245</v>
      </c>
      <c r="BQ20" s="840">
        <f>(BP20-BL20)*100</f>
        <v>180.99273870029577</v>
      </c>
      <c r="BS20" s="695">
        <v>2233</v>
      </c>
      <c r="BT20" s="839">
        <f>(1-BS20/BS10)*100</f>
        <v>39.138729899155081</v>
      </c>
      <c r="BU20" s="840">
        <f>(BT20-BP20)*100</f>
        <v>136.9306340257836</v>
      </c>
      <c r="BW20" s="695">
        <v>2438</v>
      </c>
      <c r="BX20" s="839">
        <f>(1-BW20/BW10)*100</f>
        <v>38.620342396777438</v>
      </c>
      <c r="BY20" s="840">
        <f>(BX20-BT20)*100</f>
        <v>-51.838750237764231</v>
      </c>
      <c r="CA20" s="695">
        <v>2470</v>
      </c>
      <c r="CB20" s="839">
        <f>(1-CA20/CA10)*100</f>
        <v>40.019426906265174</v>
      </c>
      <c r="CC20" s="840">
        <f>(CB20-BX20)*100</f>
        <v>139.90845094877358</v>
      </c>
      <c r="CE20" s="695">
        <v>2498</v>
      </c>
      <c r="CF20" s="839">
        <f>(1-CE20/CE10)*100</f>
        <v>40.7916567907087</v>
      </c>
      <c r="CG20" s="840">
        <f>(CF20-CB20)*100</f>
        <v>77.22298844435258</v>
      </c>
      <c r="CI20" s="695">
        <v>2543</v>
      </c>
      <c r="CJ20" s="839">
        <f>(1-CI20/CI10)*100</f>
        <v>41.526787767302828</v>
      </c>
      <c r="CK20" s="840">
        <f>(CJ20-CF20)*100</f>
        <v>73.513097659412807</v>
      </c>
      <c r="CM20" s="695">
        <v>2477</v>
      </c>
      <c r="CN20" s="839">
        <f>(1-CM20/CM10)*100</f>
        <v>39.980615459171311</v>
      </c>
      <c r="CO20" s="840">
        <f>(CN20-CJ20)*100</f>
        <v>-154.61723081315171</v>
      </c>
      <c r="CQ20" s="695">
        <v>2312.4351206486276</v>
      </c>
      <c r="CR20" s="839">
        <f t="shared" ref="CR20:CR26" si="2">(1-CQ20/CQ10)*100</f>
        <v>40.499839856771025</v>
      </c>
      <c r="CS20" s="840">
        <f>(CR20-CN20)*100</f>
        <v>51.922439759971439</v>
      </c>
      <c r="CU20" s="1342">
        <v>2299</v>
      </c>
      <c r="CV20" s="839">
        <f t="shared" ref="CV20:CV26" si="3">(1-CU20/CU10)*100</f>
        <v>41.486383303639606</v>
      </c>
      <c r="CW20" s="840">
        <f>(CV20-CR20)*100</f>
        <v>98.654344686858053</v>
      </c>
      <c r="CY20" s="1342">
        <v>2348</v>
      </c>
      <c r="CZ20" s="839">
        <f t="shared" ref="CZ20:CZ26" si="4">(1-CY20/CY10)*100</f>
        <v>40.45143291909713</v>
      </c>
      <c r="DA20" s="840">
        <f>(CZ20-CV20)*100</f>
        <v>-103.49503845424763</v>
      </c>
      <c r="DC20" s="1340">
        <f>1966-53</f>
        <v>1913</v>
      </c>
      <c r="DD20" s="839">
        <f t="shared" ref="DD20:DD26" si="5">(1-DC20/DC10)*100</f>
        <v>39.308375634517766</v>
      </c>
      <c r="DE20" s="840">
        <f t="shared" ref="DE20:DE26" si="6">(DD20-CZ20)*100</f>
        <v>-114.30572845793634</v>
      </c>
      <c r="DG20" s="1342">
        <v>1823</v>
      </c>
      <c r="DH20" s="842">
        <f t="shared" ref="DH20:DH26" si="7">(1-DG20/DG10)*100</f>
        <v>30.815939278937378</v>
      </c>
      <c r="DI20" s="840">
        <f>(DH20-DD20)*100</f>
        <v>-849.24363555803882</v>
      </c>
      <c r="DJ20" s="823"/>
      <c r="DK20" s="1342">
        <v>1875</v>
      </c>
      <c r="DL20" s="842">
        <f t="shared" ref="DL20:DL26" si="8">(1-DK20/DK10)*100</f>
        <v>33.059621563727234</v>
      </c>
      <c r="DM20" s="840">
        <f t="shared" ref="DM20:DM26" si="9">(DL20-DH20)*100</f>
        <v>224.36822847898554</v>
      </c>
      <c r="DP20" s="1342">
        <v>1816</v>
      </c>
      <c r="DQ20" s="842">
        <f t="shared" ref="DQ20:DQ26" si="10">(1-DP20/DP10)*100</f>
        <v>36.436821841092062</v>
      </c>
      <c r="DR20" s="840">
        <f>(DQ20-DL20)*100</f>
        <v>337.72002773648285</v>
      </c>
      <c r="DU20" s="1342">
        <v>1793</v>
      </c>
      <c r="DV20" s="842">
        <f t="shared" ref="DV20:DV26" si="11">(1-DU20/DU10)*100</f>
        <v>36.21487015297047</v>
      </c>
      <c r="DW20" s="840">
        <f t="shared" ref="DW20:DW26" si="12">(DV20-DQ20)*100</f>
        <v>-22.195168812159238</v>
      </c>
      <c r="DX20" s="591"/>
      <c r="DZ20" s="1354">
        <v>1723</v>
      </c>
      <c r="EA20" s="842">
        <f t="shared" ref="EA20:EA21" si="13">(1-DZ20/DZ10)*100</f>
        <v>36.326681448632669</v>
      </c>
      <c r="EB20" s="840">
        <f t="shared" ref="EB20:EB26" si="14">(EA20-DV20)*100</f>
        <v>11.181129566219994</v>
      </c>
      <c r="EC20" s="591"/>
      <c r="EE20" s="1528">
        <f>EE10*(1-EF20/100)</f>
        <v>1706.7932640000001</v>
      </c>
      <c r="EF20" s="1527">
        <v>35.9</v>
      </c>
      <c r="EG20" s="840">
        <f t="shared" ref="EG20:EG26" si="15">(EF20-EA20)*100</f>
        <v>-42.668144863267088</v>
      </c>
      <c r="EH20" s="591"/>
      <c r="EI20" s="591"/>
      <c r="EJ20" s="1067">
        <f>EB20+DW20</f>
        <v>-11.014039245939244</v>
      </c>
      <c r="EK20" s="1068">
        <f>DW20+EB20+DR20</f>
        <v>326.70598849054363</v>
      </c>
      <c r="EL20" s="586"/>
      <c r="EP20" s="843"/>
      <c r="EU20" s="840"/>
      <c r="EV20" s="840"/>
      <c r="EW20" s="805"/>
      <c r="EX20" s="805"/>
      <c r="EY20" s="805"/>
      <c r="EZ20" s="805"/>
      <c r="FA20" s="805"/>
      <c r="FB20" s="507"/>
    </row>
    <row r="21" spans="1:161" outlineLevel="1">
      <c r="A21" s="819" t="s">
        <v>141</v>
      </c>
      <c r="C21" s="841">
        <v>2330</v>
      </c>
      <c r="D21" s="839">
        <f t="shared" ref="D21:D26" si="16">(1-C21/C11)*100</f>
        <v>32.228039557882497</v>
      </c>
      <c r="E21" s="840" t="s">
        <v>24</v>
      </c>
      <c r="G21" s="841">
        <v>2448</v>
      </c>
      <c r="H21" s="839">
        <f t="shared" ref="H21:H26" si="17">(1-G21/G11)*100</f>
        <v>31.620111731843579</v>
      </c>
      <c r="I21" s="840">
        <f t="shared" ref="I21:I26" si="18">(H21-D21)*100</f>
        <v>-60.792782603891737</v>
      </c>
      <c r="K21" s="841">
        <v>2411</v>
      </c>
      <c r="L21" s="839">
        <f t="shared" ref="L21:L26" si="19">(1-K21/K11)*100</f>
        <v>30.237268518518523</v>
      </c>
      <c r="M21" s="840">
        <f t="shared" ref="M21:M26" si="20">(L21-H21)*100</f>
        <v>-138.28432133250567</v>
      </c>
      <c r="O21" s="841">
        <v>2625</v>
      </c>
      <c r="P21" s="839">
        <f t="shared" ref="P21:P26" si="21">(1-O21/O11)*100</f>
        <v>30.720506730007912</v>
      </c>
      <c r="Q21" s="840">
        <f t="shared" ref="Q21:Q26" si="22">(P21-L21)*100</f>
        <v>48.323821148938961</v>
      </c>
      <c r="S21" s="841">
        <v>2772</v>
      </c>
      <c r="T21" s="839">
        <f t="shared" ref="T21:T26" si="23">(1-S21/S11)*100</f>
        <v>30.052990158970474</v>
      </c>
      <c r="U21" s="840">
        <f t="shared" ref="U21:U26" si="24">(T21-P21)*100</f>
        <v>-66.751657103743867</v>
      </c>
      <c r="W21" s="841">
        <v>2960</v>
      </c>
      <c r="X21" s="839">
        <f t="shared" ref="X21:X26" si="25">(1-W21/W11)*100</f>
        <v>30.221593587930219</v>
      </c>
      <c r="Y21" s="840">
        <f t="shared" ref="Y21:Y26" si="26">(X21-T21)*100</f>
        <v>16.860342895974512</v>
      </c>
      <c r="AA21" s="841">
        <v>3143</v>
      </c>
      <c r="AB21" s="839">
        <f t="shared" ref="AB21:AB26" si="27">(1-AA21/AA11)*100</f>
        <v>29.131905298759865</v>
      </c>
      <c r="AC21" s="840">
        <f t="shared" ref="AC21:AC26" si="28">(AB21-X21)*100</f>
        <v>-108.96882891703541</v>
      </c>
      <c r="AE21" s="841">
        <v>4378</v>
      </c>
      <c r="AF21" s="839">
        <f t="shared" ref="AF21:AF26" si="29">(1-AE21/AE11)*100</f>
        <v>27.191085980375853</v>
      </c>
      <c r="AG21" s="840">
        <f t="shared" ref="AG21:AG26" si="30">(AF21-AB21)*100</f>
        <v>-194.0819318384012</v>
      </c>
      <c r="AI21" s="841">
        <v>3195</v>
      </c>
      <c r="AJ21" s="839">
        <f t="shared" ref="AJ21:AJ26" si="31">(1-AI21/AI11)*100</f>
        <v>29.110272908808522</v>
      </c>
      <c r="AK21" s="840">
        <f t="shared" ref="AK21:AK26" si="32">(AJ21-AB21)*100</f>
        <v>-2.1632389951342645</v>
      </c>
      <c r="AM21" s="841">
        <v>4669.6000000000004</v>
      </c>
      <c r="AN21" s="839">
        <f t="shared" ref="AN21:AN26" si="33">(1-AM21/AM11)*100</f>
        <v>26.87296416938111</v>
      </c>
      <c r="AO21" s="840">
        <f t="shared" ref="AO21:AO26" si="34">(AN21-AJ21)*100</f>
        <v>-223.73087394274123</v>
      </c>
      <c r="AQ21" s="841">
        <v>4747</v>
      </c>
      <c r="AR21" s="839">
        <f t="shared" ref="AR21:AR26" si="35">(1-AQ21/AQ11)*100</f>
        <v>26.766430114162297</v>
      </c>
      <c r="AS21" s="840">
        <f t="shared" ref="AS21:AS26" si="36">(AR21-AN21)*100</f>
        <v>-10.653405521881254</v>
      </c>
      <c r="AU21" s="841">
        <v>4914</v>
      </c>
      <c r="AV21" s="839">
        <f t="shared" ref="AV21:AV26" si="37">(1-AU21/AU11)*100</f>
        <v>30.827702702702698</v>
      </c>
      <c r="AW21" s="840">
        <f t="shared" ref="AW21:AW26" si="38">(AV21-AR21)*100</f>
        <v>406.12725885404012</v>
      </c>
      <c r="AY21" s="841">
        <v>5094</v>
      </c>
      <c r="AZ21" s="839">
        <f t="shared" ref="AZ21:AZ26" si="39">(1-AY21/AY11)*100</f>
        <v>29.318717913140002</v>
      </c>
      <c r="BA21" s="840">
        <f t="shared" ref="BA21:BA26" si="40">(AZ21-AV21)*100</f>
        <v>-150.8984789562696</v>
      </c>
      <c r="BC21" s="841">
        <v>5160</v>
      </c>
      <c r="BD21" s="839">
        <f t="shared" ref="BD21:BD26" si="41">(1-BC21/BC11)*100</f>
        <v>28.442657051726528</v>
      </c>
      <c r="BE21" s="840">
        <f t="shared" ref="BE21:BE26" si="42">(BD21-AZ21)*100</f>
        <v>-87.606086141347461</v>
      </c>
      <c r="BG21" s="841">
        <v>5054</v>
      </c>
      <c r="BH21" s="839">
        <f t="shared" ref="BH21:BH26" si="43">(1-BG21/BG11)*100</f>
        <v>29.786051681022506</v>
      </c>
      <c r="BI21" s="840">
        <f t="shared" ref="BI21:BI26" si="44">(BH21-BD21)*100</f>
        <v>134.33946292959789</v>
      </c>
      <c r="BK21" s="841">
        <v>2568</v>
      </c>
      <c r="BL21" s="839">
        <f t="shared" ref="BL21:BL26" si="45">(1-BK21/BK11)*100</f>
        <v>33.159812597605409</v>
      </c>
      <c r="BM21" s="840">
        <f t="shared" ref="BM21:BM26" si="46">(BL21-AZ21)*100</f>
        <v>384.10946844654069</v>
      </c>
      <c r="BO21" s="841">
        <v>2303.982</v>
      </c>
      <c r="BP21" s="839">
        <f t="shared" ref="BP21:BP26" si="47">(1-BO21/BO11)*100</f>
        <v>36.106669417651005</v>
      </c>
      <c r="BQ21" s="840">
        <f t="shared" ref="BQ21:BQ26" si="48">(BP21-BL21)*100</f>
        <v>294.68568200455962</v>
      </c>
      <c r="BS21" s="841">
        <v>2298</v>
      </c>
      <c r="BT21" s="839">
        <f t="shared" ref="BT21:BT26" si="49">(1-BS21/BS11)*100</f>
        <v>35.774175517048633</v>
      </c>
      <c r="BU21" s="840">
        <f t="shared" ref="BU21:BU26" si="50">(BT21-BP21)*100</f>
        <v>-33.249390060237261</v>
      </c>
      <c r="BW21" s="841">
        <v>2416</v>
      </c>
      <c r="BX21" s="839">
        <f t="shared" ref="BX21:BX26" si="51">(1-BW21/BW11)*100</f>
        <v>36.050820539968242</v>
      </c>
      <c r="BY21" s="840">
        <f t="shared" ref="BY21:BY26" si="52">(BX21-BT21)*100</f>
        <v>27.664502291960957</v>
      </c>
      <c r="CA21" s="841">
        <v>2508</v>
      </c>
      <c r="CB21" s="839">
        <f t="shared" ref="CB21:CB26" si="53">(1-CA21/CA11)*100</f>
        <v>37.000753579502629</v>
      </c>
      <c r="CC21" s="840">
        <f t="shared" ref="CC21:CC26" si="54">(CB21-BX21)*100</f>
        <v>94.993303953438613</v>
      </c>
      <c r="CE21" s="841">
        <v>2655.0879999999997</v>
      </c>
      <c r="CF21" s="839">
        <f t="shared" ref="CF21:CF26" si="55">(1-CE21/CE11)*100</f>
        <v>37.336963499460005</v>
      </c>
      <c r="CG21" s="840">
        <f t="shared" ref="CG21:CG26" si="56">(CF21-CB21)*100</f>
        <v>33.620991995737626</v>
      </c>
      <c r="CI21" s="841">
        <v>2716.93</v>
      </c>
      <c r="CJ21" s="839">
        <f t="shared" ref="CJ21:CJ26" si="57">(1-CI21/CI11)*100</f>
        <v>38.110933940774494</v>
      </c>
      <c r="CK21" s="840">
        <f t="shared" ref="CK21:CK26" si="58">(CJ21-CF21)*100</f>
        <v>77.397044131448922</v>
      </c>
      <c r="CM21" s="841">
        <v>2676.4369120962911</v>
      </c>
      <c r="CN21" s="839">
        <f t="shared" ref="CN21:CN26" si="59">(1-CM21/CM11)*100</f>
        <v>37.502880223402933</v>
      </c>
      <c r="CO21" s="840">
        <f t="shared" ref="CO21:CO26" si="60">(CN21-CJ21)*100</f>
        <v>-60.805371737156122</v>
      </c>
      <c r="CQ21" s="841">
        <v>2422.6502200871132</v>
      </c>
      <c r="CR21" s="839">
        <f t="shared" si="2"/>
        <v>38.552747901801332</v>
      </c>
      <c r="CS21" s="840">
        <f t="shared" ref="CS21:CS26" si="61">(CR21-CN21)*100</f>
        <v>104.98676783983996</v>
      </c>
      <c r="CU21" s="1340">
        <v>2386</v>
      </c>
      <c r="CV21" s="839">
        <f t="shared" si="3"/>
        <v>39.410868461147786</v>
      </c>
      <c r="CW21" s="840">
        <f t="shared" ref="CW21:CW26" si="62">(CV21-CR21)*100</f>
        <v>85.812055934645315</v>
      </c>
      <c r="CY21" s="1340">
        <v>2409</v>
      </c>
      <c r="CZ21" s="839">
        <f t="shared" si="4"/>
        <v>38.325652841781874</v>
      </c>
      <c r="DA21" s="840">
        <f t="shared" ref="DA21:DA26" si="63">(CZ21-CV21)*100</f>
        <v>-108.52156193659113</v>
      </c>
      <c r="DC21" s="1340">
        <f>2018</f>
        <v>2018</v>
      </c>
      <c r="DD21" s="839">
        <f t="shared" si="5"/>
        <v>33.22303110522833</v>
      </c>
      <c r="DE21" s="840">
        <f t="shared" si="6"/>
        <v>-510.26217365535445</v>
      </c>
      <c r="DG21" s="1353">
        <v>1876</v>
      </c>
      <c r="DH21" s="842">
        <f t="shared" si="7"/>
        <v>29.553135561396925</v>
      </c>
      <c r="DI21" s="840">
        <f t="shared" ref="DI21:DI26" si="64">(DH21-DD21)*100</f>
        <v>-366.9895543831405</v>
      </c>
      <c r="DK21" s="1353">
        <v>1791</v>
      </c>
      <c r="DL21" s="842">
        <f t="shared" si="8"/>
        <v>36.012861736334401</v>
      </c>
      <c r="DM21" s="840">
        <f t="shared" si="9"/>
        <v>645.97261749374763</v>
      </c>
      <c r="DP21" s="1353">
        <v>1810</v>
      </c>
      <c r="DQ21" s="842">
        <f t="shared" si="10"/>
        <v>37.04347826086957</v>
      </c>
      <c r="DR21" s="840">
        <f t="shared" ref="DR21:DR26" si="65">(DQ21-DL21)*100</f>
        <v>103.06165245351693</v>
      </c>
      <c r="DU21" s="1353">
        <v>1834</v>
      </c>
      <c r="DV21" s="842">
        <f t="shared" si="11"/>
        <v>37.148732008224819</v>
      </c>
      <c r="DW21" s="840">
        <f t="shared" si="12"/>
        <v>10.525374735524906</v>
      </c>
      <c r="DZ21" s="1353">
        <v>1923</v>
      </c>
      <c r="EA21" s="842">
        <f t="shared" si="13"/>
        <v>35.077650236326818</v>
      </c>
      <c r="EB21" s="840">
        <f t="shared" si="14"/>
        <v>-207.1081771898001</v>
      </c>
      <c r="EE21" s="824">
        <f>EE11*(1-EF21/100)</f>
        <v>1862.8847360000004</v>
      </c>
      <c r="EF21" s="1527">
        <v>36.6</v>
      </c>
      <c r="EG21" s="840">
        <f t="shared" si="15"/>
        <v>152.23497636731835</v>
      </c>
      <c r="EJ21" s="1067">
        <f>EB21+DW21</f>
        <v>-196.5828024542752</v>
      </c>
      <c r="EK21" s="1068">
        <f>DW21+EB21+DR21</f>
        <v>-93.521150000758269</v>
      </c>
      <c r="EL21" s="586"/>
      <c r="EP21" s="843"/>
      <c r="EU21" s="840"/>
      <c r="EV21" s="844"/>
      <c r="EW21" s="805"/>
      <c r="EX21" s="805"/>
      <c r="EY21" s="805"/>
      <c r="EZ21" s="805"/>
      <c r="FA21" s="805"/>
      <c r="FB21" s="507"/>
    </row>
    <row r="22" spans="1:161" outlineLevel="1">
      <c r="A22" s="819" t="s">
        <v>142</v>
      </c>
      <c r="C22" s="841">
        <v>2667</v>
      </c>
      <c r="D22" s="839">
        <f t="shared" si="16"/>
        <v>34.326520561438066</v>
      </c>
      <c r="E22" s="840" t="s">
        <v>24</v>
      </c>
      <c r="G22" s="841">
        <v>2670</v>
      </c>
      <c r="H22" s="839">
        <f t="shared" si="17"/>
        <v>33.166458072590743</v>
      </c>
      <c r="I22" s="840">
        <f t="shared" si="18"/>
        <v>-116.00624888473234</v>
      </c>
      <c r="K22" s="841">
        <v>2677</v>
      </c>
      <c r="L22" s="839">
        <f t="shared" si="19"/>
        <v>32.004064008128019</v>
      </c>
      <c r="M22" s="840">
        <f t="shared" si="20"/>
        <v>-116.2394064462724</v>
      </c>
      <c r="O22" s="841">
        <v>2947</v>
      </c>
      <c r="P22" s="839">
        <f t="shared" si="21"/>
        <v>32.128051589129434</v>
      </c>
      <c r="Q22" s="840">
        <f t="shared" si="22"/>
        <v>12.398758100141549</v>
      </c>
      <c r="S22" s="841">
        <v>3205</v>
      </c>
      <c r="T22" s="839">
        <f t="shared" si="23"/>
        <v>32.312565997888065</v>
      </c>
      <c r="U22" s="840">
        <f t="shared" si="24"/>
        <v>18.451440875863057</v>
      </c>
      <c r="W22" s="841">
        <v>3488</v>
      </c>
      <c r="X22" s="839">
        <f t="shared" si="25"/>
        <v>32.258691007962717</v>
      </c>
      <c r="Y22" s="840">
        <f t="shared" si="26"/>
        <v>-5.387498992534745</v>
      </c>
      <c r="AA22" s="841">
        <v>3536</v>
      </c>
      <c r="AB22" s="839">
        <f t="shared" si="27"/>
        <v>31.045241809672387</v>
      </c>
      <c r="AC22" s="840">
        <f t="shared" si="28"/>
        <v>-121.34491982903306</v>
      </c>
      <c r="AE22" s="841">
        <v>5023</v>
      </c>
      <c r="AF22" s="839">
        <f t="shared" si="29"/>
        <v>28.559237661783531</v>
      </c>
      <c r="AG22" s="840">
        <f t="shared" si="30"/>
        <v>-248.60041478888562</v>
      </c>
      <c r="AI22" s="841">
        <v>3837</v>
      </c>
      <c r="AJ22" s="839">
        <f t="shared" si="31"/>
        <v>30.702546505327799</v>
      </c>
      <c r="AK22" s="840">
        <f t="shared" si="32"/>
        <v>-34.269530434458773</v>
      </c>
      <c r="AM22" s="841">
        <v>5057.3</v>
      </c>
      <c r="AN22" s="839">
        <f t="shared" si="33"/>
        <v>28.803513859755327</v>
      </c>
      <c r="AO22" s="840">
        <f t="shared" si="34"/>
        <v>-189.90326455724721</v>
      </c>
      <c r="AQ22" s="841">
        <v>5104</v>
      </c>
      <c r="AR22" s="839">
        <f t="shared" si="35"/>
        <v>28.405105905456583</v>
      </c>
      <c r="AS22" s="840">
        <f t="shared" si="36"/>
        <v>-39.840795429874376</v>
      </c>
      <c r="AU22" s="841">
        <v>5211</v>
      </c>
      <c r="AV22" s="839">
        <f t="shared" si="37"/>
        <v>31.784264956146092</v>
      </c>
      <c r="AW22" s="840">
        <f t="shared" si="38"/>
        <v>337.91590506895091</v>
      </c>
      <c r="AY22" s="841">
        <v>5356</v>
      </c>
      <c r="AZ22" s="839">
        <f t="shared" si="39"/>
        <v>28.946670204298218</v>
      </c>
      <c r="BA22" s="840">
        <f t="shared" si="40"/>
        <v>-283.75947518478739</v>
      </c>
      <c r="BC22" s="841">
        <v>5434</v>
      </c>
      <c r="BD22" s="839">
        <f t="shared" si="41"/>
        <v>29.693362660111266</v>
      </c>
      <c r="BE22" s="840">
        <f t="shared" si="42"/>
        <v>74.669245581304722</v>
      </c>
      <c r="BG22" s="841">
        <v>5461</v>
      </c>
      <c r="BH22" s="839">
        <f t="shared" si="43"/>
        <v>30.627540650406505</v>
      </c>
      <c r="BI22" s="840">
        <f t="shared" si="44"/>
        <v>93.417799029523962</v>
      </c>
      <c r="BK22" s="841">
        <v>2812</v>
      </c>
      <c r="BL22" s="839">
        <f t="shared" si="45"/>
        <v>35.296824666359875</v>
      </c>
      <c r="BM22" s="840">
        <f t="shared" si="46"/>
        <v>635.01544620616562</v>
      </c>
      <c r="BO22" s="841">
        <v>2719</v>
      </c>
      <c r="BP22" s="839">
        <f t="shared" si="47"/>
        <v>36.679087098276661</v>
      </c>
      <c r="BQ22" s="840">
        <f t="shared" si="48"/>
        <v>138.22624319167858</v>
      </c>
      <c r="BS22" s="841">
        <v>2629</v>
      </c>
      <c r="BT22" s="839">
        <f t="shared" si="49"/>
        <v>38.402061855670098</v>
      </c>
      <c r="BU22" s="840">
        <f t="shared" si="50"/>
        <v>172.29747573934375</v>
      </c>
      <c r="BW22" s="841">
        <v>2656</v>
      </c>
      <c r="BX22" s="839">
        <f t="shared" si="51"/>
        <v>39.512639489865634</v>
      </c>
      <c r="BY22" s="840">
        <f t="shared" si="52"/>
        <v>111.05776341955362</v>
      </c>
      <c r="CA22" s="841">
        <v>2655</v>
      </c>
      <c r="CB22" s="839">
        <f t="shared" si="53"/>
        <v>40.723375753516407</v>
      </c>
      <c r="CC22" s="840">
        <f t="shared" si="54"/>
        <v>121.0736263650773</v>
      </c>
      <c r="CE22" s="841">
        <v>2796</v>
      </c>
      <c r="CF22" s="839">
        <f t="shared" si="55"/>
        <v>41.518510771805062</v>
      </c>
      <c r="CG22" s="840">
        <f t="shared" si="56"/>
        <v>79.513501828865429</v>
      </c>
      <c r="CI22" s="841">
        <v>2850</v>
      </c>
      <c r="CJ22" s="839">
        <f t="shared" si="57"/>
        <v>39.720812182741113</v>
      </c>
      <c r="CK22" s="840">
        <f t="shared" si="58"/>
        <v>-179.76985890639483</v>
      </c>
      <c r="CM22" s="841">
        <v>2653.8143589983829</v>
      </c>
      <c r="CN22" s="839">
        <f t="shared" si="59"/>
        <v>38.538016265849905</v>
      </c>
      <c r="CO22" s="840">
        <f t="shared" si="60"/>
        <v>-118.27959168912088</v>
      </c>
      <c r="CQ22" s="841">
        <v>2484.3941909596269</v>
      </c>
      <c r="CR22" s="839">
        <f t="shared" si="2"/>
        <v>40.570336732064881</v>
      </c>
      <c r="CS22" s="840">
        <f t="shared" si="61"/>
        <v>203.23204662149763</v>
      </c>
      <c r="CU22" s="1340">
        <v>2554</v>
      </c>
      <c r="CV22" s="839">
        <f t="shared" si="3"/>
        <v>39.030794939126281</v>
      </c>
      <c r="CW22" s="840">
        <f t="shared" si="62"/>
        <v>-153.95417929385999</v>
      </c>
      <c r="CY22" s="1340">
        <v>2497</v>
      </c>
      <c r="CZ22" s="839">
        <f t="shared" si="4"/>
        <v>37.355745107877567</v>
      </c>
      <c r="DA22" s="840">
        <f t="shared" si="63"/>
        <v>-167.50498312487139</v>
      </c>
      <c r="DC22" s="1340">
        <f>1975</f>
        <v>1975</v>
      </c>
      <c r="DD22" s="839">
        <f t="shared" si="5"/>
        <v>32.524769388452334</v>
      </c>
      <c r="DE22" s="840">
        <f>(DD22-CZ22)*100</f>
        <v>-483.09757194252325</v>
      </c>
      <c r="DG22" s="1353">
        <v>1960</v>
      </c>
      <c r="DH22" s="842">
        <f t="shared" si="7"/>
        <v>29.471032745591941</v>
      </c>
      <c r="DI22" s="840">
        <f>(DH22-DD22)*100</f>
        <v>-305.37366428603934</v>
      </c>
      <c r="DK22" s="1353">
        <v>1751</v>
      </c>
      <c r="DL22" s="842">
        <f t="shared" si="8"/>
        <v>36.649782923299568</v>
      </c>
      <c r="DM22" s="840">
        <f t="shared" si="9"/>
        <v>717.87501777076272</v>
      </c>
      <c r="DP22" s="1353">
        <v>1815</v>
      </c>
      <c r="DQ22" s="842">
        <f t="shared" si="10"/>
        <v>37.348981705212289</v>
      </c>
      <c r="DR22" s="840">
        <f>(DQ22-DL22)*100</f>
        <v>69.919878191272034</v>
      </c>
      <c r="DU22" s="1353">
        <v>1795</v>
      </c>
      <c r="DV22" s="842">
        <f t="shared" si="11"/>
        <v>37.171858592929652</v>
      </c>
      <c r="DW22" s="840">
        <f t="shared" si="12"/>
        <v>-17.712311228263644</v>
      </c>
      <c r="DZ22" s="1353">
        <v>1852</v>
      </c>
      <c r="EA22" s="842">
        <f t="shared" ref="EA22:EA23" si="66">(1-DZ22/DZ12)*100</f>
        <v>34.022087638047736</v>
      </c>
      <c r="EB22" s="840">
        <f t="shared" ref="EB22" si="67">(EA22-DV22)*100</f>
        <v>-314.97709548819159</v>
      </c>
      <c r="EE22" s="824">
        <f>EE12*(1-EF22/100)</f>
        <v>1732.5365400000001</v>
      </c>
      <c r="EF22" s="1527">
        <v>36.5</v>
      </c>
      <c r="EG22" s="840">
        <f t="shared" si="15"/>
        <v>247.79123619522636</v>
      </c>
      <c r="EJ22" s="1067">
        <f>EB22+DW22</f>
        <v>-332.68940671645521</v>
      </c>
      <c r="EK22" s="1068">
        <f>DW22+EB22+DR22</f>
        <v>-262.7695285251832</v>
      </c>
      <c r="EL22" s="586"/>
      <c r="EP22" s="843"/>
      <c r="EU22" s="840"/>
      <c r="EV22" s="840"/>
      <c r="EW22" s="805"/>
      <c r="EX22" s="805"/>
      <c r="EY22" s="805"/>
      <c r="EZ22" s="805"/>
      <c r="FA22" s="805"/>
      <c r="FB22" s="507"/>
    </row>
    <row r="23" spans="1:161" outlineLevel="1">
      <c r="A23" s="819" t="s">
        <v>143</v>
      </c>
      <c r="C23" s="845">
        <v>3576</v>
      </c>
      <c r="D23" s="839">
        <f t="shared" si="16"/>
        <v>32.053961618848568</v>
      </c>
      <c r="E23" s="840" t="s">
        <v>24</v>
      </c>
      <c r="G23" s="845">
        <v>3725</v>
      </c>
      <c r="H23" s="839">
        <f t="shared" si="17"/>
        <v>29.182509505703425</v>
      </c>
      <c r="I23" s="840">
        <f t="shared" si="18"/>
        <v>-287.14521131451426</v>
      </c>
      <c r="K23" s="845">
        <v>3782</v>
      </c>
      <c r="L23" s="839">
        <f t="shared" si="19"/>
        <v>29.637209302325584</v>
      </c>
      <c r="M23" s="840">
        <f t="shared" si="20"/>
        <v>45.46997966221582</v>
      </c>
      <c r="O23" s="845">
        <v>4197</v>
      </c>
      <c r="P23" s="839">
        <f t="shared" si="21"/>
        <v>31.027115858668864</v>
      </c>
      <c r="Q23" s="840">
        <f t="shared" si="22"/>
        <v>138.99065563432805</v>
      </c>
      <c r="S23" s="845">
        <v>4372</v>
      </c>
      <c r="T23" s="839">
        <f t="shared" si="23"/>
        <v>30.833728840373354</v>
      </c>
      <c r="U23" s="840">
        <f t="shared" si="24"/>
        <v>-19.338701829551042</v>
      </c>
      <c r="W23" s="845">
        <v>4566</v>
      </c>
      <c r="X23" s="839">
        <f t="shared" si="25"/>
        <v>31.224582015363755</v>
      </c>
      <c r="Y23" s="840">
        <f t="shared" si="26"/>
        <v>39.085317499040073</v>
      </c>
      <c r="AA23" s="845">
        <v>4678</v>
      </c>
      <c r="AB23" s="839">
        <f t="shared" si="27"/>
        <v>29.463208685162844</v>
      </c>
      <c r="AC23" s="840">
        <f t="shared" si="28"/>
        <v>-176.13733302009109</v>
      </c>
      <c r="AE23" s="845">
        <v>6567</v>
      </c>
      <c r="AF23" s="839">
        <f t="shared" si="29"/>
        <v>26.47783251231527</v>
      </c>
      <c r="AG23" s="840">
        <f t="shared" si="30"/>
        <v>-298.53761728475729</v>
      </c>
      <c r="AI23" s="845">
        <v>5928</v>
      </c>
      <c r="AJ23" s="839">
        <f t="shared" si="31"/>
        <v>27.317312408043158</v>
      </c>
      <c r="AK23" s="840">
        <f t="shared" si="32"/>
        <v>-214.5896277119686</v>
      </c>
      <c r="AM23" s="845">
        <v>6869</v>
      </c>
      <c r="AN23" s="839">
        <f t="shared" si="33"/>
        <v>27.808723068838681</v>
      </c>
      <c r="AO23" s="840">
        <f t="shared" si="34"/>
        <v>49.141066079552331</v>
      </c>
      <c r="AQ23" s="845">
        <v>6840</v>
      </c>
      <c r="AR23" s="839">
        <f t="shared" si="35"/>
        <v>24.603174603174605</v>
      </c>
      <c r="AS23" s="840">
        <f t="shared" si="36"/>
        <v>-320.55484656640766</v>
      </c>
      <c r="AU23" s="845">
        <v>6998</v>
      </c>
      <c r="AV23" s="839">
        <f t="shared" si="37"/>
        <v>27.564434323568989</v>
      </c>
      <c r="AW23" s="840">
        <f t="shared" si="38"/>
        <v>296.12597203943841</v>
      </c>
      <c r="AY23" s="845">
        <v>7090</v>
      </c>
      <c r="AZ23" s="839">
        <f t="shared" si="39"/>
        <v>25.93753264389429</v>
      </c>
      <c r="BA23" s="840">
        <f t="shared" si="40"/>
        <v>-162.6901679674699</v>
      </c>
      <c r="BC23" s="845">
        <v>6884</v>
      </c>
      <c r="BD23" s="839">
        <f t="shared" si="41"/>
        <v>27.855795430727316</v>
      </c>
      <c r="BE23" s="840">
        <f t="shared" si="42"/>
        <v>191.82627868330258</v>
      </c>
      <c r="BG23" s="845">
        <v>6672</v>
      </c>
      <c r="BH23" s="839">
        <f t="shared" si="43"/>
        <v>30.128809299403081</v>
      </c>
      <c r="BI23" s="840">
        <f t="shared" si="44"/>
        <v>227.30138686757647</v>
      </c>
      <c r="BK23" s="845">
        <v>4037</v>
      </c>
      <c r="BL23" s="839">
        <f t="shared" si="45"/>
        <v>31.050384286934239</v>
      </c>
      <c r="BM23" s="840">
        <f t="shared" si="46"/>
        <v>511.28516430399492</v>
      </c>
      <c r="BO23" s="845">
        <v>3793</v>
      </c>
      <c r="BP23" s="839">
        <f t="shared" si="47"/>
        <v>33.954379244297407</v>
      </c>
      <c r="BQ23" s="840">
        <f t="shared" si="48"/>
        <v>290.39949573631674</v>
      </c>
      <c r="BS23" s="845">
        <v>3855</v>
      </c>
      <c r="BT23" s="839">
        <f t="shared" si="49"/>
        <v>35.728576192064018</v>
      </c>
      <c r="BU23" s="840">
        <f t="shared" si="50"/>
        <v>177.41969477666117</v>
      </c>
      <c r="BW23" s="845">
        <v>3812</v>
      </c>
      <c r="BX23" s="839">
        <f t="shared" si="51"/>
        <v>35.986565910999161</v>
      </c>
      <c r="BY23" s="840">
        <f t="shared" si="52"/>
        <v>25.798971893514278</v>
      </c>
      <c r="CA23" s="845">
        <v>3958</v>
      </c>
      <c r="CB23" s="839">
        <f t="shared" si="53"/>
        <v>36.193029144857626</v>
      </c>
      <c r="CC23" s="840">
        <f t="shared" si="54"/>
        <v>20.646323385846443</v>
      </c>
      <c r="CE23" s="845">
        <v>4145</v>
      </c>
      <c r="CF23" s="839">
        <f t="shared" si="55"/>
        <v>37.837432513497305</v>
      </c>
      <c r="CG23" s="840">
        <f t="shared" si="56"/>
        <v>164.44033686396793</v>
      </c>
      <c r="CI23" s="845">
        <v>4086</v>
      </c>
      <c r="CJ23" s="839">
        <f t="shared" si="57"/>
        <v>36.056338028169009</v>
      </c>
      <c r="CK23" s="840">
        <f t="shared" si="58"/>
        <v>-178.10944853282962</v>
      </c>
      <c r="CM23" s="845">
        <v>3763.2217076112174</v>
      </c>
      <c r="CN23" s="839">
        <f t="shared" si="59"/>
        <v>34.657460701020511</v>
      </c>
      <c r="CO23" s="840">
        <f t="shared" si="60"/>
        <v>-139.88773271484973</v>
      </c>
      <c r="CQ23" s="845">
        <v>3430</v>
      </c>
      <c r="CR23" s="839">
        <f t="shared" si="2"/>
        <v>38.198198198198199</v>
      </c>
      <c r="CS23" s="840">
        <f t="shared" si="61"/>
        <v>354.07374971776875</v>
      </c>
      <c r="CU23" s="1341">
        <v>3560</v>
      </c>
      <c r="CV23" s="839">
        <f t="shared" si="3"/>
        <v>37.576714010170086</v>
      </c>
      <c r="CW23" s="840">
        <f t="shared" si="62"/>
        <v>-62.148418802811278</v>
      </c>
      <c r="CY23" s="1341">
        <v>3581</v>
      </c>
      <c r="CZ23" s="839">
        <f t="shared" si="4"/>
        <v>33.990783410138249</v>
      </c>
      <c r="DA23" s="840">
        <f t="shared" si="63"/>
        <v>-358.59306000318372</v>
      </c>
      <c r="DC23" s="1341">
        <v>2960</v>
      </c>
      <c r="DD23" s="839">
        <f t="shared" si="5"/>
        <v>23.789907312049429</v>
      </c>
      <c r="DE23" s="840">
        <f>(DD23-CZ23)*100</f>
        <v>-1020.087609808882</v>
      </c>
      <c r="DG23" s="1357">
        <v>2708</v>
      </c>
      <c r="DH23" s="842">
        <f t="shared" si="7"/>
        <v>28.397673188788996</v>
      </c>
      <c r="DI23" s="840">
        <f t="shared" si="64"/>
        <v>460.77658767395667</v>
      </c>
      <c r="DK23" s="1357">
        <v>2579</v>
      </c>
      <c r="DL23" s="842">
        <f>(1-DK23/DK13)*100</f>
        <v>33.752889802209097</v>
      </c>
      <c r="DM23" s="840">
        <f t="shared" si="9"/>
        <v>535.52166134201013</v>
      </c>
      <c r="DP23" s="1357">
        <v>2633</v>
      </c>
      <c r="DQ23" s="842">
        <f t="shared" si="10"/>
        <v>34.109109109109106</v>
      </c>
      <c r="DR23" s="840">
        <f>(DQ23-DL23)*100</f>
        <v>35.62193069000088</v>
      </c>
      <c r="DU23" s="1357">
        <v>2649</v>
      </c>
      <c r="DV23" s="842">
        <f t="shared" si="11"/>
        <v>33.122948750315572</v>
      </c>
      <c r="DW23" s="840">
        <f t="shared" si="12"/>
        <v>-98.616035879353348</v>
      </c>
      <c r="DZ23" s="1357">
        <v>2676</v>
      </c>
      <c r="EA23" s="1559">
        <f t="shared" si="66"/>
        <v>33.614487720168697</v>
      </c>
      <c r="EB23" s="840">
        <f t="shared" si="14"/>
        <v>49.153896985312429</v>
      </c>
      <c r="EE23" s="827">
        <f>EE13*(1-EF23/100)</f>
        <v>2499.2361240000005</v>
      </c>
      <c r="EF23" s="1527">
        <v>32.9</v>
      </c>
      <c r="EG23" s="840">
        <f t="shared" si="15"/>
        <v>-71.44877201686981</v>
      </c>
      <c r="EJ23" s="1069">
        <f>EB23+DW23</f>
        <v>-49.462138894040919</v>
      </c>
      <c r="EK23" s="1070">
        <f>DW23+EB23+DR23</f>
        <v>-13.840208204040039</v>
      </c>
      <c r="EL23" s="586"/>
      <c r="EP23" s="843"/>
      <c r="EU23" s="840"/>
      <c r="EV23" s="678"/>
      <c r="EW23" s="805"/>
      <c r="EX23" s="805"/>
      <c r="EY23" s="805"/>
      <c r="EZ23" s="805"/>
      <c r="FA23" s="805"/>
      <c r="FB23" s="507"/>
    </row>
    <row r="24" spans="1:161" outlineLevel="1">
      <c r="A24" s="819" t="s">
        <v>144</v>
      </c>
      <c r="C24" s="591">
        <f>SUM(C20:C23)</f>
        <v>10762</v>
      </c>
      <c r="D24" s="839">
        <f t="shared" si="16"/>
        <v>33.167732720611063</v>
      </c>
      <c r="E24" s="840" t="s">
        <v>24</v>
      </c>
      <c r="G24" s="591">
        <f>SUM(G20:G23)</f>
        <v>11172</v>
      </c>
      <c r="H24" s="839">
        <f t="shared" si="17"/>
        <v>31.732355637030253</v>
      </c>
      <c r="I24" s="840">
        <f t="shared" si="18"/>
        <v>-143.53770835808106</v>
      </c>
      <c r="K24" s="591">
        <f>SUM(K20:K23)</f>
        <v>11190</v>
      </c>
      <c r="L24" s="839">
        <f t="shared" si="19"/>
        <v>30.930189494475645</v>
      </c>
      <c r="M24" s="840">
        <f t="shared" si="20"/>
        <v>-80.216614255460783</v>
      </c>
      <c r="O24" s="591">
        <f>SUM(O20:O23)</f>
        <v>12329</v>
      </c>
      <c r="P24" s="839">
        <f t="shared" si="21"/>
        <v>31.539785662724196</v>
      </c>
      <c r="Q24" s="840">
        <f t="shared" si="22"/>
        <v>60.95961682485509</v>
      </c>
      <c r="S24" s="591">
        <f>SUM(S20:S23)</f>
        <v>13033</v>
      </c>
      <c r="T24" s="839">
        <f t="shared" si="23"/>
        <v>31.343833956698099</v>
      </c>
      <c r="U24" s="840">
        <f t="shared" si="24"/>
        <v>-19.595170602609713</v>
      </c>
      <c r="W24" s="591">
        <f>SUM(W20:W23)</f>
        <v>13969</v>
      </c>
      <c r="X24" s="839">
        <f t="shared" si="25"/>
        <v>31.457311089303243</v>
      </c>
      <c r="Y24" s="840">
        <f t="shared" si="26"/>
        <v>11.347713260514425</v>
      </c>
      <c r="AA24" s="591">
        <f>SUM(AA20:AA23)</f>
        <v>14354</v>
      </c>
      <c r="AB24" s="839">
        <f t="shared" si="27"/>
        <v>30.191615601595178</v>
      </c>
      <c r="AC24" s="840">
        <f t="shared" si="28"/>
        <v>-126.56954877080651</v>
      </c>
      <c r="AE24" s="591">
        <f>SUM(AE20:AE23)</f>
        <v>20324</v>
      </c>
      <c r="AF24" s="839">
        <f t="shared" si="29"/>
        <v>27.49714611872146</v>
      </c>
      <c r="AG24" s="840">
        <f t="shared" si="30"/>
        <v>-269.44694828737175</v>
      </c>
      <c r="AI24" s="591">
        <f>SUM(AI20:AI23)</f>
        <v>16072</v>
      </c>
      <c r="AJ24" s="839">
        <f t="shared" si="31"/>
        <v>29.048207663782442</v>
      </c>
      <c r="AK24" s="840">
        <f t="shared" si="32"/>
        <v>-114.34079378127358</v>
      </c>
      <c r="AM24" s="591">
        <f>SUM(AM20:AM23)</f>
        <v>21269.200000000001</v>
      </c>
      <c r="AN24" s="839">
        <f t="shared" si="33"/>
        <v>27.85503982198825</v>
      </c>
      <c r="AO24" s="840">
        <f t="shared" si="34"/>
        <v>-119.31678417941924</v>
      </c>
      <c r="AQ24" s="591">
        <f>SUM(AQ20:AQ23)</f>
        <v>21532.95262334331</v>
      </c>
      <c r="AR24" s="839">
        <f t="shared" si="35"/>
        <v>26.853208019079734</v>
      </c>
      <c r="AS24" s="840">
        <f t="shared" si="36"/>
        <v>-100.18318029085158</v>
      </c>
      <c r="AU24" s="591">
        <f>SUM(AU20:AU23)</f>
        <v>22148</v>
      </c>
      <c r="AV24" s="839">
        <f t="shared" si="37"/>
        <v>30.227136691554048</v>
      </c>
      <c r="AW24" s="840">
        <f t="shared" si="38"/>
        <v>337.39286724743135</v>
      </c>
      <c r="AY24" s="591">
        <f>SUM(AY20:AY23)</f>
        <v>22766</v>
      </c>
      <c r="AZ24" s="839">
        <f t="shared" si="39"/>
        <v>28.512215034855238</v>
      </c>
      <c r="BA24" s="840">
        <f t="shared" si="40"/>
        <v>-171.49216566988093</v>
      </c>
      <c r="BC24" s="591">
        <f>SUM(BC20:BC23)</f>
        <v>22751</v>
      </c>
      <c r="BD24" s="839">
        <f t="shared" si="41"/>
        <v>28.912010998625171</v>
      </c>
      <c r="BE24" s="840">
        <f t="shared" si="42"/>
        <v>39.979596376993243</v>
      </c>
      <c r="BG24" s="591">
        <f>SUM(BG20:BG23)</f>
        <v>22547</v>
      </c>
      <c r="BH24" s="839">
        <f t="shared" si="43"/>
        <v>30.296472624972949</v>
      </c>
      <c r="BI24" s="840">
        <f t="shared" si="44"/>
        <v>138.44616263477789</v>
      </c>
      <c r="BK24" s="695">
        <v>11866</v>
      </c>
      <c r="BL24" s="839">
        <f t="shared" si="45"/>
        <v>33.486547085201792</v>
      </c>
      <c r="BM24" s="840">
        <f t="shared" si="46"/>
        <v>497.43320503465543</v>
      </c>
      <c r="BO24" s="695">
        <v>11287</v>
      </c>
      <c r="BP24" s="839">
        <f t="shared" si="47"/>
        <v>35.072480441785544</v>
      </c>
      <c r="BQ24" s="840">
        <f t="shared" si="48"/>
        <v>158.59333565837517</v>
      </c>
      <c r="BS24" s="695">
        <v>11237</v>
      </c>
      <c r="BT24" s="839">
        <f t="shared" si="49"/>
        <v>35.836235939016724</v>
      </c>
      <c r="BU24" s="840">
        <f t="shared" si="50"/>
        <v>76.375549723118041</v>
      </c>
      <c r="BW24" s="591">
        <f>SUM(BW20:BW23)</f>
        <v>11322</v>
      </c>
      <c r="BX24" s="839">
        <f t="shared" si="51"/>
        <v>37.433687002652519</v>
      </c>
      <c r="BY24" s="840">
        <f t="shared" si="52"/>
        <v>159.74510636357948</v>
      </c>
      <c r="CA24" s="591">
        <f>SUM(CA20:CA23)</f>
        <v>11591</v>
      </c>
      <c r="CB24" s="839">
        <f t="shared" si="53"/>
        <v>38.283647525350503</v>
      </c>
      <c r="CC24" s="840">
        <f t="shared" si="54"/>
        <v>84.996052269798383</v>
      </c>
      <c r="CE24" s="591">
        <f>SUM(CE20:CE23)</f>
        <v>12094.088</v>
      </c>
      <c r="CF24" s="839">
        <f t="shared" si="55"/>
        <v>39.241223148573866</v>
      </c>
      <c r="CG24" s="840">
        <f t="shared" si="56"/>
        <v>95.757562322336298</v>
      </c>
      <c r="CI24" s="591">
        <f>SUM(CI20:CI23)</f>
        <v>12195.93</v>
      </c>
      <c r="CJ24" s="839">
        <f t="shared" si="57"/>
        <v>38.581205620184313</v>
      </c>
      <c r="CK24" s="840">
        <f t="shared" si="58"/>
        <v>-66.001752838955241</v>
      </c>
      <c r="CM24" s="591">
        <f>SUM(CM20:CM23)</f>
        <v>11570.472978705891</v>
      </c>
      <c r="CN24" s="839">
        <f t="shared" si="59"/>
        <v>37.411339892791737</v>
      </c>
      <c r="CO24" s="840">
        <f t="shared" si="60"/>
        <v>-116.98657273925761</v>
      </c>
      <c r="CQ24" s="591">
        <f>SUM(CQ20:CQ23)</f>
        <v>10649.479531695368</v>
      </c>
      <c r="CR24" s="839">
        <f t="shared" si="2"/>
        <v>39.351963636093259</v>
      </c>
      <c r="CS24" s="840">
        <f t="shared" si="61"/>
        <v>194.06237433015221</v>
      </c>
      <c r="CU24" s="591">
        <f>SUM(CU20:CU23)</f>
        <v>10799</v>
      </c>
      <c r="CV24" s="839">
        <f t="shared" si="3"/>
        <v>39.191395911931984</v>
      </c>
      <c r="CW24" s="840">
        <f t="shared" si="62"/>
        <v>-16.056772416127529</v>
      </c>
      <c r="CY24" s="591">
        <f>SUM(CY20:CY23)</f>
        <v>10835</v>
      </c>
      <c r="CZ24" s="839">
        <f t="shared" si="4"/>
        <v>37.224797219003477</v>
      </c>
      <c r="DA24" s="840">
        <f t="shared" si="63"/>
        <v>-196.65986929285069</v>
      </c>
      <c r="DC24" s="846">
        <f>SUM(DC20:DC23)</f>
        <v>8866</v>
      </c>
      <c r="DD24" s="839">
        <f t="shared" si="5"/>
        <v>31.721216788602234</v>
      </c>
      <c r="DE24" s="840">
        <f t="shared" si="6"/>
        <v>-550.35804304012436</v>
      </c>
      <c r="DG24" s="846">
        <f>SUM(DG20:DG23)</f>
        <v>8367</v>
      </c>
      <c r="DH24" s="842">
        <f t="shared" si="7"/>
        <v>29.445990387047814</v>
      </c>
      <c r="DI24" s="840">
        <f t="shared" si="64"/>
        <v>-227.52264015544199</v>
      </c>
      <c r="DK24" s="846">
        <f>SUM(DK20:DK23)</f>
        <v>7996</v>
      </c>
      <c r="DL24" s="842">
        <f t="shared" si="8"/>
        <v>34.763808435995756</v>
      </c>
      <c r="DM24" s="840">
        <f t="shared" si="9"/>
        <v>531.78180489479416</v>
      </c>
      <c r="DP24" s="846">
        <f>SUM(DP20:DP23)</f>
        <v>8074</v>
      </c>
      <c r="DQ24" s="842">
        <f t="shared" si="10"/>
        <v>36.047524752475248</v>
      </c>
      <c r="DR24" s="840">
        <f t="shared" si="65"/>
        <v>128.37163164794916</v>
      </c>
      <c r="DU24" s="829">
        <f>SUM(DU20:DU23)</f>
        <v>8071</v>
      </c>
      <c r="DV24" s="842">
        <f t="shared" si="11"/>
        <v>35.673866262851675</v>
      </c>
      <c r="DW24" s="840">
        <f t="shared" si="12"/>
        <v>-37.365848962357262</v>
      </c>
      <c r="DZ24" s="829">
        <f>SUM(DZ20:DZ23)</f>
        <v>8174</v>
      </c>
      <c r="EA24" s="842">
        <f>(1-DZ24/DZ14)*100</f>
        <v>34.639373100911563</v>
      </c>
      <c r="EB24" s="840">
        <f t="shared" si="14"/>
        <v>-103.44931619401123</v>
      </c>
      <c r="EE24" s="829">
        <f>SUM(EE20:EE23)</f>
        <v>7801.4506640000018</v>
      </c>
      <c r="EF24" s="1526">
        <f>(1-EE24/EE14)*100</f>
        <v>35.279455612285183</v>
      </c>
      <c r="EG24" s="840">
        <f t="shared" si="15"/>
        <v>64.008251137362038</v>
      </c>
      <c r="EJ24" s="1071">
        <f>EB24+DW24</f>
        <v>-140.81516515636849</v>
      </c>
      <c r="EK24" s="1072">
        <f>DW24+EB24+DR24</f>
        <v>-12.443533508419335</v>
      </c>
      <c r="EL24" s="840"/>
      <c r="EM24" s="840"/>
      <c r="EN24" s="840"/>
      <c r="EO24" s="840"/>
      <c r="EP24" s="843"/>
      <c r="EU24" s="840"/>
      <c r="EV24" s="840"/>
      <c r="EW24" s="805"/>
      <c r="EX24" s="805"/>
      <c r="EY24" s="805"/>
      <c r="EZ24" s="805"/>
      <c r="FA24" s="805"/>
      <c r="FB24" s="507"/>
    </row>
    <row r="25" spans="1:161" ht="13.5" hidden="1" outlineLevel="2" thickBot="1">
      <c r="A25" s="819" t="s">
        <v>145</v>
      </c>
      <c r="C25" s="706">
        <f>C20+C21</f>
        <v>4519</v>
      </c>
      <c r="D25" s="839">
        <f t="shared" si="16"/>
        <v>33.338250479421738</v>
      </c>
      <c r="E25" s="840" t="s">
        <v>24</v>
      </c>
      <c r="G25" s="706">
        <f>G20+G21</f>
        <v>4777</v>
      </c>
      <c r="H25" s="839">
        <f t="shared" si="17"/>
        <v>32.812939521800274</v>
      </c>
      <c r="I25" s="840">
        <f t="shared" si="18"/>
        <v>-52.531095762146407</v>
      </c>
      <c r="K25" s="706">
        <f>K20+K21</f>
        <v>4731</v>
      </c>
      <c r="L25" s="839">
        <f t="shared" si="19"/>
        <v>31.325301204819279</v>
      </c>
      <c r="M25" s="840">
        <f t="shared" si="20"/>
        <v>-148.76383169809947</v>
      </c>
      <c r="O25" s="706">
        <f>O20+O21</f>
        <v>5185</v>
      </c>
      <c r="P25" s="839">
        <f t="shared" si="21"/>
        <v>31.614349775784756</v>
      </c>
      <c r="Q25" s="840">
        <f t="shared" si="22"/>
        <v>28.904857096547687</v>
      </c>
      <c r="S25" s="706">
        <f>S20+S21</f>
        <v>5456</v>
      </c>
      <c r="T25" s="839">
        <f t="shared" si="23"/>
        <v>31.171943988898697</v>
      </c>
      <c r="U25" s="840">
        <f t="shared" si="24"/>
        <v>-44.240578688605936</v>
      </c>
      <c r="W25" s="706">
        <f>W20+W21</f>
        <v>5915</v>
      </c>
      <c r="X25" s="839">
        <f t="shared" si="25"/>
        <v>31.156890130353819</v>
      </c>
      <c r="Y25" s="840">
        <f t="shared" si="26"/>
        <v>-1.5053858544877841</v>
      </c>
      <c r="AA25" s="706">
        <f>AA20+AA21</f>
        <v>6140</v>
      </c>
      <c r="AB25" s="839">
        <f t="shared" si="27"/>
        <v>30.243126562144962</v>
      </c>
      <c r="AC25" s="840">
        <f t="shared" si="28"/>
        <v>-91.376356820885718</v>
      </c>
      <c r="AE25" s="706">
        <f>AE20+AE21</f>
        <v>8734</v>
      </c>
      <c r="AF25" s="839">
        <f t="shared" si="29"/>
        <v>27.632778192062311</v>
      </c>
      <c r="AG25" s="840">
        <f t="shared" si="30"/>
        <v>-261.03483700826507</v>
      </c>
      <c r="AI25" s="706">
        <f>AI20+AI21</f>
        <v>6307</v>
      </c>
      <c r="AJ25" s="839">
        <f t="shared" si="31"/>
        <v>29.601518026565465</v>
      </c>
      <c r="AK25" s="840">
        <f t="shared" si="32"/>
        <v>-64.160853557949693</v>
      </c>
      <c r="AM25" s="706">
        <f>AM20+AM21</f>
        <v>9342.9000000000015</v>
      </c>
      <c r="AN25" s="839">
        <f t="shared" si="33"/>
        <v>27.365524104206674</v>
      </c>
      <c r="AO25" s="840">
        <f t="shared" si="34"/>
        <v>-223.59939223587907</v>
      </c>
      <c r="AQ25" s="706">
        <f>AQ20+AQ21</f>
        <v>9588.9526233433098</v>
      </c>
      <c r="AR25" s="839">
        <f t="shared" si="35"/>
        <v>27.559472513837658</v>
      </c>
      <c r="AS25" s="840">
        <f t="shared" si="36"/>
        <v>19.394840963098403</v>
      </c>
      <c r="AU25" s="706">
        <f>AU20+AU21</f>
        <v>9939</v>
      </c>
      <c r="AV25" s="839">
        <f t="shared" si="37"/>
        <v>31.184656927231181</v>
      </c>
      <c r="AW25" s="840">
        <f t="shared" si="38"/>
        <v>362.51844133935231</v>
      </c>
      <c r="AY25" s="706">
        <f>AY20+AY21</f>
        <v>10320</v>
      </c>
      <c r="AZ25" s="839">
        <f t="shared" si="39"/>
        <v>29.962673905666783</v>
      </c>
      <c r="BA25" s="840">
        <f t="shared" si="40"/>
        <v>-122.19830215643981</v>
      </c>
      <c r="BC25" s="706">
        <f>BC20+BC21</f>
        <v>10433</v>
      </c>
      <c r="BD25" s="839">
        <f t="shared" si="41"/>
        <v>29.186180682820883</v>
      </c>
      <c r="BE25" s="840">
        <f t="shared" si="42"/>
        <v>-77.649322284590028</v>
      </c>
      <c r="BG25" s="706">
        <f>BG20+BG21</f>
        <v>10414</v>
      </c>
      <c r="BH25" s="839">
        <f t="shared" si="43"/>
        <v>30.229130376524182</v>
      </c>
      <c r="BI25" s="840">
        <f t="shared" si="44"/>
        <v>104.29496937032994</v>
      </c>
      <c r="BK25" s="706">
        <f>BK20+BK21</f>
        <v>5161</v>
      </c>
      <c r="BL25" s="839">
        <f t="shared" si="45"/>
        <v>34.596375617792418</v>
      </c>
      <c r="BM25" s="840">
        <f t="shared" si="46"/>
        <v>463.37017121256349</v>
      </c>
      <c r="BO25" s="706">
        <f>BO20+BO21</f>
        <v>4786.982</v>
      </c>
      <c r="BP25" s="839">
        <f t="shared" si="47"/>
        <v>36.980077098655585</v>
      </c>
      <c r="BQ25" s="840">
        <f t="shared" si="48"/>
        <v>238.37014808631665</v>
      </c>
      <c r="BS25" s="706">
        <f>BS20+BS21</f>
        <v>4531</v>
      </c>
      <c r="BT25" s="839">
        <f t="shared" si="49"/>
        <v>37.47757692838416</v>
      </c>
      <c r="BU25" s="840">
        <f t="shared" si="50"/>
        <v>49.749982972857509</v>
      </c>
      <c r="BW25" s="706">
        <f>BW20+BW21</f>
        <v>4854</v>
      </c>
      <c r="BX25" s="839">
        <f t="shared" si="51"/>
        <v>37.367741935483863</v>
      </c>
      <c r="BY25" s="840">
        <f t="shared" si="52"/>
        <v>-10.983499290029641</v>
      </c>
      <c r="CA25" s="706">
        <f>CA20+CA21</f>
        <v>4978</v>
      </c>
      <c r="CB25" s="839">
        <f t="shared" si="53"/>
        <v>38.535621681689101</v>
      </c>
      <c r="CC25" s="840">
        <f t="shared" si="54"/>
        <v>116.78797462052373</v>
      </c>
      <c r="CE25" s="706">
        <f>CE20+CE21</f>
        <v>5153.0879999999997</v>
      </c>
      <c r="CF25" s="839">
        <f t="shared" si="55"/>
        <v>39.060615263228101</v>
      </c>
      <c r="CG25" s="840">
        <f t="shared" si="56"/>
        <v>52.499358153900033</v>
      </c>
      <c r="CI25" s="706">
        <f>CI20+CI21</f>
        <v>5259.93</v>
      </c>
      <c r="CJ25" s="839">
        <f t="shared" si="57"/>
        <v>39.810847923103331</v>
      </c>
      <c r="CK25" s="840">
        <f t="shared" si="58"/>
        <v>75.023265987523047</v>
      </c>
      <c r="CM25" s="706">
        <f>CM20+CM21</f>
        <v>5153.4369120962911</v>
      </c>
      <c r="CN25" s="839">
        <f t="shared" si="59"/>
        <v>38.718840468454871</v>
      </c>
      <c r="CO25" s="840">
        <f t="shared" si="60"/>
        <v>-109.20074546484599</v>
      </c>
      <c r="CQ25" s="706">
        <f>CQ20+CQ21</f>
        <v>4735.0853407357408</v>
      </c>
      <c r="CR25" s="839">
        <f t="shared" si="2"/>
        <v>39.519303537304914</v>
      </c>
      <c r="CS25" s="840">
        <f t="shared" si="61"/>
        <v>80.04630688500427</v>
      </c>
      <c r="CU25" s="706">
        <f>CU20+CU21</f>
        <v>4685</v>
      </c>
      <c r="CV25" s="839">
        <f t="shared" si="3"/>
        <v>40.447438667853049</v>
      </c>
      <c r="CW25" s="840">
        <f t="shared" si="62"/>
        <v>92.813513054813512</v>
      </c>
      <c r="CY25" s="706">
        <f>CY20+CY21</f>
        <v>4757</v>
      </c>
      <c r="CZ25" s="839">
        <f t="shared" si="4"/>
        <v>39.393553318894128</v>
      </c>
      <c r="DA25" s="840">
        <f t="shared" si="63"/>
        <v>-105.38853489589215</v>
      </c>
      <c r="DC25" s="706">
        <f>DC20+DC21</f>
        <v>3931</v>
      </c>
      <c r="DD25" s="839">
        <f t="shared" si="5"/>
        <v>36.329770003239389</v>
      </c>
      <c r="DE25" s="840">
        <f t="shared" si="6"/>
        <v>-306.3783315654739</v>
      </c>
      <c r="DG25" s="706">
        <f>DG20+DG21</f>
        <v>3699</v>
      </c>
      <c r="DH25" s="842">
        <f t="shared" si="7"/>
        <v>30.181200453001132</v>
      </c>
      <c r="DI25" s="840">
        <f t="shared" si="64"/>
        <v>-614.85695502382566</v>
      </c>
      <c r="DK25" s="706">
        <f>DK20+DK21</f>
        <v>3666</v>
      </c>
      <c r="DL25" s="842">
        <f t="shared" si="8"/>
        <v>34.535714285714278</v>
      </c>
      <c r="DM25" s="840">
        <f t="shared" si="9"/>
        <v>435.45138327131451</v>
      </c>
      <c r="DP25" s="706">
        <f>DP20+DP21</f>
        <v>3626</v>
      </c>
      <c r="DQ25" s="842">
        <f t="shared" si="10"/>
        <v>36.741102581995811</v>
      </c>
      <c r="DR25" s="840">
        <f t="shared" si="65"/>
        <v>220.53882962815337</v>
      </c>
      <c r="DU25" s="706">
        <f>DU20+DU21</f>
        <v>3627</v>
      </c>
      <c r="DV25" s="842">
        <f t="shared" si="11"/>
        <v>36.69052190609181</v>
      </c>
      <c r="DW25" s="840">
        <f t="shared" si="12"/>
        <v>-5.0580675904001282</v>
      </c>
      <c r="DZ25" s="706">
        <f>DZ20+DZ21</f>
        <v>3646</v>
      </c>
      <c r="EA25" s="842">
        <f>(1-DZ25/DZ15)*100</f>
        <v>35.673959068454486</v>
      </c>
      <c r="EB25" s="840">
        <f t="shared" si="14"/>
        <v>-101.65628376373235</v>
      </c>
      <c r="EE25" s="706">
        <f>EE20+EE21</f>
        <v>3569.6780000000008</v>
      </c>
      <c r="EF25" s="842">
        <f>(1-EE25/EE15)*100</f>
        <v>36.26722190005799</v>
      </c>
      <c r="EG25" s="840">
        <f t="shared" si="15"/>
        <v>59.326283160350357</v>
      </c>
      <c r="EJ25" s="1075"/>
      <c r="EK25" s="1074"/>
      <c r="EL25" s="840"/>
      <c r="EM25" s="840"/>
      <c r="EN25" s="840"/>
      <c r="EO25" s="840"/>
      <c r="EP25" s="582" t="s">
        <v>503</v>
      </c>
      <c r="EW25" s="805"/>
      <c r="EX25" s="805"/>
      <c r="EY25" s="805"/>
      <c r="EZ25" s="805"/>
      <c r="FA25" s="805"/>
      <c r="FB25" s="507"/>
    </row>
    <row r="26" spans="1:161" hidden="1" outlineLevel="2">
      <c r="A26" s="819" t="s">
        <v>146</v>
      </c>
      <c r="C26" s="706">
        <f>C20+C21+C22</f>
        <v>7186</v>
      </c>
      <c r="D26" s="839">
        <f t="shared" si="16"/>
        <v>33.708487084870853</v>
      </c>
      <c r="E26" s="840" t="s">
        <v>24</v>
      </c>
      <c r="G26" s="706">
        <f>G20+G21+G22</f>
        <v>7447</v>
      </c>
      <c r="H26" s="839">
        <f t="shared" si="17"/>
        <v>32.940117064385412</v>
      </c>
      <c r="I26" s="840">
        <f t="shared" si="18"/>
        <v>-76.837002048544178</v>
      </c>
      <c r="K26" s="706">
        <f>K20+K21+K22</f>
        <v>7408</v>
      </c>
      <c r="L26" s="839">
        <f t="shared" si="19"/>
        <v>31.572141141695919</v>
      </c>
      <c r="M26" s="840">
        <f t="shared" si="20"/>
        <v>-136.79759226894924</v>
      </c>
      <c r="O26" s="706">
        <f>O20+O21+O22</f>
        <v>8132</v>
      </c>
      <c r="P26" s="839">
        <f t="shared" si="21"/>
        <v>31.801408923180141</v>
      </c>
      <c r="Q26" s="840">
        <f t="shared" si="22"/>
        <v>22.926778148422144</v>
      </c>
      <c r="S26" s="706">
        <f>S20+S21+S22</f>
        <v>8661</v>
      </c>
      <c r="T26" s="839">
        <f t="shared" si="23"/>
        <v>31.598483651871746</v>
      </c>
      <c r="U26" s="840">
        <f t="shared" si="24"/>
        <v>-20.292527130839488</v>
      </c>
      <c r="W26" s="706">
        <f>W20+W21+W22</f>
        <v>9403</v>
      </c>
      <c r="X26" s="839">
        <f t="shared" si="25"/>
        <v>31.569754748562694</v>
      </c>
      <c r="Y26" s="840">
        <f t="shared" si="26"/>
        <v>-2.8728903309051645</v>
      </c>
      <c r="AA26" s="706">
        <f>AA20+AA21+AA22</f>
        <v>9676</v>
      </c>
      <c r="AB26" s="839">
        <f t="shared" si="27"/>
        <v>30.538406317300794</v>
      </c>
      <c r="AC26" s="840">
        <f t="shared" si="28"/>
        <v>-103.13484312619003</v>
      </c>
      <c r="AE26" s="706">
        <f>AE20+AE21+AE22</f>
        <v>13757</v>
      </c>
      <c r="AF26" s="839">
        <f t="shared" si="29"/>
        <v>27.973821989528791</v>
      </c>
      <c r="AG26" s="840">
        <f t="shared" si="30"/>
        <v>-256.4584327772003</v>
      </c>
      <c r="AI26" s="706">
        <f>AI20+AI21+AI22</f>
        <v>10144</v>
      </c>
      <c r="AJ26" s="839">
        <f t="shared" si="31"/>
        <v>30.022075055187635</v>
      </c>
      <c r="AK26" s="840">
        <f t="shared" si="32"/>
        <v>-51.633126211315883</v>
      </c>
      <c r="AM26" s="706">
        <f>AM20+AM21+AM22</f>
        <v>14400.2</v>
      </c>
      <c r="AN26" s="839">
        <f t="shared" si="33"/>
        <v>27.877112319820498</v>
      </c>
      <c r="AO26" s="840">
        <f t="shared" si="34"/>
        <v>-214.49627353671374</v>
      </c>
      <c r="AQ26" s="706">
        <f>AQ20+AQ21+AQ22</f>
        <v>14692.95262334331</v>
      </c>
      <c r="AR26" s="839">
        <f t="shared" si="35"/>
        <v>27.855481570542516</v>
      </c>
      <c r="AS26" s="840">
        <f t="shared" si="36"/>
        <v>-2.163074927798192</v>
      </c>
      <c r="AU26" s="706">
        <f>AU20+AU21+AU22</f>
        <v>15150</v>
      </c>
      <c r="AV26" s="839">
        <f t="shared" si="37"/>
        <v>31.392084050357759</v>
      </c>
      <c r="AW26" s="840">
        <f t="shared" si="38"/>
        <v>353.66024798152438</v>
      </c>
      <c r="AY26" s="706">
        <f>AY20+AY21+AY22</f>
        <v>15676</v>
      </c>
      <c r="AZ26" s="839">
        <f t="shared" si="39"/>
        <v>29.618820994028649</v>
      </c>
      <c r="BA26" s="840">
        <f t="shared" si="40"/>
        <v>-177.32630563291104</v>
      </c>
      <c r="BC26" s="706">
        <f>BC20+BC21+BC22</f>
        <v>15867</v>
      </c>
      <c r="BD26" s="839">
        <f t="shared" si="41"/>
        <v>29.360698067847924</v>
      </c>
      <c r="BE26" s="840">
        <f t="shared" si="42"/>
        <v>-25.812292618072519</v>
      </c>
      <c r="BG26" s="706">
        <f>BG20+BG21+BG22</f>
        <v>15875</v>
      </c>
      <c r="BH26" s="839">
        <f t="shared" si="43"/>
        <v>30.366698833230988</v>
      </c>
      <c r="BI26" s="840">
        <f t="shared" si="44"/>
        <v>100.60007653830638</v>
      </c>
      <c r="BK26" s="706">
        <f>BK20+BK21+BK22</f>
        <v>7973</v>
      </c>
      <c r="BL26" s="839">
        <f t="shared" si="45"/>
        <v>34.845141783116773</v>
      </c>
      <c r="BM26" s="840">
        <f t="shared" si="46"/>
        <v>522.63207890881245</v>
      </c>
      <c r="BO26" s="706">
        <f>BO20+BO21+BO22</f>
        <v>7505.982</v>
      </c>
      <c r="BP26" s="839">
        <f t="shared" si="47"/>
        <v>36.871376256078435</v>
      </c>
      <c r="BQ26" s="840">
        <f t="shared" si="48"/>
        <v>202.62344729616615</v>
      </c>
      <c r="BS26" s="706">
        <f>BS20+BS21+BS22</f>
        <v>7160</v>
      </c>
      <c r="BT26" s="839">
        <f t="shared" si="49"/>
        <v>37.820234476769429</v>
      </c>
      <c r="BU26" s="840">
        <f t="shared" si="50"/>
        <v>94.88582206909939</v>
      </c>
      <c r="BW26" s="706">
        <f>BW20+BW21+BW22</f>
        <v>7510</v>
      </c>
      <c r="BX26" s="839">
        <f t="shared" si="51"/>
        <v>38.143480767646821</v>
      </c>
      <c r="BY26" s="840">
        <f t="shared" si="52"/>
        <v>32.324629087739254</v>
      </c>
      <c r="CA26" s="706">
        <f>CA20+CA21+CA22</f>
        <v>7633</v>
      </c>
      <c r="CB26" s="839">
        <f t="shared" si="53"/>
        <v>39.314676419144533</v>
      </c>
      <c r="CC26" s="840">
        <f t="shared" si="54"/>
        <v>117.11956514977118</v>
      </c>
      <c r="CE26" s="706">
        <f>CE20+CE21+CE22</f>
        <v>7949.0879999999997</v>
      </c>
      <c r="CF26" s="839">
        <f t="shared" si="55"/>
        <v>39.948363265394924</v>
      </c>
      <c r="CG26" s="840">
        <f t="shared" si="56"/>
        <v>63.368684625039151</v>
      </c>
      <c r="CI26" s="706">
        <f>CI20+CI21+CI22</f>
        <v>8109.93</v>
      </c>
      <c r="CJ26" s="839">
        <f t="shared" si="57"/>
        <v>39.779238137669857</v>
      </c>
      <c r="CK26" s="840">
        <f t="shared" si="58"/>
        <v>-16.912512772506716</v>
      </c>
      <c r="CM26" s="706">
        <f>CM20+CM21+CM22</f>
        <v>7807.2512710946739</v>
      </c>
      <c r="CN26" s="839">
        <f t="shared" si="59"/>
        <v>38.657494803804695</v>
      </c>
      <c r="CO26" s="840">
        <f t="shared" si="60"/>
        <v>-112.17433338651617</v>
      </c>
      <c r="CQ26" s="706">
        <f>CQ20+CQ21+CQ22</f>
        <v>7219.4795316953678</v>
      </c>
      <c r="CR26" s="839">
        <f t="shared" si="2"/>
        <v>39.885158947631759</v>
      </c>
      <c r="CS26" s="840">
        <f t="shared" si="61"/>
        <v>122.7664143827063</v>
      </c>
      <c r="CU26" s="706">
        <f>CU20+CU21+CU22</f>
        <v>7239</v>
      </c>
      <c r="CV26" s="839">
        <f t="shared" si="3"/>
        <v>39.955209024552083</v>
      </c>
      <c r="CW26" s="840">
        <f t="shared" si="62"/>
        <v>7.00500769203245</v>
      </c>
      <c r="CY26" s="706">
        <f>CY20+CY21+CY22</f>
        <v>7254</v>
      </c>
      <c r="CZ26" s="839">
        <f t="shared" si="4"/>
        <v>38.707224334600767</v>
      </c>
      <c r="DA26" s="840">
        <f t="shared" si="63"/>
        <v>-124.79846899513163</v>
      </c>
      <c r="DC26" s="706">
        <f>DC20+DC21+DC22</f>
        <v>5906</v>
      </c>
      <c r="DD26" s="839">
        <f t="shared" si="5"/>
        <v>35.106032304142396</v>
      </c>
      <c r="DE26" s="840">
        <f t="shared" si="6"/>
        <v>-360.11920304583714</v>
      </c>
      <c r="DG26" s="706">
        <f>DG20+DG21+DG22</f>
        <v>5659</v>
      </c>
      <c r="DH26" s="842">
        <f t="shared" si="7"/>
        <v>29.936857744211963</v>
      </c>
      <c r="DI26" s="840">
        <f t="shared" si="64"/>
        <v>-516.91745599304329</v>
      </c>
      <c r="DK26" s="706">
        <f>DK20+DK21+DK22</f>
        <v>5417</v>
      </c>
      <c r="DL26" s="842">
        <f t="shared" si="8"/>
        <v>35.234337637494015</v>
      </c>
      <c r="DM26" s="840">
        <f t="shared" si="9"/>
        <v>529.74798932820522</v>
      </c>
      <c r="DP26" s="706">
        <f>DP20+DP21+DP22</f>
        <v>5441</v>
      </c>
      <c r="DQ26" s="842">
        <f t="shared" si="10"/>
        <v>36.945184841812498</v>
      </c>
      <c r="DR26" s="840">
        <f t="shared" si="65"/>
        <v>171.08472043184833</v>
      </c>
      <c r="DU26" s="706">
        <f>DU20+DU21+DU22</f>
        <v>5422</v>
      </c>
      <c r="DV26" s="842">
        <f t="shared" si="11"/>
        <v>36.850687165152571</v>
      </c>
      <c r="DW26" s="840">
        <f t="shared" si="12"/>
        <v>-9.449767665992681</v>
      </c>
      <c r="DZ26" s="706">
        <f>DZ20+DZ21+DZ22</f>
        <v>5498</v>
      </c>
      <c r="EA26" s="842">
        <f>(1-DZ26/DZ16)*100</f>
        <v>35.126843657817105</v>
      </c>
      <c r="EB26" s="840">
        <f t="shared" si="14"/>
        <v>-172.38435073354665</v>
      </c>
      <c r="EE26" s="706">
        <f>EE20+EE21+EE22</f>
        <v>5302.2145400000009</v>
      </c>
      <c r="EF26" s="842">
        <f>(1-EE26/EE16)*100</f>
        <v>36.343471303856731</v>
      </c>
      <c r="EG26" s="840">
        <f t="shared" si="15"/>
        <v>121.66276460396261</v>
      </c>
      <c r="EJ26" s="1075"/>
      <c r="EK26" s="1074"/>
      <c r="EL26" s="840"/>
      <c r="EM26" s="840"/>
      <c r="EN26" s="840"/>
      <c r="EO26" s="840"/>
      <c r="EP26" s="847" t="s">
        <v>476</v>
      </c>
      <c r="EQ26" s="848" t="s">
        <v>469</v>
      </c>
      <c r="ER26" s="848" t="s">
        <v>211</v>
      </c>
      <c r="ES26" s="848" t="s">
        <v>156</v>
      </c>
      <c r="ET26" s="848" t="s">
        <v>152</v>
      </c>
      <c r="EU26" s="848" t="s">
        <v>472</v>
      </c>
      <c r="EV26" s="849" t="s">
        <v>475</v>
      </c>
      <c r="EW26" s="805"/>
      <c r="EX26" s="805"/>
      <c r="EY26" s="805"/>
      <c r="EZ26" s="805"/>
      <c r="FA26" s="805"/>
      <c r="FB26" s="507"/>
      <c r="FC26" s="507"/>
      <c r="FD26" s="507"/>
      <c r="FE26" s="507"/>
    </row>
    <row r="27" spans="1:161" outlineLevel="1" collapsed="1">
      <c r="C27" s="706"/>
      <c r="D27" s="687"/>
      <c r="E27" s="687"/>
      <c r="G27" s="706"/>
      <c r="H27" s="687"/>
      <c r="I27" s="687"/>
      <c r="K27" s="706"/>
      <c r="L27" s="687"/>
      <c r="M27" s="687"/>
      <c r="O27" s="706"/>
      <c r="S27" s="706"/>
      <c r="W27" s="706"/>
      <c r="AA27" s="706"/>
      <c r="AE27" s="706"/>
      <c r="AI27" s="706"/>
      <c r="AM27" s="706"/>
      <c r="AQ27" s="706"/>
      <c r="AU27" s="706"/>
      <c r="AY27" s="706"/>
      <c r="BC27" s="706"/>
      <c r="BG27" s="706"/>
      <c r="BK27" s="706"/>
      <c r="BO27" s="706"/>
      <c r="BS27" s="706"/>
      <c r="BW27" s="706"/>
      <c r="CA27" s="706"/>
      <c r="CE27" s="706"/>
      <c r="CI27" s="706"/>
      <c r="CM27" s="706"/>
      <c r="CQ27" s="706"/>
      <c r="CU27" s="706"/>
      <c r="CY27" s="706"/>
      <c r="DC27" s="706"/>
      <c r="DE27" s="838"/>
      <c r="DG27" s="706"/>
      <c r="DK27" s="706"/>
      <c r="DP27" s="706"/>
      <c r="DQ27" s="591"/>
      <c r="DU27" s="706"/>
      <c r="DV27" s="591"/>
      <c r="DZ27" s="706"/>
      <c r="EA27" s="591"/>
      <c r="EE27" s="706"/>
      <c r="EF27" s="591"/>
      <c r="EJ27" s="1075"/>
      <c r="EK27" s="1074"/>
      <c r="EP27" s="850" t="s">
        <v>477</v>
      </c>
      <c r="EQ27" s="832" t="s">
        <v>470</v>
      </c>
      <c r="ER27" s="832" t="s">
        <v>471</v>
      </c>
      <c r="ES27" s="832" t="s">
        <v>361</v>
      </c>
      <c r="ET27" s="832" t="s">
        <v>361</v>
      </c>
      <c r="EU27" s="832" t="s">
        <v>473</v>
      </c>
      <c r="EV27" s="851" t="s">
        <v>474</v>
      </c>
      <c r="EW27" s="805"/>
      <c r="EX27" s="805"/>
      <c r="EY27" s="805"/>
      <c r="EZ27" s="805"/>
      <c r="FA27" s="805"/>
    </row>
    <row r="28" spans="1:161" outlineLevel="1">
      <c r="A28" s="816" t="s">
        <v>364</v>
      </c>
      <c r="C28" s="706"/>
      <c r="D28" s="687"/>
      <c r="E28" s="687"/>
      <c r="G28" s="706"/>
      <c r="H28" s="687"/>
      <c r="I28" s="687"/>
      <c r="K28" s="706"/>
      <c r="L28" s="687"/>
      <c r="M28" s="687"/>
      <c r="O28" s="706"/>
      <c r="S28" s="706"/>
      <c r="W28" s="706"/>
      <c r="AA28" s="706"/>
      <c r="AE28" s="706"/>
      <c r="AI28" s="706"/>
      <c r="AM28" s="706"/>
      <c r="AQ28" s="706"/>
      <c r="AU28" s="706"/>
      <c r="AY28" s="706"/>
      <c r="BC28" s="706"/>
      <c r="BG28" s="706"/>
      <c r="BK28" s="706"/>
      <c r="BO28" s="706"/>
      <c r="BS28" s="706"/>
      <c r="BW28" s="706"/>
      <c r="CA28" s="706"/>
      <c r="CE28" s="706"/>
      <c r="CI28" s="706"/>
      <c r="CM28" s="706"/>
      <c r="CQ28" s="706"/>
      <c r="CY28" s="706"/>
      <c r="DE28" s="838"/>
      <c r="DG28" s="818" t="s">
        <v>364</v>
      </c>
      <c r="DK28" s="678"/>
      <c r="DP28" s="1585" t="str">
        <f>DG28</f>
        <v>3. Selling, General and Administrative Expense (% of Sales / bps Change)</v>
      </c>
      <c r="DQ28" s="1585"/>
      <c r="DR28" s="1585"/>
      <c r="DS28" s="1585"/>
      <c r="DT28" s="1585"/>
      <c r="DU28" s="1585"/>
      <c r="DV28" s="1585"/>
      <c r="DW28" s="1585"/>
      <c r="EJ28" s="1078"/>
      <c r="EK28" s="1074"/>
      <c r="EP28" s="852" t="s">
        <v>158</v>
      </c>
      <c r="EQ28" s="853">
        <v>-80</v>
      </c>
      <c r="ER28" s="854">
        <f>DC30-EQ28</f>
        <v>1240</v>
      </c>
      <c r="ES28" s="855">
        <f>ER28/CY30-1</f>
        <v>-3.2006245120999255E-2</v>
      </c>
      <c r="ET28" s="855">
        <f>DD10%</f>
        <v>-0.20060867359878265</v>
      </c>
      <c r="EU28" s="856">
        <f>ER28/DC10*100</f>
        <v>39.340101522842644</v>
      </c>
      <c r="EV28" s="857">
        <f>(EU28-CZ30)*100</f>
        <v>685.214818781855</v>
      </c>
      <c r="EX28" s="805"/>
    </row>
    <row r="29" spans="1:161" outlineLevel="1">
      <c r="C29" s="706"/>
      <c r="D29" s="687"/>
      <c r="E29" s="687"/>
      <c r="G29" s="706"/>
      <c r="H29" s="687"/>
      <c r="I29" s="687"/>
      <c r="K29" s="706"/>
      <c r="L29" s="687"/>
      <c r="M29" s="687"/>
      <c r="O29" s="706"/>
      <c r="S29" s="706"/>
      <c r="W29" s="706"/>
      <c r="AA29" s="706"/>
      <c r="AE29" s="706"/>
      <c r="AI29" s="706"/>
      <c r="AM29" s="706"/>
      <c r="AQ29" s="706"/>
      <c r="AU29" s="706"/>
      <c r="AY29" s="706"/>
      <c r="BC29" s="706"/>
      <c r="BG29" s="706"/>
      <c r="BK29" s="706"/>
      <c r="BO29" s="706"/>
      <c r="BS29" s="706"/>
      <c r="BW29" s="706"/>
      <c r="CA29" s="706"/>
      <c r="CE29" s="706"/>
      <c r="CI29" s="706"/>
      <c r="CM29" s="706"/>
      <c r="CQ29" s="706"/>
      <c r="CU29" s="706"/>
      <c r="CY29" s="706"/>
      <c r="DE29" s="858"/>
      <c r="DG29" s="678"/>
      <c r="DI29" s="858"/>
      <c r="DK29" s="678"/>
      <c r="DM29" s="858"/>
      <c r="DP29" s="678"/>
      <c r="DR29" s="858"/>
      <c r="DU29" s="678"/>
      <c r="DW29" s="858"/>
      <c r="DZ29" s="678"/>
      <c r="EB29" s="858"/>
      <c r="EE29" s="678"/>
      <c r="EG29" s="858"/>
      <c r="EJ29" s="1079"/>
      <c r="EK29" s="1074"/>
      <c r="EP29" s="852" t="s">
        <v>159</v>
      </c>
      <c r="EQ29" s="853">
        <v>-169</v>
      </c>
      <c r="ER29" s="854">
        <f>DC31-EQ29</f>
        <v>1219</v>
      </c>
      <c r="ES29" s="855">
        <f>ER29/CY31-1</f>
        <v>-1.9308125502815798E-2</v>
      </c>
      <c r="ET29" s="855">
        <f>DD11%</f>
        <v>-0.22631848438300051</v>
      </c>
      <c r="EU29" s="856">
        <f>ER29/DC11*100</f>
        <v>40.337524818001327</v>
      </c>
      <c r="EV29" s="857">
        <f>(EU29-CZ31)*100</f>
        <v>851.46881564549869</v>
      </c>
      <c r="EX29" s="805"/>
    </row>
    <row r="30" spans="1:161" outlineLevel="1">
      <c r="A30" s="819" t="s">
        <v>140</v>
      </c>
      <c r="C30" s="695"/>
      <c r="D30" s="839" t="s">
        <v>147</v>
      </c>
      <c r="E30" s="840" t="s">
        <v>24</v>
      </c>
      <c r="G30" s="695"/>
      <c r="H30" s="839" t="s">
        <v>147</v>
      </c>
      <c r="I30" s="840" t="s">
        <v>24</v>
      </c>
      <c r="K30" s="695"/>
      <c r="L30" s="839" t="s">
        <v>147</v>
      </c>
      <c r="M30" s="840" t="s">
        <v>24</v>
      </c>
      <c r="O30" s="695"/>
      <c r="P30" s="839" t="s">
        <v>147</v>
      </c>
      <c r="Q30" s="840" t="s">
        <v>24</v>
      </c>
      <c r="S30" s="695"/>
      <c r="T30" s="839" t="s">
        <v>147</v>
      </c>
      <c r="U30" s="840" t="s">
        <v>24</v>
      </c>
      <c r="W30" s="695"/>
      <c r="X30" s="839" t="s">
        <v>147</v>
      </c>
      <c r="Y30" s="840" t="s">
        <v>24</v>
      </c>
      <c r="AA30" s="695"/>
      <c r="AB30" s="839" t="s">
        <v>147</v>
      </c>
      <c r="AC30" s="840" t="s">
        <v>24</v>
      </c>
      <c r="AE30" s="695"/>
      <c r="AF30" s="839" t="s">
        <v>147</v>
      </c>
      <c r="AG30" s="840" t="s">
        <v>24</v>
      </c>
      <c r="AI30" s="695"/>
      <c r="AJ30" s="839" t="s">
        <v>147</v>
      </c>
      <c r="AK30" s="840" t="s">
        <v>24</v>
      </c>
      <c r="AM30" s="695"/>
      <c r="AN30" s="839" t="s">
        <v>147</v>
      </c>
      <c r="AO30" s="840" t="s">
        <v>24</v>
      </c>
      <c r="AQ30" s="695"/>
      <c r="AR30" s="839" t="s">
        <v>147</v>
      </c>
      <c r="AS30" s="840" t="s">
        <v>24</v>
      </c>
      <c r="AU30" s="695"/>
      <c r="AV30" s="839" t="s">
        <v>147</v>
      </c>
      <c r="AW30" s="840" t="s">
        <v>24</v>
      </c>
      <c r="AY30" s="695"/>
      <c r="AZ30" s="839" t="s">
        <v>147</v>
      </c>
      <c r="BA30" s="840" t="s">
        <v>24</v>
      </c>
      <c r="BC30" s="695"/>
      <c r="BD30" s="839" t="s">
        <v>147</v>
      </c>
      <c r="BE30" s="840" t="s">
        <v>24</v>
      </c>
      <c r="BG30" s="695"/>
      <c r="BH30" s="839" t="s">
        <v>147</v>
      </c>
      <c r="BI30" s="840" t="s">
        <v>24</v>
      </c>
      <c r="BK30" s="695"/>
      <c r="BL30" s="839" t="s">
        <v>147</v>
      </c>
      <c r="BM30" s="840" t="s">
        <v>24</v>
      </c>
      <c r="BO30" s="695"/>
      <c r="BP30" s="839" t="s">
        <v>147</v>
      </c>
      <c r="BQ30" s="840" t="s">
        <v>24</v>
      </c>
      <c r="BS30" s="695"/>
      <c r="BT30" s="839" t="s">
        <v>147</v>
      </c>
      <c r="BU30" s="840" t="s">
        <v>24</v>
      </c>
      <c r="BW30" s="695">
        <v>1193</v>
      </c>
      <c r="BX30" s="839">
        <f>BW30/BW10*100</f>
        <v>30.035246727089625</v>
      </c>
      <c r="BY30" s="840" t="s">
        <v>24</v>
      </c>
      <c r="CA30" s="695">
        <v>1223</v>
      </c>
      <c r="CB30" s="839">
        <f>CA30/CA10*100</f>
        <v>29.698882952889754</v>
      </c>
      <c r="CC30" s="840">
        <f t="shared" ref="CC30:CC36" si="68">(CB30-BX30)*100</f>
        <v>-33.636377419987085</v>
      </c>
      <c r="CE30" s="695">
        <v>1248</v>
      </c>
      <c r="CF30" s="839">
        <f>CE30/CE10*100</f>
        <v>29.580469305522634</v>
      </c>
      <c r="CG30" s="840">
        <f t="shared" ref="CG30:CG36" si="69">(CF30-CB30)*100</f>
        <v>-11.841364736712023</v>
      </c>
      <c r="CI30" s="695">
        <v>1302</v>
      </c>
      <c r="CJ30" s="839">
        <f>CI30/CI10*100</f>
        <v>29.937916762474131</v>
      </c>
      <c r="CK30" s="840">
        <f t="shared" ref="CK30:CK36" si="70">(CJ30-CF30)*100</f>
        <v>35.74474569514976</v>
      </c>
      <c r="CM30" s="695">
        <v>1317</v>
      </c>
      <c r="CN30" s="839">
        <f>CM30/CM10*100</f>
        <v>31.911800339229462</v>
      </c>
      <c r="CO30" s="840">
        <f t="shared" ref="CO30:CO36" si="71">(CN30-CJ30)*100</f>
        <v>197.38835767553303</v>
      </c>
      <c r="CQ30" s="695">
        <v>1255</v>
      </c>
      <c r="CR30" s="839">
        <f>CQ30/CQ10*100</f>
        <v>32.291803697743099</v>
      </c>
      <c r="CS30" s="840">
        <f t="shared" ref="CS30:CS36" si="72">(CR30-CN30)*100</f>
        <v>38.000335851363687</v>
      </c>
      <c r="CU30" s="1342">
        <v>1292</v>
      </c>
      <c r="CV30" s="839">
        <f t="shared" ref="CV30:CV36" si="73">CU30/CU10*100</f>
        <v>32.883685416136423</v>
      </c>
      <c r="CW30" s="840">
        <f t="shared" ref="CW30:CW36" si="74">(CV30-CR30)*100</f>
        <v>59.188171839332426</v>
      </c>
      <c r="CY30" s="1342">
        <v>1281</v>
      </c>
      <c r="CZ30" s="839">
        <f t="shared" ref="CZ30:CZ36" si="75">CY30/CY10*100</f>
        <v>32.487953335024095</v>
      </c>
      <c r="DA30" s="840">
        <f t="shared" ref="DA30:DA36" si="76">(CZ30-CV30)*100</f>
        <v>-39.573208111232816</v>
      </c>
      <c r="DC30" s="1342">
        <v>1160</v>
      </c>
      <c r="DD30" s="839">
        <f t="shared" ref="DD30:DD36" si="77">DC30/DC10*100</f>
        <v>36.802030456852791</v>
      </c>
      <c r="DE30" s="840">
        <f>(DD30-CZ30)*100</f>
        <v>431.40771218286955</v>
      </c>
      <c r="DG30" s="1342">
        <v>1078</v>
      </c>
      <c r="DH30" s="839">
        <f t="shared" ref="DH30:DH36" si="78">DG30/DG10*100</f>
        <v>40.91081593927894</v>
      </c>
      <c r="DI30" s="840">
        <f t="shared" ref="DI30:DI36" si="79">(DH30-DD30)*100</f>
        <v>410.87854824261501</v>
      </c>
      <c r="DJ30" s="587">
        <f>DG30/DC30-1</f>
        <v>-7.0689655172413768E-2</v>
      </c>
      <c r="DK30" s="1342">
        <v>1009</v>
      </c>
      <c r="DL30" s="839">
        <f t="shared" ref="DL30:DL36" si="80">DK30/DK10*100</f>
        <v>36.022848982506247</v>
      </c>
      <c r="DM30" s="840">
        <f t="shared" ref="DM30:DM36" si="81">(DL30-DH30)*100</f>
        <v>-488.79669567726933</v>
      </c>
      <c r="DN30" s="587">
        <f>DK30/DG30-1</f>
        <v>-6.4007421150278243E-2</v>
      </c>
      <c r="DO30" s="587"/>
      <c r="DP30" s="1342">
        <v>965</v>
      </c>
      <c r="DQ30" s="839">
        <f>DP30/DP10*100</f>
        <v>33.776688834441721</v>
      </c>
      <c r="DR30" s="840">
        <f t="shared" ref="DR30:DR36" si="82">(DQ30-DL30)*100</f>
        <v>-224.61601480645257</v>
      </c>
      <c r="DS30" s="587">
        <f>DP30/DK30-1</f>
        <v>-4.3607532210109046E-2</v>
      </c>
      <c r="DT30" s="587"/>
      <c r="DU30" s="1342">
        <v>872</v>
      </c>
      <c r="DV30" s="839">
        <f>DU30/DU10*100</f>
        <v>31.020988971896124</v>
      </c>
      <c r="DW30" s="840">
        <f t="shared" ref="DW30:DW36" si="83">(DV30-DQ30)*100</f>
        <v>-275.56998625455975</v>
      </c>
      <c r="DX30" s="587">
        <f>DU30/DP30-1</f>
        <v>-9.6373056994818684E-2</v>
      </c>
      <c r="DY30" s="587"/>
      <c r="DZ30" s="1354">
        <v>843</v>
      </c>
      <c r="EA30" s="839">
        <f t="shared" ref="EA30:EA36" si="84">DZ30/DZ10*100</f>
        <v>31.152993348115299</v>
      </c>
      <c r="EB30" s="840">
        <f t="shared" ref="EB30:EB36" si="85">(EA30-DV30)*100</f>
        <v>13.200437621917516</v>
      </c>
      <c r="EC30" s="587">
        <f>DZ30/DU30-1</f>
        <v>-3.3256880733944949E-2</v>
      </c>
      <c r="ED30" s="587"/>
      <c r="EE30" s="1528">
        <f>DZ30*(1+EH30)</f>
        <v>826.14</v>
      </c>
      <c r="EF30" s="839">
        <f t="shared" ref="EF30:EF36" si="86">EE30/EE10*100</f>
        <v>31.026355163773367</v>
      </c>
      <c r="EG30" s="840">
        <f t="shared" ref="EG30:EG36" si="87">(EF30-EA30)*100</f>
        <v>-12.663818434193175</v>
      </c>
      <c r="EH30" s="1358">
        <v>-0.02</v>
      </c>
      <c r="EI30" s="587"/>
      <c r="EJ30" s="1082">
        <f>EC30+DX30</f>
        <v>-0.12962993772876363</v>
      </c>
      <c r="EK30" s="1083">
        <f>DX30+EC30+DS30</f>
        <v>-0.17323746993887268</v>
      </c>
      <c r="EL30" s="840"/>
      <c r="EM30" s="840"/>
      <c r="EN30" s="840"/>
      <c r="EO30" s="840"/>
      <c r="EP30" s="852" t="s">
        <v>160</v>
      </c>
      <c r="EQ30" s="853">
        <v>-182</v>
      </c>
      <c r="ER30" s="854">
        <f>DC32-EQ30</f>
        <v>1269</v>
      </c>
      <c r="ES30" s="855">
        <f>ER30/CY32-1</f>
        <v>2.1739130434782705E-2</v>
      </c>
      <c r="ET30" s="855">
        <f>DD12%</f>
        <v>-0.26567987957852479</v>
      </c>
      <c r="EU30" s="856">
        <f>ER30/DC12*100</f>
        <v>43.35497096002733</v>
      </c>
      <c r="EV30" s="857">
        <f>(EU30-CZ32)*100</f>
        <v>1219.5914261582775</v>
      </c>
      <c r="EX30" s="805"/>
      <c r="EY30" s="507"/>
      <c r="EZ30" s="507"/>
      <c r="FA30" s="507"/>
      <c r="FB30" s="507"/>
      <c r="FC30" s="507"/>
      <c r="FD30" s="507"/>
      <c r="FE30" s="507"/>
    </row>
    <row r="31" spans="1:161" outlineLevel="1">
      <c r="A31" s="819" t="s">
        <v>141</v>
      </c>
      <c r="C31" s="841"/>
      <c r="D31" s="839" t="s">
        <v>147</v>
      </c>
      <c r="E31" s="840" t="s">
        <v>24</v>
      </c>
      <c r="G31" s="841"/>
      <c r="H31" s="839" t="s">
        <v>147</v>
      </c>
      <c r="I31" s="840" t="s">
        <v>24</v>
      </c>
      <c r="K31" s="841"/>
      <c r="L31" s="839" t="s">
        <v>147</v>
      </c>
      <c r="M31" s="840" t="s">
        <v>24</v>
      </c>
      <c r="O31" s="841"/>
      <c r="P31" s="839" t="s">
        <v>147</v>
      </c>
      <c r="Q31" s="840" t="s">
        <v>24</v>
      </c>
      <c r="S31" s="841"/>
      <c r="T31" s="839" t="s">
        <v>147</v>
      </c>
      <c r="U31" s="840" t="s">
        <v>24</v>
      </c>
      <c r="W31" s="841"/>
      <c r="X31" s="839" t="s">
        <v>147</v>
      </c>
      <c r="Y31" s="840" t="s">
        <v>24</v>
      </c>
      <c r="AA31" s="841"/>
      <c r="AB31" s="839" t="s">
        <v>147</v>
      </c>
      <c r="AC31" s="840" t="s">
        <v>24</v>
      </c>
      <c r="AE31" s="841"/>
      <c r="AF31" s="839" t="s">
        <v>147</v>
      </c>
      <c r="AG31" s="840" t="s">
        <v>24</v>
      </c>
      <c r="AI31" s="841"/>
      <c r="AJ31" s="839" t="s">
        <v>147</v>
      </c>
      <c r="AK31" s="840" t="s">
        <v>24</v>
      </c>
      <c r="AM31" s="841"/>
      <c r="AN31" s="839" t="s">
        <v>147</v>
      </c>
      <c r="AO31" s="840" t="s">
        <v>24</v>
      </c>
      <c r="AQ31" s="841"/>
      <c r="AR31" s="839" t="s">
        <v>147</v>
      </c>
      <c r="AS31" s="840" t="s">
        <v>24</v>
      </c>
      <c r="AU31" s="841"/>
      <c r="AV31" s="839" t="s">
        <v>147</v>
      </c>
      <c r="AW31" s="840" t="s">
        <v>24</v>
      </c>
      <c r="AY31" s="841"/>
      <c r="AZ31" s="839" t="s">
        <v>147</v>
      </c>
      <c r="BA31" s="840" t="s">
        <v>24</v>
      </c>
      <c r="BC31" s="841"/>
      <c r="BD31" s="839" t="s">
        <v>147</v>
      </c>
      <c r="BE31" s="840" t="s">
        <v>24</v>
      </c>
      <c r="BG31" s="841"/>
      <c r="BH31" s="839" t="s">
        <v>147</v>
      </c>
      <c r="BI31" s="840" t="s">
        <v>24</v>
      </c>
      <c r="BK31" s="841"/>
      <c r="BL31" s="839" t="s">
        <v>147</v>
      </c>
      <c r="BM31" s="840" t="s">
        <v>24</v>
      </c>
      <c r="BO31" s="841"/>
      <c r="BP31" s="839" t="s">
        <v>147</v>
      </c>
      <c r="BQ31" s="840" t="s">
        <v>24</v>
      </c>
      <c r="BS31" s="841"/>
      <c r="BT31" s="839" t="s">
        <v>147</v>
      </c>
      <c r="BU31" s="840" t="s">
        <v>24</v>
      </c>
      <c r="BW31" s="841">
        <v>1097</v>
      </c>
      <c r="BX31" s="839">
        <f t="shared" ref="BX31:BX36" si="88">BW31/BW11*100</f>
        <v>29.036527263102169</v>
      </c>
      <c r="BY31" s="840" t="s">
        <v>24</v>
      </c>
      <c r="CA31" s="841">
        <v>1141</v>
      </c>
      <c r="CB31" s="839">
        <f t="shared" ref="CB31:CB36" si="89">CA31/CA11*100</f>
        <v>28.661140416980658</v>
      </c>
      <c r="CC31" s="840">
        <f t="shared" si="68"/>
        <v>-37.53868461215113</v>
      </c>
      <c r="CE31" s="841">
        <v>1208</v>
      </c>
      <c r="CF31" s="839">
        <f t="shared" ref="CF31:CF36" si="90">CE31/CE11*100</f>
        <v>28.510146591243803</v>
      </c>
      <c r="CG31" s="840">
        <f t="shared" si="69"/>
        <v>-15.09938257368546</v>
      </c>
      <c r="CI31" s="841">
        <v>1254</v>
      </c>
      <c r="CJ31" s="839">
        <f t="shared" ref="CJ31:CJ36" si="91">CI31/CI11*100</f>
        <v>28.56492027334852</v>
      </c>
      <c r="CK31" s="840">
        <f t="shared" si="70"/>
        <v>5.477368210471667</v>
      </c>
      <c r="CM31" s="841">
        <v>1270</v>
      </c>
      <c r="CN31" s="839">
        <f t="shared" ref="CN31:CN36" si="92">CM31/CM11*100</f>
        <v>29.65559986023041</v>
      </c>
      <c r="CO31" s="840">
        <f t="shared" si="71"/>
        <v>109.06795868818904</v>
      </c>
      <c r="CQ31" s="841">
        <v>1242</v>
      </c>
      <c r="CR31" s="839">
        <f t="shared" ref="CR31:CR36" si="93">CQ31/CQ11*100</f>
        <v>31.501653219761351</v>
      </c>
      <c r="CS31" s="840">
        <f t="shared" si="72"/>
        <v>184.60533595309414</v>
      </c>
      <c r="CU31" s="1340">
        <v>1275</v>
      </c>
      <c r="CV31" s="839">
        <f t="shared" si="73"/>
        <v>32.376841036058913</v>
      </c>
      <c r="CW31" s="840">
        <f t="shared" si="74"/>
        <v>87.518781629756148</v>
      </c>
      <c r="CY31" s="1340">
        <v>1243</v>
      </c>
      <c r="CZ31" s="839">
        <f t="shared" si="75"/>
        <v>31.82283666154634</v>
      </c>
      <c r="DA31" s="840">
        <f t="shared" si="76"/>
        <v>-55.400437451257289</v>
      </c>
      <c r="DC31" s="1340">
        <v>1050</v>
      </c>
      <c r="DD31" s="839">
        <f t="shared" si="77"/>
        <v>34.745201853077432</v>
      </c>
      <c r="DE31" s="840">
        <f t="shared" ref="DE31:DE36" si="94">(DD31-CZ31)*100</f>
        <v>292.23651915310927</v>
      </c>
      <c r="DG31" s="1353">
        <v>1026</v>
      </c>
      <c r="DH31" s="839">
        <f t="shared" si="78"/>
        <v>38.527975966954564</v>
      </c>
      <c r="DI31" s="840">
        <f t="shared" si="79"/>
        <v>378.27741138771319</v>
      </c>
      <c r="DJ31" s="587">
        <f>DG31/DC31-1</f>
        <v>-2.2857142857142909E-2</v>
      </c>
      <c r="DK31" s="1353">
        <v>964</v>
      </c>
      <c r="DL31" s="839">
        <f t="shared" si="80"/>
        <v>34.440871739907109</v>
      </c>
      <c r="DM31" s="840">
        <f t="shared" si="81"/>
        <v>-408.7104227047455</v>
      </c>
      <c r="DN31" s="587">
        <f>DK31/DG31-1</f>
        <v>-6.0428849902534165E-2</v>
      </c>
      <c r="DO31" s="587"/>
      <c r="DP31" s="1353">
        <v>901</v>
      </c>
      <c r="DQ31" s="839">
        <f t="shared" ref="DQ31:DQ36" si="95">DP31/DP11*100</f>
        <v>31.339130434782607</v>
      </c>
      <c r="DR31" s="840">
        <f t="shared" si="82"/>
        <v>-310.17413051245023</v>
      </c>
      <c r="DS31" s="587">
        <f>DP31/DK31-1</f>
        <v>-6.5352697095435675E-2</v>
      </c>
      <c r="DT31" s="587"/>
      <c r="DU31" s="1353">
        <v>853</v>
      </c>
      <c r="DV31" s="839">
        <f t="shared" ref="DV31:DV36" si="96">DU31/DU11*100</f>
        <v>29.232350925291296</v>
      </c>
      <c r="DW31" s="840">
        <f t="shared" si="83"/>
        <v>-210.67795094913109</v>
      </c>
      <c r="DX31" s="587">
        <f>DU31/DP31-1</f>
        <v>-5.3274139844617041E-2</v>
      </c>
      <c r="DY31" s="587"/>
      <c r="DZ31" s="1353">
        <v>842</v>
      </c>
      <c r="EA31" s="839">
        <f t="shared" si="84"/>
        <v>28.42673869007427</v>
      </c>
      <c r="EB31" s="840">
        <f t="shared" si="85"/>
        <v>-80.56122352170263</v>
      </c>
      <c r="EC31" s="587">
        <f>DZ31/DU31-1</f>
        <v>-1.289566236811257E-2</v>
      </c>
      <c r="ED31" s="587"/>
      <c r="EE31" s="824">
        <f t="shared" ref="EE31:EE33" si="97">DZ31*(1+EH31)</f>
        <v>820.94999999999993</v>
      </c>
      <c r="EF31" s="839">
        <f t="shared" si="86"/>
        <v>27.939586918167752</v>
      </c>
      <c r="EG31" s="840">
        <f t="shared" si="87"/>
        <v>-48.715177190651815</v>
      </c>
      <c r="EH31" s="1358">
        <v>-2.5000000000000001E-2</v>
      </c>
      <c r="EI31" s="587"/>
      <c r="EJ31" s="1082">
        <f>EC31+DX31</f>
        <v>-6.6169802212729611E-2</v>
      </c>
      <c r="EK31" s="1083">
        <f>DX31+EC31+DS31</f>
        <v>-0.13152249930816529</v>
      </c>
      <c r="EL31" s="840"/>
      <c r="EM31" s="840"/>
      <c r="EN31" s="840"/>
      <c r="EO31" s="840"/>
      <c r="EP31" s="852" t="s">
        <v>161</v>
      </c>
      <c r="EQ31" s="853">
        <f>-175</f>
        <v>-175</v>
      </c>
      <c r="ER31" s="854">
        <f>DC33-EQ31</f>
        <v>1384</v>
      </c>
      <c r="ES31" s="855">
        <f>ER31/CY33-1</f>
        <v>3.0528667163067791E-2</v>
      </c>
      <c r="ET31" s="855">
        <f>DD13%</f>
        <v>-0.28405529953917052</v>
      </c>
      <c r="EU31" s="856">
        <f>ER31/DC13*100</f>
        <v>35.633367662203916</v>
      </c>
      <c r="EV31" s="857">
        <f>(EU31-CZ33)*100</f>
        <v>1087.7607293540323</v>
      </c>
      <c r="EX31" s="805"/>
      <c r="EY31" s="507"/>
      <c r="EZ31" s="507"/>
      <c r="FA31" s="507"/>
      <c r="FB31" s="507"/>
      <c r="FC31" s="507"/>
      <c r="FD31" s="507"/>
      <c r="FE31" s="507"/>
    </row>
    <row r="32" spans="1:161" ht="13.5" outlineLevel="1" thickBot="1">
      <c r="A32" s="819" t="s">
        <v>142</v>
      </c>
      <c r="C32" s="841"/>
      <c r="D32" s="839" t="s">
        <v>147</v>
      </c>
      <c r="E32" s="840" t="s">
        <v>24</v>
      </c>
      <c r="G32" s="841"/>
      <c r="H32" s="839" t="s">
        <v>147</v>
      </c>
      <c r="I32" s="840" t="s">
        <v>24</v>
      </c>
      <c r="K32" s="841"/>
      <c r="L32" s="839" t="s">
        <v>147</v>
      </c>
      <c r="M32" s="840" t="s">
        <v>24</v>
      </c>
      <c r="O32" s="841"/>
      <c r="P32" s="839" t="s">
        <v>147</v>
      </c>
      <c r="Q32" s="840" t="s">
        <v>24</v>
      </c>
      <c r="S32" s="841"/>
      <c r="T32" s="839" t="s">
        <v>147</v>
      </c>
      <c r="U32" s="840" t="s">
        <v>24</v>
      </c>
      <c r="W32" s="841"/>
      <c r="X32" s="839" t="s">
        <v>147</v>
      </c>
      <c r="Y32" s="840" t="s">
        <v>24</v>
      </c>
      <c r="AA32" s="841"/>
      <c r="AB32" s="839" t="s">
        <v>147</v>
      </c>
      <c r="AC32" s="840" t="s">
        <v>24</v>
      </c>
      <c r="AE32" s="841"/>
      <c r="AF32" s="839" t="s">
        <v>147</v>
      </c>
      <c r="AG32" s="840" t="s">
        <v>24</v>
      </c>
      <c r="AI32" s="841"/>
      <c r="AJ32" s="839" t="s">
        <v>147</v>
      </c>
      <c r="AK32" s="840" t="s">
        <v>24</v>
      </c>
      <c r="AM32" s="841"/>
      <c r="AN32" s="839" t="s">
        <v>147</v>
      </c>
      <c r="AO32" s="840" t="s">
        <v>24</v>
      </c>
      <c r="AQ32" s="841"/>
      <c r="AR32" s="839" t="s">
        <v>147</v>
      </c>
      <c r="AS32" s="840" t="s">
        <v>24</v>
      </c>
      <c r="AU32" s="841"/>
      <c r="AV32" s="839" t="s">
        <v>147</v>
      </c>
      <c r="AW32" s="840" t="s">
        <v>24</v>
      </c>
      <c r="AY32" s="841"/>
      <c r="AZ32" s="839" t="s">
        <v>147</v>
      </c>
      <c r="BA32" s="840" t="s">
        <v>24</v>
      </c>
      <c r="BC32" s="841"/>
      <c r="BD32" s="839" t="s">
        <v>147</v>
      </c>
      <c r="BE32" s="840" t="s">
        <v>24</v>
      </c>
      <c r="BG32" s="841"/>
      <c r="BH32" s="839" t="s">
        <v>147</v>
      </c>
      <c r="BI32" s="840" t="s">
        <v>24</v>
      </c>
      <c r="BK32" s="841"/>
      <c r="BL32" s="839" t="s">
        <v>147</v>
      </c>
      <c r="BM32" s="840" t="s">
        <v>24</v>
      </c>
      <c r="BO32" s="841"/>
      <c r="BP32" s="839" t="s">
        <v>147</v>
      </c>
      <c r="BQ32" s="840" t="s">
        <v>24</v>
      </c>
      <c r="BS32" s="841"/>
      <c r="BT32" s="839" t="s">
        <v>147</v>
      </c>
      <c r="BU32" s="840" t="s">
        <v>24</v>
      </c>
      <c r="BW32" s="841">
        <v>1271</v>
      </c>
      <c r="BX32" s="839">
        <f t="shared" si="88"/>
        <v>28.94557048508312</v>
      </c>
      <c r="BY32" s="840" t="s">
        <v>24</v>
      </c>
      <c r="CA32" s="841">
        <v>1293</v>
      </c>
      <c r="CB32" s="839">
        <f t="shared" si="89"/>
        <v>28.868050904219693</v>
      </c>
      <c r="CC32" s="840">
        <f t="shared" si="68"/>
        <v>-7.7519580863427251</v>
      </c>
      <c r="CE32" s="841">
        <v>1364</v>
      </c>
      <c r="CF32" s="839">
        <f t="shared" si="90"/>
        <v>28.529596318761762</v>
      </c>
      <c r="CG32" s="840">
        <f t="shared" si="69"/>
        <v>-33.84545854579315</v>
      </c>
      <c r="CI32" s="841">
        <v>1361</v>
      </c>
      <c r="CJ32" s="839">
        <f t="shared" si="91"/>
        <v>28.785956006768188</v>
      </c>
      <c r="CK32" s="840">
        <f t="shared" si="70"/>
        <v>25.635968800642672</v>
      </c>
      <c r="CM32" s="841">
        <v>1320</v>
      </c>
      <c r="CN32" s="839">
        <f t="shared" si="92"/>
        <v>30.571022518582868</v>
      </c>
      <c r="CO32" s="840">
        <f t="shared" si="71"/>
        <v>178.50665118146799</v>
      </c>
      <c r="CQ32" s="841">
        <v>1376</v>
      </c>
      <c r="CR32" s="839">
        <f t="shared" si="93"/>
        <v>32.915556216580939</v>
      </c>
      <c r="CS32" s="840">
        <f t="shared" si="72"/>
        <v>234.45336979980704</v>
      </c>
      <c r="CU32" s="1340">
        <v>1326</v>
      </c>
      <c r="CV32" s="839">
        <f t="shared" si="73"/>
        <v>31.654332776318935</v>
      </c>
      <c r="CW32" s="840">
        <f t="shared" si="74"/>
        <v>-126.12234402620039</v>
      </c>
      <c r="CY32" s="1340">
        <v>1242</v>
      </c>
      <c r="CZ32" s="839">
        <f t="shared" si="75"/>
        <v>31.159056698444555</v>
      </c>
      <c r="DA32" s="840">
        <f t="shared" si="76"/>
        <v>-49.527607787437944</v>
      </c>
      <c r="DC32" s="1340">
        <v>1087</v>
      </c>
      <c r="DD32" s="839">
        <f t="shared" si="77"/>
        <v>37.13700034164674</v>
      </c>
      <c r="DE32" s="840">
        <f>(DD32-CZ32)*100</f>
        <v>597.79436432021851</v>
      </c>
      <c r="DG32" s="1353">
        <v>1006</v>
      </c>
      <c r="DH32" s="839">
        <f>DG32/DG12*100</f>
        <v>36.200071968333937</v>
      </c>
      <c r="DI32" s="840">
        <f t="shared" si="79"/>
        <v>-93.692837331280288</v>
      </c>
      <c r="DJ32" s="587">
        <f>DG32/DC32-1</f>
        <v>-7.4517019319227273E-2</v>
      </c>
      <c r="DK32" s="1353">
        <v>988</v>
      </c>
      <c r="DL32" s="839">
        <f t="shared" si="80"/>
        <v>35.745296671490593</v>
      </c>
      <c r="DM32" s="840">
        <f t="shared" si="81"/>
        <v>-45.477529684334428</v>
      </c>
      <c r="DN32" s="587">
        <f>DK32/DG32-1</f>
        <v>-1.7892644135188873E-2</v>
      </c>
      <c r="DO32" s="587"/>
      <c r="DP32" s="1353">
        <v>947</v>
      </c>
      <c r="DQ32" s="839">
        <f>DP32/DP12*100</f>
        <v>32.688988608905767</v>
      </c>
      <c r="DR32" s="840">
        <f>(DQ32-DL32)*100</f>
        <v>-305.63080625848261</v>
      </c>
      <c r="DS32" s="587">
        <f>DP32/DK32-1</f>
        <v>-4.1497975708502E-2</v>
      </c>
      <c r="DT32" s="859"/>
      <c r="DU32" s="1353">
        <v>888</v>
      </c>
      <c r="DV32" s="839">
        <f t="shared" si="96"/>
        <v>31.081554077703888</v>
      </c>
      <c r="DW32" s="840">
        <f t="shared" si="83"/>
        <v>-160.74345312018784</v>
      </c>
      <c r="DX32" s="587">
        <f>DU32/DP32-1</f>
        <v>-6.23020063357973E-2</v>
      </c>
      <c r="DY32" s="859"/>
      <c r="DZ32" s="1353">
        <v>840</v>
      </c>
      <c r="EA32" s="839">
        <f t="shared" ref="EA32" si="98">DZ32/DZ12*100</f>
        <v>29.925187032418954</v>
      </c>
      <c r="EB32" s="840">
        <f t="shared" ref="EB32" si="99">(EA32-DV32)*100</f>
        <v>-115.63670452849344</v>
      </c>
      <c r="EC32" s="587">
        <f t="shared" ref="EC32:EC33" si="100">DZ32/DU32-1</f>
        <v>-5.4054054054054057E-2</v>
      </c>
      <c r="ED32" s="859"/>
      <c r="EE32" s="824">
        <f t="shared" si="97"/>
        <v>823.19999999999993</v>
      </c>
      <c r="EF32" s="839">
        <f t="shared" si="86"/>
        <v>30.171484868076721</v>
      </c>
      <c r="EG32" s="840">
        <f t="shared" si="87"/>
        <v>24.629783565776719</v>
      </c>
      <c r="EH32" s="1358">
        <v>-0.02</v>
      </c>
      <c r="EI32" s="859"/>
      <c r="EJ32" s="1082">
        <f>EC32+DX32</f>
        <v>-0.11635606038985136</v>
      </c>
      <c r="EK32" s="1083">
        <f>DX32+EC32+DS32</f>
        <v>-0.15785403609835336</v>
      </c>
      <c r="EL32" s="840"/>
      <c r="EM32" s="840"/>
      <c r="EN32" s="840"/>
      <c r="EO32" s="840"/>
      <c r="EP32" s="860">
        <v>-1000</v>
      </c>
      <c r="EQ32" s="861">
        <f>SUM(EQ28:EQ31)</f>
        <v>-606</v>
      </c>
      <c r="ER32" s="862">
        <f>SUM(ER28:ER31)</f>
        <v>5112</v>
      </c>
      <c r="ES32" s="863">
        <f>ER32/CY34-1</f>
        <v>5.8719906048154691E-4</v>
      </c>
      <c r="ET32" s="863">
        <f>DD14%</f>
        <v>-0.24768250289687133</v>
      </c>
      <c r="EU32" s="864">
        <f>ER32/DC14*100</f>
        <v>39.368502117828264</v>
      </c>
      <c r="EV32" s="865">
        <f>(EU32-CZ34)*100</f>
        <v>976.82703681179498</v>
      </c>
      <c r="EW32" s="866"/>
      <c r="EX32" s="805"/>
      <c r="EY32" s="507"/>
      <c r="EZ32" s="507"/>
      <c r="FA32" s="507"/>
      <c r="FB32" s="507"/>
      <c r="FC32" s="507"/>
      <c r="FD32" s="507"/>
      <c r="FE32" s="507"/>
    </row>
    <row r="33" spans="1:161" ht="13.5" outlineLevel="1" thickBot="1">
      <c r="A33" s="819" t="s">
        <v>143</v>
      </c>
      <c r="C33" s="845"/>
      <c r="D33" s="839" t="s">
        <v>147</v>
      </c>
      <c r="E33" s="840" t="s">
        <v>24</v>
      </c>
      <c r="G33" s="845"/>
      <c r="H33" s="839" t="s">
        <v>147</v>
      </c>
      <c r="I33" s="840" t="s">
        <v>24</v>
      </c>
      <c r="K33" s="845"/>
      <c r="L33" s="839" t="s">
        <v>147</v>
      </c>
      <c r="M33" s="840" t="s">
        <v>24</v>
      </c>
      <c r="O33" s="845"/>
      <c r="P33" s="839" t="s">
        <v>147</v>
      </c>
      <c r="Q33" s="840" t="s">
        <v>24</v>
      </c>
      <c r="S33" s="845"/>
      <c r="T33" s="839" t="s">
        <v>147</v>
      </c>
      <c r="U33" s="840" t="s">
        <v>24</v>
      </c>
      <c r="W33" s="845"/>
      <c r="X33" s="839" t="s">
        <v>147</v>
      </c>
      <c r="Y33" s="840" t="s">
        <v>24</v>
      </c>
      <c r="AA33" s="845"/>
      <c r="AB33" s="839" t="s">
        <v>147</v>
      </c>
      <c r="AC33" s="840" t="s">
        <v>24</v>
      </c>
      <c r="AE33" s="845"/>
      <c r="AF33" s="839" t="s">
        <v>147</v>
      </c>
      <c r="AG33" s="840" t="s">
        <v>24</v>
      </c>
      <c r="AI33" s="845"/>
      <c r="AJ33" s="839" t="s">
        <v>147</v>
      </c>
      <c r="AK33" s="840" t="s">
        <v>24</v>
      </c>
      <c r="AM33" s="845"/>
      <c r="AN33" s="839" t="s">
        <v>147</v>
      </c>
      <c r="AO33" s="840" t="s">
        <v>24</v>
      </c>
      <c r="AQ33" s="845"/>
      <c r="AR33" s="839" t="s">
        <v>147</v>
      </c>
      <c r="AS33" s="840" t="s">
        <v>24</v>
      </c>
      <c r="AU33" s="845"/>
      <c r="AV33" s="839" t="s">
        <v>147</v>
      </c>
      <c r="AW33" s="840" t="s">
        <v>24</v>
      </c>
      <c r="AY33" s="845"/>
      <c r="AZ33" s="839" t="s">
        <v>147</v>
      </c>
      <c r="BA33" s="840" t="s">
        <v>24</v>
      </c>
      <c r="BC33" s="845"/>
      <c r="BD33" s="839" t="s">
        <v>147</v>
      </c>
      <c r="BE33" s="840" t="s">
        <v>24</v>
      </c>
      <c r="BG33" s="845"/>
      <c r="BH33" s="839" t="s">
        <v>147</v>
      </c>
      <c r="BI33" s="840" t="s">
        <v>24</v>
      </c>
      <c r="BK33" s="845"/>
      <c r="BL33" s="839" t="s">
        <v>147</v>
      </c>
      <c r="BM33" s="840" t="s">
        <v>24</v>
      </c>
      <c r="BO33" s="845"/>
      <c r="BP33" s="839" t="s">
        <v>147</v>
      </c>
      <c r="BQ33" s="840" t="s">
        <v>24</v>
      </c>
      <c r="BS33" s="845"/>
      <c r="BT33" s="839" t="s">
        <v>147</v>
      </c>
      <c r="BU33" s="840" t="s">
        <v>24</v>
      </c>
      <c r="BW33" s="845">
        <v>1454</v>
      </c>
      <c r="BX33" s="839">
        <f t="shared" si="88"/>
        <v>24.41645675902603</v>
      </c>
      <c r="BY33" s="840" t="s">
        <v>24</v>
      </c>
      <c r="CA33" s="845">
        <v>1458</v>
      </c>
      <c r="CB33" s="839">
        <f t="shared" si="89"/>
        <v>23.504437470135823</v>
      </c>
      <c r="CC33" s="840">
        <f t="shared" si="68"/>
        <v>-91.201928889020678</v>
      </c>
      <c r="CE33" s="845">
        <v>1650</v>
      </c>
      <c r="CF33" s="839">
        <f t="shared" si="90"/>
        <v>24.745050989802039</v>
      </c>
      <c r="CG33" s="840">
        <f t="shared" si="69"/>
        <v>124.06135196662156</v>
      </c>
      <c r="CI33" s="845">
        <v>1485</v>
      </c>
      <c r="CJ33" s="839">
        <f t="shared" si="91"/>
        <v>23.239436619718308</v>
      </c>
      <c r="CK33" s="840">
        <f t="shared" si="70"/>
        <v>-150.56143700837305</v>
      </c>
      <c r="CM33" s="845">
        <v>1488</v>
      </c>
      <c r="CN33" s="839">
        <f t="shared" si="92"/>
        <v>25.836824410380022</v>
      </c>
      <c r="CO33" s="840">
        <f t="shared" si="71"/>
        <v>259.73877906617133</v>
      </c>
      <c r="CQ33" s="845">
        <v>1509</v>
      </c>
      <c r="CR33" s="839">
        <f t="shared" si="93"/>
        <v>27.189189189189189</v>
      </c>
      <c r="CS33" s="840">
        <f t="shared" si="72"/>
        <v>135.23647788091679</v>
      </c>
      <c r="CU33" s="1341">
        <v>1465</v>
      </c>
      <c r="CV33" s="839">
        <f t="shared" si="73"/>
        <v>25.688234262668768</v>
      </c>
      <c r="CW33" s="840">
        <f t="shared" si="74"/>
        <v>-150.09549265204214</v>
      </c>
      <c r="CY33" s="1341">
        <v>1343</v>
      </c>
      <c r="CZ33" s="839">
        <f t="shared" si="75"/>
        <v>24.755760368663594</v>
      </c>
      <c r="DA33" s="840">
        <f t="shared" si="76"/>
        <v>-93.247389400517378</v>
      </c>
      <c r="DC33" s="1341">
        <v>1209</v>
      </c>
      <c r="DD33" s="839">
        <f t="shared" si="77"/>
        <v>31.127703398558186</v>
      </c>
      <c r="DE33" s="840">
        <f>(DD33-CZ33)*100</f>
        <v>637.19430298945917</v>
      </c>
      <c r="DG33" s="1357">
        <v>1004</v>
      </c>
      <c r="DH33" s="839">
        <f>DG33/DG13*100</f>
        <v>26.546800634584876</v>
      </c>
      <c r="DI33" s="840">
        <f t="shared" si="79"/>
        <v>-458.09027639733097</v>
      </c>
      <c r="DJ33" s="587">
        <f>DG33/DC33-1</f>
        <v>-0.16956162117452445</v>
      </c>
      <c r="DK33" s="1357">
        <v>1032</v>
      </c>
      <c r="DL33" s="839">
        <f t="shared" si="80"/>
        <v>26.509118931415358</v>
      </c>
      <c r="DM33" s="840">
        <f t="shared" si="81"/>
        <v>-3.7681703169518244</v>
      </c>
      <c r="DN33" s="587">
        <f>DK33/DG33-1</f>
        <v>2.7888446215139417E-2</v>
      </c>
      <c r="DO33" s="587"/>
      <c r="DP33" s="1357">
        <v>962</v>
      </c>
      <c r="DQ33" s="839">
        <f>DP33/DP13*100</f>
        <v>24.074074074074073</v>
      </c>
      <c r="DR33" s="840">
        <f>(DQ33-DL33)*100</f>
        <v>-243.50448573412854</v>
      </c>
      <c r="DS33" s="587">
        <f>DP33/DK33-1</f>
        <v>-6.7829457364341095E-2</v>
      </c>
      <c r="DT33" s="859"/>
      <c r="DU33" s="1357">
        <v>925</v>
      </c>
      <c r="DV33" s="839">
        <f t="shared" si="96"/>
        <v>23.352688714970967</v>
      </c>
      <c r="DW33" s="840">
        <f t="shared" si="83"/>
        <v>-72.138535910310608</v>
      </c>
      <c r="DX33" s="587">
        <f>DU33/DP33-1</f>
        <v>-3.8461538461538436E-2</v>
      </c>
      <c r="DY33" s="859"/>
      <c r="DZ33" s="1560">
        <v>943</v>
      </c>
      <c r="EA33" s="839">
        <f t="shared" si="84"/>
        <v>23.393698834036218</v>
      </c>
      <c r="EB33" s="840">
        <f t="shared" si="85"/>
        <v>4.1010119065251871</v>
      </c>
      <c r="EC33" s="587">
        <f t="shared" si="100"/>
        <v>1.9459459459459483E-2</v>
      </c>
      <c r="ED33" s="859"/>
      <c r="EE33" s="1343">
        <f t="shared" si="97"/>
        <v>909.995</v>
      </c>
      <c r="EF33" s="839">
        <f t="shared" si="86"/>
        <v>24.431730925156874</v>
      </c>
      <c r="EG33" s="840">
        <f t="shared" si="87"/>
        <v>103.80320911206553</v>
      </c>
      <c r="EH33" s="1358">
        <v>-3.5000000000000003E-2</v>
      </c>
      <c r="EI33" s="859"/>
      <c r="EJ33" s="1082">
        <f>EC33+DX33</f>
        <v>-1.9002079002078953E-2</v>
      </c>
      <c r="EK33" s="1083">
        <f>DX33+EC33+DS33</f>
        <v>-8.6831536366420048E-2</v>
      </c>
      <c r="EL33" s="840"/>
      <c r="EM33" s="840"/>
      <c r="EN33" s="840"/>
      <c r="EO33" s="840"/>
      <c r="EP33" s="582" t="s">
        <v>505</v>
      </c>
      <c r="ER33" s="706"/>
      <c r="EW33" s="805"/>
      <c r="EX33" s="805"/>
      <c r="EY33" s="507"/>
      <c r="EZ33" s="507"/>
      <c r="FA33" s="507"/>
      <c r="FB33" s="507"/>
      <c r="FC33" s="507"/>
      <c r="FD33" s="507"/>
      <c r="FE33" s="507"/>
    </row>
    <row r="34" spans="1:161" outlineLevel="1">
      <c r="A34" s="819" t="s">
        <v>144</v>
      </c>
      <c r="C34" s="435"/>
      <c r="D34" s="867" t="s">
        <v>147</v>
      </c>
      <c r="E34" s="868" t="s">
        <v>24</v>
      </c>
      <c r="F34" s="507"/>
      <c r="G34" s="435"/>
      <c r="H34" s="867" t="s">
        <v>147</v>
      </c>
      <c r="I34" s="868" t="s">
        <v>24</v>
      </c>
      <c r="J34" s="507"/>
      <c r="K34" s="435"/>
      <c r="L34" s="867" t="s">
        <v>147</v>
      </c>
      <c r="M34" s="868" t="s">
        <v>24</v>
      </c>
      <c r="N34" s="507"/>
      <c r="O34" s="435"/>
      <c r="P34" s="867" t="s">
        <v>147</v>
      </c>
      <c r="Q34" s="868" t="s">
        <v>24</v>
      </c>
      <c r="R34" s="507"/>
      <c r="S34" s="435"/>
      <c r="T34" s="867" t="s">
        <v>147</v>
      </c>
      <c r="U34" s="868" t="s">
        <v>24</v>
      </c>
      <c r="V34" s="507"/>
      <c r="W34" s="435"/>
      <c r="X34" s="867" t="s">
        <v>147</v>
      </c>
      <c r="Y34" s="868" t="s">
        <v>24</v>
      </c>
      <c r="Z34" s="507"/>
      <c r="AA34" s="435"/>
      <c r="AB34" s="867" t="s">
        <v>147</v>
      </c>
      <c r="AC34" s="868" t="s">
        <v>24</v>
      </c>
      <c r="AD34" s="507"/>
      <c r="AE34" s="435"/>
      <c r="AF34" s="867" t="s">
        <v>147</v>
      </c>
      <c r="AG34" s="868" t="s">
        <v>24</v>
      </c>
      <c r="AH34" s="507"/>
      <c r="AI34" s="435"/>
      <c r="AJ34" s="867" t="s">
        <v>147</v>
      </c>
      <c r="AK34" s="868" t="s">
        <v>24</v>
      </c>
      <c r="AL34" s="507"/>
      <c r="AM34" s="435"/>
      <c r="AN34" s="867" t="s">
        <v>147</v>
      </c>
      <c r="AO34" s="868" t="s">
        <v>24</v>
      </c>
      <c r="AP34" s="507"/>
      <c r="AQ34" s="435"/>
      <c r="AR34" s="867" t="s">
        <v>147</v>
      </c>
      <c r="AS34" s="868" t="s">
        <v>24</v>
      </c>
      <c r="AT34" s="507"/>
      <c r="AU34" s="435"/>
      <c r="AV34" s="867" t="s">
        <v>147</v>
      </c>
      <c r="AW34" s="868" t="s">
        <v>24</v>
      </c>
      <c r="AX34" s="507"/>
      <c r="AY34" s="435"/>
      <c r="AZ34" s="867" t="s">
        <v>147</v>
      </c>
      <c r="BA34" s="868" t="s">
        <v>24</v>
      </c>
      <c r="BB34" s="507"/>
      <c r="BC34" s="435"/>
      <c r="BD34" s="867" t="s">
        <v>147</v>
      </c>
      <c r="BE34" s="868" t="s">
        <v>24</v>
      </c>
      <c r="BF34" s="507"/>
      <c r="BG34" s="435"/>
      <c r="BH34" s="867" t="s">
        <v>147</v>
      </c>
      <c r="BI34" s="868" t="s">
        <v>24</v>
      </c>
      <c r="BK34" s="435"/>
      <c r="BL34" s="869" t="s">
        <v>147</v>
      </c>
      <c r="BM34" s="870" t="s">
        <v>24</v>
      </c>
      <c r="BO34" s="706">
        <v>5050</v>
      </c>
      <c r="BP34" s="869" t="s">
        <v>147</v>
      </c>
      <c r="BQ34" s="870" t="s">
        <v>24</v>
      </c>
      <c r="BS34" s="706">
        <v>5139</v>
      </c>
      <c r="BT34" s="869" t="s">
        <v>147</v>
      </c>
      <c r="BU34" s="870" t="s">
        <v>24</v>
      </c>
      <c r="BW34" s="591">
        <f>SUM(BW30:BW33)</f>
        <v>5015</v>
      </c>
      <c r="BX34" s="839">
        <f t="shared" si="88"/>
        <v>27.713306808134398</v>
      </c>
      <c r="BY34" s="870" t="s">
        <v>24</v>
      </c>
      <c r="CA34" s="591">
        <f>SUM(CA30:CA33)</f>
        <v>5115</v>
      </c>
      <c r="CB34" s="839">
        <f t="shared" si="89"/>
        <v>27.234849703030989</v>
      </c>
      <c r="CC34" s="840">
        <f t="shared" si="68"/>
        <v>-47.845710510340922</v>
      </c>
      <c r="CE34" s="591">
        <f>SUM(CE30:CE33)</f>
        <v>5470</v>
      </c>
      <c r="CF34" s="839">
        <f t="shared" si="90"/>
        <v>27.480411038624897</v>
      </c>
      <c r="CG34" s="840">
        <f t="shared" si="69"/>
        <v>24.556133559390858</v>
      </c>
      <c r="CI34" s="591">
        <f>SUM(CI30:CI33)</f>
        <v>5402</v>
      </c>
      <c r="CJ34" s="839">
        <f t="shared" si="91"/>
        <v>27.204512262678151</v>
      </c>
      <c r="CK34" s="840">
        <f t="shared" si="70"/>
        <v>-27.589877594674661</v>
      </c>
      <c r="CM34" s="591">
        <f>SUM(CM30:CM33)</f>
        <v>5395</v>
      </c>
      <c r="CN34" s="839">
        <f t="shared" si="92"/>
        <v>29.18340692725554</v>
      </c>
      <c r="CO34" s="840">
        <f t="shared" si="71"/>
        <v>197.88946645773891</v>
      </c>
      <c r="CQ34" s="591">
        <f>SUM(CQ30:CQ33)</f>
        <v>5382</v>
      </c>
      <c r="CR34" s="839">
        <f t="shared" si="93"/>
        <v>30.650111185159755</v>
      </c>
      <c r="CS34" s="840">
        <f t="shared" si="72"/>
        <v>146.67042579042152</v>
      </c>
      <c r="CU34" s="591">
        <f>SUM(CU30:CU33)</f>
        <v>5358</v>
      </c>
      <c r="CV34" s="839">
        <f t="shared" si="73"/>
        <v>30.170617714961427</v>
      </c>
      <c r="CW34" s="840">
        <f t="shared" si="74"/>
        <v>-47.9493470198328</v>
      </c>
      <c r="CY34" s="591">
        <f>SUM(CY30:CY33)</f>
        <v>5109</v>
      </c>
      <c r="CZ34" s="839">
        <f t="shared" si="75"/>
        <v>29.600231749710314</v>
      </c>
      <c r="DA34" s="840">
        <f t="shared" si="76"/>
        <v>-57.038596525111274</v>
      </c>
      <c r="DC34" s="846">
        <f>SUM(DC30:DC33)</f>
        <v>4506</v>
      </c>
      <c r="DD34" s="839">
        <f t="shared" si="77"/>
        <v>34.701578744705429</v>
      </c>
      <c r="DE34" s="840">
        <f t="shared" si="94"/>
        <v>510.1346994995115</v>
      </c>
      <c r="DG34" s="846">
        <f>SUM(DG30:DG33)</f>
        <v>4114</v>
      </c>
      <c r="DH34" s="839">
        <f>DG34/DG14*100</f>
        <v>34.690952019563198</v>
      </c>
      <c r="DI34" s="840">
        <f t="shared" si="79"/>
        <v>-1.0626725142230953</v>
      </c>
      <c r="DJ34" s="587">
        <f>DG34/DC34-1</f>
        <v>-8.6995117620949802E-2</v>
      </c>
      <c r="DK34" s="846">
        <f>SUM(DK30:DK33)</f>
        <v>3993</v>
      </c>
      <c r="DL34" s="839">
        <f t="shared" si="80"/>
        <v>32.577302765766504</v>
      </c>
      <c r="DM34" s="840">
        <f t="shared" si="81"/>
        <v>-211.36492537966944</v>
      </c>
      <c r="DN34" s="587">
        <f>DK34/DG34-1</f>
        <v>-2.9411764705882359E-2</v>
      </c>
      <c r="DO34" s="587"/>
      <c r="DP34" s="846">
        <f>SUM(DP30:DP33)</f>
        <v>3775</v>
      </c>
      <c r="DQ34" s="839">
        <f t="shared" si="95"/>
        <v>29.900990099009899</v>
      </c>
      <c r="DR34" s="840">
        <f t="shared" si="82"/>
        <v>-267.63126667566047</v>
      </c>
      <c r="DS34" s="587">
        <f>DP34/DK34-1</f>
        <v>-5.4595542198847991E-2</v>
      </c>
      <c r="DT34" s="587"/>
      <c r="DU34" s="829">
        <f>SUM(DU30:DU33)</f>
        <v>3538</v>
      </c>
      <c r="DV34" s="839">
        <f t="shared" si="96"/>
        <v>28.197975611700009</v>
      </c>
      <c r="DW34" s="840">
        <f t="shared" si="83"/>
        <v>-170.30144873098897</v>
      </c>
      <c r="DX34" s="587">
        <f>DU34/DP34-1</f>
        <v>-6.2781456953642345E-2</v>
      </c>
      <c r="DY34" s="587"/>
      <c r="DZ34" s="829">
        <f>SUM(DZ30:DZ33)</f>
        <v>3468</v>
      </c>
      <c r="EA34" s="839">
        <f t="shared" si="84"/>
        <v>27.730689269150808</v>
      </c>
      <c r="EB34" s="840">
        <f t="shared" si="85"/>
        <v>-46.728634254920109</v>
      </c>
      <c r="EC34" s="587">
        <f>DZ34/DU34-1</f>
        <v>-1.9785189372526824E-2</v>
      </c>
      <c r="ED34" s="587"/>
      <c r="EE34" s="829">
        <f>SUM(EE30:EE33)</f>
        <v>3380.2849999999999</v>
      </c>
      <c r="EF34" s="839">
        <f t="shared" si="86"/>
        <v>28.042718567094759</v>
      </c>
      <c r="EG34" s="840">
        <f t="shared" si="87"/>
        <v>31.202929794395118</v>
      </c>
      <c r="EH34" s="587">
        <f>EE34/DZ34-1</f>
        <v>-2.5292675893887062E-2</v>
      </c>
      <c r="EI34" s="702"/>
      <c r="EJ34" s="1082">
        <f>EC34+DX34</f>
        <v>-8.2566646326169169E-2</v>
      </c>
      <c r="EK34" s="1083">
        <f>DX34+EC34+DS34</f>
        <v>-0.13716218852501716</v>
      </c>
      <c r="EL34" s="840"/>
      <c r="EM34" s="840"/>
      <c r="EN34" s="840"/>
      <c r="EO34" s="840"/>
      <c r="EP34" s="847" t="s">
        <v>476</v>
      </c>
      <c r="EQ34" s="848" t="s">
        <v>469</v>
      </c>
      <c r="ER34" s="848" t="s">
        <v>211</v>
      </c>
      <c r="ES34" s="848" t="s">
        <v>156</v>
      </c>
      <c r="ET34" s="848" t="s">
        <v>152</v>
      </c>
      <c r="EU34" s="848" t="s">
        <v>472</v>
      </c>
      <c r="EV34" s="849" t="s">
        <v>475</v>
      </c>
      <c r="EW34" s="805"/>
      <c r="EX34" s="805"/>
    </row>
    <row r="35" spans="1:161" hidden="1" outlineLevel="2">
      <c r="A35" s="819" t="s">
        <v>145</v>
      </c>
      <c r="C35" s="435"/>
      <c r="D35" s="867" t="s">
        <v>147</v>
      </c>
      <c r="E35" s="868" t="s">
        <v>24</v>
      </c>
      <c r="F35" s="507"/>
      <c r="G35" s="435"/>
      <c r="H35" s="867" t="s">
        <v>147</v>
      </c>
      <c r="I35" s="868" t="s">
        <v>24</v>
      </c>
      <c r="J35" s="507"/>
      <c r="K35" s="435"/>
      <c r="L35" s="867" t="s">
        <v>147</v>
      </c>
      <c r="M35" s="868" t="s">
        <v>24</v>
      </c>
      <c r="N35" s="507"/>
      <c r="O35" s="435"/>
      <c r="P35" s="867" t="s">
        <v>147</v>
      </c>
      <c r="Q35" s="868" t="s">
        <v>24</v>
      </c>
      <c r="R35" s="507"/>
      <c r="S35" s="435"/>
      <c r="T35" s="867" t="s">
        <v>147</v>
      </c>
      <c r="U35" s="868" t="s">
        <v>24</v>
      </c>
      <c r="V35" s="507"/>
      <c r="W35" s="435"/>
      <c r="X35" s="867" t="s">
        <v>147</v>
      </c>
      <c r="Y35" s="868" t="s">
        <v>24</v>
      </c>
      <c r="Z35" s="507"/>
      <c r="AA35" s="435"/>
      <c r="AB35" s="867" t="s">
        <v>147</v>
      </c>
      <c r="AC35" s="868" t="s">
        <v>24</v>
      </c>
      <c r="AD35" s="507"/>
      <c r="AE35" s="435"/>
      <c r="AF35" s="867" t="s">
        <v>147</v>
      </c>
      <c r="AG35" s="868" t="s">
        <v>24</v>
      </c>
      <c r="AH35" s="507"/>
      <c r="AI35" s="435"/>
      <c r="AJ35" s="867" t="s">
        <v>147</v>
      </c>
      <c r="AK35" s="868" t="s">
        <v>24</v>
      </c>
      <c r="AL35" s="507"/>
      <c r="AM35" s="435"/>
      <c r="AN35" s="867" t="s">
        <v>147</v>
      </c>
      <c r="AO35" s="868" t="s">
        <v>24</v>
      </c>
      <c r="AP35" s="507"/>
      <c r="AQ35" s="435"/>
      <c r="AR35" s="867" t="s">
        <v>147</v>
      </c>
      <c r="AS35" s="868" t="s">
        <v>24</v>
      </c>
      <c r="AT35" s="507"/>
      <c r="AU35" s="435"/>
      <c r="AV35" s="867" t="s">
        <v>147</v>
      </c>
      <c r="AW35" s="868" t="s">
        <v>24</v>
      </c>
      <c r="AX35" s="507"/>
      <c r="AY35" s="435"/>
      <c r="AZ35" s="867" t="s">
        <v>147</v>
      </c>
      <c r="BA35" s="868" t="s">
        <v>24</v>
      </c>
      <c r="BB35" s="507"/>
      <c r="BC35" s="435"/>
      <c r="BD35" s="867" t="s">
        <v>147</v>
      </c>
      <c r="BE35" s="868" t="s">
        <v>24</v>
      </c>
      <c r="BF35" s="507"/>
      <c r="BG35" s="435"/>
      <c r="BH35" s="867" t="s">
        <v>147</v>
      </c>
      <c r="BI35" s="868" t="s">
        <v>24</v>
      </c>
      <c r="BK35" s="435"/>
      <c r="BL35" s="869" t="s">
        <v>147</v>
      </c>
      <c r="BM35" s="870" t="s">
        <v>24</v>
      </c>
      <c r="BO35" s="706"/>
      <c r="BP35" s="869" t="s">
        <v>147</v>
      </c>
      <c r="BQ35" s="870" t="s">
        <v>24</v>
      </c>
      <c r="BS35" s="706"/>
      <c r="BT35" s="869" t="s">
        <v>147</v>
      </c>
      <c r="BU35" s="870" t="s">
        <v>24</v>
      </c>
      <c r="BW35" s="706">
        <f>BW30+BW31</f>
        <v>2290</v>
      </c>
      <c r="BX35" s="839">
        <f t="shared" si="88"/>
        <v>29.548387096774192</v>
      </c>
      <c r="BY35" s="870" t="s">
        <v>24</v>
      </c>
      <c r="CA35" s="706">
        <f>CA30+CA31</f>
        <v>2364</v>
      </c>
      <c r="CB35" s="839">
        <f t="shared" si="89"/>
        <v>29.188788739350535</v>
      </c>
      <c r="CC35" s="840">
        <f t="shared" si="68"/>
        <v>-35.959835742365698</v>
      </c>
      <c r="CE35" s="706">
        <f>CE30+CE31</f>
        <v>2456</v>
      </c>
      <c r="CF35" s="839">
        <f t="shared" si="90"/>
        <v>29.044163211168094</v>
      </c>
      <c r="CG35" s="840">
        <f t="shared" si="69"/>
        <v>-14.462552818244134</v>
      </c>
      <c r="CI35" s="706">
        <f>CI30+CI31</f>
        <v>2556</v>
      </c>
      <c r="CJ35" s="839">
        <f t="shared" si="91"/>
        <v>29.248197734294539</v>
      </c>
      <c r="CK35" s="840">
        <f t="shared" si="70"/>
        <v>20.403452312644532</v>
      </c>
      <c r="CM35" s="706">
        <f>CM30+CM31</f>
        <v>2587</v>
      </c>
      <c r="CN35" s="839">
        <f t="shared" si="92"/>
        <v>30.762840879256903</v>
      </c>
      <c r="CO35" s="840">
        <f t="shared" si="71"/>
        <v>151.46431449623634</v>
      </c>
      <c r="CQ35" s="706">
        <f>CQ30+CQ31</f>
        <v>2497</v>
      </c>
      <c r="CR35" s="839">
        <f t="shared" si="93"/>
        <v>31.893891704153322</v>
      </c>
      <c r="CS35" s="840">
        <f t="shared" si="72"/>
        <v>113.10508248964197</v>
      </c>
      <c r="CU35" s="706">
        <f>CU30+CU31</f>
        <v>2567</v>
      </c>
      <c r="CV35" s="839">
        <f t="shared" si="73"/>
        <v>32.629973306215838</v>
      </c>
      <c r="CW35" s="840">
        <f t="shared" si="74"/>
        <v>73.608160206251583</v>
      </c>
      <c r="CY35" s="706">
        <f>CY30+CY31</f>
        <v>2524</v>
      </c>
      <c r="CZ35" s="839">
        <f t="shared" si="75"/>
        <v>32.156962670403871</v>
      </c>
      <c r="DA35" s="840">
        <f t="shared" si="76"/>
        <v>-47.301063581196701</v>
      </c>
      <c r="DC35" s="846">
        <f>DC30+DC31</f>
        <v>2210</v>
      </c>
      <c r="DD35" s="839">
        <f t="shared" si="77"/>
        <v>35.795270489148038</v>
      </c>
      <c r="DE35" s="840">
        <f t="shared" si="94"/>
        <v>363.83078187441669</v>
      </c>
      <c r="DG35" s="846">
        <f>DG30+DG31</f>
        <v>2104</v>
      </c>
      <c r="DH35" s="839">
        <f t="shared" si="78"/>
        <v>39.713099282748203</v>
      </c>
      <c r="DI35" s="840">
        <f t="shared" si="79"/>
        <v>391.78287936001652</v>
      </c>
      <c r="DK35" s="846">
        <f>DK30+DK31</f>
        <v>1973</v>
      </c>
      <c r="DL35" s="839">
        <f t="shared" si="80"/>
        <v>35.232142857142854</v>
      </c>
      <c r="DM35" s="840">
        <f t="shared" si="81"/>
        <v>-448.09564256053488</v>
      </c>
      <c r="DP35" s="846">
        <f>DP30+DP31</f>
        <v>1866</v>
      </c>
      <c r="DQ35" s="839">
        <f t="shared" si="95"/>
        <v>32.554082344731334</v>
      </c>
      <c r="DR35" s="840">
        <f t="shared" si="82"/>
        <v>-267.80605124115198</v>
      </c>
      <c r="DU35" s="846">
        <f>DU30+DU31</f>
        <v>1725</v>
      </c>
      <c r="DV35" s="839">
        <f t="shared" si="96"/>
        <v>30.109966835398851</v>
      </c>
      <c r="DW35" s="840">
        <f t="shared" si="83"/>
        <v>-244.41155093324838</v>
      </c>
      <c r="DZ35" s="846">
        <f>DZ30+DZ31</f>
        <v>1685</v>
      </c>
      <c r="EA35" s="839">
        <f t="shared" si="84"/>
        <v>29.728299223712067</v>
      </c>
      <c r="EB35" s="840">
        <f t="shared" si="85"/>
        <v>-38.16676116867832</v>
      </c>
      <c r="EE35" s="846">
        <f>EE30+EE31</f>
        <v>1647.09</v>
      </c>
      <c r="EF35" s="839">
        <f t="shared" si="86"/>
        <v>29.407028163501991</v>
      </c>
      <c r="EG35" s="840">
        <f t="shared" si="87"/>
        <v>-32.127106021007634</v>
      </c>
      <c r="EJ35" s="1080"/>
      <c r="EK35" s="1081"/>
      <c r="EL35" s="840"/>
      <c r="EM35" s="840"/>
      <c r="EN35" s="840"/>
      <c r="EO35" s="840"/>
      <c r="EP35" s="850" t="s">
        <v>477</v>
      </c>
      <c r="EQ35" s="832" t="s">
        <v>470</v>
      </c>
      <c r="ER35" s="832" t="s">
        <v>471</v>
      </c>
      <c r="ES35" s="832" t="s">
        <v>361</v>
      </c>
      <c r="ET35" s="832" t="s">
        <v>361</v>
      </c>
      <c r="EU35" s="832" t="s">
        <v>473</v>
      </c>
      <c r="EV35" s="851" t="s">
        <v>474</v>
      </c>
      <c r="EX35" s="805"/>
    </row>
    <row r="36" spans="1:161" ht="13.5" hidden="1" outlineLevel="2" thickBot="1">
      <c r="A36" s="819" t="s">
        <v>146</v>
      </c>
      <c r="C36" s="435"/>
      <c r="D36" s="867" t="s">
        <v>147</v>
      </c>
      <c r="E36" s="868" t="s">
        <v>24</v>
      </c>
      <c r="F36" s="507"/>
      <c r="G36" s="435"/>
      <c r="H36" s="867" t="s">
        <v>147</v>
      </c>
      <c r="I36" s="868" t="s">
        <v>24</v>
      </c>
      <c r="J36" s="507"/>
      <c r="K36" s="435"/>
      <c r="L36" s="867" t="s">
        <v>147</v>
      </c>
      <c r="M36" s="868" t="s">
        <v>24</v>
      </c>
      <c r="N36" s="507"/>
      <c r="O36" s="435"/>
      <c r="P36" s="867" t="s">
        <v>147</v>
      </c>
      <c r="Q36" s="868" t="s">
        <v>24</v>
      </c>
      <c r="R36" s="507"/>
      <c r="S36" s="435"/>
      <c r="T36" s="867" t="s">
        <v>147</v>
      </c>
      <c r="U36" s="868" t="s">
        <v>24</v>
      </c>
      <c r="V36" s="507"/>
      <c r="W36" s="435"/>
      <c r="X36" s="867" t="s">
        <v>147</v>
      </c>
      <c r="Y36" s="868" t="s">
        <v>24</v>
      </c>
      <c r="Z36" s="507"/>
      <c r="AA36" s="435"/>
      <c r="AB36" s="867" t="s">
        <v>147</v>
      </c>
      <c r="AC36" s="868" t="s">
        <v>24</v>
      </c>
      <c r="AD36" s="507"/>
      <c r="AE36" s="435"/>
      <c r="AF36" s="867" t="s">
        <v>147</v>
      </c>
      <c r="AG36" s="868" t="s">
        <v>24</v>
      </c>
      <c r="AH36" s="507"/>
      <c r="AI36" s="435"/>
      <c r="AJ36" s="867" t="s">
        <v>147</v>
      </c>
      <c r="AK36" s="868" t="s">
        <v>24</v>
      </c>
      <c r="AL36" s="507"/>
      <c r="AM36" s="435"/>
      <c r="AN36" s="867" t="s">
        <v>147</v>
      </c>
      <c r="AO36" s="868" t="s">
        <v>24</v>
      </c>
      <c r="AP36" s="507"/>
      <c r="AQ36" s="435"/>
      <c r="AR36" s="867" t="s">
        <v>147</v>
      </c>
      <c r="AS36" s="868" t="s">
        <v>24</v>
      </c>
      <c r="AT36" s="507"/>
      <c r="AU36" s="435"/>
      <c r="AV36" s="867" t="s">
        <v>147</v>
      </c>
      <c r="AW36" s="868" t="s">
        <v>24</v>
      </c>
      <c r="AX36" s="507"/>
      <c r="AY36" s="435"/>
      <c r="AZ36" s="867" t="s">
        <v>147</v>
      </c>
      <c r="BA36" s="868" t="s">
        <v>24</v>
      </c>
      <c r="BB36" s="507"/>
      <c r="BC36" s="435"/>
      <c r="BD36" s="867" t="s">
        <v>147</v>
      </c>
      <c r="BE36" s="868" t="s">
        <v>24</v>
      </c>
      <c r="BF36" s="507"/>
      <c r="BG36" s="435"/>
      <c r="BH36" s="867" t="s">
        <v>147</v>
      </c>
      <c r="BI36" s="868" t="s">
        <v>24</v>
      </c>
      <c r="BK36" s="706"/>
      <c r="BL36" s="869" t="s">
        <v>147</v>
      </c>
      <c r="BM36" s="870" t="s">
        <v>24</v>
      </c>
      <c r="BO36" s="706"/>
      <c r="BP36" s="869" t="s">
        <v>147</v>
      </c>
      <c r="BQ36" s="870" t="s">
        <v>24</v>
      </c>
      <c r="BS36" s="706"/>
      <c r="BT36" s="869" t="s">
        <v>147</v>
      </c>
      <c r="BU36" s="870" t="s">
        <v>24</v>
      </c>
      <c r="BW36" s="706">
        <f>BW30+BW31+BW32</f>
        <v>3561</v>
      </c>
      <c r="BX36" s="839">
        <f t="shared" si="88"/>
        <v>29.330368173956018</v>
      </c>
      <c r="BY36" s="870" t="s">
        <v>24</v>
      </c>
      <c r="CA36" s="706">
        <f>CA30+CA31+CA32</f>
        <v>3657</v>
      </c>
      <c r="CB36" s="839">
        <f t="shared" si="89"/>
        <v>29.074574654158052</v>
      </c>
      <c r="CC36" s="840">
        <f t="shared" si="68"/>
        <v>-25.579351979796527</v>
      </c>
      <c r="CE36" s="706">
        <f>CE30+CE31+CE32</f>
        <v>3820</v>
      </c>
      <c r="CF36" s="839">
        <f t="shared" si="90"/>
        <v>28.858310830901786</v>
      </c>
      <c r="CG36" s="840">
        <f t="shared" si="69"/>
        <v>-21.626382325626636</v>
      </c>
      <c r="CI36" s="706">
        <f>CI30+CI31+CI32</f>
        <v>3917</v>
      </c>
      <c r="CJ36" s="839">
        <f t="shared" si="91"/>
        <v>29.085913715007056</v>
      </c>
      <c r="CK36" s="840">
        <f t="shared" si="70"/>
        <v>22.760288410526996</v>
      </c>
      <c r="CM36" s="706">
        <f>CM30+CM31+CM32</f>
        <v>3907</v>
      </c>
      <c r="CN36" s="839">
        <f t="shared" si="92"/>
        <v>30.697765382403407</v>
      </c>
      <c r="CO36" s="840">
        <f t="shared" si="71"/>
        <v>161.18516673963512</v>
      </c>
      <c r="CQ36" s="706">
        <f>CQ30+CQ31+CQ32</f>
        <v>3873</v>
      </c>
      <c r="CR36" s="839">
        <f t="shared" si="93"/>
        <v>32.249524134483885</v>
      </c>
      <c r="CS36" s="840">
        <f t="shared" si="72"/>
        <v>155.17587520804773</v>
      </c>
      <c r="CU36" s="706">
        <f>CU30+CU31+CU32</f>
        <v>3893</v>
      </c>
      <c r="CV36" s="839">
        <f t="shared" si="73"/>
        <v>32.290975447909751</v>
      </c>
      <c r="CW36" s="840">
        <f t="shared" si="74"/>
        <v>4.1451313425866942</v>
      </c>
      <c r="CY36" s="706">
        <f>CY30+CY31+CY32</f>
        <v>3766</v>
      </c>
      <c r="CZ36" s="839">
        <f t="shared" si="75"/>
        <v>31.820870299957754</v>
      </c>
      <c r="DA36" s="840">
        <f t="shared" si="76"/>
        <v>-47.010514795199754</v>
      </c>
      <c r="DC36" s="846">
        <f>DC30+DC31+DC32</f>
        <v>3297</v>
      </c>
      <c r="DD36" s="839">
        <f t="shared" si="77"/>
        <v>36.226788265025824</v>
      </c>
      <c r="DE36" s="840">
        <f t="shared" si="94"/>
        <v>440.59179650680704</v>
      </c>
      <c r="DG36" s="846">
        <f>DG30+DG31+DG32</f>
        <v>3110</v>
      </c>
      <c r="DH36" s="839">
        <f t="shared" si="78"/>
        <v>38.504395196236224</v>
      </c>
      <c r="DI36" s="840">
        <f t="shared" si="79"/>
        <v>227.76069312103999</v>
      </c>
      <c r="DK36" s="846">
        <f>DK30+DK31+DK32</f>
        <v>2961</v>
      </c>
      <c r="DL36" s="839">
        <f t="shared" si="80"/>
        <v>35.401721664275463</v>
      </c>
      <c r="DM36" s="840">
        <f t="shared" si="81"/>
        <v>-310.2673531960761</v>
      </c>
      <c r="DP36" s="846">
        <f>DP30+DP31+DP32</f>
        <v>2813</v>
      </c>
      <c r="DQ36" s="839">
        <f t="shared" si="95"/>
        <v>32.599374203268049</v>
      </c>
      <c r="DR36" s="840">
        <f t="shared" si="82"/>
        <v>-280.23474610074146</v>
      </c>
      <c r="DU36" s="846">
        <f>DU30+DU31+DU32</f>
        <v>2613</v>
      </c>
      <c r="DV36" s="839">
        <f t="shared" si="96"/>
        <v>30.433263452131378</v>
      </c>
      <c r="DW36" s="840">
        <f t="shared" si="83"/>
        <v>-216.61107511366708</v>
      </c>
      <c r="DZ36" s="846">
        <f>DZ30+DZ31+DZ32</f>
        <v>2525</v>
      </c>
      <c r="EA36" s="839">
        <f t="shared" si="84"/>
        <v>29.793510324483773</v>
      </c>
      <c r="EB36" s="840">
        <f t="shared" si="85"/>
        <v>-63.975312764760517</v>
      </c>
      <c r="EE36" s="846">
        <f>EE30+EE31+EE32</f>
        <v>2470.29</v>
      </c>
      <c r="EF36" s="839">
        <f t="shared" si="86"/>
        <v>29.657435602897298</v>
      </c>
      <c r="EG36" s="840">
        <f t="shared" si="87"/>
        <v>-13.607472158647482</v>
      </c>
      <c r="EL36" s="840"/>
      <c r="EM36" s="840"/>
      <c r="EN36" s="840"/>
      <c r="EO36" s="840"/>
      <c r="EP36" s="871" t="s">
        <v>158</v>
      </c>
      <c r="EQ36" s="872">
        <v>-82</v>
      </c>
      <c r="ER36" s="862">
        <f>EU36*DG10%</f>
        <v>1146.2250000000001</v>
      </c>
      <c r="ES36" s="873">
        <f>ER36/DC30-1</f>
        <v>-1.1874999999999858E-2</v>
      </c>
      <c r="ET36" s="863">
        <f>DH10%</f>
        <v>-0.16402284263959388</v>
      </c>
      <c r="EU36" s="874">
        <v>43.5</v>
      </c>
      <c r="EV36" s="865">
        <f>(EU36-DD30)*100</f>
        <v>669.79695431472101</v>
      </c>
      <c r="EX36" s="875"/>
    </row>
    <row r="37" spans="1:161" outlineLevel="1" collapsed="1">
      <c r="C37" s="706"/>
      <c r="D37" s="687"/>
      <c r="E37" s="687"/>
      <c r="G37" s="706"/>
      <c r="H37" s="687"/>
      <c r="I37" s="687"/>
      <c r="K37" s="706"/>
      <c r="L37" s="687"/>
      <c r="M37" s="687"/>
      <c r="O37" s="706"/>
      <c r="Q37" s="687"/>
      <c r="S37" s="706"/>
      <c r="U37" s="687"/>
      <c r="W37" s="706"/>
      <c r="Y37" s="687"/>
      <c r="AA37" s="706"/>
      <c r="AC37" s="687"/>
      <c r="AE37" s="706"/>
      <c r="AG37" s="687"/>
      <c r="AI37" s="706"/>
      <c r="AK37" s="687"/>
      <c r="AM37" s="706"/>
      <c r="AO37" s="687"/>
      <c r="AQ37" s="706"/>
      <c r="AS37" s="687"/>
      <c r="AU37" s="706"/>
      <c r="AW37" s="687"/>
      <c r="AY37" s="706"/>
      <c r="BA37" s="687"/>
      <c r="BC37" s="706"/>
      <c r="BE37" s="687"/>
      <c r="BG37" s="706"/>
      <c r="BI37" s="687"/>
      <c r="BK37" s="706"/>
      <c r="BM37" s="687"/>
      <c r="BO37" s="706"/>
      <c r="BQ37" s="687"/>
      <c r="BS37" s="706"/>
      <c r="BU37" s="687"/>
      <c r="BW37" s="706"/>
      <c r="BY37" s="687"/>
      <c r="CA37" s="706"/>
      <c r="CE37" s="706"/>
      <c r="CI37" s="706"/>
      <c r="CM37" s="706"/>
      <c r="CQ37" s="706"/>
      <c r="CU37" s="706"/>
      <c r="CY37" s="706"/>
      <c r="DC37" s="706"/>
      <c r="DD37" s="839"/>
      <c r="DE37" s="876"/>
      <c r="DG37" s="706"/>
      <c r="DP37" s="846">
        <f>DP34-DK34</f>
        <v>-218</v>
      </c>
      <c r="DQ37" s="591">
        <f>DP30-DK30</f>
        <v>-44</v>
      </c>
      <c r="DU37" s="587"/>
      <c r="DV37" s="591"/>
      <c r="DZ37" s="708"/>
      <c r="EA37" s="591"/>
      <c r="EE37" s="708"/>
      <c r="EF37" s="591"/>
      <c r="EJ37" s="678"/>
      <c r="EX37" s="875"/>
      <c r="EY37" s="875"/>
    </row>
    <row r="38" spans="1:161" outlineLevel="1">
      <c r="A38" s="816" t="s">
        <v>25</v>
      </c>
      <c r="C38" s="706"/>
      <c r="D38" s="687"/>
      <c r="E38" s="687"/>
      <c r="G38" s="706"/>
      <c r="H38" s="687"/>
      <c r="I38" s="687"/>
      <c r="K38" s="706"/>
      <c r="L38" s="687"/>
      <c r="M38" s="687"/>
      <c r="O38" s="706"/>
      <c r="S38" s="706"/>
      <c r="W38" s="706"/>
      <c r="AA38" s="706"/>
      <c r="AE38" s="706"/>
      <c r="AI38" s="706"/>
      <c r="AM38" s="706"/>
      <c r="AQ38" s="706"/>
      <c r="AU38" s="706"/>
      <c r="AY38" s="706"/>
      <c r="BC38" s="706"/>
      <c r="BG38" s="706"/>
      <c r="BK38" s="706"/>
      <c r="BO38" s="706"/>
      <c r="BS38" s="706"/>
      <c r="BW38" s="706"/>
      <c r="CA38" s="706"/>
      <c r="CE38" s="706"/>
      <c r="CI38" s="706"/>
      <c r="CM38" s="706"/>
      <c r="CQ38" s="706"/>
      <c r="CY38" s="706"/>
      <c r="DC38" s="678"/>
      <c r="DE38" s="838"/>
      <c r="DG38" s="818" t="s">
        <v>25</v>
      </c>
      <c r="DP38" s="1585" t="str">
        <f>DG38</f>
        <v>4. Qualified Pension Expense (% of Sales)</v>
      </c>
      <c r="DQ38" s="1585"/>
      <c r="DR38" s="1585"/>
      <c r="DS38" s="1585"/>
      <c r="DT38" s="1585"/>
      <c r="DU38" s="1585"/>
      <c r="DV38" s="1585"/>
      <c r="DW38" s="1585"/>
      <c r="EJ38" s="678"/>
      <c r="EX38" s="875"/>
      <c r="EY38" s="875"/>
    </row>
    <row r="39" spans="1:161" outlineLevel="1">
      <c r="C39" s="706"/>
      <c r="D39" s="687"/>
      <c r="E39" s="687"/>
      <c r="G39" s="706"/>
      <c r="H39" s="687"/>
      <c r="I39" s="687"/>
      <c r="K39" s="706"/>
      <c r="L39" s="687"/>
      <c r="M39" s="687"/>
      <c r="O39" s="706"/>
      <c r="S39" s="706"/>
      <c r="W39" s="706"/>
      <c r="AA39" s="706"/>
      <c r="AE39" s="706"/>
      <c r="AI39" s="706"/>
      <c r="AM39" s="706"/>
      <c r="AQ39" s="706"/>
      <c r="AU39" s="706"/>
      <c r="AY39" s="706"/>
      <c r="BC39" s="706"/>
      <c r="BG39" s="706"/>
      <c r="BK39" s="706"/>
      <c r="BO39" s="706"/>
      <c r="BS39" s="706"/>
      <c r="BW39" s="706"/>
      <c r="CA39" s="706"/>
      <c r="CE39" s="706"/>
      <c r="CI39" s="706"/>
      <c r="CM39" s="706"/>
      <c r="CQ39" s="706"/>
      <c r="CU39" s="706"/>
      <c r="CY39" s="706"/>
      <c r="EJ39" s="678"/>
      <c r="EX39" s="875"/>
      <c r="EY39" s="875"/>
    </row>
    <row r="40" spans="1:161" outlineLevel="1">
      <c r="A40" s="819" t="s">
        <v>140</v>
      </c>
      <c r="C40" s="877"/>
      <c r="D40" s="867" t="s">
        <v>147</v>
      </c>
      <c r="E40" s="868"/>
      <c r="F40" s="507"/>
      <c r="G40" s="877"/>
      <c r="H40" s="867" t="s">
        <v>147</v>
      </c>
      <c r="I40" s="868"/>
      <c r="J40" s="507"/>
      <c r="K40" s="877"/>
      <c r="L40" s="867" t="s">
        <v>147</v>
      </c>
      <c r="M40" s="868"/>
      <c r="N40" s="507"/>
      <c r="O40" s="877"/>
      <c r="P40" s="867" t="s">
        <v>147</v>
      </c>
      <c r="Q40" s="868"/>
      <c r="R40" s="507"/>
      <c r="S40" s="877"/>
      <c r="T40" s="867" t="s">
        <v>147</v>
      </c>
      <c r="U40" s="868"/>
      <c r="V40" s="507"/>
      <c r="W40" s="877"/>
      <c r="X40" s="867" t="s">
        <v>147</v>
      </c>
      <c r="Y40" s="868"/>
      <c r="Z40" s="507"/>
      <c r="AA40" s="877"/>
      <c r="AB40" s="867" t="s">
        <v>147</v>
      </c>
      <c r="AC40" s="868"/>
      <c r="AD40" s="507"/>
      <c r="AE40" s="877"/>
      <c r="AF40" s="867" t="s">
        <v>147</v>
      </c>
      <c r="AG40" s="868"/>
      <c r="AH40" s="507"/>
      <c r="AI40" s="877"/>
      <c r="AJ40" s="867" t="s">
        <v>147</v>
      </c>
      <c r="AK40" s="868"/>
      <c r="AL40" s="507"/>
      <c r="AM40" s="877"/>
      <c r="AN40" s="867" t="s">
        <v>147</v>
      </c>
      <c r="AO40" s="868"/>
      <c r="AP40" s="507"/>
      <c r="AQ40" s="877"/>
      <c r="AR40" s="867" t="s">
        <v>147</v>
      </c>
      <c r="AS40" s="868"/>
      <c r="AT40" s="507"/>
      <c r="AU40" s="877"/>
      <c r="AV40" s="867" t="s">
        <v>147</v>
      </c>
      <c r="AW40" s="868"/>
      <c r="AX40" s="507"/>
      <c r="AY40" s="877"/>
      <c r="AZ40" s="867" t="s">
        <v>147</v>
      </c>
      <c r="BA40" s="868"/>
      <c r="BB40" s="507"/>
      <c r="BC40" s="877"/>
      <c r="BD40" s="867" t="s">
        <v>147</v>
      </c>
      <c r="BE40" s="868"/>
      <c r="BF40" s="507"/>
      <c r="BG40" s="877"/>
      <c r="BH40" s="867" t="s">
        <v>147</v>
      </c>
      <c r="BI40" s="868"/>
      <c r="BJ40" s="507"/>
      <c r="BK40" s="877"/>
      <c r="BL40" s="867" t="s">
        <v>147</v>
      </c>
      <c r="BM40" s="868"/>
      <c r="BN40" s="507"/>
      <c r="BO40" s="877"/>
      <c r="BP40" s="867" t="s">
        <v>147</v>
      </c>
      <c r="BQ40" s="868"/>
      <c r="BR40" s="507"/>
      <c r="BS40" s="877"/>
      <c r="BT40" s="869" t="s">
        <v>147</v>
      </c>
      <c r="BU40" s="870"/>
      <c r="BW40" s="695">
        <v>20.5</v>
      </c>
      <c r="BX40" s="878">
        <f t="shared" ref="BX40:BX46" si="101">BW40/BW10*100</f>
        <v>0.51611278952668682</v>
      </c>
      <c r="BY40" s="870"/>
      <c r="CA40" s="695">
        <v>17.25</v>
      </c>
      <c r="CB40" s="878">
        <f t="shared" ref="CB40:CB46" si="102">CA40/CA10*100</f>
        <v>0.41889266634288491</v>
      </c>
      <c r="CC40" s="822"/>
      <c r="CE40" s="695">
        <v>4</v>
      </c>
      <c r="CF40" s="878">
        <f t="shared" ref="CF40:CF46" si="103">CE40/CE10*100</f>
        <v>9.4809196492059725E-2</v>
      </c>
      <c r="CG40" s="822"/>
      <c r="CI40" s="695">
        <v>-24</v>
      </c>
      <c r="CJ40" s="878">
        <f t="shared" ref="CJ40:CJ46" si="104">CI40/CI10*100</f>
        <v>-0.55185100022993794</v>
      </c>
      <c r="CK40" s="822"/>
      <c r="CM40" s="695">
        <v>-33</v>
      </c>
      <c r="CN40" s="878">
        <f t="shared" ref="CN40:CN46" si="105">CM40/CM10*100</f>
        <v>-0.79961230918342618</v>
      </c>
      <c r="CO40" s="822"/>
      <c r="CQ40" s="695">
        <v>81</v>
      </c>
      <c r="CR40" s="878">
        <f t="shared" ref="CR40:CR46" si="106">CQ40/CQ10*100</f>
        <v>2.0841721908503512</v>
      </c>
      <c r="CS40" s="879"/>
      <c r="CU40" s="1342">
        <v>55</v>
      </c>
      <c r="CV40" s="878">
        <f t="shared" ref="CV40:CV46" si="107">CU40/CU10*100</f>
        <v>1.3998472893866123</v>
      </c>
      <c r="CW40" s="879"/>
      <c r="CY40" s="1342">
        <v>22</v>
      </c>
      <c r="CZ40" s="878">
        <f t="shared" ref="CZ40:CZ46" si="108">CY40/CY10*100</f>
        <v>0.55795079888409838</v>
      </c>
      <c r="DA40" s="879"/>
      <c r="DC40" s="1342">
        <v>49</v>
      </c>
      <c r="DD40" s="878">
        <f t="shared" ref="DD40:DD46" si="109">DC40/DC10*100</f>
        <v>1.5545685279187818</v>
      </c>
      <c r="DE40" s="879"/>
      <c r="DG40" s="1342">
        <v>25</v>
      </c>
      <c r="DH40" s="878">
        <f t="shared" ref="DH40:DH46" si="110">DG40/DG10*100</f>
        <v>0.94876660341555974</v>
      </c>
      <c r="DI40" s="879"/>
      <c r="DK40" s="1342">
        <v>-5</v>
      </c>
      <c r="DL40" s="878">
        <f t="shared" ref="DL40:DL46" si="111">DK40/DK10*100</f>
        <v>-0.17850767583006069</v>
      </c>
      <c r="DM40" s="879"/>
      <c r="DP40" s="1342">
        <v>-21</v>
      </c>
      <c r="DQ40" s="878">
        <f t="shared" ref="DQ40:DQ46" si="112">DP40/DP10*100</f>
        <v>-0.73503675183759187</v>
      </c>
      <c r="DR40" s="879"/>
      <c r="DU40" s="1342">
        <v>0</v>
      </c>
      <c r="DV40" s="878">
        <f t="shared" ref="DV40:DV46" si="113">DU40/DU10*100</f>
        <v>0</v>
      </c>
      <c r="DW40" s="879"/>
      <c r="DZ40" s="1342">
        <v>-1</v>
      </c>
      <c r="EA40" s="878">
        <f t="shared" ref="EA40:EA46" si="114">DZ40/DZ10*100</f>
        <v>-3.6954915003695493E-2</v>
      </c>
      <c r="EB40" s="879"/>
      <c r="EE40" s="1277">
        <v>0</v>
      </c>
      <c r="EF40" s="878">
        <f t="shared" ref="EF40:EF46" si="115">EE40/EE10*100</f>
        <v>0</v>
      </c>
      <c r="EG40" s="879"/>
      <c r="EK40" s="879"/>
      <c r="EL40" s="879"/>
      <c r="EM40" s="879"/>
      <c r="EN40" s="879"/>
      <c r="EO40" s="879"/>
      <c r="EP40" s="879"/>
      <c r="EQ40" s="879"/>
      <c r="ER40" s="879"/>
      <c r="ES40" s="879"/>
      <c r="ET40" s="879"/>
      <c r="EU40" s="879"/>
      <c r="EV40" s="879"/>
      <c r="EW40" s="879"/>
      <c r="EX40" s="805"/>
    </row>
    <row r="41" spans="1:161" outlineLevel="1">
      <c r="A41" s="819" t="s">
        <v>141</v>
      </c>
      <c r="C41" s="877"/>
      <c r="D41" s="867" t="s">
        <v>147</v>
      </c>
      <c r="E41" s="868"/>
      <c r="F41" s="507"/>
      <c r="G41" s="877"/>
      <c r="H41" s="867" t="s">
        <v>147</v>
      </c>
      <c r="I41" s="868"/>
      <c r="J41" s="507"/>
      <c r="K41" s="877"/>
      <c r="L41" s="867" t="s">
        <v>147</v>
      </c>
      <c r="M41" s="868"/>
      <c r="N41" s="507"/>
      <c r="O41" s="877"/>
      <c r="P41" s="867" t="s">
        <v>147</v>
      </c>
      <c r="Q41" s="868"/>
      <c r="R41" s="507"/>
      <c r="S41" s="877"/>
      <c r="T41" s="867" t="s">
        <v>147</v>
      </c>
      <c r="U41" s="868"/>
      <c r="V41" s="507"/>
      <c r="W41" s="877"/>
      <c r="X41" s="867" t="s">
        <v>147</v>
      </c>
      <c r="Y41" s="868"/>
      <c r="Z41" s="507"/>
      <c r="AA41" s="877"/>
      <c r="AB41" s="867" t="s">
        <v>147</v>
      </c>
      <c r="AC41" s="868"/>
      <c r="AD41" s="507"/>
      <c r="AE41" s="877"/>
      <c r="AF41" s="867" t="s">
        <v>147</v>
      </c>
      <c r="AG41" s="868"/>
      <c r="AH41" s="507"/>
      <c r="AI41" s="877"/>
      <c r="AJ41" s="867" t="s">
        <v>147</v>
      </c>
      <c r="AK41" s="868"/>
      <c r="AL41" s="507"/>
      <c r="AM41" s="877"/>
      <c r="AN41" s="867" t="s">
        <v>147</v>
      </c>
      <c r="AO41" s="868"/>
      <c r="AP41" s="507"/>
      <c r="AQ41" s="877"/>
      <c r="AR41" s="867" t="s">
        <v>147</v>
      </c>
      <c r="AS41" s="868"/>
      <c r="AT41" s="507"/>
      <c r="AU41" s="877"/>
      <c r="AV41" s="867" t="s">
        <v>147</v>
      </c>
      <c r="AW41" s="868"/>
      <c r="AX41" s="507"/>
      <c r="AY41" s="877"/>
      <c r="AZ41" s="867" t="s">
        <v>147</v>
      </c>
      <c r="BA41" s="868"/>
      <c r="BB41" s="507"/>
      <c r="BC41" s="877"/>
      <c r="BD41" s="867" t="s">
        <v>147</v>
      </c>
      <c r="BE41" s="868"/>
      <c r="BF41" s="507"/>
      <c r="BG41" s="877"/>
      <c r="BH41" s="867" t="s">
        <v>147</v>
      </c>
      <c r="BI41" s="868"/>
      <c r="BJ41" s="507"/>
      <c r="BK41" s="877"/>
      <c r="BL41" s="867" t="s">
        <v>147</v>
      </c>
      <c r="BM41" s="868"/>
      <c r="BN41" s="507"/>
      <c r="BO41" s="877"/>
      <c r="BP41" s="867" t="s">
        <v>147</v>
      </c>
      <c r="BQ41" s="868"/>
      <c r="BR41" s="507"/>
      <c r="BS41" s="877"/>
      <c r="BT41" s="869" t="s">
        <v>147</v>
      </c>
      <c r="BU41" s="870"/>
      <c r="BW41" s="841">
        <v>20.5</v>
      </c>
      <c r="BX41" s="878">
        <f t="shared" si="101"/>
        <v>0.54261514028586555</v>
      </c>
      <c r="BY41" s="870"/>
      <c r="CA41" s="841">
        <v>17.25</v>
      </c>
      <c r="CB41" s="878">
        <f t="shared" si="102"/>
        <v>0.43330821401657871</v>
      </c>
      <c r="CC41" s="822"/>
      <c r="CE41" s="841">
        <v>1</v>
      </c>
      <c r="CF41" s="878">
        <f t="shared" si="103"/>
        <v>2.3601114727850828E-2</v>
      </c>
      <c r="CG41" s="822"/>
      <c r="CI41" s="841">
        <v>-24</v>
      </c>
      <c r="CJ41" s="878">
        <f t="shared" si="104"/>
        <v>-0.54669703872437359</v>
      </c>
      <c r="CK41" s="822"/>
      <c r="CM41" s="841">
        <v>-33</v>
      </c>
      <c r="CN41" s="878">
        <f t="shared" si="105"/>
        <v>-0.77057857904535698</v>
      </c>
      <c r="CO41" s="822"/>
      <c r="CQ41" s="841">
        <v>73</v>
      </c>
      <c r="CR41" s="878">
        <f t="shared" si="106"/>
        <v>1.8515464452838797</v>
      </c>
      <c r="CS41" s="879"/>
      <c r="CU41" s="1340">
        <v>55</v>
      </c>
      <c r="CV41" s="878">
        <f t="shared" si="107"/>
        <v>1.3966480446927374</v>
      </c>
      <c r="CW41" s="879"/>
      <c r="CY41" s="1340">
        <v>21</v>
      </c>
      <c r="CZ41" s="878">
        <f t="shared" si="108"/>
        <v>0.53763440860215062</v>
      </c>
      <c r="DA41" s="879"/>
      <c r="DC41" s="1340">
        <v>48</v>
      </c>
      <c r="DD41" s="878">
        <f t="shared" si="109"/>
        <v>1.5883520847121111</v>
      </c>
      <c r="DE41" s="879"/>
      <c r="DG41" s="1340">
        <v>25</v>
      </c>
      <c r="DH41" s="878">
        <f t="shared" si="110"/>
        <v>0.93879083740142699</v>
      </c>
      <c r="DI41" s="879"/>
      <c r="DK41" s="1340">
        <v>-4</v>
      </c>
      <c r="DL41" s="878">
        <f t="shared" si="111"/>
        <v>-0.14290818149339049</v>
      </c>
      <c r="DM41" s="879"/>
      <c r="DP41" s="1340">
        <v>8</v>
      </c>
      <c r="DQ41" s="878">
        <f t="shared" si="112"/>
        <v>0.27826086956521739</v>
      </c>
      <c r="DR41" s="879"/>
      <c r="DU41" s="1340">
        <v>0</v>
      </c>
      <c r="DV41" s="878">
        <f t="shared" si="113"/>
        <v>0</v>
      </c>
      <c r="DW41" s="879"/>
      <c r="DZ41" s="1340">
        <v>1</v>
      </c>
      <c r="EA41" s="878">
        <f t="shared" si="114"/>
        <v>3.3760972316002696E-2</v>
      </c>
      <c r="EB41" s="879"/>
      <c r="EE41" s="1542">
        <v>0</v>
      </c>
      <c r="EF41" s="878">
        <f t="shared" si="115"/>
        <v>0</v>
      </c>
      <c r="EG41" s="879"/>
      <c r="EK41" s="879"/>
      <c r="EL41" s="879"/>
      <c r="EM41" s="879"/>
      <c r="EN41" s="879"/>
      <c r="EO41" s="879"/>
      <c r="EP41" s="879"/>
      <c r="EQ41" s="879"/>
      <c r="ER41" s="879"/>
      <c r="ES41" s="826"/>
      <c r="ET41" s="879"/>
      <c r="EU41" s="879"/>
      <c r="EV41" s="879"/>
      <c r="EW41" s="805"/>
      <c r="EX41" s="805"/>
    </row>
    <row r="42" spans="1:161" outlineLevel="1">
      <c r="A42" s="819" t="s">
        <v>142</v>
      </c>
      <c r="C42" s="877"/>
      <c r="D42" s="867" t="s">
        <v>147</v>
      </c>
      <c r="E42" s="868"/>
      <c r="F42" s="507"/>
      <c r="G42" s="877"/>
      <c r="H42" s="867" t="s">
        <v>147</v>
      </c>
      <c r="I42" s="868"/>
      <c r="J42" s="507"/>
      <c r="K42" s="877"/>
      <c r="L42" s="867" t="s">
        <v>147</v>
      </c>
      <c r="M42" s="868"/>
      <c r="N42" s="507"/>
      <c r="O42" s="877"/>
      <c r="P42" s="867" t="s">
        <v>147</v>
      </c>
      <c r="Q42" s="868"/>
      <c r="R42" s="507"/>
      <c r="S42" s="877"/>
      <c r="T42" s="867" t="s">
        <v>147</v>
      </c>
      <c r="U42" s="868"/>
      <c r="V42" s="507"/>
      <c r="W42" s="877"/>
      <c r="X42" s="867" t="s">
        <v>147</v>
      </c>
      <c r="Y42" s="868"/>
      <c r="Z42" s="507"/>
      <c r="AA42" s="877"/>
      <c r="AB42" s="867" t="s">
        <v>147</v>
      </c>
      <c r="AC42" s="868"/>
      <c r="AD42" s="507"/>
      <c r="AE42" s="877"/>
      <c r="AF42" s="867" t="s">
        <v>147</v>
      </c>
      <c r="AG42" s="868"/>
      <c r="AH42" s="507"/>
      <c r="AI42" s="877"/>
      <c r="AJ42" s="867" t="s">
        <v>147</v>
      </c>
      <c r="AK42" s="868"/>
      <c r="AL42" s="507"/>
      <c r="AM42" s="877"/>
      <c r="AN42" s="867" t="s">
        <v>147</v>
      </c>
      <c r="AO42" s="868"/>
      <c r="AP42" s="507"/>
      <c r="AQ42" s="877"/>
      <c r="AR42" s="867" t="s">
        <v>147</v>
      </c>
      <c r="AS42" s="868"/>
      <c r="AT42" s="507"/>
      <c r="AU42" s="877"/>
      <c r="AV42" s="867" t="s">
        <v>147</v>
      </c>
      <c r="AW42" s="868"/>
      <c r="AX42" s="507"/>
      <c r="AY42" s="877"/>
      <c r="AZ42" s="867" t="s">
        <v>147</v>
      </c>
      <c r="BA42" s="868"/>
      <c r="BB42" s="507"/>
      <c r="BC42" s="877"/>
      <c r="BD42" s="867" t="s">
        <v>147</v>
      </c>
      <c r="BE42" s="868"/>
      <c r="BF42" s="507"/>
      <c r="BG42" s="877"/>
      <c r="BH42" s="867" t="s">
        <v>147</v>
      </c>
      <c r="BI42" s="868"/>
      <c r="BJ42" s="507"/>
      <c r="BK42" s="877"/>
      <c r="BL42" s="867" t="s">
        <v>147</v>
      </c>
      <c r="BM42" s="868"/>
      <c r="BN42" s="507"/>
      <c r="BO42" s="877"/>
      <c r="BP42" s="867" t="s">
        <v>147</v>
      </c>
      <c r="BQ42" s="868"/>
      <c r="BR42" s="507"/>
      <c r="BS42" s="877"/>
      <c r="BT42" s="869" t="s">
        <v>147</v>
      </c>
      <c r="BU42" s="870"/>
      <c r="BW42" s="841">
        <v>20.5</v>
      </c>
      <c r="BX42" s="878">
        <f t="shared" si="101"/>
        <v>0.4668640400819859</v>
      </c>
      <c r="BY42" s="870"/>
      <c r="CA42" s="841">
        <v>17.25</v>
      </c>
      <c r="CB42" s="878">
        <f t="shared" si="102"/>
        <v>0.3851306095110516</v>
      </c>
      <c r="CC42" s="822"/>
      <c r="CE42" s="841">
        <v>2</v>
      </c>
      <c r="CF42" s="878">
        <f t="shared" si="103"/>
        <v>4.1832252666806111E-2</v>
      </c>
      <c r="CG42" s="822"/>
      <c r="CI42" s="841">
        <v>-25</v>
      </c>
      <c r="CJ42" s="878">
        <f t="shared" si="104"/>
        <v>-0.52876480541455162</v>
      </c>
      <c r="CK42" s="822"/>
      <c r="CM42" s="841">
        <v>-33</v>
      </c>
      <c r="CN42" s="878">
        <f t="shared" si="105"/>
        <v>-0.76427556296457178</v>
      </c>
      <c r="CO42" s="822"/>
      <c r="CQ42" s="841">
        <v>73</v>
      </c>
      <c r="CR42" s="878">
        <f t="shared" si="106"/>
        <v>1.7462468050947737</v>
      </c>
      <c r="CS42" s="879"/>
      <c r="CU42" s="1340">
        <v>56</v>
      </c>
      <c r="CV42" s="878">
        <f t="shared" si="107"/>
        <v>1.336834566722368</v>
      </c>
      <c r="CW42" s="879"/>
      <c r="CY42" s="1340">
        <v>22</v>
      </c>
      <c r="CZ42" s="878">
        <f t="shared" si="108"/>
        <v>0.55193176116407427</v>
      </c>
      <c r="DA42" s="879"/>
      <c r="DC42" s="1340">
        <v>42</v>
      </c>
      <c r="DD42" s="878">
        <f t="shared" si="109"/>
        <v>1.434916296549368</v>
      </c>
      <c r="DE42" s="879"/>
      <c r="DG42" s="1340">
        <v>25</v>
      </c>
      <c r="DH42" s="878">
        <f t="shared" si="110"/>
        <v>0.89960417416336813</v>
      </c>
      <c r="DI42" s="879"/>
      <c r="DK42" s="1340">
        <v>1</v>
      </c>
      <c r="DL42" s="878">
        <f t="shared" si="111"/>
        <v>3.6179450072358899E-2</v>
      </c>
      <c r="DM42" s="879"/>
      <c r="DP42" s="1340">
        <v>7</v>
      </c>
      <c r="DQ42" s="878">
        <f t="shared" si="112"/>
        <v>0.24162927166033829</v>
      </c>
      <c r="DR42" s="879"/>
      <c r="DU42" s="1340">
        <v>0</v>
      </c>
      <c r="DV42" s="878">
        <f t="shared" si="113"/>
        <v>0</v>
      </c>
      <c r="DW42" s="879"/>
      <c r="DZ42" s="1340">
        <v>-1</v>
      </c>
      <c r="EA42" s="878">
        <f t="shared" si="114"/>
        <v>-3.5625222657641606E-2</v>
      </c>
      <c r="EB42" s="879"/>
      <c r="EE42" s="1546">
        <v>0</v>
      </c>
      <c r="EF42" s="878">
        <f t="shared" si="115"/>
        <v>0</v>
      </c>
      <c r="EG42" s="879"/>
      <c r="EK42" s="879"/>
      <c r="EL42" s="879"/>
      <c r="EM42" s="879"/>
      <c r="EN42" s="879"/>
      <c r="EO42" s="879"/>
      <c r="EP42" s="879"/>
      <c r="EQ42" s="879"/>
      <c r="ER42" s="879"/>
      <c r="ES42" s="879"/>
      <c r="ET42" s="879"/>
      <c r="EU42" s="678"/>
      <c r="EV42" s="879"/>
      <c r="EW42" s="805"/>
      <c r="EX42" s="805"/>
    </row>
    <row r="43" spans="1:161" outlineLevel="1">
      <c r="A43" s="819" t="s">
        <v>143</v>
      </c>
      <c r="C43" s="877"/>
      <c r="D43" s="867" t="s">
        <v>147</v>
      </c>
      <c r="E43" s="868"/>
      <c r="F43" s="507"/>
      <c r="G43" s="877"/>
      <c r="H43" s="867" t="s">
        <v>147</v>
      </c>
      <c r="I43" s="868"/>
      <c r="J43" s="507"/>
      <c r="K43" s="877"/>
      <c r="L43" s="867" t="s">
        <v>147</v>
      </c>
      <c r="M43" s="868"/>
      <c r="N43" s="507"/>
      <c r="O43" s="877"/>
      <c r="P43" s="867" t="s">
        <v>147</v>
      </c>
      <c r="Q43" s="868"/>
      <c r="R43" s="507"/>
      <c r="S43" s="877"/>
      <c r="T43" s="867" t="s">
        <v>147</v>
      </c>
      <c r="U43" s="868"/>
      <c r="V43" s="507"/>
      <c r="W43" s="877"/>
      <c r="X43" s="867" t="s">
        <v>147</v>
      </c>
      <c r="Y43" s="868"/>
      <c r="Z43" s="507"/>
      <c r="AA43" s="877"/>
      <c r="AB43" s="867" t="s">
        <v>147</v>
      </c>
      <c r="AC43" s="868"/>
      <c r="AD43" s="507"/>
      <c r="AE43" s="877"/>
      <c r="AF43" s="867" t="s">
        <v>147</v>
      </c>
      <c r="AG43" s="868"/>
      <c r="AH43" s="507"/>
      <c r="AI43" s="877"/>
      <c r="AJ43" s="867" t="s">
        <v>147</v>
      </c>
      <c r="AK43" s="868"/>
      <c r="AL43" s="507"/>
      <c r="AM43" s="877"/>
      <c r="AN43" s="867" t="s">
        <v>147</v>
      </c>
      <c r="AO43" s="868"/>
      <c r="AP43" s="507"/>
      <c r="AQ43" s="877"/>
      <c r="AR43" s="867" t="s">
        <v>147</v>
      </c>
      <c r="AS43" s="868"/>
      <c r="AT43" s="507"/>
      <c r="AU43" s="877"/>
      <c r="AV43" s="867" t="s">
        <v>147</v>
      </c>
      <c r="AW43" s="868"/>
      <c r="AX43" s="507"/>
      <c r="AY43" s="877"/>
      <c r="AZ43" s="867" t="s">
        <v>147</v>
      </c>
      <c r="BA43" s="868"/>
      <c r="BB43" s="507"/>
      <c r="BC43" s="877"/>
      <c r="BD43" s="867" t="s">
        <v>147</v>
      </c>
      <c r="BE43" s="868"/>
      <c r="BF43" s="507"/>
      <c r="BG43" s="877"/>
      <c r="BH43" s="867" t="s">
        <v>147</v>
      </c>
      <c r="BI43" s="868"/>
      <c r="BJ43" s="507"/>
      <c r="BK43" s="877"/>
      <c r="BL43" s="867" t="s">
        <v>147</v>
      </c>
      <c r="BM43" s="868"/>
      <c r="BN43" s="507"/>
      <c r="BO43" s="877"/>
      <c r="BP43" s="867" t="s">
        <v>147</v>
      </c>
      <c r="BQ43" s="868"/>
      <c r="BR43" s="507"/>
      <c r="BS43" s="877"/>
      <c r="BT43" s="869" t="s">
        <v>147</v>
      </c>
      <c r="BU43" s="870"/>
      <c r="BW43" s="845">
        <v>20.5</v>
      </c>
      <c r="BX43" s="878">
        <f t="shared" si="101"/>
        <v>0.3442485306465155</v>
      </c>
      <c r="BY43" s="870"/>
      <c r="CA43" s="845">
        <v>17.25</v>
      </c>
      <c r="CB43" s="878">
        <f t="shared" si="102"/>
        <v>0.27808748035654524</v>
      </c>
      <c r="CC43" s="822"/>
      <c r="CE43" s="845">
        <v>2</v>
      </c>
      <c r="CF43" s="878">
        <f t="shared" si="103"/>
        <v>2.9994001199760045E-2</v>
      </c>
      <c r="CG43" s="822"/>
      <c r="CI43" s="845">
        <v>-24</v>
      </c>
      <c r="CJ43" s="878">
        <f t="shared" si="104"/>
        <v>-0.37558685446009388</v>
      </c>
      <c r="CK43" s="822"/>
      <c r="CM43" s="845">
        <v>-34</v>
      </c>
      <c r="CN43" s="878">
        <f t="shared" si="105"/>
        <v>-0.59035754701137144</v>
      </c>
      <c r="CO43" s="822"/>
      <c r="CQ43" s="845">
        <v>71</v>
      </c>
      <c r="CR43" s="878">
        <f t="shared" si="106"/>
        <v>1.2792792792792793</v>
      </c>
      <c r="CS43" s="879"/>
      <c r="CU43" s="1341">
        <v>55</v>
      </c>
      <c r="CV43" s="878">
        <f t="shared" si="107"/>
        <v>0.96440469928108019</v>
      </c>
      <c r="CW43" s="879"/>
      <c r="CY43" s="1341">
        <v>22</v>
      </c>
      <c r="CZ43" s="878">
        <f t="shared" si="108"/>
        <v>0.40552995391705071</v>
      </c>
      <c r="DA43" s="879"/>
      <c r="DC43" s="1341">
        <v>176</v>
      </c>
      <c r="DD43" s="878">
        <f t="shared" si="109"/>
        <v>4.5314109165808443</v>
      </c>
      <c r="DE43" s="879"/>
      <c r="DG43" s="1341">
        <v>25</v>
      </c>
      <c r="DH43" s="878">
        <f t="shared" si="110"/>
        <v>0.6610259122157589</v>
      </c>
      <c r="DI43" s="879"/>
      <c r="DK43" s="1341">
        <v>-6</v>
      </c>
      <c r="DL43" s="878">
        <f t="shared" si="111"/>
        <v>-0.15412278448497305</v>
      </c>
      <c r="DM43" s="879"/>
      <c r="DP43" s="1341">
        <f>214-5</f>
        <v>209</v>
      </c>
      <c r="DQ43" s="878">
        <f t="shared" si="112"/>
        <v>5.2302302302302301</v>
      </c>
      <c r="DR43" s="879"/>
      <c r="DU43" s="1341">
        <v>1</v>
      </c>
      <c r="DV43" s="878">
        <f t="shared" si="113"/>
        <v>2.5246149962130777E-2</v>
      </c>
      <c r="DW43" s="879"/>
      <c r="DZ43" s="1357">
        <v>1</v>
      </c>
      <c r="EA43" s="878">
        <f t="shared" si="114"/>
        <v>2.4807740014884644E-2</v>
      </c>
      <c r="EB43" s="879"/>
      <c r="EE43" s="1547">
        <v>0</v>
      </c>
      <c r="EF43" s="878">
        <f t="shared" si="115"/>
        <v>0</v>
      </c>
      <c r="EG43" s="879"/>
      <c r="EK43" s="879"/>
      <c r="EL43" s="879"/>
      <c r="EM43" s="879"/>
      <c r="EN43" s="879"/>
      <c r="EO43" s="879"/>
      <c r="EP43" s="879"/>
      <c r="EQ43" s="879"/>
      <c r="ER43" s="879"/>
      <c r="ES43" s="879"/>
      <c r="ET43" s="879"/>
      <c r="EU43" s="879"/>
      <c r="EV43" s="879"/>
      <c r="EW43" s="805"/>
      <c r="EX43" s="805"/>
    </row>
    <row r="44" spans="1:161" outlineLevel="1">
      <c r="A44" s="819" t="s">
        <v>144</v>
      </c>
      <c r="C44" s="435"/>
      <c r="D44" s="867" t="s">
        <v>147</v>
      </c>
      <c r="E44" s="868"/>
      <c r="F44" s="507"/>
      <c r="G44" s="435"/>
      <c r="H44" s="867" t="s">
        <v>147</v>
      </c>
      <c r="I44" s="868"/>
      <c r="J44" s="507"/>
      <c r="K44" s="435"/>
      <c r="L44" s="867" t="s">
        <v>147</v>
      </c>
      <c r="M44" s="868"/>
      <c r="N44" s="507"/>
      <c r="O44" s="435"/>
      <c r="P44" s="867" t="s">
        <v>147</v>
      </c>
      <c r="Q44" s="868"/>
      <c r="R44" s="507"/>
      <c r="S44" s="435"/>
      <c r="T44" s="867" t="s">
        <v>147</v>
      </c>
      <c r="U44" s="868"/>
      <c r="V44" s="507"/>
      <c r="W44" s="435"/>
      <c r="X44" s="867" t="s">
        <v>147</v>
      </c>
      <c r="Y44" s="868"/>
      <c r="Z44" s="507"/>
      <c r="AA44" s="435"/>
      <c r="AB44" s="867" t="s">
        <v>147</v>
      </c>
      <c r="AC44" s="868"/>
      <c r="AD44" s="507"/>
      <c r="AE44" s="435"/>
      <c r="AF44" s="867" t="s">
        <v>147</v>
      </c>
      <c r="AG44" s="868"/>
      <c r="AH44" s="507"/>
      <c r="AI44" s="435"/>
      <c r="AJ44" s="867" t="s">
        <v>147</v>
      </c>
      <c r="AK44" s="868"/>
      <c r="AL44" s="507"/>
      <c r="AM44" s="435"/>
      <c r="AN44" s="867" t="s">
        <v>147</v>
      </c>
      <c r="AO44" s="868"/>
      <c r="AP44" s="507"/>
      <c r="AQ44" s="435"/>
      <c r="AR44" s="867" t="s">
        <v>147</v>
      </c>
      <c r="AS44" s="868"/>
      <c r="AT44" s="507"/>
      <c r="AU44" s="435"/>
      <c r="AV44" s="867" t="s">
        <v>147</v>
      </c>
      <c r="AW44" s="868"/>
      <c r="AX44" s="507"/>
      <c r="AY44" s="435"/>
      <c r="AZ44" s="867" t="s">
        <v>147</v>
      </c>
      <c r="BA44" s="868"/>
      <c r="BB44" s="507"/>
      <c r="BC44" s="435"/>
      <c r="BD44" s="867" t="s">
        <v>147</v>
      </c>
      <c r="BE44" s="868"/>
      <c r="BF44" s="507"/>
      <c r="BG44" s="435"/>
      <c r="BH44" s="867" t="s">
        <v>147</v>
      </c>
      <c r="BI44" s="868"/>
      <c r="BJ44" s="507"/>
      <c r="BK44" s="435"/>
      <c r="BL44" s="867" t="s">
        <v>147</v>
      </c>
      <c r="BM44" s="868"/>
      <c r="BN44" s="507"/>
      <c r="BO44" s="435"/>
      <c r="BP44" s="867" t="s">
        <v>147</v>
      </c>
      <c r="BQ44" s="868"/>
      <c r="BR44" s="507"/>
      <c r="BS44" s="435"/>
      <c r="BT44" s="869" t="s">
        <v>147</v>
      </c>
      <c r="BU44" s="870"/>
      <c r="BW44" s="591">
        <f>SUM(BW40:BW43)</f>
        <v>82</v>
      </c>
      <c r="BX44" s="878">
        <f t="shared" si="101"/>
        <v>0.45313881520778071</v>
      </c>
      <c r="BY44" s="870"/>
      <c r="CA44" s="591">
        <f>SUM(CA40:CA43)</f>
        <v>69</v>
      </c>
      <c r="CB44" s="878">
        <f t="shared" si="102"/>
        <v>0.36739093441038867</v>
      </c>
      <c r="CC44" s="822"/>
      <c r="CE44" s="591">
        <f>SUM(CE40:CE43)</f>
        <v>9</v>
      </c>
      <c r="CF44" s="878">
        <f t="shared" si="103"/>
        <v>4.521457026464791E-2</v>
      </c>
      <c r="CG44" s="822"/>
      <c r="CI44" s="591">
        <f>SUM(CI40:CI43)</f>
        <v>-97</v>
      </c>
      <c r="CJ44" s="878">
        <f t="shared" si="104"/>
        <v>-0.48849272296922996</v>
      </c>
      <c r="CK44" s="822"/>
      <c r="CM44" s="591">
        <f>SUM(CM40:CM43)</f>
        <v>-133</v>
      </c>
      <c r="CN44" s="878">
        <f t="shared" si="105"/>
        <v>-0.71944265455514123</v>
      </c>
      <c r="CO44" s="822"/>
      <c r="CQ44" s="846">
        <v>298</v>
      </c>
      <c r="CR44" s="878">
        <f t="shared" si="106"/>
        <v>1.6970890251166122</v>
      </c>
      <c r="CS44" s="879"/>
      <c r="CU44" s="846">
        <f>SUM(CU40:CU43)</f>
        <v>221</v>
      </c>
      <c r="CV44" s="878">
        <f t="shared" si="107"/>
        <v>1.2444394391576101</v>
      </c>
      <c r="CW44" s="879"/>
      <c r="CY44" s="846">
        <f>SUM(CY40:CY43)</f>
        <v>87</v>
      </c>
      <c r="CZ44" s="878">
        <f t="shared" si="108"/>
        <v>0.5040556199304751</v>
      </c>
      <c r="DA44" s="879"/>
      <c r="DC44" s="846">
        <f>SUM(DC40:DC43)</f>
        <v>315</v>
      </c>
      <c r="DD44" s="878">
        <f t="shared" si="109"/>
        <v>2.4258760107816713</v>
      </c>
      <c r="DE44" s="879"/>
      <c r="DG44" s="846">
        <f>SUM(DG40:DG43)</f>
        <v>100</v>
      </c>
      <c r="DH44" s="878">
        <f t="shared" si="110"/>
        <v>0.84324142001855129</v>
      </c>
      <c r="DI44" s="879"/>
      <c r="DK44" s="846">
        <f>SUM(DK40:DK43)</f>
        <v>-14</v>
      </c>
      <c r="DL44" s="878">
        <f t="shared" si="111"/>
        <v>-0.11422044545973729</v>
      </c>
      <c r="DM44" s="879"/>
      <c r="DP44" s="846">
        <f>SUM(DP40:DP43)</f>
        <v>203</v>
      </c>
      <c r="DQ44" s="878">
        <f t="shared" si="112"/>
        <v>1.607920792079208</v>
      </c>
      <c r="DR44" s="879"/>
      <c r="DU44" s="846">
        <f>SUM(DU40:DU43)</f>
        <v>1</v>
      </c>
      <c r="DV44" s="878">
        <f t="shared" si="113"/>
        <v>7.9700326771339758E-3</v>
      </c>
      <c r="DW44" s="879"/>
      <c r="DZ44" s="846">
        <f>SUM(DZ40:DZ43)</f>
        <v>0</v>
      </c>
      <c r="EA44" s="878">
        <f t="shared" si="114"/>
        <v>0</v>
      </c>
      <c r="EB44" s="879"/>
      <c r="EE44" s="846">
        <f>SUM(EE40:EE43)</f>
        <v>0</v>
      </c>
      <c r="EF44" s="878">
        <f t="shared" si="115"/>
        <v>0</v>
      </c>
      <c r="EG44" s="879"/>
      <c r="EK44" s="879"/>
      <c r="EL44" s="879"/>
      <c r="EM44" s="879"/>
      <c r="EN44" s="879"/>
      <c r="EO44" s="879"/>
      <c r="EP44" s="879"/>
      <c r="EQ44" s="879"/>
      <c r="ER44" s="879"/>
      <c r="ES44" s="879"/>
      <c r="ET44" s="879"/>
      <c r="EU44" s="879"/>
      <c r="EV44" s="879"/>
      <c r="EW44" s="805"/>
      <c r="EX44" s="805"/>
    </row>
    <row r="45" spans="1:161" hidden="1" outlineLevel="2">
      <c r="A45" s="819" t="s">
        <v>145</v>
      </c>
      <c r="C45" s="435"/>
      <c r="D45" s="867" t="s">
        <v>147</v>
      </c>
      <c r="E45" s="868"/>
      <c r="F45" s="507"/>
      <c r="G45" s="435"/>
      <c r="H45" s="867" t="s">
        <v>147</v>
      </c>
      <c r="I45" s="868"/>
      <c r="J45" s="507"/>
      <c r="K45" s="435"/>
      <c r="L45" s="867" t="s">
        <v>147</v>
      </c>
      <c r="M45" s="868"/>
      <c r="N45" s="507"/>
      <c r="O45" s="435"/>
      <c r="P45" s="867" t="s">
        <v>147</v>
      </c>
      <c r="Q45" s="868"/>
      <c r="R45" s="507"/>
      <c r="S45" s="435"/>
      <c r="T45" s="867" t="s">
        <v>147</v>
      </c>
      <c r="U45" s="868"/>
      <c r="V45" s="507"/>
      <c r="W45" s="435"/>
      <c r="X45" s="867" t="s">
        <v>147</v>
      </c>
      <c r="Y45" s="868"/>
      <c r="Z45" s="507"/>
      <c r="AA45" s="435"/>
      <c r="AB45" s="867" t="s">
        <v>147</v>
      </c>
      <c r="AC45" s="868"/>
      <c r="AD45" s="507"/>
      <c r="AE45" s="435"/>
      <c r="AF45" s="867" t="s">
        <v>147</v>
      </c>
      <c r="AG45" s="868"/>
      <c r="AH45" s="507"/>
      <c r="AI45" s="435"/>
      <c r="AJ45" s="867" t="s">
        <v>147</v>
      </c>
      <c r="AK45" s="868"/>
      <c r="AL45" s="507"/>
      <c r="AM45" s="435"/>
      <c r="AN45" s="867" t="s">
        <v>147</v>
      </c>
      <c r="AO45" s="868"/>
      <c r="AP45" s="507"/>
      <c r="AQ45" s="435"/>
      <c r="AR45" s="867" t="s">
        <v>147</v>
      </c>
      <c r="AS45" s="868"/>
      <c r="AT45" s="507"/>
      <c r="AU45" s="435"/>
      <c r="AV45" s="867" t="s">
        <v>147</v>
      </c>
      <c r="AW45" s="868"/>
      <c r="AX45" s="507"/>
      <c r="AY45" s="435"/>
      <c r="AZ45" s="867" t="s">
        <v>147</v>
      </c>
      <c r="BA45" s="868"/>
      <c r="BB45" s="507"/>
      <c r="BC45" s="435"/>
      <c r="BD45" s="867" t="s">
        <v>147</v>
      </c>
      <c r="BE45" s="868"/>
      <c r="BF45" s="507"/>
      <c r="BG45" s="435"/>
      <c r="BH45" s="867" t="s">
        <v>147</v>
      </c>
      <c r="BI45" s="868"/>
      <c r="BJ45" s="507"/>
      <c r="BK45" s="435"/>
      <c r="BL45" s="867" t="s">
        <v>147</v>
      </c>
      <c r="BM45" s="868"/>
      <c r="BN45" s="507"/>
      <c r="BO45" s="435"/>
      <c r="BP45" s="867" t="s">
        <v>147</v>
      </c>
      <c r="BQ45" s="868"/>
      <c r="BR45" s="507"/>
      <c r="BS45" s="435"/>
      <c r="BT45" s="869" t="s">
        <v>147</v>
      </c>
      <c r="BU45" s="870"/>
      <c r="BW45" s="706">
        <f>BW40+BW41</f>
        <v>41</v>
      </c>
      <c r="BX45" s="878">
        <f t="shared" si="101"/>
        <v>0.52903225806451615</v>
      </c>
      <c r="BY45" s="870"/>
      <c r="CA45" s="706">
        <f>CA40+CA41</f>
        <v>34.5</v>
      </c>
      <c r="CB45" s="878">
        <f t="shared" si="102"/>
        <v>0.42597851586615632</v>
      </c>
      <c r="CC45" s="822"/>
      <c r="CE45" s="706">
        <f>CE40+CE41</f>
        <v>5</v>
      </c>
      <c r="CF45" s="878">
        <f t="shared" si="103"/>
        <v>5.9128996765407366E-2</v>
      </c>
      <c r="CG45" s="822"/>
      <c r="CI45" s="706">
        <f>CI40+CI41</f>
        <v>-48</v>
      </c>
      <c r="CJ45" s="878">
        <f t="shared" si="104"/>
        <v>-0.5492619292825266</v>
      </c>
      <c r="CK45" s="822"/>
      <c r="CM45" s="706">
        <f>CM40+CM41</f>
        <v>-66</v>
      </c>
      <c r="CN45" s="878">
        <f t="shared" si="105"/>
        <v>-0.78482701895282392</v>
      </c>
      <c r="CO45" s="822"/>
      <c r="CQ45" s="706">
        <f>CQ40+CQ41</f>
        <v>154</v>
      </c>
      <c r="CR45" s="878">
        <f t="shared" si="106"/>
        <v>1.9670241579654029</v>
      </c>
      <c r="CS45" s="879"/>
      <c r="CU45" s="706">
        <f>CU40+CU41</f>
        <v>110</v>
      </c>
      <c r="CV45" s="878">
        <f t="shared" si="107"/>
        <v>1.3982458370408033</v>
      </c>
      <c r="CW45" s="879"/>
      <c r="CY45" s="706">
        <f>CY40+CY41</f>
        <v>43</v>
      </c>
      <c r="CZ45" s="878">
        <f t="shared" si="108"/>
        <v>0.5478404892342974</v>
      </c>
      <c r="DA45" s="879"/>
      <c r="DC45" s="706">
        <f>DC40+DC41</f>
        <v>97</v>
      </c>
      <c r="DD45" s="878">
        <f t="shared" si="109"/>
        <v>1.571104632329122</v>
      </c>
      <c r="DE45" s="879"/>
      <c r="DG45" s="706">
        <f>DG40+DG41</f>
        <v>50</v>
      </c>
      <c r="DH45" s="878">
        <f t="shared" si="110"/>
        <v>0.94375235938089841</v>
      </c>
      <c r="DI45" s="879"/>
      <c r="DK45" s="706">
        <f>DK40+DK41</f>
        <v>-9</v>
      </c>
      <c r="DL45" s="878">
        <f t="shared" si="111"/>
        <v>-0.1607142857142857</v>
      </c>
      <c r="DM45" s="879"/>
      <c r="DP45" s="706">
        <f>DP40+DP41</f>
        <v>-13</v>
      </c>
      <c r="DQ45" s="878">
        <f t="shared" si="112"/>
        <v>-0.22679692951849267</v>
      </c>
      <c r="DR45" s="879"/>
      <c r="DU45" s="706">
        <f>DU40+DU41</f>
        <v>0</v>
      </c>
      <c r="DV45" s="878">
        <f t="shared" si="113"/>
        <v>0</v>
      </c>
      <c r="DW45" s="879"/>
      <c r="DZ45" s="706">
        <f>DZ40+DZ41</f>
        <v>0</v>
      </c>
      <c r="EA45" s="878">
        <f t="shared" si="114"/>
        <v>0</v>
      </c>
      <c r="EB45" s="879"/>
      <c r="EE45" s="706">
        <f>EE40+EE41</f>
        <v>0</v>
      </c>
      <c r="EF45" s="878">
        <f t="shared" si="115"/>
        <v>0</v>
      </c>
      <c r="EG45" s="879"/>
      <c r="EK45" s="879"/>
      <c r="EL45" s="879"/>
      <c r="EM45" s="879"/>
      <c r="EN45" s="879"/>
      <c r="EO45" s="879"/>
      <c r="EP45" s="879"/>
      <c r="EQ45" s="879"/>
      <c r="ER45" s="879"/>
      <c r="ES45" s="879"/>
      <c r="ET45" s="879"/>
      <c r="EU45" s="879"/>
      <c r="EV45" s="879"/>
      <c r="EW45" s="805"/>
      <c r="EX45" s="805"/>
    </row>
    <row r="46" spans="1:161" hidden="1" outlineLevel="2">
      <c r="A46" s="819" t="s">
        <v>146</v>
      </c>
      <c r="C46" s="435"/>
      <c r="D46" s="867" t="s">
        <v>147</v>
      </c>
      <c r="E46" s="868"/>
      <c r="F46" s="507"/>
      <c r="G46" s="435"/>
      <c r="H46" s="867" t="s">
        <v>147</v>
      </c>
      <c r="I46" s="868"/>
      <c r="J46" s="507"/>
      <c r="K46" s="435"/>
      <c r="L46" s="867" t="s">
        <v>147</v>
      </c>
      <c r="M46" s="868"/>
      <c r="N46" s="507"/>
      <c r="O46" s="435"/>
      <c r="P46" s="867" t="s">
        <v>147</v>
      </c>
      <c r="Q46" s="868"/>
      <c r="R46" s="507"/>
      <c r="S46" s="435"/>
      <c r="T46" s="867" t="s">
        <v>147</v>
      </c>
      <c r="U46" s="868"/>
      <c r="V46" s="507"/>
      <c r="W46" s="435"/>
      <c r="X46" s="867" t="s">
        <v>147</v>
      </c>
      <c r="Y46" s="868"/>
      <c r="Z46" s="507"/>
      <c r="AA46" s="435"/>
      <c r="AB46" s="867" t="s">
        <v>147</v>
      </c>
      <c r="AC46" s="868"/>
      <c r="AD46" s="507"/>
      <c r="AE46" s="435"/>
      <c r="AF46" s="867" t="s">
        <v>147</v>
      </c>
      <c r="AG46" s="868"/>
      <c r="AH46" s="507"/>
      <c r="AI46" s="435"/>
      <c r="AJ46" s="867" t="s">
        <v>147</v>
      </c>
      <c r="AK46" s="868"/>
      <c r="AL46" s="507"/>
      <c r="AM46" s="435"/>
      <c r="AN46" s="867" t="s">
        <v>147</v>
      </c>
      <c r="AO46" s="868"/>
      <c r="AP46" s="507"/>
      <c r="AQ46" s="435"/>
      <c r="AR46" s="867" t="s">
        <v>147</v>
      </c>
      <c r="AS46" s="868"/>
      <c r="AT46" s="507"/>
      <c r="AU46" s="435"/>
      <c r="AV46" s="867" t="s">
        <v>147</v>
      </c>
      <c r="AW46" s="868"/>
      <c r="AX46" s="507"/>
      <c r="AY46" s="435"/>
      <c r="AZ46" s="867" t="s">
        <v>147</v>
      </c>
      <c r="BA46" s="868"/>
      <c r="BB46" s="507"/>
      <c r="BC46" s="435"/>
      <c r="BD46" s="867" t="s">
        <v>147</v>
      </c>
      <c r="BE46" s="868"/>
      <c r="BF46" s="507"/>
      <c r="BG46" s="435"/>
      <c r="BH46" s="867" t="s">
        <v>147</v>
      </c>
      <c r="BI46" s="868"/>
      <c r="BJ46" s="507"/>
      <c r="BK46" s="435"/>
      <c r="BL46" s="867" t="s">
        <v>147</v>
      </c>
      <c r="BM46" s="868"/>
      <c r="BN46" s="507"/>
      <c r="BO46" s="435"/>
      <c r="BP46" s="867" t="s">
        <v>147</v>
      </c>
      <c r="BQ46" s="868"/>
      <c r="BR46" s="507"/>
      <c r="BS46" s="435"/>
      <c r="BT46" s="869" t="s">
        <v>147</v>
      </c>
      <c r="BU46" s="870"/>
      <c r="BW46" s="706">
        <f>BW40+BW41+BW42</f>
        <v>61.5</v>
      </c>
      <c r="BX46" s="878">
        <f t="shared" si="101"/>
        <v>0.50654806029157395</v>
      </c>
      <c r="BY46" s="870"/>
      <c r="CA46" s="706">
        <f>CA40+CA41+CA42</f>
        <v>51.75</v>
      </c>
      <c r="CB46" s="878">
        <f t="shared" si="102"/>
        <v>0.4114326602003498</v>
      </c>
      <c r="CC46" s="822"/>
      <c r="CE46" s="706">
        <f>CE40+CE41+CE42</f>
        <v>7</v>
      </c>
      <c r="CF46" s="878">
        <f t="shared" si="103"/>
        <v>5.2881721417882846E-2</v>
      </c>
      <c r="CG46" s="822"/>
      <c r="CI46" s="706">
        <f>CI40+CI41+CI42</f>
        <v>-73</v>
      </c>
      <c r="CJ46" s="878">
        <f t="shared" si="104"/>
        <v>-0.54206579045073144</v>
      </c>
      <c r="CK46" s="822"/>
      <c r="CM46" s="706">
        <f>CM40+CM41+CM42</f>
        <v>-99</v>
      </c>
      <c r="CN46" s="878">
        <f t="shared" si="105"/>
        <v>-0.77785481772662834</v>
      </c>
      <c r="CO46" s="822"/>
      <c r="CQ46" s="706">
        <f>CQ40+CQ41+CQ42</f>
        <v>227</v>
      </c>
      <c r="CR46" s="878">
        <f t="shared" si="106"/>
        <v>1.8901735033637599</v>
      </c>
      <c r="CS46" s="879"/>
      <c r="CU46" s="706">
        <f>CU40+CU41+CU42</f>
        <v>166</v>
      </c>
      <c r="CV46" s="878">
        <f t="shared" si="107"/>
        <v>1.3769077637690776</v>
      </c>
      <c r="CW46" s="879"/>
      <c r="CY46" s="706">
        <f>CY40+CY41+CY42</f>
        <v>65</v>
      </c>
      <c r="CZ46" s="878">
        <f t="shared" si="108"/>
        <v>0.54921841994085341</v>
      </c>
      <c r="DA46" s="879"/>
      <c r="DC46" s="706">
        <f>DC40+DC41+DC42</f>
        <v>139</v>
      </c>
      <c r="DD46" s="878">
        <f t="shared" si="109"/>
        <v>1.5273046917921107</v>
      </c>
      <c r="DE46" s="879"/>
      <c r="DG46" s="706">
        <f>DG40+DG41+DG42</f>
        <v>75</v>
      </c>
      <c r="DH46" s="878">
        <f t="shared" si="110"/>
        <v>0.92856258511823697</v>
      </c>
      <c r="DI46" s="879"/>
      <c r="DK46" s="706">
        <f>DK40+DK41+DK42</f>
        <v>-8</v>
      </c>
      <c r="DL46" s="878">
        <f t="shared" si="111"/>
        <v>-9.5648015303682457E-2</v>
      </c>
      <c r="DM46" s="879"/>
      <c r="DP46" s="706">
        <f>DP40+DP41+DP42</f>
        <v>-6</v>
      </c>
      <c r="DQ46" s="878">
        <f t="shared" si="112"/>
        <v>-6.9532970216711093E-2</v>
      </c>
      <c r="DR46" s="879"/>
      <c r="DU46" s="706">
        <f>DU40+DU41+DU42</f>
        <v>0</v>
      </c>
      <c r="DV46" s="878">
        <f t="shared" si="113"/>
        <v>0</v>
      </c>
      <c r="DW46" s="879"/>
      <c r="DZ46" s="706">
        <f>DZ40+DZ41+DZ42</f>
        <v>-1</v>
      </c>
      <c r="EA46" s="878">
        <f t="shared" si="114"/>
        <v>-1.1799410029498525E-2</v>
      </c>
      <c r="EB46" s="879"/>
      <c r="EE46" s="706">
        <f>EE40+EE41+EE42</f>
        <v>0</v>
      </c>
      <c r="EF46" s="878">
        <f t="shared" si="115"/>
        <v>0</v>
      </c>
      <c r="EG46" s="879"/>
      <c r="EK46" s="879"/>
      <c r="EL46" s="879"/>
      <c r="EM46" s="879"/>
      <c r="EN46" s="879"/>
      <c r="EO46" s="879"/>
      <c r="EP46" s="879"/>
      <c r="EQ46" s="879"/>
      <c r="ER46" s="879"/>
      <c r="ES46" s="879"/>
      <c r="ET46" s="879"/>
      <c r="EU46" s="879"/>
      <c r="EV46" s="879"/>
      <c r="EW46" s="805"/>
      <c r="EX46" s="805"/>
    </row>
    <row r="47" spans="1:161" outlineLevel="1" collapsed="1">
      <c r="C47" s="706"/>
      <c r="D47" s="687"/>
      <c r="E47" s="687"/>
      <c r="G47" s="706"/>
      <c r="H47" s="687"/>
      <c r="I47" s="687"/>
      <c r="K47" s="706"/>
      <c r="L47" s="687"/>
      <c r="M47" s="687"/>
      <c r="O47" s="706"/>
      <c r="P47" s="687"/>
      <c r="Q47" s="687"/>
      <c r="S47" s="706"/>
      <c r="T47" s="687"/>
      <c r="U47" s="687"/>
      <c r="W47" s="706"/>
      <c r="X47" s="687"/>
      <c r="Y47" s="687"/>
      <c r="AA47" s="706"/>
      <c r="AB47" s="687"/>
      <c r="AC47" s="687"/>
      <c r="AE47" s="706"/>
      <c r="AF47" s="687"/>
      <c r="AG47" s="687"/>
      <c r="AI47" s="706"/>
      <c r="AJ47" s="687"/>
      <c r="AK47" s="687"/>
      <c r="AM47" s="706"/>
      <c r="AN47" s="687"/>
      <c r="AO47" s="687"/>
      <c r="AQ47" s="706"/>
      <c r="AR47" s="687"/>
      <c r="AS47" s="687"/>
      <c r="AU47" s="706"/>
      <c r="AV47" s="687"/>
      <c r="AW47" s="687"/>
      <c r="AY47" s="706"/>
      <c r="AZ47" s="687"/>
      <c r="BA47" s="687"/>
      <c r="BC47" s="706"/>
      <c r="BD47" s="687"/>
      <c r="BE47" s="687"/>
      <c r="BG47" s="706"/>
      <c r="BH47" s="687"/>
      <c r="BI47" s="687"/>
      <c r="BK47" s="706"/>
      <c r="BL47" s="687"/>
      <c r="BM47" s="687"/>
      <c r="BO47" s="706"/>
      <c r="BP47" s="687"/>
      <c r="BQ47" s="687"/>
      <c r="BS47" s="706"/>
      <c r="BT47" s="687"/>
      <c r="BU47" s="687"/>
      <c r="BW47" s="706"/>
      <c r="BY47" s="687"/>
      <c r="CA47" s="706"/>
      <c r="CE47" s="706"/>
      <c r="CI47" s="706"/>
      <c r="CM47" s="706"/>
      <c r="CQ47" s="706"/>
      <c r="CU47" s="706"/>
      <c r="CY47" s="706"/>
      <c r="EW47" s="805"/>
      <c r="EX47" s="805"/>
    </row>
    <row r="48" spans="1:161" outlineLevel="1">
      <c r="A48" s="816" t="s">
        <v>26</v>
      </c>
      <c r="C48" s="706"/>
      <c r="D48" s="687"/>
      <c r="E48" s="687"/>
      <c r="G48" s="706"/>
      <c r="H48" s="687"/>
      <c r="I48" s="687"/>
      <c r="K48" s="706"/>
      <c r="L48" s="687"/>
      <c r="M48" s="687"/>
      <c r="O48" s="706"/>
      <c r="P48" s="687"/>
      <c r="Q48" s="687"/>
      <c r="S48" s="706"/>
      <c r="T48" s="687"/>
      <c r="U48" s="687"/>
      <c r="W48" s="706"/>
      <c r="X48" s="687"/>
      <c r="Y48" s="687"/>
      <c r="AA48" s="706"/>
      <c r="AB48" s="687"/>
      <c r="AC48" s="687"/>
      <c r="AE48" s="706"/>
      <c r="AF48" s="687"/>
      <c r="AG48" s="687"/>
      <c r="AI48" s="706"/>
      <c r="AJ48" s="687"/>
      <c r="AK48" s="687"/>
      <c r="AM48" s="706"/>
      <c r="AN48" s="687"/>
      <c r="AO48" s="687"/>
      <c r="AQ48" s="706"/>
      <c r="AR48" s="687"/>
      <c r="AS48" s="687"/>
      <c r="AU48" s="706"/>
      <c r="AV48" s="687"/>
      <c r="AW48" s="687"/>
      <c r="AY48" s="706"/>
      <c r="AZ48" s="687"/>
      <c r="BA48" s="687"/>
      <c r="BC48" s="706"/>
      <c r="BD48" s="687"/>
      <c r="BE48" s="687"/>
      <c r="BG48" s="706"/>
      <c r="BH48" s="687"/>
      <c r="BI48" s="687"/>
      <c r="BK48" s="706"/>
      <c r="BL48" s="687"/>
      <c r="BM48" s="687"/>
      <c r="BO48" s="706"/>
      <c r="BP48" s="687"/>
      <c r="BQ48" s="687"/>
      <c r="BS48" s="706"/>
      <c r="BT48" s="687"/>
      <c r="BU48" s="687"/>
      <c r="BW48" s="706"/>
      <c r="BY48" s="687"/>
      <c r="CA48" s="706"/>
      <c r="CE48" s="706"/>
      <c r="CI48" s="706"/>
      <c r="CM48" s="706"/>
      <c r="CQ48" s="706"/>
      <c r="CY48" s="706"/>
      <c r="DG48" s="818" t="s">
        <v>26</v>
      </c>
      <c r="DP48" s="1585" t="str">
        <f>DG48</f>
        <v>5. Supplemental Pension Plan Expense (% of Sales)</v>
      </c>
      <c r="DQ48" s="1585"/>
      <c r="DR48" s="1585"/>
      <c r="DS48" s="1585"/>
      <c r="DT48" s="1585"/>
      <c r="DU48" s="1585"/>
      <c r="DV48" s="1585"/>
      <c r="DW48" s="1585"/>
      <c r="EW48" s="805"/>
      <c r="EX48" s="805"/>
    </row>
    <row r="49" spans="1:154" outlineLevel="1">
      <c r="C49" s="706"/>
      <c r="D49" s="687"/>
      <c r="E49" s="687"/>
      <c r="G49" s="706"/>
      <c r="H49" s="687"/>
      <c r="I49" s="687"/>
      <c r="K49" s="706"/>
      <c r="L49" s="687"/>
      <c r="M49" s="687"/>
      <c r="O49" s="706"/>
      <c r="P49" s="687"/>
      <c r="Q49" s="687"/>
      <c r="S49" s="706"/>
      <c r="T49" s="687"/>
      <c r="U49" s="687"/>
      <c r="W49" s="706"/>
      <c r="X49" s="687"/>
      <c r="Y49" s="687"/>
      <c r="AA49" s="706"/>
      <c r="AB49" s="687"/>
      <c r="AC49" s="687"/>
      <c r="AE49" s="706"/>
      <c r="AF49" s="687"/>
      <c r="AG49" s="687"/>
      <c r="AI49" s="706"/>
      <c r="AJ49" s="687"/>
      <c r="AK49" s="687"/>
      <c r="AM49" s="706"/>
      <c r="AN49" s="687"/>
      <c r="AO49" s="687"/>
      <c r="AQ49" s="706"/>
      <c r="AR49" s="687"/>
      <c r="AS49" s="687"/>
      <c r="AU49" s="706"/>
      <c r="AV49" s="687"/>
      <c r="AW49" s="687"/>
      <c r="AY49" s="706"/>
      <c r="AZ49" s="687"/>
      <c r="BA49" s="687"/>
      <c r="BC49" s="706"/>
      <c r="BD49" s="687"/>
      <c r="BE49" s="687"/>
      <c r="BG49" s="706"/>
      <c r="BH49" s="687"/>
      <c r="BI49" s="687"/>
      <c r="BK49" s="706"/>
      <c r="BL49" s="687"/>
      <c r="BM49" s="687"/>
      <c r="BO49" s="706"/>
      <c r="BP49" s="687"/>
      <c r="BQ49" s="687"/>
      <c r="BS49" s="706"/>
      <c r="BT49" s="687"/>
      <c r="BU49" s="687"/>
      <c r="BW49" s="706"/>
      <c r="BY49" s="687"/>
      <c r="CA49" s="706"/>
      <c r="CE49" s="706"/>
      <c r="CI49" s="706"/>
      <c r="CM49" s="706"/>
      <c r="CQ49" s="706"/>
      <c r="CU49" s="706"/>
      <c r="CY49" s="706"/>
      <c r="EW49" s="805"/>
      <c r="EX49" s="805"/>
    </row>
    <row r="50" spans="1:154" outlineLevel="1">
      <c r="A50" s="819" t="s">
        <v>140</v>
      </c>
      <c r="C50" s="877"/>
      <c r="D50" s="867" t="s">
        <v>147</v>
      </c>
      <c r="E50" s="868"/>
      <c r="F50" s="507"/>
      <c r="G50" s="877"/>
      <c r="H50" s="867" t="s">
        <v>147</v>
      </c>
      <c r="I50" s="868"/>
      <c r="J50" s="507"/>
      <c r="K50" s="877"/>
      <c r="L50" s="867" t="s">
        <v>147</v>
      </c>
      <c r="M50" s="868"/>
      <c r="N50" s="507"/>
      <c r="O50" s="877"/>
      <c r="P50" s="867" t="s">
        <v>147</v>
      </c>
      <c r="Q50" s="868"/>
      <c r="R50" s="507"/>
      <c r="S50" s="877"/>
      <c r="T50" s="867" t="s">
        <v>147</v>
      </c>
      <c r="U50" s="868"/>
      <c r="V50" s="507"/>
      <c r="W50" s="877"/>
      <c r="X50" s="867" t="s">
        <v>147</v>
      </c>
      <c r="Y50" s="868"/>
      <c r="Z50" s="507"/>
      <c r="AA50" s="877"/>
      <c r="AB50" s="867" t="s">
        <v>147</v>
      </c>
      <c r="AC50" s="868"/>
      <c r="AD50" s="507"/>
      <c r="AE50" s="877"/>
      <c r="AF50" s="867" t="s">
        <v>147</v>
      </c>
      <c r="AG50" s="868"/>
      <c r="AH50" s="507"/>
      <c r="AI50" s="877"/>
      <c r="AJ50" s="867" t="s">
        <v>147</v>
      </c>
      <c r="AK50" s="868"/>
      <c r="AL50" s="507"/>
      <c r="AM50" s="877"/>
      <c r="AN50" s="867" t="s">
        <v>147</v>
      </c>
      <c r="AO50" s="868"/>
      <c r="AP50" s="507"/>
      <c r="AQ50" s="877"/>
      <c r="AR50" s="867" t="s">
        <v>147</v>
      </c>
      <c r="AS50" s="868"/>
      <c r="AT50" s="507"/>
      <c r="AU50" s="877"/>
      <c r="AV50" s="867" t="s">
        <v>147</v>
      </c>
      <c r="AW50" s="868"/>
      <c r="AX50" s="507"/>
      <c r="AY50" s="877"/>
      <c r="AZ50" s="867" t="s">
        <v>147</v>
      </c>
      <c r="BA50" s="868"/>
      <c r="BB50" s="507"/>
      <c r="BC50" s="877"/>
      <c r="BD50" s="867" t="s">
        <v>147</v>
      </c>
      <c r="BE50" s="868"/>
      <c r="BF50" s="507"/>
      <c r="BG50" s="877"/>
      <c r="BH50" s="867" t="s">
        <v>147</v>
      </c>
      <c r="BI50" s="868"/>
      <c r="BJ50" s="507"/>
      <c r="BK50" s="877"/>
      <c r="BL50" s="867" t="s">
        <v>147</v>
      </c>
      <c r="BM50" s="868"/>
      <c r="BN50" s="507"/>
      <c r="BO50" s="877"/>
      <c r="BP50" s="867" t="s">
        <v>147</v>
      </c>
      <c r="BQ50" s="868"/>
      <c r="BR50" s="507"/>
      <c r="BS50" s="877"/>
      <c r="BT50" s="869" t="s">
        <v>147</v>
      </c>
      <c r="BU50" s="870"/>
      <c r="BW50" s="695">
        <v>9.5</v>
      </c>
      <c r="BX50" s="878">
        <f>BW50/BW10*100</f>
        <v>0.2391742195367573</v>
      </c>
      <c r="BY50" s="870"/>
      <c r="CA50" s="695">
        <v>10.75</v>
      </c>
      <c r="CB50" s="878">
        <f>CA50/CA10*100</f>
        <v>0.26104905293831959</v>
      </c>
      <c r="CC50" s="822"/>
      <c r="CE50" s="695">
        <v>11</v>
      </c>
      <c r="CF50" s="878">
        <f>CE50/CE10*100</f>
        <v>0.26072529035316427</v>
      </c>
      <c r="CG50" s="822"/>
      <c r="CI50" s="695">
        <v>13</v>
      </c>
      <c r="CJ50" s="878">
        <f>CI50/CI10*100</f>
        <v>0.29891929179121635</v>
      </c>
      <c r="CK50" s="822"/>
      <c r="CM50" s="695">
        <v>11</v>
      </c>
      <c r="CN50" s="878">
        <f>CM50/CM10*100</f>
        <v>0.26653743639447541</v>
      </c>
      <c r="CO50" s="822"/>
      <c r="CQ50" s="695">
        <v>9</v>
      </c>
      <c r="CR50" s="878">
        <f>CQ50/CQ10*100</f>
        <v>0.23157468787226126</v>
      </c>
      <c r="CS50" s="879"/>
      <c r="CU50" s="1342">
        <v>9</v>
      </c>
      <c r="CV50" s="878">
        <f>CU50/CU10*100</f>
        <v>0.22906592008144566</v>
      </c>
      <c r="CW50" s="879"/>
      <c r="CY50" s="1342">
        <v>7</v>
      </c>
      <c r="CZ50" s="878">
        <f>CY50/CY10*100</f>
        <v>0.17752979964494039</v>
      </c>
      <c r="DA50" s="879"/>
      <c r="DC50" s="1342">
        <v>9</v>
      </c>
      <c r="DD50" s="878">
        <f t="shared" ref="DD50:DD56" si="116">DC50/DC10*100</f>
        <v>0.28553299492385786</v>
      </c>
      <c r="DE50" s="879"/>
      <c r="DG50" s="1342">
        <v>9</v>
      </c>
      <c r="DH50" s="878">
        <f>DG50/DG10*100</f>
        <v>0.34155597722960152</v>
      </c>
      <c r="DI50" s="879"/>
      <c r="DK50" s="1342">
        <v>6</v>
      </c>
      <c r="DL50" s="878">
        <f t="shared" ref="DL50:DL56" si="117">DK50/DK10*100</f>
        <v>0.21420921099607285</v>
      </c>
      <c r="DM50" s="879"/>
      <c r="DP50" s="1342">
        <v>4.75</v>
      </c>
      <c r="DQ50" s="878">
        <f t="shared" ref="DQ50:DQ56" si="118">DP50/DP10*100</f>
        <v>0.1662583129156458</v>
      </c>
      <c r="DR50" s="879"/>
      <c r="DU50" s="1342">
        <v>2</v>
      </c>
      <c r="DV50" s="878">
        <f t="shared" ref="DV50:DV56" si="119">DU50/DU10*100</f>
        <v>7.1149057274991101E-2</v>
      </c>
      <c r="DW50" s="879"/>
      <c r="DZ50" s="1342">
        <v>-1</v>
      </c>
      <c r="EA50" s="878">
        <f t="shared" ref="EA50:EA56" si="120">DZ50/DZ10*100</f>
        <v>-3.6954915003695493E-2</v>
      </c>
      <c r="EB50" s="879"/>
      <c r="EE50" s="1277">
        <v>11</v>
      </c>
      <c r="EF50" s="878">
        <f t="shared" ref="EF50:EF56" si="121">EE50/EE10*100</f>
        <v>0.41311388723643327</v>
      </c>
      <c r="EG50" s="879"/>
      <c r="EK50" s="879"/>
      <c r="EL50" s="879"/>
      <c r="EM50" s="879"/>
      <c r="EN50" s="879"/>
      <c r="EO50" s="879"/>
      <c r="EP50" s="879"/>
      <c r="EQ50" s="879"/>
      <c r="ER50" s="879"/>
      <c r="ES50" s="879"/>
      <c r="ET50" s="879"/>
      <c r="EU50" s="879"/>
      <c r="EV50" s="879"/>
      <c r="EW50" s="805"/>
      <c r="EX50" s="805"/>
    </row>
    <row r="51" spans="1:154" outlineLevel="1">
      <c r="A51" s="819" t="s">
        <v>141</v>
      </c>
      <c r="C51" s="877"/>
      <c r="D51" s="867" t="s">
        <v>147</v>
      </c>
      <c r="E51" s="868"/>
      <c r="F51" s="507"/>
      <c r="G51" s="877"/>
      <c r="H51" s="867" t="s">
        <v>147</v>
      </c>
      <c r="I51" s="868"/>
      <c r="J51" s="507"/>
      <c r="K51" s="877"/>
      <c r="L51" s="867" t="s">
        <v>147</v>
      </c>
      <c r="M51" s="868"/>
      <c r="N51" s="507"/>
      <c r="O51" s="877"/>
      <c r="P51" s="867" t="s">
        <v>147</v>
      </c>
      <c r="Q51" s="868"/>
      <c r="R51" s="507"/>
      <c r="S51" s="877"/>
      <c r="T51" s="867" t="s">
        <v>147</v>
      </c>
      <c r="U51" s="868"/>
      <c r="V51" s="507"/>
      <c r="W51" s="877"/>
      <c r="X51" s="867" t="s">
        <v>147</v>
      </c>
      <c r="Y51" s="868"/>
      <c r="Z51" s="507"/>
      <c r="AA51" s="877"/>
      <c r="AB51" s="867" t="s">
        <v>147</v>
      </c>
      <c r="AC51" s="868"/>
      <c r="AD51" s="507"/>
      <c r="AE51" s="877"/>
      <c r="AF51" s="867" t="s">
        <v>147</v>
      </c>
      <c r="AG51" s="868"/>
      <c r="AH51" s="507"/>
      <c r="AI51" s="877"/>
      <c r="AJ51" s="867" t="s">
        <v>147</v>
      </c>
      <c r="AK51" s="868"/>
      <c r="AL51" s="507"/>
      <c r="AM51" s="877"/>
      <c r="AN51" s="867" t="s">
        <v>147</v>
      </c>
      <c r="AO51" s="868"/>
      <c r="AP51" s="507"/>
      <c r="AQ51" s="877"/>
      <c r="AR51" s="867" t="s">
        <v>147</v>
      </c>
      <c r="AS51" s="868"/>
      <c r="AT51" s="507"/>
      <c r="AU51" s="877"/>
      <c r="AV51" s="867" t="s">
        <v>147</v>
      </c>
      <c r="AW51" s="868"/>
      <c r="AX51" s="507"/>
      <c r="AY51" s="877"/>
      <c r="AZ51" s="867" t="s">
        <v>147</v>
      </c>
      <c r="BA51" s="868"/>
      <c r="BB51" s="507"/>
      <c r="BC51" s="877"/>
      <c r="BD51" s="867" t="s">
        <v>147</v>
      </c>
      <c r="BE51" s="868"/>
      <c r="BF51" s="507"/>
      <c r="BG51" s="877"/>
      <c r="BH51" s="867" t="s">
        <v>147</v>
      </c>
      <c r="BI51" s="868"/>
      <c r="BJ51" s="507"/>
      <c r="BK51" s="877"/>
      <c r="BL51" s="867" t="s">
        <v>147</v>
      </c>
      <c r="BM51" s="868"/>
      <c r="BN51" s="507"/>
      <c r="BO51" s="877"/>
      <c r="BP51" s="867" t="s">
        <v>147</v>
      </c>
      <c r="BQ51" s="868"/>
      <c r="BR51" s="507"/>
      <c r="BS51" s="877"/>
      <c r="BT51" s="869" t="s">
        <v>147</v>
      </c>
      <c r="BU51" s="870"/>
      <c r="BW51" s="841">
        <v>9.5</v>
      </c>
      <c r="BX51" s="878">
        <f t="shared" ref="BX51:BX56" si="122">BW51/BW11*100</f>
        <v>0.25145579671784013</v>
      </c>
      <c r="BY51" s="870"/>
      <c r="CA51" s="841">
        <v>10.75</v>
      </c>
      <c r="CB51" s="878">
        <f t="shared" ref="CB51:CB56" si="123">CA51/CA11*100</f>
        <v>0.27003265511178098</v>
      </c>
      <c r="CC51" s="822"/>
      <c r="CE51" s="841">
        <v>10</v>
      </c>
      <c r="CF51" s="878">
        <f t="shared" ref="CF51:CF56" si="124">CE51/CE11*100</f>
        <v>0.23601114727850825</v>
      </c>
      <c r="CG51" s="822"/>
      <c r="CI51" s="841">
        <v>13</v>
      </c>
      <c r="CJ51" s="878">
        <f t="shared" ref="CJ51:CJ56" si="125">CI51/CI11*100</f>
        <v>0.296127562642369</v>
      </c>
      <c r="CK51" s="822"/>
      <c r="CM51" s="841">
        <v>11</v>
      </c>
      <c r="CN51" s="878">
        <f t="shared" ref="CN51:CN56" si="126">CM51/CM11*100</f>
        <v>0.25685952634845238</v>
      </c>
      <c r="CO51" s="822"/>
      <c r="CQ51" s="841">
        <v>10</v>
      </c>
      <c r="CR51" s="878">
        <f t="shared" ref="CR51:CR56" si="127">CQ51/CQ11*100</f>
        <v>0.2536364993539561</v>
      </c>
      <c r="CS51" s="879"/>
      <c r="CU51" s="1340">
        <v>8</v>
      </c>
      <c r="CV51" s="878">
        <f t="shared" ref="CV51:CV56" si="128">CU51/CU11*100</f>
        <v>0.20314880650076178</v>
      </c>
      <c r="CW51" s="879"/>
      <c r="CY51" s="1340">
        <v>7</v>
      </c>
      <c r="CZ51" s="878">
        <f t="shared" ref="CZ51:CZ56" si="129">CY51/CY11*100</f>
        <v>0.17921146953405018</v>
      </c>
      <c r="DA51" s="879"/>
      <c r="DC51" s="1340">
        <v>10</v>
      </c>
      <c r="DD51" s="878">
        <f t="shared" si="116"/>
        <v>0.33090668431502318</v>
      </c>
      <c r="DE51" s="879"/>
      <c r="DG51" s="1340">
        <v>9</v>
      </c>
      <c r="DH51" s="878">
        <f t="shared" ref="DH51:DH56" si="130">DG51/DG11*100</f>
        <v>0.33796470146451368</v>
      </c>
      <c r="DI51" s="879"/>
      <c r="DK51" s="1340">
        <v>6</v>
      </c>
      <c r="DL51" s="878">
        <f t="shared" si="117"/>
        <v>0.21436227224008575</v>
      </c>
      <c r="DM51" s="879"/>
      <c r="DP51" s="1340">
        <v>5</v>
      </c>
      <c r="DQ51" s="878">
        <f t="shared" si="118"/>
        <v>0.17391304347826086</v>
      </c>
      <c r="DR51" s="879"/>
      <c r="DU51" s="1340">
        <v>2</v>
      </c>
      <c r="DV51" s="878">
        <f t="shared" si="119"/>
        <v>6.8540095956134348E-2</v>
      </c>
      <c r="DW51" s="879"/>
      <c r="DZ51" s="1340">
        <v>-5</v>
      </c>
      <c r="EA51" s="878">
        <f t="shared" si="120"/>
        <v>-0.16880486158001348</v>
      </c>
      <c r="EB51" s="879"/>
      <c r="EE51" s="1542">
        <v>11</v>
      </c>
      <c r="EF51" s="878">
        <f t="shared" si="121"/>
        <v>0.37436562043954597</v>
      </c>
      <c r="EG51" s="879"/>
      <c r="EK51" s="879"/>
      <c r="EL51" s="879"/>
      <c r="EM51" s="879"/>
      <c r="EN51" s="879"/>
      <c r="EO51" s="879"/>
      <c r="EP51" s="879"/>
      <c r="EQ51" s="879"/>
      <c r="ER51" s="879"/>
      <c r="ES51" s="879"/>
      <c r="ET51" s="879"/>
      <c r="EU51" s="879"/>
      <c r="EV51" s="879"/>
      <c r="EW51" s="805"/>
      <c r="EX51" s="805"/>
    </row>
    <row r="52" spans="1:154" outlineLevel="1">
      <c r="A52" s="819" t="s">
        <v>142</v>
      </c>
      <c r="C52" s="877"/>
      <c r="D52" s="867" t="s">
        <v>147</v>
      </c>
      <c r="E52" s="868"/>
      <c r="F52" s="507"/>
      <c r="G52" s="877"/>
      <c r="H52" s="867" t="s">
        <v>147</v>
      </c>
      <c r="I52" s="868"/>
      <c r="J52" s="507"/>
      <c r="K52" s="877"/>
      <c r="L52" s="867" t="s">
        <v>147</v>
      </c>
      <c r="M52" s="868"/>
      <c r="N52" s="507"/>
      <c r="O52" s="877"/>
      <c r="P52" s="867" t="s">
        <v>147</v>
      </c>
      <c r="Q52" s="868"/>
      <c r="R52" s="507"/>
      <c r="S52" s="877"/>
      <c r="T52" s="867" t="s">
        <v>147</v>
      </c>
      <c r="U52" s="868"/>
      <c r="V52" s="507"/>
      <c r="W52" s="877"/>
      <c r="X52" s="867" t="s">
        <v>147</v>
      </c>
      <c r="Y52" s="868"/>
      <c r="Z52" s="507"/>
      <c r="AA52" s="877"/>
      <c r="AB52" s="867" t="s">
        <v>147</v>
      </c>
      <c r="AC52" s="868"/>
      <c r="AD52" s="507"/>
      <c r="AE52" s="877"/>
      <c r="AF52" s="867" t="s">
        <v>147</v>
      </c>
      <c r="AG52" s="868"/>
      <c r="AH52" s="507"/>
      <c r="AI52" s="877"/>
      <c r="AJ52" s="867" t="s">
        <v>147</v>
      </c>
      <c r="AK52" s="868"/>
      <c r="AL52" s="507"/>
      <c r="AM52" s="877"/>
      <c r="AN52" s="867" t="s">
        <v>147</v>
      </c>
      <c r="AO52" s="868"/>
      <c r="AP52" s="507"/>
      <c r="AQ52" s="877"/>
      <c r="AR52" s="867" t="s">
        <v>147</v>
      </c>
      <c r="AS52" s="868"/>
      <c r="AT52" s="507"/>
      <c r="AU52" s="877"/>
      <c r="AV52" s="867" t="s">
        <v>147</v>
      </c>
      <c r="AW52" s="868"/>
      <c r="AX52" s="507"/>
      <c r="AY52" s="877"/>
      <c r="AZ52" s="867" t="s">
        <v>147</v>
      </c>
      <c r="BA52" s="868"/>
      <c r="BB52" s="507"/>
      <c r="BC52" s="877"/>
      <c r="BD52" s="867" t="s">
        <v>147</v>
      </c>
      <c r="BE52" s="868"/>
      <c r="BF52" s="507"/>
      <c r="BG52" s="877"/>
      <c r="BH52" s="867" t="s">
        <v>147</v>
      </c>
      <c r="BI52" s="868"/>
      <c r="BJ52" s="507"/>
      <c r="BK52" s="877"/>
      <c r="BL52" s="867" t="s">
        <v>147</v>
      </c>
      <c r="BM52" s="868"/>
      <c r="BN52" s="507"/>
      <c r="BO52" s="877"/>
      <c r="BP52" s="867" t="s">
        <v>147</v>
      </c>
      <c r="BQ52" s="868"/>
      <c r="BR52" s="507"/>
      <c r="BS52" s="877"/>
      <c r="BT52" s="869" t="s">
        <v>147</v>
      </c>
      <c r="BU52" s="870"/>
      <c r="BW52" s="841">
        <v>9.5</v>
      </c>
      <c r="BX52" s="878">
        <f t="shared" si="122"/>
        <v>0.21635162833067637</v>
      </c>
      <c r="BY52" s="870"/>
      <c r="CA52" s="841">
        <v>10.75</v>
      </c>
      <c r="CB52" s="878">
        <f t="shared" si="123"/>
        <v>0.24000893056485822</v>
      </c>
      <c r="CC52" s="822"/>
      <c r="CE52" s="841">
        <v>11</v>
      </c>
      <c r="CF52" s="878">
        <f t="shared" si="124"/>
        <v>0.23007738966743357</v>
      </c>
      <c r="CG52" s="822"/>
      <c r="CI52" s="841">
        <v>12</v>
      </c>
      <c r="CJ52" s="878">
        <f t="shared" si="125"/>
        <v>0.25380710659898476</v>
      </c>
      <c r="CK52" s="822"/>
      <c r="CM52" s="841">
        <v>11</v>
      </c>
      <c r="CN52" s="878">
        <f t="shared" si="126"/>
        <v>0.25475852098819057</v>
      </c>
      <c r="CO52" s="822"/>
      <c r="CQ52" s="841">
        <v>10</v>
      </c>
      <c r="CR52" s="878">
        <f t="shared" si="127"/>
        <v>0.23921189110887314</v>
      </c>
      <c r="CS52" s="879"/>
      <c r="CU52" s="1340">
        <v>8</v>
      </c>
      <c r="CV52" s="878">
        <f t="shared" si="128"/>
        <v>0.190976366674624</v>
      </c>
      <c r="CW52" s="879"/>
      <c r="CY52" s="1340">
        <v>9</v>
      </c>
      <c r="CZ52" s="878">
        <f t="shared" si="129"/>
        <v>0.22579026593075763</v>
      </c>
      <c r="DA52" s="879"/>
      <c r="DC52" s="1340">
        <v>9</v>
      </c>
      <c r="DD52" s="878">
        <f t="shared" si="116"/>
        <v>0.30748206354629315</v>
      </c>
      <c r="DE52" s="879"/>
      <c r="DG52" s="1340">
        <v>9</v>
      </c>
      <c r="DH52" s="878">
        <f t="shared" si="130"/>
        <v>0.32385750269881253</v>
      </c>
      <c r="DI52" s="879"/>
      <c r="DK52" s="1340">
        <v>0</v>
      </c>
      <c r="DL52" s="878">
        <f t="shared" si="117"/>
        <v>0</v>
      </c>
      <c r="DM52" s="879"/>
      <c r="DP52" s="1340">
        <v>5</v>
      </c>
      <c r="DQ52" s="878">
        <f t="shared" si="118"/>
        <v>0.17259233690024164</v>
      </c>
      <c r="DR52" s="879"/>
      <c r="DU52" s="1340">
        <v>1</v>
      </c>
      <c r="DV52" s="878">
        <f t="shared" si="119"/>
        <v>3.5001750087504377E-2</v>
      </c>
      <c r="DW52" s="879"/>
      <c r="DZ52" s="1340">
        <v>8</v>
      </c>
      <c r="EA52" s="878">
        <f t="shared" si="120"/>
        <v>0.28500178126113285</v>
      </c>
      <c r="EB52" s="879"/>
      <c r="EE52" s="1542">
        <v>11</v>
      </c>
      <c r="EF52" s="878">
        <f t="shared" si="121"/>
        <v>0.40316610003503878</v>
      </c>
      <c r="EG52" s="879"/>
      <c r="EK52" s="879"/>
      <c r="EL52" s="879"/>
      <c r="EM52" s="879"/>
      <c r="EN52" s="879"/>
      <c r="EO52" s="879"/>
      <c r="EP52" s="879"/>
      <c r="EQ52" s="879"/>
      <c r="ER52" s="879"/>
      <c r="ES52" s="879"/>
      <c r="ET52" s="879"/>
      <c r="EU52" s="879"/>
      <c r="EV52" s="879"/>
      <c r="EW52" s="805"/>
      <c r="EX52" s="805"/>
    </row>
    <row r="53" spans="1:154" outlineLevel="1">
      <c r="A53" s="819" t="s">
        <v>143</v>
      </c>
      <c r="C53" s="877"/>
      <c r="D53" s="867" t="s">
        <v>147</v>
      </c>
      <c r="E53" s="868"/>
      <c r="F53" s="507"/>
      <c r="G53" s="877"/>
      <c r="H53" s="867" t="s">
        <v>147</v>
      </c>
      <c r="I53" s="868"/>
      <c r="J53" s="507"/>
      <c r="K53" s="877"/>
      <c r="L53" s="867" t="s">
        <v>147</v>
      </c>
      <c r="M53" s="868"/>
      <c r="N53" s="507"/>
      <c r="O53" s="877"/>
      <c r="P53" s="867" t="s">
        <v>147</v>
      </c>
      <c r="Q53" s="868"/>
      <c r="R53" s="507"/>
      <c r="S53" s="877"/>
      <c r="T53" s="867" t="s">
        <v>147</v>
      </c>
      <c r="U53" s="868"/>
      <c r="V53" s="507"/>
      <c r="W53" s="877"/>
      <c r="X53" s="867" t="s">
        <v>147</v>
      </c>
      <c r="Y53" s="868"/>
      <c r="Z53" s="507"/>
      <c r="AA53" s="877"/>
      <c r="AB53" s="867" t="s">
        <v>147</v>
      </c>
      <c r="AC53" s="868"/>
      <c r="AD53" s="507"/>
      <c r="AE53" s="877"/>
      <c r="AF53" s="867" t="s">
        <v>147</v>
      </c>
      <c r="AG53" s="868"/>
      <c r="AH53" s="507"/>
      <c r="AI53" s="877"/>
      <c r="AJ53" s="867" t="s">
        <v>147</v>
      </c>
      <c r="AK53" s="868"/>
      <c r="AL53" s="507"/>
      <c r="AM53" s="877"/>
      <c r="AN53" s="867" t="s">
        <v>147</v>
      </c>
      <c r="AO53" s="868"/>
      <c r="AP53" s="507"/>
      <c r="AQ53" s="877"/>
      <c r="AR53" s="867" t="s">
        <v>147</v>
      </c>
      <c r="AS53" s="868"/>
      <c r="AT53" s="507"/>
      <c r="AU53" s="877"/>
      <c r="AV53" s="867" t="s">
        <v>147</v>
      </c>
      <c r="AW53" s="868"/>
      <c r="AX53" s="507"/>
      <c r="AY53" s="877"/>
      <c r="AZ53" s="867" t="s">
        <v>147</v>
      </c>
      <c r="BA53" s="868"/>
      <c r="BB53" s="507"/>
      <c r="BC53" s="877"/>
      <c r="BD53" s="867" t="s">
        <v>147</v>
      </c>
      <c r="BE53" s="868"/>
      <c r="BF53" s="507"/>
      <c r="BG53" s="877"/>
      <c r="BH53" s="867" t="s">
        <v>147</v>
      </c>
      <c r="BI53" s="868"/>
      <c r="BJ53" s="507"/>
      <c r="BK53" s="877"/>
      <c r="BL53" s="867" t="s">
        <v>147</v>
      </c>
      <c r="BM53" s="868"/>
      <c r="BN53" s="507"/>
      <c r="BO53" s="877"/>
      <c r="BP53" s="867" t="s">
        <v>147</v>
      </c>
      <c r="BQ53" s="868"/>
      <c r="BR53" s="507"/>
      <c r="BS53" s="877"/>
      <c r="BT53" s="869" t="s">
        <v>147</v>
      </c>
      <c r="BU53" s="870"/>
      <c r="BW53" s="845">
        <v>9.5</v>
      </c>
      <c r="BX53" s="878">
        <f t="shared" si="122"/>
        <v>0.15952980688497062</v>
      </c>
      <c r="BY53" s="870"/>
      <c r="CA53" s="845">
        <v>10.75</v>
      </c>
      <c r="CB53" s="878">
        <f t="shared" si="123"/>
        <v>0.17330089355552819</v>
      </c>
      <c r="CC53" s="822"/>
      <c r="CE53" s="845">
        <v>10</v>
      </c>
      <c r="CF53" s="878">
        <f t="shared" si="124"/>
        <v>0.14997000599880025</v>
      </c>
      <c r="CG53" s="822"/>
      <c r="CI53" s="845">
        <v>14</v>
      </c>
      <c r="CJ53" s="878">
        <f t="shared" si="125"/>
        <v>0.2190923317683881</v>
      </c>
      <c r="CK53" s="822"/>
      <c r="CM53" s="845">
        <v>10</v>
      </c>
      <c r="CN53" s="878">
        <f t="shared" si="126"/>
        <v>0.17363457265040336</v>
      </c>
      <c r="CO53" s="822"/>
      <c r="CQ53" s="845">
        <v>10</v>
      </c>
      <c r="CR53" s="878">
        <f t="shared" si="127"/>
        <v>0.18018018018018017</v>
      </c>
      <c r="CS53" s="879"/>
      <c r="CU53" s="1341">
        <v>9</v>
      </c>
      <c r="CV53" s="878">
        <f t="shared" si="128"/>
        <v>0.15781167806417673</v>
      </c>
      <c r="CW53" s="879"/>
      <c r="CY53" s="1341">
        <v>11</v>
      </c>
      <c r="CZ53" s="878">
        <f t="shared" si="129"/>
        <v>0.20276497695852536</v>
      </c>
      <c r="DA53" s="879"/>
      <c r="DC53" s="1341">
        <v>10</v>
      </c>
      <c r="DD53" s="878">
        <f t="shared" si="116"/>
        <v>0.25746652935118436</v>
      </c>
      <c r="DE53" s="879"/>
      <c r="DG53" s="1341">
        <v>10</v>
      </c>
      <c r="DH53" s="878">
        <f t="shared" si="130"/>
        <v>0.26441036488630354</v>
      </c>
      <c r="DI53" s="879"/>
      <c r="DK53" s="1341">
        <v>8</v>
      </c>
      <c r="DL53" s="878">
        <f t="shared" si="117"/>
        <v>0.20549704597996404</v>
      </c>
      <c r="DM53" s="879"/>
      <c r="DP53" s="1341">
        <f>DP52</f>
        <v>5</v>
      </c>
      <c r="DQ53" s="878">
        <f t="shared" si="118"/>
        <v>0.12512512512512514</v>
      </c>
      <c r="DR53" s="879"/>
      <c r="DU53" s="1341">
        <v>13</v>
      </c>
      <c r="DV53" s="878">
        <f t="shared" si="119"/>
        <v>0.3281999495077001</v>
      </c>
      <c r="DW53" s="879"/>
      <c r="DZ53" s="1341">
        <v>17</v>
      </c>
      <c r="EA53" s="878">
        <f t="shared" si="120"/>
        <v>0.42173158025303897</v>
      </c>
      <c r="EB53" s="879"/>
      <c r="EE53" s="1545">
        <v>11</v>
      </c>
      <c r="EF53" s="878">
        <f t="shared" si="121"/>
        <v>0.29533023827243621</v>
      </c>
      <c r="EG53" s="879"/>
      <c r="EK53" s="879"/>
      <c r="EL53" s="879"/>
      <c r="EM53" s="879"/>
      <c r="EN53" s="879"/>
      <c r="EO53" s="879"/>
      <c r="EP53" s="879"/>
      <c r="EQ53" s="879"/>
      <c r="ER53" s="879"/>
      <c r="ES53" s="879"/>
      <c r="ET53" s="879"/>
      <c r="EU53" s="879"/>
      <c r="EV53" s="879"/>
      <c r="EW53" s="805"/>
      <c r="EX53" s="805"/>
    </row>
    <row r="54" spans="1:154" outlineLevel="1">
      <c r="A54" s="819" t="s">
        <v>144</v>
      </c>
      <c r="C54" s="435"/>
      <c r="D54" s="867" t="s">
        <v>147</v>
      </c>
      <c r="E54" s="868"/>
      <c r="F54" s="507"/>
      <c r="G54" s="435"/>
      <c r="H54" s="867" t="s">
        <v>147</v>
      </c>
      <c r="I54" s="868"/>
      <c r="J54" s="507"/>
      <c r="K54" s="435"/>
      <c r="L54" s="867" t="s">
        <v>147</v>
      </c>
      <c r="M54" s="868"/>
      <c r="N54" s="507"/>
      <c r="O54" s="435"/>
      <c r="P54" s="867" t="s">
        <v>147</v>
      </c>
      <c r="Q54" s="868"/>
      <c r="R54" s="507"/>
      <c r="S54" s="435"/>
      <c r="T54" s="867" t="s">
        <v>147</v>
      </c>
      <c r="U54" s="868"/>
      <c r="V54" s="507"/>
      <c r="W54" s="435"/>
      <c r="X54" s="867" t="s">
        <v>147</v>
      </c>
      <c r="Y54" s="868"/>
      <c r="Z54" s="507"/>
      <c r="AA54" s="435"/>
      <c r="AB54" s="867" t="s">
        <v>147</v>
      </c>
      <c r="AC54" s="868"/>
      <c r="AD54" s="507"/>
      <c r="AE54" s="435"/>
      <c r="AF54" s="867" t="s">
        <v>147</v>
      </c>
      <c r="AG54" s="868"/>
      <c r="AH54" s="507"/>
      <c r="AI54" s="435"/>
      <c r="AJ54" s="867" t="s">
        <v>147</v>
      </c>
      <c r="AK54" s="868"/>
      <c r="AL54" s="507"/>
      <c r="AM54" s="435"/>
      <c r="AN54" s="867" t="s">
        <v>147</v>
      </c>
      <c r="AO54" s="868"/>
      <c r="AP54" s="507"/>
      <c r="AQ54" s="435"/>
      <c r="AR54" s="867" t="s">
        <v>147</v>
      </c>
      <c r="AS54" s="868"/>
      <c r="AT54" s="507"/>
      <c r="AU54" s="435"/>
      <c r="AV54" s="867" t="s">
        <v>147</v>
      </c>
      <c r="AW54" s="868"/>
      <c r="AX54" s="507"/>
      <c r="AY54" s="435"/>
      <c r="AZ54" s="867" t="s">
        <v>147</v>
      </c>
      <c r="BA54" s="868"/>
      <c r="BB54" s="507"/>
      <c r="BC54" s="435"/>
      <c r="BD54" s="867" t="s">
        <v>147</v>
      </c>
      <c r="BE54" s="868"/>
      <c r="BF54" s="507"/>
      <c r="BG54" s="435"/>
      <c r="BH54" s="867" t="s">
        <v>147</v>
      </c>
      <c r="BI54" s="868"/>
      <c r="BJ54" s="507"/>
      <c r="BK54" s="435"/>
      <c r="BL54" s="867" t="s">
        <v>147</v>
      </c>
      <c r="BM54" s="868"/>
      <c r="BN54" s="507"/>
      <c r="BO54" s="435"/>
      <c r="BP54" s="867" t="s">
        <v>147</v>
      </c>
      <c r="BQ54" s="868"/>
      <c r="BR54" s="507"/>
      <c r="BS54" s="435"/>
      <c r="BT54" s="867" t="s">
        <v>147</v>
      </c>
      <c r="BU54" s="870"/>
      <c r="BW54" s="846">
        <f>SUM(BW50:BW53)</f>
        <v>38</v>
      </c>
      <c r="BX54" s="878">
        <f t="shared" si="122"/>
        <v>0.20999115826702031</v>
      </c>
      <c r="BY54" s="870"/>
      <c r="CA54" s="846">
        <f>SUM(CA50:CA53)</f>
        <v>43</v>
      </c>
      <c r="CB54" s="878">
        <f t="shared" si="123"/>
        <v>0.22895377071951761</v>
      </c>
      <c r="CC54" s="870"/>
      <c r="CE54" s="846">
        <f>SUM(CE50:CE53)</f>
        <v>42</v>
      </c>
      <c r="CF54" s="878">
        <f t="shared" si="124"/>
        <v>0.21100132790169024</v>
      </c>
      <c r="CG54" s="870"/>
      <c r="CI54" s="846">
        <f>SUM(CI50:CI53)</f>
        <v>52</v>
      </c>
      <c r="CJ54" s="878">
        <f t="shared" si="125"/>
        <v>0.26187238757113362</v>
      </c>
      <c r="CK54" s="870"/>
      <c r="CM54" s="846">
        <f>SUM(CM50:CM53)</f>
        <v>43</v>
      </c>
      <c r="CN54" s="878">
        <f t="shared" si="126"/>
        <v>0.2326017604952712</v>
      </c>
      <c r="CO54" s="870"/>
      <c r="CQ54" s="846">
        <f>SUM(CQ50:CQ53)</f>
        <v>39</v>
      </c>
      <c r="CR54" s="878">
        <f t="shared" si="127"/>
        <v>0.22210225496492575</v>
      </c>
      <c r="CS54" s="870"/>
      <c r="CU54" s="846">
        <f>SUM(CU50:CU53)</f>
        <v>34</v>
      </c>
      <c r="CV54" s="878">
        <f t="shared" si="128"/>
        <v>0.19145222140886312</v>
      </c>
      <c r="CW54" s="870"/>
      <c r="CY54" s="846">
        <f>SUM(CY50:CY53)</f>
        <v>34</v>
      </c>
      <c r="CZ54" s="878">
        <f t="shared" si="129"/>
        <v>0.19698725376593279</v>
      </c>
      <c r="DA54" s="870"/>
      <c r="DC54" s="846">
        <f>SUM(DC50:DC53)</f>
        <v>38</v>
      </c>
      <c r="DD54" s="878">
        <f t="shared" si="116"/>
        <v>0.29264536003080477</v>
      </c>
      <c r="DE54" s="870"/>
      <c r="DG54" s="846">
        <f>SUM(DG50:DG53)</f>
        <v>37</v>
      </c>
      <c r="DH54" s="878">
        <f t="shared" si="130"/>
        <v>0.31199932540686398</v>
      </c>
      <c r="DI54" s="870"/>
      <c r="DK54" s="846">
        <f>SUM(DK50:DK53)</f>
        <v>20</v>
      </c>
      <c r="DL54" s="878">
        <f t="shared" si="117"/>
        <v>0.16317206494248185</v>
      </c>
      <c r="DM54" s="870"/>
      <c r="DP54" s="846">
        <f>SUM(DP50:DP53)</f>
        <v>19.75</v>
      </c>
      <c r="DQ54" s="878">
        <f t="shared" si="118"/>
        <v>0.15643564356435644</v>
      </c>
      <c r="DR54" s="870"/>
      <c r="DU54" s="846">
        <f>SUM(DU50:DU53)</f>
        <v>18</v>
      </c>
      <c r="DV54" s="878">
        <f t="shared" si="119"/>
        <v>0.14346058818841156</v>
      </c>
      <c r="DW54" s="870"/>
      <c r="DZ54" s="846">
        <f>SUM(DZ50:DZ53)</f>
        <v>19</v>
      </c>
      <c r="EA54" s="878">
        <f t="shared" si="120"/>
        <v>0.15192707500399807</v>
      </c>
      <c r="EB54" s="870"/>
      <c r="EE54" s="846">
        <f>SUM(EE50:EE53)</f>
        <v>44</v>
      </c>
      <c r="EF54" s="878">
        <f t="shared" si="121"/>
        <v>0.36502236259728676</v>
      </c>
      <c r="EG54" s="870"/>
      <c r="EK54" s="870"/>
      <c r="EL54" s="870"/>
      <c r="EM54" s="870"/>
      <c r="EN54" s="870"/>
      <c r="EO54" s="870"/>
      <c r="EP54" s="870"/>
      <c r="EQ54" s="870"/>
      <c r="ER54" s="870"/>
      <c r="ES54" s="870"/>
      <c r="ET54" s="870"/>
      <c r="EU54" s="870"/>
      <c r="EV54" s="870"/>
      <c r="EW54" s="805"/>
      <c r="EX54" s="805"/>
    </row>
    <row r="55" spans="1:154" hidden="1" outlineLevel="2">
      <c r="A55" s="819" t="s">
        <v>145</v>
      </c>
      <c r="C55" s="435"/>
      <c r="D55" s="867" t="s">
        <v>147</v>
      </c>
      <c r="E55" s="868"/>
      <c r="F55" s="507"/>
      <c r="G55" s="435"/>
      <c r="H55" s="867" t="s">
        <v>147</v>
      </c>
      <c r="I55" s="868"/>
      <c r="J55" s="507"/>
      <c r="K55" s="435"/>
      <c r="L55" s="867" t="s">
        <v>147</v>
      </c>
      <c r="M55" s="868"/>
      <c r="N55" s="507"/>
      <c r="O55" s="435"/>
      <c r="P55" s="867" t="s">
        <v>147</v>
      </c>
      <c r="Q55" s="868"/>
      <c r="R55" s="507"/>
      <c r="S55" s="435"/>
      <c r="T55" s="867" t="s">
        <v>147</v>
      </c>
      <c r="U55" s="868"/>
      <c r="V55" s="507"/>
      <c r="W55" s="435"/>
      <c r="X55" s="867" t="s">
        <v>147</v>
      </c>
      <c r="Y55" s="868"/>
      <c r="Z55" s="507"/>
      <c r="AA55" s="435"/>
      <c r="AB55" s="867" t="s">
        <v>147</v>
      </c>
      <c r="AC55" s="868"/>
      <c r="AD55" s="507"/>
      <c r="AE55" s="435"/>
      <c r="AF55" s="867" t="s">
        <v>147</v>
      </c>
      <c r="AG55" s="868"/>
      <c r="AH55" s="507"/>
      <c r="AI55" s="435"/>
      <c r="AJ55" s="867" t="s">
        <v>147</v>
      </c>
      <c r="AK55" s="868"/>
      <c r="AL55" s="507"/>
      <c r="AM55" s="435"/>
      <c r="AN55" s="867" t="s">
        <v>147</v>
      </c>
      <c r="AO55" s="868"/>
      <c r="AP55" s="507"/>
      <c r="AQ55" s="435"/>
      <c r="AR55" s="867" t="s">
        <v>147</v>
      </c>
      <c r="AS55" s="868"/>
      <c r="AT55" s="507"/>
      <c r="AU55" s="435"/>
      <c r="AV55" s="867" t="s">
        <v>147</v>
      </c>
      <c r="AW55" s="868"/>
      <c r="AX55" s="507"/>
      <c r="AY55" s="435"/>
      <c r="AZ55" s="867" t="s">
        <v>147</v>
      </c>
      <c r="BA55" s="868"/>
      <c r="BB55" s="507"/>
      <c r="BC55" s="435"/>
      <c r="BD55" s="867" t="s">
        <v>147</v>
      </c>
      <c r="BE55" s="868"/>
      <c r="BF55" s="507"/>
      <c r="BG55" s="435"/>
      <c r="BH55" s="867" t="s">
        <v>147</v>
      </c>
      <c r="BI55" s="868"/>
      <c r="BJ55" s="507"/>
      <c r="BK55" s="435"/>
      <c r="BL55" s="867" t="s">
        <v>147</v>
      </c>
      <c r="BM55" s="868"/>
      <c r="BN55" s="507"/>
      <c r="BO55" s="435"/>
      <c r="BP55" s="867" t="s">
        <v>147</v>
      </c>
      <c r="BQ55" s="868"/>
      <c r="BR55" s="507"/>
      <c r="BS55" s="435"/>
      <c r="BT55" s="867" t="s">
        <v>147</v>
      </c>
      <c r="BU55" s="870"/>
      <c r="BW55" s="706">
        <f>BW50+BW51</f>
        <v>19</v>
      </c>
      <c r="BX55" s="878">
        <f t="shared" si="122"/>
        <v>0.24516129032258063</v>
      </c>
      <c r="BY55" s="870"/>
      <c r="CA55" s="706">
        <f>CA50+CA51</f>
        <v>21.5</v>
      </c>
      <c r="CB55" s="878">
        <f t="shared" si="123"/>
        <v>0.26546487220644521</v>
      </c>
      <c r="CC55" s="870"/>
      <c r="CE55" s="706">
        <f>CE50+CE51</f>
        <v>21</v>
      </c>
      <c r="CF55" s="878">
        <f t="shared" si="124"/>
        <v>0.24834178641471091</v>
      </c>
      <c r="CG55" s="870"/>
      <c r="CI55" s="706">
        <f>CI50+CI51</f>
        <v>26</v>
      </c>
      <c r="CJ55" s="878">
        <f t="shared" si="125"/>
        <v>0.29751687836136859</v>
      </c>
      <c r="CK55" s="870"/>
      <c r="CM55" s="706">
        <f>CM50+CM51</f>
        <v>22</v>
      </c>
      <c r="CN55" s="878">
        <f t="shared" si="126"/>
        <v>0.26160900631760797</v>
      </c>
      <c r="CO55" s="870"/>
      <c r="CQ55" s="706">
        <f>CQ50+CQ51</f>
        <v>19</v>
      </c>
      <c r="CR55" s="878">
        <f t="shared" si="127"/>
        <v>0.24268479871001722</v>
      </c>
      <c r="CS55" s="870"/>
      <c r="CU55" s="706">
        <f>CU50+CU51</f>
        <v>17</v>
      </c>
      <c r="CV55" s="878">
        <f t="shared" si="128"/>
        <v>0.21609253845176049</v>
      </c>
      <c r="CW55" s="870"/>
      <c r="CY55" s="706">
        <f>CY50+CY51</f>
        <v>14</v>
      </c>
      <c r="CZ55" s="878">
        <f t="shared" si="129"/>
        <v>0.17836667091349218</v>
      </c>
      <c r="DA55" s="870"/>
      <c r="DC55" s="706">
        <f>DC50+DC51</f>
        <v>19</v>
      </c>
      <c r="DD55" s="878">
        <f t="shared" si="116"/>
        <v>0.30774214447683834</v>
      </c>
      <c r="DE55" s="870"/>
      <c r="DG55" s="706">
        <f>DG50+DG51</f>
        <v>18</v>
      </c>
      <c r="DH55" s="878">
        <f t="shared" si="130"/>
        <v>0.33975084937712347</v>
      </c>
      <c r="DI55" s="870"/>
      <c r="DK55" s="706">
        <f>DK50+DK51</f>
        <v>12</v>
      </c>
      <c r="DL55" s="878">
        <f t="shared" si="117"/>
        <v>0.2142857142857143</v>
      </c>
      <c r="DM55" s="870"/>
      <c r="DP55" s="706">
        <f>DP50+DP51</f>
        <v>9.75</v>
      </c>
      <c r="DQ55" s="878">
        <f t="shared" si="118"/>
        <v>0.17009769713886952</v>
      </c>
      <c r="DR55" s="870"/>
      <c r="DU55" s="706">
        <f>DU50+DU51</f>
        <v>4</v>
      </c>
      <c r="DV55" s="878">
        <f t="shared" si="119"/>
        <v>6.9820212951649502E-2</v>
      </c>
      <c r="DW55" s="870"/>
      <c r="DZ55" s="706">
        <f>DZ50+DZ51</f>
        <v>-6</v>
      </c>
      <c r="EA55" s="878">
        <f t="shared" si="120"/>
        <v>-0.1058574453069866</v>
      </c>
      <c r="EB55" s="870"/>
      <c r="EE55" s="706">
        <f>EE50+EE51</f>
        <v>22</v>
      </c>
      <c r="EF55" s="878">
        <f t="shared" si="121"/>
        <v>0.39278644129770923</v>
      </c>
      <c r="EG55" s="870"/>
      <c r="EK55" s="870"/>
      <c r="EL55" s="870"/>
      <c r="EM55" s="870"/>
      <c r="EN55" s="870"/>
      <c r="EO55" s="870"/>
      <c r="EP55" s="870"/>
      <c r="EQ55" s="870"/>
      <c r="ER55" s="870"/>
      <c r="ES55" s="870"/>
      <c r="ET55" s="870"/>
      <c r="EU55" s="870"/>
      <c r="EV55" s="870"/>
      <c r="EW55" s="805"/>
      <c r="EX55" s="805"/>
    </row>
    <row r="56" spans="1:154" hidden="1" outlineLevel="2">
      <c r="A56" s="819" t="s">
        <v>146</v>
      </c>
      <c r="C56" s="435"/>
      <c r="D56" s="867" t="s">
        <v>147</v>
      </c>
      <c r="E56" s="868"/>
      <c r="F56" s="507"/>
      <c r="G56" s="435"/>
      <c r="H56" s="867" t="s">
        <v>147</v>
      </c>
      <c r="I56" s="868"/>
      <c r="J56" s="507"/>
      <c r="K56" s="435"/>
      <c r="L56" s="867" t="s">
        <v>147</v>
      </c>
      <c r="M56" s="868"/>
      <c r="N56" s="507"/>
      <c r="O56" s="435"/>
      <c r="P56" s="867" t="s">
        <v>147</v>
      </c>
      <c r="Q56" s="868"/>
      <c r="R56" s="507"/>
      <c r="S56" s="435"/>
      <c r="T56" s="867" t="s">
        <v>147</v>
      </c>
      <c r="U56" s="868"/>
      <c r="V56" s="507"/>
      <c r="W56" s="435"/>
      <c r="X56" s="867" t="s">
        <v>147</v>
      </c>
      <c r="Y56" s="868"/>
      <c r="Z56" s="507"/>
      <c r="AA56" s="435"/>
      <c r="AB56" s="867" t="s">
        <v>147</v>
      </c>
      <c r="AC56" s="868"/>
      <c r="AD56" s="507"/>
      <c r="AE56" s="435"/>
      <c r="AF56" s="867" t="s">
        <v>147</v>
      </c>
      <c r="AG56" s="868"/>
      <c r="AH56" s="507"/>
      <c r="AI56" s="435"/>
      <c r="AJ56" s="867" t="s">
        <v>147</v>
      </c>
      <c r="AK56" s="868"/>
      <c r="AL56" s="507"/>
      <c r="AM56" s="435"/>
      <c r="AN56" s="867" t="s">
        <v>147</v>
      </c>
      <c r="AO56" s="868"/>
      <c r="AP56" s="507"/>
      <c r="AQ56" s="435"/>
      <c r="AR56" s="867" t="s">
        <v>147</v>
      </c>
      <c r="AS56" s="868"/>
      <c r="AT56" s="507"/>
      <c r="AU56" s="435"/>
      <c r="AV56" s="867" t="s">
        <v>147</v>
      </c>
      <c r="AW56" s="868"/>
      <c r="AX56" s="507"/>
      <c r="AY56" s="435"/>
      <c r="AZ56" s="867" t="s">
        <v>147</v>
      </c>
      <c r="BA56" s="868"/>
      <c r="BB56" s="507"/>
      <c r="BC56" s="435"/>
      <c r="BD56" s="867" t="s">
        <v>147</v>
      </c>
      <c r="BE56" s="868"/>
      <c r="BF56" s="507"/>
      <c r="BG56" s="435"/>
      <c r="BH56" s="867" t="s">
        <v>147</v>
      </c>
      <c r="BI56" s="868"/>
      <c r="BJ56" s="507"/>
      <c r="BK56" s="435"/>
      <c r="BL56" s="867" t="s">
        <v>147</v>
      </c>
      <c r="BM56" s="868"/>
      <c r="BN56" s="507"/>
      <c r="BO56" s="435"/>
      <c r="BP56" s="867" t="s">
        <v>147</v>
      </c>
      <c r="BQ56" s="868"/>
      <c r="BR56" s="507"/>
      <c r="BS56" s="435"/>
      <c r="BT56" s="867" t="s">
        <v>147</v>
      </c>
      <c r="BU56" s="870"/>
      <c r="BW56" s="706">
        <f>BW50+BW51+BW52</f>
        <v>28.5</v>
      </c>
      <c r="BX56" s="878">
        <f t="shared" si="122"/>
        <v>0.23474178403755869</v>
      </c>
      <c r="BY56" s="870"/>
      <c r="CA56" s="706">
        <f>CA50+CA51+CA52</f>
        <v>32.25</v>
      </c>
      <c r="CB56" s="878">
        <f t="shared" si="123"/>
        <v>0.25640006360311657</v>
      </c>
      <c r="CC56" s="870"/>
      <c r="CE56" s="706">
        <f>CE50+CE51+CE52</f>
        <v>32</v>
      </c>
      <c r="CF56" s="878">
        <f t="shared" si="124"/>
        <v>0.24174501219603586</v>
      </c>
      <c r="CG56" s="870"/>
      <c r="CI56" s="706">
        <f>CI50+CI51+CI52</f>
        <v>38</v>
      </c>
      <c r="CJ56" s="878">
        <f t="shared" si="125"/>
        <v>0.28217123338531225</v>
      </c>
      <c r="CK56" s="870"/>
      <c r="CM56" s="706">
        <f>CM50+CM51+CM52</f>
        <v>33</v>
      </c>
      <c r="CN56" s="878">
        <f t="shared" si="126"/>
        <v>0.25928493924220947</v>
      </c>
      <c r="CO56" s="870"/>
      <c r="CQ56" s="706">
        <f>CQ50+CQ51+CQ52</f>
        <v>29</v>
      </c>
      <c r="CR56" s="878">
        <f t="shared" si="127"/>
        <v>0.24147591012136141</v>
      </c>
      <c r="CS56" s="870"/>
      <c r="CU56" s="706">
        <f>CU50+CU51+CU52</f>
        <v>25</v>
      </c>
      <c r="CV56" s="878">
        <f t="shared" si="128"/>
        <v>0.20736562707365627</v>
      </c>
      <c r="CW56" s="870"/>
      <c r="CY56" s="706">
        <f>CY50+CY51+CY52</f>
        <v>23</v>
      </c>
      <c r="CZ56" s="878">
        <f t="shared" si="129"/>
        <v>0.19433882551753273</v>
      </c>
      <c r="DA56" s="870"/>
      <c r="DC56" s="706">
        <f>DC50+DC51+DC52</f>
        <v>28</v>
      </c>
      <c r="DD56" s="878">
        <f t="shared" si="116"/>
        <v>0.30765849906603671</v>
      </c>
      <c r="DE56" s="870"/>
      <c r="DG56" s="706">
        <f>DG50+DG51+DG52</f>
        <v>27</v>
      </c>
      <c r="DH56" s="878">
        <f t="shared" si="130"/>
        <v>0.33428253064256536</v>
      </c>
      <c r="DI56" s="870"/>
      <c r="DK56" s="706">
        <f>DK50+DK51+DK52</f>
        <v>12</v>
      </c>
      <c r="DL56" s="878">
        <f t="shared" si="117"/>
        <v>0.14347202295552369</v>
      </c>
      <c r="DM56" s="870"/>
      <c r="DP56" s="706">
        <f>DP50+DP51+DP52</f>
        <v>14.75</v>
      </c>
      <c r="DQ56" s="878">
        <f t="shared" si="118"/>
        <v>0.17093521844941478</v>
      </c>
      <c r="DR56" s="870"/>
      <c r="DU56" s="706">
        <f>DU50+DU51+DU52</f>
        <v>5</v>
      </c>
      <c r="DV56" s="878">
        <f t="shared" si="119"/>
        <v>5.823433496389472E-2</v>
      </c>
      <c r="DW56" s="870"/>
      <c r="DZ56" s="706">
        <f>DZ50+DZ51+DZ52</f>
        <v>2</v>
      </c>
      <c r="EA56" s="878">
        <f t="shared" si="120"/>
        <v>2.359882005899705E-2</v>
      </c>
      <c r="EB56" s="870"/>
      <c r="EE56" s="706">
        <f>EE50+EE51+EE52</f>
        <v>33</v>
      </c>
      <c r="EF56" s="878">
        <f t="shared" si="121"/>
        <v>0.3961864294862591</v>
      </c>
      <c r="EG56" s="870"/>
      <c r="EK56" s="870"/>
      <c r="EL56" s="870"/>
      <c r="EM56" s="870"/>
      <c r="EN56" s="870"/>
      <c r="EO56" s="870"/>
      <c r="EP56" s="870"/>
      <c r="EQ56" s="870"/>
      <c r="ER56" s="870"/>
      <c r="ES56" s="870"/>
      <c r="ET56" s="870"/>
      <c r="EU56" s="870"/>
      <c r="EV56" s="870"/>
      <c r="EW56" s="805"/>
      <c r="EX56" s="805"/>
    </row>
    <row r="57" spans="1:154" outlineLevel="1" collapsed="1">
      <c r="C57" s="706"/>
      <c r="D57" s="687"/>
      <c r="E57" s="687"/>
      <c r="G57" s="706"/>
      <c r="H57" s="687"/>
      <c r="I57" s="687"/>
      <c r="K57" s="706"/>
      <c r="L57" s="687"/>
      <c r="M57" s="687"/>
      <c r="O57" s="706"/>
      <c r="P57" s="687"/>
      <c r="Q57" s="687"/>
      <c r="S57" s="706"/>
      <c r="T57" s="687"/>
      <c r="U57" s="687"/>
      <c r="W57" s="706"/>
      <c r="X57" s="687"/>
      <c r="Y57" s="687"/>
      <c r="AA57" s="706"/>
      <c r="AB57" s="687"/>
      <c r="AC57" s="687"/>
      <c r="AE57" s="706"/>
      <c r="AF57" s="687"/>
      <c r="AG57" s="687"/>
      <c r="AI57" s="706"/>
      <c r="AJ57" s="687"/>
      <c r="AK57" s="687"/>
      <c r="AM57" s="706"/>
      <c r="AN57" s="687"/>
      <c r="AO57" s="687"/>
      <c r="AQ57" s="706"/>
      <c r="AR57" s="687"/>
      <c r="AS57" s="687"/>
      <c r="AU57" s="706"/>
      <c r="AV57" s="687"/>
      <c r="AW57" s="687"/>
      <c r="AY57" s="706"/>
      <c r="AZ57" s="687"/>
      <c r="BA57" s="687"/>
      <c r="BC57" s="706"/>
      <c r="BD57" s="687"/>
      <c r="BE57" s="687"/>
      <c r="BG57" s="706"/>
      <c r="BH57" s="687"/>
      <c r="BI57" s="687"/>
      <c r="BK57" s="706"/>
      <c r="BL57" s="687"/>
      <c r="BM57" s="687"/>
      <c r="BO57" s="706"/>
      <c r="BP57" s="687"/>
      <c r="BQ57" s="687"/>
      <c r="BS57" s="706"/>
      <c r="BT57" s="687"/>
      <c r="BU57" s="687"/>
      <c r="BW57" s="706"/>
      <c r="BY57" s="687"/>
      <c r="CA57" s="706"/>
      <c r="CE57" s="706"/>
      <c r="CI57" s="706"/>
      <c r="CM57" s="706"/>
      <c r="CQ57" s="706"/>
      <c r="CU57" s="706"/>
      <c r="CY57" s="706"/>
      <c r="EW57" s="805"/>
      <c r="EX57" s="805"/>
    </row>
    <row r="58" spans="1:154" outlineLevel="1">
      <c r="A58" s="816" t="s">
        <v>27</v>
      </c>
      <c r="C58" s="706"/>
      <c r="D58" s="687"/>
      <c r="E58" s="687"/>
      <c r="G58" s="706"/>
      <c r="H58" s="687"/>
      <c r="I58" s="687"/>
      <c r="K58" s="706"/>
      <c r="L58" s="687"/>
      <c r="M58" s="687"/>
      <c r="O58" s="706"/>
      <c r="P58" s="687"/>
      <c r="Q58" s="687"/>
      <c r="S58" s="706"/>
      <c r="T58" s="687"/>
      <c r="U58" s="687"/>
      <c r="W58" s="706"/>
      <c r="X58" s="687"/>
      <c r="Y58" s="687"/>
      <c r="AA58" s="706"/>
      <c r="AB58" s="687"/>
      <c r="AC58" s="687"/>
      <c r="AE58" s="706"/>
      <c r="AF58" s="687"/>
      <c r="AG58" s="687"/>
      <c r="AI58" s="706"/>
      <c r="AJ58" s="687"/>
      <c r="AK58" s="687"/>
      <c r="AM58" s="706"/>
      <c r="AN58" s="687"/>
      <c r="AO58" s="687"/>
      <c r="AQ58" s="706"/>
      <c r="AR58" s="687"/>
      <c r="AS58" s="687"/>
      <c r="AU58" s="706"/>
      <c r="AV58" s="687"/>
      <c r="AW58" s="687"/>
      <c r="AY58" s="706"/>
      <c r="AZ58" s="687"/>
      <c r="BA58" s="687"/>
      <c r="BC58" s="706"/>
      <c r="BD58" s="687"/>
      <c r="BE58" s="687"/>
      <c r="BG58" s="706"/>
      <c r="BH58" s="687"/>
      <c r="BI58" s="687"/>
      <c r="BK58" s="706"/>
      <c r="BL58" s="687"/>
      <c r="BM58" s="687"/>
      <c r="BO58" s="706"/>
      <c r="BP58" s="687"/>
      <c r="BQ58" s="687"/>
      <c r="BS58" s="706"/>
      <c r="BT58" s="687"/>
      <c r="BU58" s="687"/>
      <c r="BW58" s="706"/>
      <c r="BY58" s="687"/>
      <c r="CA58" s="706"/>
      <c r="CE58" s="706"/>
      <c r="CI58" s="706"/>
      <c r="CM58" s="706"/>
      <c r="CQ58" s="706"/>
      <c r="CY58" s="706"/>
      <c r="DG58" s="818" t="s">
        <v>27</v>
      </c>
      <c r="DP58" s="1585" t="str">
        <f>DG58</f>
        <v>6. Depreciation &amp; Amortization  (% of Sales)</v>
      </c>
      <c r="DQ58" s="1585"/>
      <c r="DR58" s="1585"/>
      <c r="DS58" s="1585"/>
      <c r="DT58" s="1585"/>
      <c r="DU58" s="1585"/>
      <c r="DV58" s="1585"/>
      <c r="DW58" s="1585"/>
      <c r="EW58" s="805"/>
      <c r="EX58" s="805"/>
    </row>
    <row r="59" spans="1:154" outlineLevel="1">
      <c r="C59" s="706"/>
      <c r="D59" s="687"/>
      <c r="E59" s="687"/>
      <c r="G59" s="706"/>
      <c r="H59" s="687"/>
      <c r="I59" s="687"/>
      <c r="K59" s="706"/>
      <c r="L59" s="687"/>
      <c r="M59" s="687"/>
      <c r="O59" s="706"/>
      <c r="P59" s="687"/>
      <c r="Q59" s="687"/>
      <c r="S59" s="706"/>
      <c r="T59" s="687"/>
      <c r="U59" s="687"/>
      <c r="W59" s="706"/>
      <c r="X59" s="687"/>
      <c r="Y59" s="687"/>
      <c r="AA59" s="706"/>
      <c r="AB59" s="687"/>
      <c r="AC59" s="687"/>
      <c r="AE59" s="706"/>
      <c r="AF59" s="687"/>
      <c r="AG59" s="687"/>
      <c r="AI59" s="706"/>
      <c r="AJ59" s="687"/>
      <c r="AK59" s="687"/>
      <c r="AM59" s="706"/>
      <c r="AN59" s="687"/>
      <c r="AO59" s="687"/>
      <c r="AQ59" s="706"/>
      <c r="AR59" s="687"/>
      <c r="AS59" s="687"/>
      <c r="AU59" s="706"/>
      <c r="AV59" s="687"/>
      <c r="AW59" s="687"/>
      <c r="AY59" s="706"/>
      <c r="AZ59" s="687"/>
      <c r="BA59" s="687"/>
      <c r="BC59" s="706"/>
      <c r="BD59" s="687"/>
      <c r="BE59" s="687"/>
      <c r="BG59" s="706"/>
      <c r="BH59" s="687"/>
      <c r="BI59" s="687"/>
      <c r="BK59" s="706"/>
      <c r="BL59" s="687"/>
      <c r="BM59" s="687"/>
      <c r="BO59" s="706"/>
      <c r="BP59" s="687"/>
      <c r="BQ59" s="687"/>
      <c r="BS59" s="706"/>
      <c r="BT59" s="687"/>
      <c r="BU59" s="687"/>
      <c r="BW59" s="706"/>
      <c r="BY59" s="687"/>
      <c r="CA59" s="706"/>
      <c r="CE59" s="706"/>
      <c r="CI59" s="706"/>
      <c r="CM59" s="706"/>
      <c r="CQ59" s="706"/>
      <c r="CU59" s="706"/>
      <c r="CY59" s="706"/>
      <c r="EW59" s="805"/>
      <c r="EX59" s="805"/>
    </row>
    <row r="60" spans="1:154" outlineLevel="1">
      <c r="A60" s="819" t="s">
        <v>140</v>
      </c>
      <c r="C60" s="877"/>
      <c r="D60" s="867" t="s">
        <v>147</v>
      </c>
      <c r="E60" s="868"/>
      <c r="F60" s="507"/>
      <c r="G60" s="877"/>
      <c r="H60" s="867" t="s">
        <v>147</v>
      </c>
      <c r="I60" s="868"/>
      <c r="J60" s="507"/>
      <c r="K60" s="877"/>
      <c r="L60" s="867" t="s">
        <v>147</v>
      </c>
      <c r="M60" s="868"/>
      <c r="N60" s="507"/>
      <c r="O60" s="877"/>
      <c r="P60" s="867" t="s">
        <v>147</v>
      </c>
      <c r="Q60" s="868"/>
      <c r="R60" s="507"/>
      <c r="S60" s="877"/>
      <c r="T60" s="867" t="s">
        <v>147</v>
      </c>
      <c r="U60" s="868"/>
      <c r="V60" s="507"/>
      <c r="W60" s="877"/>
      <c r="X60" s="867" t="s">
        <v>147</v>
      </c>
      <c r="Y60" s="868"/>
      <c r="Z60" s="507"/>
      <c r="AA60" s="877"/>
      <c r="AB60" s="867" t="s">
        <v>147</v>
      </c>
      <c r="AC60" s="868"/>
      <c r="AD60" s="507"/>
      <c r="AE60" s="877"/>
      <c r="AF60" s="867" t="s">
        <v>147</v>
      </c>
      <c r="AG60" s="868"/>
      <c r="AH60" s="507"/>
      <c r="AI60" s="877"/>
      <c r="AJ60" s="867" t="s">
        <v>147</v>
      </c>
      <c r="AK60" s="868"/>
      <c r="AL60" s="507"/>
      <c r="AM60" s="877"/>
      <c r="AN60" s="867" t="s">
        <v>147</v>
      </c>
      <c r="AO60" s="868"/>
      <c r="AP60" s="507"/>
      <c r="AQ60" s="877"/>
      <c r="AR60" s="867" t="s">
        <v>147</v>
      </c>
      <c r="AS60" s="868"/>
      <c r="AT60" s="507"/>
      <c r="AU60" s="877"/>
      <c r="AV60" s="867" t="s">
        <v>147</v>
      </c>
      <c r="AW60" s="868"/>
      <c r="AX60" s="507"/>
      <c r="AY60" s="877"/>
      <c r="AZ60" s="867" t="s">
        <v>147</v>
      </c>
      <c r="BA60" s="868"/>
      <c r="BB60" s="507"/>
      <c r="BC60" s="877"/>
      <c r="BD60" s="867" t="s">
        <v>147</v>
      </c>
      <c r="BE60" s="868"/>
      <c r="BF60" s="507"/>
      <c r="BG60" s="877"/>
      <c r="BH60" s="867" t="s">
        <v>147</v>
      </c>
      <c r="BI60" s="868"/>
      <c r="BJ60" s="507"/>
      <c r="BK60" s="877"/>
      <c r="BL60" s="867" t="s">
        <v>147</v>
      </c>
      <c r="BM60" s="868"/>
      <c r="BN60" s="507"/>
      <c r="BO60" s="877"/>
      <c r="BP60" s="867" t="s">
        <v>147</v>
      </c>
      <c r="BQ60" s="868"/>
      <c r="BR60" s="507"/>
      <c r="BS60" s="877"/>
      <c r="BT60" s="869" t="s">
        <v>147</v>
      </c>
      <c r="BU60" s="870"/>
      <c r="BW60" s="695">
        <v>85</v>
      </c>
      <c r="BX60" s="878">
        <f>BW60/BW10*100</f>
        <v>2.1399798590130916</v>
      </c>
      <c r="BY60" s="870"/>
      <c r="CA60" s="695">
        <v>87</v>
      </c>
      <c r="CB60" s="878">
        <f>CA60/CA10*100</f>
        <v>2.112676056338028</v>
      </c>
      <c r="CC60" s="822"/>
      <c r="CE60" s="695">
        <v>88</v>
      </c>
      <c r="CF60" s="878">
        <f>CE60/CE10*100</f>
        <v>2.0858023228253142</v>
      </c>
      <c r="CG60" s="822"/>
      <c r="CI60" s="695">
        <v>100</v>
      </c>
      <c r="CJ60" s="878">
        <f>CI60/CI10*100</f>
        <v>2.2993791676247413</v>
      </c>
      <c r="CK60" s="822"/>
      <c r="CM60" s="695">
        <v>110</v>
      </c>
      <c r="CN60" s="878">
        <f>CM60/CM10*100</f>
        <v>2.6653743639447542</v>
      </c>
      <c r="CO60" s="822"/>
      <c r="CQ60" s="695">
        <v>120</v>
      </c>
      <c r="CR60" s="878">
        <f>CQ60/CQ10*100</f>
        <v>3.0876625049634834</v>
      </c>
      <c r="CS60" s="879"/>
      <c r="CU60" s="1342">
        <v>125</v>
      </c>
      <c r="CV60" s="878">
        <f>CU60/CU10*100</f>
        <v>3.1814711122423009</v>
      </c>
      <c r="CW60" s="879"/>
      <c r="CY60" s="1342">
        <v>128</v>
      </c>
      <c r="CZ60" s="878">
        <f>CY60/CY10*100</f>
        <v>3.2462591935074814</v>
      </c>
      <c r="DA60" s="879"/>
      <c r="DC60" s="1342">
        <v>125</v>
      </c>
      <c r="DD60" s="878">
        <f t="shared" ref="DD60:DD66" si="131">DC60/DC10*100</f>
        <v>3.9657360406091371</v>
      </c>
      <c r="DE60" s="879"/>
      <c r="DG60" s="1342">
        <v>136</v>
      </c>
      <c r="DH60" s="878">
        <f>DG60/DG10*100</f>
        <v>5.161290322580645</v>
      </c>
      <c r="DI60" s="879"/>
      <c r="DK60" s="1342">
        <v>158</v>
      </c>
      <c r="DL60" s="878">
        <f t="shared" ref="DL60:DL66" si="132">DK60/DK10*100</f>
        <v>5.6408425562299174</v>
      </c>
      <c r="DM60" s="879"/>
      <c r="DP60" s="1342">
        <v>154</v>
      </c>
      <c r="DQ60" s="878">
        <f t="shared" ref="DQ60:DQ66" si="133">DP60/DP10*100</f>
        <v>5.3902695134756744</v>
      </c>
      <c r="DR60" s="879"/>
      <c r="DU60" s="1342">
        <v>154</v>
      </c>
      <c r="DV60" s="878">
        <f t="shared" ref="DV60:DV66" si="134">DU60/DU10*100</f>
        <v>5.4784774101743148</v>
      </c>
      <c r="DW60" s="879"/>
      <c r="DZ60" s="1342">
        <v>145</v>
      </c>
      <c r="EA60" s="878">
        <f t="shared" ref="EA60:EA66" si="135">DZ60/DZ10*100</f>
        <v>5.3584626755358462</v>
      </c>
      <c r="EB60" s="879"/>
      <c r="EE60" s="695">
        <v>142</v>
      </c>
      <c r="EF60" s="878">
        <f t="shared" ref="EF60:EF66" si="136">EE60/EE10*100</f>
        <v>5.3329247261430481</v>
      </c>
      <c r="EG60" s="879"/>
      <c r="EK60" s="879"/>
      <c r="EL60" s="879"/>
      <c r="EM60" s="879"/>
      <c r="EN60" s="879"/>
      <c r="EO60" s="879"/>
      <c r="EP60" s="879"/>
      <c r="EQ60" s="879"/>
      <c r="ER60" s="879"/>
      <c r="ES60" s="879"/>
      <c r="ET60" s="879"/>
      <c r="EU60" s="879"/>
      <c r="EV60" s="879"/>
      <c r="EW60" s="805"/>
      <c r="EX60" s="805"/>
    </row>
    <row r="61" spans="1:154" outlineLevel="1">
      <c r="A61" s="819" t="s">
        <v>141</v>
      </c>
      <c r="C61" s="877"/>
      <c r="D61" s="867" t="s">
        <v>147</v>
      </c>
      <c r="E61" s="868"/>
      <c r="F61" s="507"/>
      <c r="G61" s="877"/>
      <c r="H61" s="867" t="s">
        <v>147</v>
      </c>
      <c r="I61" s="868"/>
      <c r="J61" s="507"/>
      <c r="K61" s="877"/>
      <c r="L61" s="867" t="s">
        <v>147</v>
      </c>
      <c r="M61" s="868"/>
      <c r="N61" s="507"/>
      <c r="O61" s="877"/>
      <c r="P61" s="867" t="s">
        <v>147</v>
      </c>
      <c r="Q61" s="868"/>
      <c r="R61" s="507"/>
      <c r="S61" s="877"/>
      <c r="T61" s="867" t="s">
        <v>147</v>
      </c>
      <c r="U61" s="868"/>
      <c r="V61" s="507"/>
      <c r="W61" s="877"/>
      <c r="X61" s="867" t="s">
        <v>147</v>
      </c>
      <c r="Y61" s="868"/>
      <c r="Z61" s="507"/>
      <c r="AA61" s="877"/>
      <c r="AB61" s="867" t="s">
        <v>147</v>
      </c>
      <c r="AC61" s="868"/>
      <c r="AD61" s="507"/>
      <c r="AE61" s="877"/>
      <c r="AF61" s="867" t="s">
        <v>147</v>
      </c>
      <c r="AG61" s="868"/>
      <c r="AH61" s="507"/>
      <c r="AI61" s="877"/>
      <c r="AJ61" s="867" t="s">
        <v>147</v>
      </c>
      <c r="AK61" s="868"/>
      <c r="AL61" s="507"/>
      <c r="AM61" s="877"/>
      <c r="AN61" s="867" t="s">
        <v>147</v>
      </c>
      <c r="AO61" s="868"/>
      <c r="AP61" s="507"/>
      <c r="AQ61" s="877"/>
      <c r="AR61" s="867" t="s">
        <v>147</v>
      </c>
      <c r="AS61" s="868"/>
      <c r="AT61" s="507"/>
      <c r="AU61" s="877"/>
      <c r="AV61" s="867" t="s">
        <v>147</v>
      </c>
      <c r="AW61" s="868"/>
      <c r="AX61" s="507"/>
      <c r="AY61" s="877"/>
      <c r="AZ61" s="867" t="s">
        <v>147</v>
      </c>
      <c r="BA61" s="868"/>
      <c r="BB61" s="507"/>
      <c r="BC61" s="877"/>
      <c r="BD61" s="867" t="s">
        <v>147</v>
      </c>
      <c r="BE61" s="868"/>
      <c r="BF61" s="507"/>
      <c r="BG61" s="877"/>
      <c r="BH61" s="867" t="s">
        <v>147</v>
      </c>
      <c r="BI61" s="868"/>
      <c r="BJ61" s="507"/>
      <c r="BK61" s="877"/>
      <c r="BL61" s="867" t="s">
        <v>147</v>
      </c>
      <c r="BM61" s="868"/>
      <c r="BN61" s="507"/>
      <c r="BO61" s="877"/>
      <c r="BP61" s="867" t="s">
        <v>147</v>
      </c>
      <c r="BQ61" s="868"/>
      <c r="BR61" s="507"/>
      <c r="BS61" s="877"/>
      <c r="BT61" s="869" t="s">
        <v>147</v>
      </c>
      <c r="BU61" s="870"/>
      <c r="BW61" s="841">
        <v>83</v>
      </c>
      <c r="BX61" s="878">
        <f t="shared" ref="BX61:BX66" si="137">BW61/BW11*100</f>
        <v>2.196929592376919</v>
      </c>
      <c r="BY61" s="870"/>
      <c r="CA61" s="841">
        <v>88</v>
      </c>
      <c r="CB61" s="878">
        <f t="shared" ref="CB61:CB66" si="138">CA61/CA11*100</f>
        <v>2.2104998744034163</v>
      </c>
      <c r="CC61" s="822"/>
      <c r="CE61" s="841">
        <v>88</v>
      </c>
      <c r="CF61" s="878">
        <f t="shared" ref="CF61:CF66" si="139">CE61/CE11*100</f>
        <v>2.0768980960508729</v>
      </c>
      <c r="CG61" s="822"/>
      <c r="CI61" s="841">
        <v>100</v>
      </c>
      <c r="CJ61" s="878">
        <f t="shared" ref="CJ61:CJ66" si="140">CI61/CI11*100</f>
        <v>2.2779043280182232</v>
      </c>
      <c r="CK61" s="822"/>
      <c r="CM61" s="841">
        <v>115</v>
      </c>
      <c r="CN61" s="878">
        <f t="shared" ref="CN61:CN66" si="141">CM61/CM11*100</f>
        <v>2.6853495936429108</v>
      </c>
      <c r="CO61" s="822"/>
      <c r="CQ61" s="841">
        <v>121</v>
      </c>
      <c r="CR61" s="878">
        <f t="shared" ref="CR61:CR66" si="142">CQ61/CQ11*100</f>
        <v>3.0690016421828692</v>
      </c>
      <c r="CS61" s="879"/>
      <c r="CU61" s="1340">
        <v>126</v>
      </c>
      <c r="CV61" s="878">
        <f t="shared" ref="CV61:CV66" si="143">CU61/CU11*100</f>
        <v>3.1995937023869985</v>
      </c>
      <c r="CW61" s="879"/>
      <c r="CY61" s="1340">
        <v>128</v>
      </c>
      <c r="CZ61" s="878">
        <f t="shared" ref="CZ61:CZ66" si="144">CY61/CY11*100</f>
        <v>3.2770097286226321</v>
      </c>
      <c r="DA61" s="879"/>
      <c r="DC61" s="1340">
        <v>128</v>
      </c>
      <c r="DD61" s="878">
        <f t="shared" si="131"/>
        <v>4.2356055592322965</v>
      </c>
      <c r="DE61" s="879"/>
      <c r="DG61" s="1353">
        <v>143</v>
      </c>
      <c r="DH61" s="878">
        <f t="shared" ref="DH61:DH66" si="145">DG61/DG11*100</f>
        <v>5.3698835899361619</v>
      </c>
      <c r="DI61" s="879"/>
      <c r="DK61" s="1340">
        <v>160</v>
      </c>
      <c r="DL61" s="878">
        <f t="shared" si="132"/>
        <v>5.7163272597356203</v>
      </c>
      <c r="DM61" s="879"/>
      <c r="DP61" s="1340">
        <v>153</v>
      </c>
      <c r="DQ61" s="878">
        <f t="shared" si="133"/>
        <v>5.321739130434783</v>
      </c>
      <c r="DR61" s="879"/>
      <c r="DU61" s="1340">
        <v>153</v>
      </c>
      <c r="DV61" s="878">
        <f t="shared" si="134"/>
        <v>5.2433173406442766</v>
      </c>
      <c r="DW61" s="879"/>
      <c r="DZ61" s="1353">
        <v>144</v>
      </c>
      <c r="EA61" s="878">
        <f t="shared" si="135"/>
        <v>4.8615800135043878</v>
      </c>
      <c r="EB61" s="879"/>
      <c r="EE61" s="825">
        <v>137</v>
      </c>
      <c r="EF61" s="878">
        <f t="shared" si="136"/>
        <v>4.6625536363834366</v>
      </c>
      <c r="EG61" s="879"/>
      <c r="EK61" s="879"/>
      <c r="EL61" s="879"/>
      <c r="EM61" s="879"/>
      <c r="EN61" s="879"/>
      <c r="EO61" s="879"/>
      <c r="EP61" s="879"/>
      <c r="EQ61" s="879"/>
      <c r="ER61" s="879"/>
      <c r="ES61" s="879"/>
      <c r="ET61" s="879"/>
      <c r="EU61" s="879"/>
      <c r="EV61" s="879"/>
      <c r="EW61" s="805"/>
      <c r="EX61" s="805"/>
    </row>
    <row r="62" spans="1:154" outlineLevel="1">
      <c r="A62" s="819" t="s">
        <v>142</v>
      </c>
      <c r="C62" s="877"/>
      <c r="D62" s="867" t="s">
        <v>147</v>
      </c>
      <c r="E62" s="868"/>
      <c r="F62" s="507"/>
      <c r="G62" s="877"/>
      <c r="H62" s="867" t="s">
        <v>147</v>
      </c>
      <c r="I62" s="868"/>
      <c r="J62" s="507"/>
      <c r="K62" s="877"/>
      <c r="L62" s="867" t="s">
        <v>147</v>
      </c>
      <c r="M62" s="868"/>
      <c r="N62" s="507"/>
      <c r="O62" s="877"/>
      <c r="P62" s="867" t="s">
        <v>147</v>
      </c>
      <c r="Q62" s="868"/>
      <c r="R62" s="507"/>
      <c r="S62" s="877"/>
      <c r="T62" s="867" t="s">
        <v>147</v>
      </c>
      <c r="U62" s="868"/>
      <c r="V62" s="507"/>
      <c r="W62" s="877"/>
      <c r="X62" s="867" t="s">
        <v>147</v>
      </c>
      <c r="Y62" s="868"/>
      <c r="Z62" s="507"/>
      <c r="AA62" s="877"/>
      <c r="AB62" s="867" t="s">
        <v>147</v>
      </c>
      <c r="AC62" s="868"/>
      <c r="AD62" s="507"/>
      <c r="AE62" s="877"/>
      <c r="AF62" s="867" t="s">
        <v>147</v>
      </c>
      <c r="AG62" s="868"/>
      <c r="AH62" s="507"/>
      <c r="AI62" s="877"/>
      <c r="AJ62" s="867" t="s">
        <v>147</v>
      </c>
      <c r="AK62" s="868"/>
      <c r="AL62" s="507"/>
      <c r="AM62" s="877"/>
      <c r="AN62" s="867" t="s">
        <v>147</v>
      </c>
      <c r="AO62" s="868"/>
      <c r="AP62" s="507"/>
      <c r="AQ62" s="877"/>
      <c r="AR62" s="867" t="s">
        <v>147</v>
      </c>
      <c r="AS62" s="868"/>
      <c r="AT62" s="507"/>
      <c r="AU62" s="877"/>
      <c r="AV62" s="867" t="s">
        <v>147</v>
      </c>
      <c r="AW62" s="868"/>
      <c r="AX62" s="507"/>
      <c r="AY62" s="877"/>
      <c r="AZ62" s="867" t="s">
        <v>147</v>
      </c>
      <c r="BA62" s="868"/>
      <c r="BB62" s="507"/>
      <c r="BC62" s="877"/>
      <c r="BD62" s="867" t="s">
        <v>147</v>
      </c>
      <c r="BE62" s="868"/>
      <c r="BF62" s="507"/>
      <c r="BG62" s="877"/>
      <c r="BH62" s="867" t="s">
        <v>147</v>
      </c>
      <c r="BI62" s="868"/>
      <c r="BJ62" s="507"/>
      <c r="BK62" s="877"/>
      <c r="BL62" s="867" t="s">
        <v>147</v>
      </c>
      <c r="BM62" s="868"/>
      <c r="BN62" s="507"/>
      <c r="BO62" s="877"/>
      <c r="BP62" s="867" t="s">
        <v>147</v>
      </c>
      <c r="BQ62" s="868"/>
      <c r="BR62" s="507"/>
      <c r="BS62" s="877"/>
      <c r="BT62" s="869" t="s">
        <v>147</v>
      </c>
      <c r="BU62" s="870"/>
      <c r="BW62" s="841">
        <v>89</v>
      </c>
      <c r="BX62" s="878">
        <f t="shared" si="137"/>
        <v>2.0268731496242314</v>
      </c>
      <c r="BY62" s="870"/>
      <c r="CA62" s="841">
        <v>96</v>
      </c>
      <c r="CB62" s="878">
        <f t="shared" si="138"/>
        <v>2.1433355659745477</v>
      </c>
      <c r="CC62" s="822"/>
      <c r="CE62" s="841">
        <v>98</v>
      </c>
      <c r="CF62" s="878">
        <f t="shared" si="139"/>
        <v>2.0497803806734991</v>
      </c>
      <c r="CG62" s="822"/>
      <c r="CI62" s="841">
        <v>110</v>
      </c>
      <c r="CJ62" s="878">
        <f t="shared" si="140"/>
        <v>2.3265651438240273</v>
      </c>
      <c r="CK62" s="822"/>
      <c r="CM62" s="841">
        <v>118</v>
      </c>
      <c r="CN62" s="878">
        <f t="shared" si="141"/>
        <v>2.7328641342369537</v>
      </c>
      <c r="CO62" s="822"/>
      <c r="CQ62" s="841">
        <v>123</v>
      </c>
      <c r="CR62" s="878">
        <f t="shared" si="142"/>
        <v>2.942306260639139</v>
      </c>
      <c r="CS62" s="879"/>
      <c r="CU62" s="1340">
        <v>128</v>
      </c>
      <c r="CV62" s="878">
        <f t="shared" si="143"/>
        <v>3.0556218667939841</v>
      </c>
      <c r="CW62" s="879"/>
      <c r="CY62" s="1340">
        <v>127</v>
      </c>
      <c r="CZ62" s="878">
        <f t="shared" si="144"/>
        <v>3.1861515303562467</v>
      </c>
      <c r="DA62" s="879"/>
      <c r="DC62" s="1340">
        <v>133</v>
      </c>
      <c r="DD62" s="878">
        <f t="shared" si="131"/>
        <v>4.5439016057396646</v>
      </c>
      <c r="DE62" s="879"/>
      <c r="DG62" s="1353">
        <v>161</v>
      </c>
      <c r="DH62" s="878">
        <f t="shared" si="145"/>
        <v>5.7934508816120909</v>
      </c>
      <c r="DI62" s="879"/>
      <c r="DK62" s="1340">
        <v>156</v>
      </c>
      <c r="DL62" s="878">
        <f t="shared" si="132"/>
        <v>5.6439942112879882</v>
      </c>
      <c r="DM62" s="879"/>
      <c r="DP62" s="1340">
        <v>152</v>
      </c>
      <c r="DQ62" s="878">
        <f t="shared" si="133"/>
        <v>5.2468070417673456</v>
      </c>
      <c r="DR62" s="879"/>
      <c r="DU62" s="1340">
        <v>149</v>
      </c>
      <c r="DV62" s="878">
        <f t="shared" si="134"/>
        <v>5.2152607630381524</v>
      </c>
      <c r="DW62" s="879"/>
      <c r="DZ62" s="1353">
        <v>131</v>
      </c>
      <c r="EA62" s="878">
        <f t="shared" si="135"/>
        <v>4.666904168151051</v>
      </c>
      <c r="EB62" s="879"/>
      <c r="EE62" s="1546">
        <v>135</v>
      </c>
      <c r="EF62" s="878">
        <f t="shared" si="136"/>
        <v>4.9479475913391129</v>
      </c>
      <c r="EG62" s="879"/>
      <c r="EK62" s="879"/>
      <c r="EL62" s="879"/>
      <c r="EM62" s="879"/>
      <c r="EN62" s="879"/>
      <c r="EO62" s="879"/>
      <c r="EP62" s="879"/>
      <c r="EQ62" s="879"/>
      <c r="ER62" s="879"/>
      <c r="ES62" s="879"/>
      <c r="ET62" s="879"/>
      <c r="EU62" s="879"/>
      <c r="EV62" s="879"/>
      <c r="EW62" s="805"/>
      <c r="EX62" s="805"/>
    </row>
    <row r="63" spans="1:154" outlineLevel="1">
      <c r="A63" s="819" t="s">
        <v>143</v>
      </c>
      <c r="C63" s="877"/>
      <c r="D63" s="867" t="s">
        <v>147</v>
      </c>
      <c r="E63" s="868"/>
      <c r="F63" s="507"/>
      <c r="G63" s="877"/>
      <c r="H63" s="867" t="s">
        <v>147</v>
      </c>
      <c r="I63" s="868"/>
      <c r="J63" s="507"/>
      <c r="K63" s="877"/>
      <c r="L63" s="867" t="s">
        <v>147</v>
      </c>
      <c r="M63" s="868"/>
      <c r="N63" s="507"/>
      <c r="O63" s="877"/>
      <c r="P63" s="867" t="s">
        <v>147</v>
      </c>
      <c r="Q63" s="868"/>
      <c r="R63" s="507"/>
      <c r="S63" s="877"/>
      <c r="T63" s="867" t="s">
        <v>147</v>
      </c>
      <c r="U63" s="868"/>
      <c r="V63" s="507"/>
      <c r="W63" s="877"/>
      <c r="X63" s="867" t="s">
        <v>147</v>
      </c>
      <c r="Y63" s="868"/>
      <c r="Z63" s="507"/>
      <c r="AA63" s="877"/>
      <c r="AB63" s="867" t="s">
        <v>147</v>
      </c>
      <c r="AC63" s="868"/>
      <c r="AD63" s="507"/>
      <c r="AE63" s="877"/>
      <c r="AF63" s="867" t="s">
        <v>147</v>
      </c>
      <c r="AG63" s="868"/>
      <c r="AH63" s="507"/>
      <c r="AI63" s="877"/>
      <c r="AJ63" s="867" t="s">
        <v>147</v>
      </c>
      <c r="AK63" s="868"/>
      <c r="AL63" s="507"/>
      <c r="AM63" s="877"/>
      <c r="AN63" s="867" t="s">
        <v>147</v>
      </c>
      <c r="AO63" s="868"/>
      <c r="AP63" s="507"/>
      <c r="AQ63" s="877"/>
      <c r="AR63" s="867" t="s">
        <v>147</v>
      </c>
      <c r="AS63" s="868"/>
      <c r="AT63" s="507"/>
      <c r="AU63" s="877"/>
      <c r="AV63" s="867" t="s">
        <v>147</v>
      </c>
      <c r="AW63" s="868"/>
      <c r="AX63" s="507"/>
      <c r="AY63" s="877"/>
      <c r="AZ63" s="867" t="s">
        <v>147</v>
      </c>
      <c r="BA63" s="868"/>
      <c r="BB63" s="507"/>
      <c r="BC63" s="877"/>
      <c r="BD63" s="867" t="s">
        <v>147</v>
      </c>
      <c r="BE63" s="868"/>
      <c r="BF63" s="507"/>
      <c r="BG63" s="877"/>
      <c r="BH63" s="867" t="s">
        <v>147</v>
      </c>
      <c r="BI63" s="868"/>
      <c r="BJ63" s="507"/>
      <c r="BK63" s="877"/>
      <c r="BL63" s="867" t="s">
        <v>147</v>
      </c>
      <c r="BM63" s="868"/>
      <c r="BN63" s="507"/>
      <c r="BO63" s="877"/>
      <c r="BP63" s="867" t="s">
        <v>147</v>
      </c>
      <c r="BQ63" s="868"/>
      <c r="BR63" s="507"/>
      <c r="BS63" s="877"/>
      <c r="BT63" s="869" t="s">
        <v>147</v>
      </c>
      <c r="BU63" s="870"/>
      <c r="BW63" s="845">
        <v>102</v>
      </c>
      <c r="BX63" s="878">
        <f t="shared" si="137"/>
        <v>1.712846347607053</v>
      </c>
      <c r="BY63" s="870"/>
      <c r="CA63" s="845">
        <v>101</v>
      </c>
      <c r="CB63" s="878">
        <f t="shared" si="138"/>
        <v>1.6282223487542646</v>
      </c>
      <c r="CC63" s="822"/>
      <c r="CE63" s="845">
        <v>115</v>
      </c>
      <c r="CF63" s="878">
        <f t="shared" si="139"/>
        <v>1.7246550689862028</v>
      </c>
      <c r="CG63" s="822"/>
      <c r="CI63" s="845">
        <v>116</v>
      </c>
      <c r="CJ63" s="878">
        <f t="shared" si="140"/>
        <v>1.8153364632237872</v>
      </c>
      <c r="CK63" s="822"/>
      <c r="CM63" s="845">
        <v>126</v>
      </c>
      <c r="CN63" s="878">
        <f t="shared" si="141"/>
        <v>2.1877956153950819</v>
      </c>
      <c r="CO63" s="822"/>
      <c r="CQ63" s="845">
        <v>131</v>
      </c>
      <c r="CR63" s="878">
        <f t="shared" si="142"/>
        <v>2.3603603603603602</v>
      </c>
      <c r="CS63" s="879"/>
      <c r="CU63" s="1341">
        <v>132</v>
      </c>
      <c r="CV63" s="878">
        <f t="shared" si="143"/>
        <v>2.3145712782745922</v>
      </c>
      <c r="CW63" s="879"/>
      <c r="CY63" s="1341">
        <v>135</v>
      </c>
      <c r="CZ63" s="878">
        <f t="shared" si="144"/>
        <v>2.4884792626728109</v>
      </c>
      <c r="DA63" s="879"/>
      <c r="DC63" s="1341">
        <v>157</v>
      </c>
      <c r="DD63" s="878">
        <f t="shared" si="131"/>
        <v>4.0422245108135941</v>
      </c>
      <c r="DE63" s="879"/>
      <c r="DG63" s="1357">
        <v>161</v>
      </c>
      <c r="DH63" s="878">
        <f t="shared" si="145"/>
        <v>4.2570068746694867</v>
      </c>
      <c r="DI63" s="879"/>
      <c r="DK63" s="1341">
        <v>157</v>
      </c>
      <c r="DL63" s="878">
        <f t="shared" si="132"/>
        <v>4.0328795273567941</v>
      </c>
      <c r="DM63" s="879"/>
      <c r="DP63" s="1341">
        <v>157</v>
      </c>
      <c r="DQ63" s="878">
        <f t="shared" si="133"/>
        <v>3.9289289289289293</v>
      </c>
      <c r="DR63" s="879"/>
      <c r="DU63" s="1341">
        <v>153</v>
      </c>
      <c r="DV63" s="878">
        <f t="shared" si="134"/>
        <v>3.8626609442060089</v>
      </c>
      <c r="DW63" s="879"/>
      <c r="DZ63" s="1357">
        <v>150</v>
      </c>
      <c r="EA63" s="878">
        <f t="shared" si="135"/>
        <v>3.7211610022326966</v>
      </c>
      <c r="EB63" s="879"/>
      <c r="EE63" s="1547">
        <v>135</v>
      </c>
      <c r="EF63" s="878">
        <f t="shared" si="136"/>
        <v>3.6245074697071713</v>
      </c>
      <c r="EG63" s="879"/>
      <c r="EK63" s="879"/>
      <c r="EL63" s="879"/>
      <c r="EM63" s="879"/>
      <c r="EN63" s="879"/>
      <c r="EO63" s="879"/>
      <c r="EP63" s="879"/>
      <c r="EQ63" s="879"/>
      <c r="ER63" s="879"/>
      <c r="ES63" s="879"/>
      <c r="ET63" s="879"/>
      <c r="EU63" s="879"/>
      <c r="EV63" s="879"/>
      <c r="EW63" s="805"/>
      <c r="EX63" s="805"/>
    </row>
    <row r="64" spans="1:154" outlineLevel="1">
      <c r="A64" s="819" t="s">
        <v>144</v>
      </c>
      <c r="C64" s="435"/>
      <c r="D64" s="867" t="s">
        <v>147</v>
      </c>
      <c r="E64" s="868"/>
      <c r="F64" s="507"/>
      <c r="G64" s="435"/>
      <c r="H64" s="867" t="s">
        <v>147</v>
      </c>
      <c r="I64" s="868"/>
      <c r="J64" s="507"/>
      <c r="K64" s="435"/>
      <c r="L64" s="867" t="s">
        <v>147</v>
      </c>
      <c r="M64" s="868"/>
      <c r="N64" s="507"/>
      <c r="O64" s="435"/>
      <c r="P64" s="867" t="s">
        <v>147</v>
      </c>
      <c r="Q64" s="868"/>
      <c r="R64" s="507"/>
      <c r="S64" s="435"/>
      <c r="T64" s="867" t="s">
        <v>147</v>
      </c>
      <c r="U64" s="868"/>
      <c r="V64" s="507"/>
      <c r="W64" s="435"/>
      <c r="X64" s="867" t="s">
        <v>147</v>
      </c>
      <c r="Y64" s="868"/>
      <c r="Z64" s="507"/>
      <c r="AA64" s="435"/>
      <c r="AB64" s="867" t="s">
        <v>147</v>
      </c>
      <c r="AC64" s="868"/>
      <c r="AD64" s="507"/>
      <c r="AE64" s="435"/>
      <c r="AF64" s="867" t="s">
        <v>147</v>
      </c>
      <c r="AG64" s="868"/>
      <c r="AH64" s="507"/>
      <c r="AI64" s="435"/>
      <c r="AJ64" s="867" t="s">
        <v>147</v>
      </c>
      <c r="AK64" s="868"/>
      <c r="AL64" s="507"/>
      <c r="AM64" s="435"/>
      <c r="AN64" s="867" t="s">
        <v>147</v>
      </c>
      <c r="AO64" s="868"/>
      <c r="AP64" s="507"/>
      <c r="AQ64" s="435"/>
      <c r="AR64" s="867" t="s">
        <v>147</v>
      </c>
      <c r="AS64" s="868"/>
      <c r="AT64" s="507"/>
      <c r="AU64" s="435"/>
      <c r="AV64" s="867" t="s">
        <v>147</v>
      </c>
      <c r="AW64" s="868"/>
      <c r="AX64" s="507"/>
      <c r="AY64" s="435"/>
      <c r="AZ64" s="867" t="s">
        <v>147</v>
      </c>
      <c r="BA64" s="868"/>
      <c r="BB64" s="507"/>
      <c r="BC64" s="435"/>
      <c r="BD64" s="867" t="s">
        <v>147</v>
      </c>
      <c r="BE64" s="868"/>
      <c r="BF64" s="507"/>
      <c r="BG64" s="435"/>
      <c r="BH64" s="867" t="s">
        <v>147</v>
      </c>
      <c r="BI64" s="868"/>
      <c r="BJ64" s="507"/>
      <c r="BK64" s="435"/>
      <c r="BL64" s="869" t="s">
        <v>147</v>
      </c>
      <c r="BM64" s="870"/>
      <c r="BO64" s="591">
        <v>362</v>
      </c>
      <c r="BP64" s="869" t="s">
        <v>147</v>
      </c>
      <c r="BQ64" s="870"/>
      <c r="BS64" s="591">
        <v>386</v>
      </c>
      <c r="BT64" s="869" t="s">
        <v>147</v>
      </c>
      <c r="BU64" s="870"/>
      <c r="BW64" s="591">
        <f>SUM(BW60:BW63)</f>
        <v>359</v>
      </c>
      <c r="BX64" s="878">
        <f t="shared" si="137"/>
        <v>1.9838638373121134</v>
      </c>
      <c r="BY64" s="870"/>
      <c r="CA64" s="591">
        <f>SUM(CA60:CA63)</f>
        <v>372</v>
      </c>
      <c r="CB64" s="878">
        <f t="shared" si="138"/>
        <v>1.9807163420386174</v>
      </c>
      <c r="CC64" s="880"/>
      <c r="CE64" s="591">
        <f>SUM(CE60:CE63)</f>
        <v>389</v>
      </c>
      <c r="CF64" s="878">
        <f t="shared" si="139"/>
        <v>1.9542742036608933</v>
      </c>
      <c r="CG64" s="880"/>
      <c r="CI64" s="591">
        <f>SUM(CI60:CI63)</f>
        <v>426</v>
      </c>
      <c r="CJ64" s="878">
        <f t="shared" si="140"/>
        <v>2.145339175101979</v>
      </c>
      <c r="CK64" s="880"/>
      <c r="CM64" s="591">
        <f>SUM(CM60:CM63)</f>
        <v>469</v>
      </c>
      <c r="CN64" s="878">
        <f t="shared" si="141"/>
        <v>2.5369819923786561</v>
      </c>
      <c r="CO64" s="880"/>
      <c r="CQ64" s="591">
        <f>SUM(CQ60:CQ63)</f>
        <v>495</v>
      </c>
      <c r="CR64" s="878">
        <f t="shared" si="142"/>
        <v>2.8189901591702116</v>
      </c>
      <c r="CS64" s="880"/>
      <c r="CU64" s="591">
        <f>SUM(CU60:CU63)</f>
        <v>511</v>
      </c>
      <c r="CV64" s="878">
        <f t="shared" si="143"/>
        <v>2.8774142688214424</v>
      </c>
      <c r="CW64" s="880"/>
      <c r="CY64" s="591">
        <f>SUM(CY60:CY63)</f>
        <v>518</v>
      </c>
      <c r="CZ64" s="878">
        <f t="shared" si="144"/>
        <v>3.0011587485515645</v>
      </c>
      <c r="DA64" s="880"/>
      <c r="DC64" s="591">
        <f>SUM(DC60:DC63)</f>
        <v>543</v>
      </c>
      <c r="DD64" s="878">
        <f t="shared" si="131"/>
        <v>4.1817481709664994</v>
      </c>
      <c r="DE64" s="880"/>
      <c r="DG64" s="591">
        <f>SUM(DG60:DG63)</f>
        <v>601</v>
      </c>
      <c r="DH64" s="878">
        <f t="shared" si="145"/>
        <v>5.0678809343114928</v>
      </c>
      <c r="DI64" s="880"/>
      <c r="DK64" s="846">
        <f>SUM(DK60:DK63)</f>
        <v>631</v>
      </c>
      <c r="DL64" s="878">
        <f t="shared" si="132"/>
        <v>5.1480786489353028</v>
      </c>
      <c r="DM64" s="880"/>
      <c r="DP64" s="846">
        <f>SUM(DP60:DP63)</f>
        <v>616</v>
      </c>
      <c r="DQ64" s="878">
        <f t="shared" si="133"/>
        <v>4.8792079207920791</v>
      </c>
      <c r="DR64" s="880"/>
      <c r="DU64" s="846">
        <f>SUM(DU60:DU63)</f>
        <v>609</v>
      </c>
      <c r="DV64" s="878">
        <f t="shared" si="134"/>
        <v>4.8537499003745914</v>
      </c>
      <c r="DW64" s="880"/>
      <c r="DZ64" s="591">
        <f>SUM(DZ60:DZ63)</f>
        <v>570</v>
      </c>
      <c r="EA64" s="878">
        <f t="shared" si="135"/>
        <v>4.5578122501199418</v>
      </c>
      <c r="EB64" s="880"/>
      <c r="EE64" s="591">
        <f>SUM(EE60:EE63)</f>
        <v>549</v>
      </c>
      <c r="EF64" s="878">
        <f t="shared" si="136"/>
        <v>4.5544835696797819</v>
      </c>
      <c r="EG64" s="880"/>
      <c r="EK64" s="880"/>
      <c r="EL64" s="880"/>
      <c r="EM64" s="880"/>
      <c r="EN64" s="880"/>
      <c r="EO64" s="880"/>
      <c r="EP64" s="880"/>
      <c r="EQ64" s="880"/>
      <c r="ER64" s="880"/>
      <c r="ES64" s="880"/>
      <c r="ET64" s="880"/>
      <c r="EU64" s="880"/>
      <c r="EV64" s="880"/>
      <c r="EW64" s="805"/>
      <c r="EX64" s="805"/>
    </row>
    <row r="65" spans="1:261" hidden="1" outlineLevel="2">
      <c r="A65" s="819" t="s">
        <v>145</v>
      </c>
      <c r="C65" s="435"/>
      <c r="D65" s="867" t="s">
        <v>147</v>
      </c>
      <c r="E65" s="868"/>
      <c r="F65" s="507"/>
      <c r="G65" s="435"/>
      <c r="H65" s="867" t="s">
        <v>147</v>
      </c>
      <c r="I65" s="868"/>
      <c r="J65" s="507"/>
      <c r="K65" s="435"/>
      <c r="L65" s="867" t="s">
        <v>147</v>
      </c>
      <c r="M65" s="868"/>
      <c r="N65" s="507"/>
      <c r="O65" s="435"/>
      <c r="P65" s="867" t="s">
        <v>147</v>
      </c>
      <c r="Q65" s="868"/>
      <c r="R65" s="507"/>
      <c r="S65" s="435"/>
      <c r="T65" s="867" t="s">
        <v>147</v>
      </c>
      <c r="U65" s="868"/>
      <c r="V65" s="507"/>
      <c r="W65" s="435"/>
      <c r="X65" s="867" t="s">
        <v>147</v>
      </c>
      <c r="Y65" s="868"/>
      <c r="Z65" s="507"/>
      <c r="AA65" s="435"/>
      <c r="AB65" s="867" t="s">
        <v>147</v>
      </c>
      <c r="AC65" s="868"/>
      <c r="AD65" s="507"/>
      <c r="AE65" s="435"/>
      <c r="AF65" s="867" t="s">
        <v>147</v>
      </c>
      <c r="AG65" s="868"/>
      <c r="AH65" s="507"/>
      <c r="AI65" s="435"/>
      <c r="AJ65" s="867" t="s">
        <v>147</v>
      </c>
      <c r="AK65" s="868"/>
      <c r="AL65" s="507"/>
      <c r="AM65" s="435"/>
      <c r="AN65" s="867" t="s">
        <v>147</v>
      </c>
      <c r="AO65" s="868"/>
      <c r="AP65" s="507"/>
      <c r="AQ65" s="435"/>
      <c r="AR65" s="867" t="s">
        <v>147</v>
      </c>
      <c r="AS65" s="868"/>
      <c r="AT65" s="507"/>
      <c r="AU65" s="435"/>
      <c r="AV65" s="867" t="s">
        <v>147</v>
      </c>
      <c r="AW65" s="868"/>
      <c r="AX65" s="507"/>
      <c r="AY65" s="435"/>
      <c r="AZ65" s="867" t="s">
        <v>147</v>
      </c>
      <c r="BA65" s="868"/>
      <c r="BB65" s="507"/>
      <c r="BC65" s="435"/>
      <c r="BD65" s="867" t="s">
        <v>147</v>
      </c>
      <c r="BE65" s="868"/>
      <c r="BF65" s="507"/>
      <c r="BG65" s="435"/>
      <c r="BH65" s="867" t="s">
        <v>147</v>
      </c>
      <c r="BI65" s="868"/>
      <c r="BJ65" s="507"/>
      <c r="BK65" s="435"/>
      <c r="BL65" s="869" t="s">
        <v>147</v>
      </c>
      <c r="BM65" s="870"/>
      <c r="BO65" s="706"/>
      <c r="BP65" s="869" t="s">
        <v>147</v>
      </c>
      <c r="BQ65" s="870"/>
      <c r="BS65" s="706"/>
      <c r="BT65" s="869" t="s">
        <v>147</v>
      </c>
      <c r="BU65" s="870"/>
      <c r="BW65" s="706">
        <f>BW60+BW61</f>
        <v>168</v>
      </c>
      <c r="BX65" s="878">
        <f t="shared" si="137"/>
        <v>2.1677419354838712</v>
      </c>
      <c r="BY65" s="870"/>
      <c r="CA65" s="706">
        <f>CA60+CA61</f>
        <v>175</v>
      </c>
      <c r="CB65" s="878">
        <f t="shared" si="138"/>
        <v>2.1607605877268798</v>
      </c>
      <c r="CC65" s="880"/>
      <c r="CE65" s="706">
        <f>CE60+CE61</f>
        <v>176</v>
      </c>
      <c r="CF65" s="878">
        <f t="shared" si="139"/>
        <v>2.0813406861423389</v>
      </c>
      <c r="CG65" s="880"/>
      <c r="CI65" s="706">
        <f>CI60+CI61</f>
        <v>200</v>
      </c>
      <c r="CJ65" s="878">
        <f t="shared" si="140"/>
        <v>2.2885913720105275</v>
      </c>
      <c r="CK65" s="880"/>
      <c r="CM65" s="706">
        <f>CM60+CM61</f>
        <v>225</v>
      </c>
      <c r="CN65" s="878">
        <f t="shared" si="141"/>
        <v>2.6755466555209906</v>
      </c>
      <c r="CO65" s="880"/>
      <c r="CQ65" s="706">
        <f>CQ60+CQ61</f>
        <v>241</v>
      </c>
      <c r="CR65" s="878">
        <f t="shared" si="142"/>
        <v>3.0782650783744292</v>
      </c>
      <c r="CS65" s="880"/>
      <c r="CU65" s="706">
        <f>CU60+CU61</f>
        <v>251</v>
      </c>
      <c r="CV65" s="878">
        <f t="shared" si="143"/>
        <v>3.1905427736112877</v>
      </c>
      <c r="CW65" s="880"/>
      <c r="CY65" s="706">
        <f>CY60+CY61</f>
        <v>256</v>
      </c>
      <c r="CZ65" s="878">
        <f t="shared" si="144"/>
        <v>3.2615619824181423</v>
      </c>
      <c r="DA65" s="880"/>
      <c r="DC65" s="706">
        <f>DC60+DC61</f>
        <v>253</v>
      </c>
      <c r="DD65" s="878">
        <f t="shared" si="131"/>
        <v>4.0978296080336891</v>
      </c>
      <c r="DE65" s="880"/>
      <c r="DG65" s="706">
        <f>DG60+DG61</f>
        <v>279</v>
      </c>
      <c r="DH65" s="878">
        <f t="shared" si="145"/>
        <v>5.2661381653454136</v>
      </c>
      <c r="DI65" s="880"/>
      <c r="DK65" s="706">
        <f>DK60+DK61</f>
        <v>318</v>
      </c>
      <c r="DL65" s="878">
        <f t="shared" si="132"/>
        <v>5.6785714285714288</v>
      </c>
      <c r="DM65" s="880"/>
      <c r="DP65" s="706">
        <f>DP60+DP61</f>
        <v>307</v>
      </c>
      <c r="DQ65" s="878">
        <f t="shared" si="133"/>
        <v>5.3558967201674808</v>
      </c>
      <c r="DR65" s="880"/>
      <c r="DU65" s="706">
        <f>DU60+DU61</f>
        <v>307</v>
      </c>
      <c r="DV65" s="878">
        <f t="shared" si="134"/>
        <v>5.3587013440390994</v>
      </c>
      <c r="DW65" s="880"/>
      <c r="DZ65" s="706">
        <f>DZ60+DZ61</f>
        <v>289</v>
      </c>
      <c r="EA65" s="878">
        <f t="shared" si="135"/>
        <v>5.098800282286521</v>
      </c>
      <c r="EB65" s="880"/>
      <c r="EE65" s="706">
        <f>EE60+EE61</f>
        <v>279</v>
      </c>
      <c r="EF65" s="878">
        <f t="shared" si="136"/>
        <v>4.9812462328209488</v>
      </c>
      <c r="EG65" s="880"/>
      <c r="EK65" s="880"/>
      <c r="EL65" s="880"/>
      <c r="EM65" s="880"/>
      <c r="EN65" s="880"/>
      <c r="EO65" s="880"/>
      <c r="EP65" s="880"/>
      <c r="EQ65" s="880"/>
      <c r="ER65" s="880"/>
      <c r="ES65" s="880"/>
      <c r="ET65" s="880"/>
      <c r="EU65" s="880"/>
      <c r="EV65" s="880"/>
      <c r="EW65" s="805"/>
      <c r="EX65" s="805"/>
    </row>
    <row r="66" spans="1:261" hidden="1" outlineLevel="2">
      <c r="A66" s="819" t="s">
        <v>146</v>
      </c>
      <c r="C66" s="435"/>
      <c r="D66" s="867" t="s">
        <v>147</v>
      </c>
      <c r="E66" s="868"/>
      <c r="F66" s="507"/>
      <c r="G66" s="435"/>
      <c r="H66" s="867" t="s">
        <v>147</v>
      </c>
      <c r="I66" s="868"/>
      <c r="J66" s="507"/>
      <c r="K66" s="435"/>
      <c r="L66" s="867" t="s">
        <v>147</v>
      </c>
      <c r="M66" s="868"/>
      <c r="N66" s="507"/>
      <c r="O66" s="435"/>
      <c r="P66" s="867" t="s">
        <v>147</v>
      </c>
      <c r="Q66" s="868"/>
      <c r="R66" s="507"/>
      <c r="S66" s="435"/>
      <c r="T66" s="867" t="s">
        <v>147</v>
      </c>
      <c r="U66" s="868"/>
      <c r="V66" s="507"/>
      <c r="W66" s="435"/>
      <c r="X66" s="867" t="s">
        <v>147</v>
      </c>
      <c r="Y66" s="868"/>
      <c r="Z66" s="507"/>
      <c r="AA66" s="435"/>
      <c r="AB66" s="867" t="s">
        <v>147</v>
      </c>
      <c r="AC66" s="868"/>
      <c r="AD66" s="507"/>
      <c r="AE66" s="435"/>
      <c r="AF66" s="867" t="s">
        <v>147</v>
      </c>
      <c r="AG66" s="868"/>
      <c r="AH66" s="507"/>
      <c r="AI66" s="435"/>
      <c r="AJ66" s="867" t="s">
        <v>147</v>
      </c>
      <c r="AK66" s="868"/>
      <c r="AL66" s="507"/>
      <c r="AM66" s="435"/>
      <c r="AN66" s="867" t="s">
        <v>147</v>
      </c>
      <c r="AO66" s="868"/>
      <c r="AP66" s="507"/>
      <c r="AQ66" s="435"/>
      <c r="AR66" s="867" t="s">
        <v>147</v>
      </c>
      <c r="AS66" s="868"/>
      <c r="AT66" s="507"/>
      <c r="AU66" s="435"/>
      <c r="AV66" s="867" t="s">
        <v>147</v>
      </c>
      <c r="AW66" s="868"/>
      <c r="AX66" s="507"/>
      <c r="AY66" s="435"/>
      <c r="AZ66" s="867" t="s">
        <v>147</v>
      </c>
      <c r="BA66" s="868"/>
      <c r="BB66" s="507"/>
      <c r="BC66" s="435"/>
      <c r="BD66" s="867" t="s">
        <v>147</v>
      </c>
      <c r="BE66" s="868"/>
      <c r="BF66" s="507"/>
      <c r="BG66" s="435"/>
      <c r="BH66" s="867" t="s">
        <v>147</v>
      </c>
      <c r="BI66" s="868"/>
      <c r="BJ66" s="507"/>
      <c r="BK66" s="435"/>
      <c r="BL66" s="869" t="s">
        <v>147</v>
      </c>
      <c r="BM66" s="870"/>
      <c r="BO66" s="706"/>
      <c r="BP66" s="869" t="s">
        <v>147</v>
      </c>
      <c r="BQ66" s="870"/>
      <c r="BS66" s="706"/>
      <c r="BT66" s="869" t="s">
        <v>147</v>
      </c>
      <c r="BU66" s="870"/>
      <c r="BW66" s="706">
        <f>BW60+BW61+BW62</f>
        <v>257</v>
      </c>
      <c r="BX66" s="878">
        <f t="shared" si="137"/>
        <v>2.1167943332509678</v>
      </c>
      <c r="BY66" s="870"/>
      <c r="CA66" s="706">
        <f>CA60+CA61+CA62</f>
        <v>271</v>
      </c>
      <c r="CB66" s="878">
        <f t="shared" si="138"/>
        <v>2.1545555732230879</v>
      </c>
      <c r="CC66" s="880"/>
      <c r="CE66" s="706">
        <f>CE60+CE61+CE62</f>
        <v>274</v>
      </c>
      <c r="CF66" s="878">
        <f t="shared" si="139"/>
        <v>2.0699416669285569</v>
      </c>
      <c r="CG66" s="880"/>
      <c r="CI66" s="706">
        <f>CI60+CI61+CI62</f>
        <v>310</v>
      </c>
      <c r="CJ66" s="878">
        <f t="shared" si="140"/>
        <v>2.3019232197222839</v>
      </c>
      <c r="CK66" s="880"/>
      <c r="CM66" s="706">
        <f>CM60+CM61+CM62</f>
        <v>343</v>
      </c>
      <c r="CN66" s="878">
        <f t="shared" si="141"/>
        <v>2.6949919442447832</v>
      </c>
      <c r="CO66" s="880"/>
      <c r="CQ66" s="706">
        <f>CQ60+CQ61+CQ62</f>
        <v>364</v>
      </c>
      <c r="CR66" s="878">
        <f t="shared" si="142"/>
        <v>3.0309390097991566</v>
      </c>
      <c r="CS66" s="880"/>
      <c r="CU66" s="706">
        <f>CU60+CU61+CU62</f>
        <v>379</v>
      </c>
      <c r="CV66" s="878">
        <f t="shared" si="143"/>
        <v>3.1436629064366293</v>
      </c>
      <c r="CW66" s="880"/>
      <c r="CY66" s="706">
        <f>CY60+CY61+CY62</f>
        <v>383</v>
      </c>
      <c r="CZ66" s="878">
        <f t="shared" si="144"/>
        <v>3.2361639205745667</v>
      </c>
      <c r="DA66" s="880"/>
      <c r="DC66" s="706">
        <f>DC60+DC61+DC62</f>
        <v>386</v>
      </c>
      <c r="DD66" s="878">
        <f t="shared" si="131"/>
        <v>4.2412921656960778</v>
      </c>
      <c r="DE66" s="880"/>
      <c r="DG66" s="706">
        <f>DG60+DG61+DG62</f>
        <v>440</v>
      </c>
      <c r="DH66" s="878">
        <f t="shared" si="145"/>
        <v>5.4475671660269906</v>
      </c>
      <c r="DI66" s="880"/>
      <c r="DK66" s="706">
        <f>DK60+DK61+DK62</f>
        <v>474</v>
      </c>
      <c r="DL66" s="878">
        <f t="shared" si="132"/>
        <v>5.6671449067431849</v>
      </c>
      <c r="DM66" s="880"/>
      <c r="DP66" s="706">
        <f>DP60+DP61+DP62</f>
        <v>459</v>
      </c>
      <c r="DQ66" s="878">
        <f t="shared" si="133"/>
        <v>5.319272221578399</v>
      </c>
      <c r="DR66" s="880"/>
      <c r="DU66" s="706">
        <f>DU60+DU61+DU62</f>
        <v>456</v>
      </c>
      <c r="DV66" s="878">
        <f t="shared" si="134"/>
        <v>5.3109713487071977</v>
      </c>
      <c r="DW66" s="1278"/>
      <c r="DZ66" s="706">
        <f>DZ60+DZ61+DZ62</f>
        <v>420</v>
      </c>
      <c r="EA66" s="878">
        <f t="shared" si="135"/>
        <v>4.9557522123893802</v>
      </c>
      <c r="EB66" s="880"/>
      <c r="EE66" s="706">
        <f>EE60+EE61+EE62</f>
        <v>414</v>
      </c>
      <c r="EF66" s="878">
        <f t="shared" si="136"/>
        <v>4.9703388426457957</v>
      </c>
      <c r="EG66" s="880"/>
      <c r="EK66" s="880"/>
      <c r="EL66" s="880"/>
      <c r="EM66" s="880"/>
      <c r="EN66" s="880"/>
      <c r="EO66" s="880"/>
      <c r="EP66" s="880"/>
      <c r="EQ66" s="880"/>
      <c r="ER66" s="880"/>
      <c r="ES66" s="880"/>
      <c r="ET66" s="880"/>
      <c r="EU66" s="880"/>
      <c r="EV66" s="880"/>
      <c r="EW66" s="805"/>
      <c r="EX66" s="805"/>
    </row>
    <row r="67" spans="1:261" outlineLevel="1" collapsed="1">
      <c r="C67" s="706"/>
      <c r="D67" s="687"/>
      <c r="E67" s="687"/>
      <c r="G67" s="706"/>
      <c r="H67" s="687"/>
      <c r="I67" s="687"/>
      <c r="K67" s="706"/>
      <c r="L67" s="687"/>
      <c r="M67" s="687"/>
      <c r="O67" s="706"/>
      <c r="P67" s="687"/>
      <c r="Q67" s="687"/>
      <c r="S67" s="706"/>
      <c r="T67" s="687"/>
      <c r="U67" s="687"/>
      <c r="W67" s="706"/>
      <c r="X67" s="687"/>
      <c r="Y67" s="687"/>
      <c r="AA67" s="706"/>
      <c r="AB67" s="687"/>
      <c r="AC67" s="687"/>
      <c r="AE67" s="706"/>
      <c r="AF67" s="687"/>
      <c r="AG67" s="687"/>
      <c r="AI67" s="706"/>
      <c r="AJ67" s="687"/>
      <c r="AK67" s="687"/>
      <c r="AM67" s="706"/>
      <c r="AN67" s="687"/>
      <c r="AO67" s="687"/>
      <c r="AQ67" s="706"/>
      <c r="AR67" s="687"/>
      <c r="AS67" s="687"/>
      <c r="AU67" s="706"/>
      <c r="AV67" s="687"/>
      <c r="AW67" s="687"/>
      <c r="AY67" s="706"/>
      <c r="AZ67" s="687"/>
      <c r="BA67" s="687"/>
      <c r="BC67" s="706"/>
      <c r="BD67" s="687"/>
      <c r="BE67" s="687"/>
      <c r="BG67" s="706"/>
      <c r="BH67" s="687"/>
      <c r="BI67" s="687"/>
      <c r="BK67" s="706"/>
      <c r="BL67" s="687"/>
      <c r="BM67" s="687"/>
      <c r="BO67" s="706"/>
      <c r="BP67" s="687"/>
      <c r="BQ67" s="687"/>
      <c r="BS67" s="706"/>
      <c r="BT67" s="687"/>
      <c r="BU67" s="687"/>
      <c r="BW67" s="706"/>
      <c r="BY67" s="687"/>
      <c r="CA67" s="706"/>
      <c r="CE67" s="706"/>
      <c r="CI67" s="706"/>
      <c r="CM67" s="706"/>
      <c r="CQ67" s="706"/>
      <c r="CU67" s="706"/>
      <c r="CY67" s="706"/>
      <c r="EW67" s="805"/>
      <c r="EX67" s="805"/>
    </row>
    <row r="68" spans="1:261" outlineLevel="1">
      <c r="A68" s="816" t="s">
        <v>28</v>
      </c>
      <c r="C68" s="706"/>
      <c r="D68" s="687"/>
      <c r="E68" s="687"/>
      <c r="G68" s="706"/>
      <c r="H68" s="687"/>
      <c r="I68" s="687"/>
      <c r="K68" s="706"/>
      <c r="L68" s="687"/>
      <c r="M68" s="687"/>
      <c r="O68" s="706"/>
      <c r="P68" s="687"/>
      <c r="Q68" s="687"/>
      <c r="S68" s="706"/>
      <c r="T68" s="687"/>
      <c r="U68" s="687"/>
      <c r="W68" s="706"/>
      <c r="X68" s="687"/>
      <c r="Y68" s="687"/>
      <c r="AA68" s="706"/>
      <c r="AB68" s="687"/>
      <c r="AC68" s="687"/>
      <c r="AE68" s="706"/>
      <c r="AF68" s="687"/>
      <c r="AG68" s="687"/>
      <c r="AI68" s="706"/>
      <c r="AJ68" s="687"/>
      <c r="AK68" s="687"/>
      <c r="AM68" s="706"/>
      <c r="AN68" s="687"/>
      <c r="AO68" s="687"/>
      <c r="AQ68" s="706"/>
      <c r="AR68" s="687"/>
      <c r="AS68" s="687"/>
      <c r="AU68" s="706"/>
      <c r="AV68" s="687"/>
      <c r="AW68" s="687"/>
      <c r="AY68" s="706"/>
      <c r="AZ68" s="687"/>
      <c r="BA68" s="687"/>
      <c r="BC68" s="706"/>
      <c r="BD68" s="687"/>
      <c r="BE68" s="687"/>
      <c r="BG68" s="706"/>
      <c r="BH68" s="687"/>
      <c r="BI68" s="687"/>
      <c r="BK68" s="706"/>
      <c r="BL68" s="687"/>
      <c r="BM68" s="687"/>
      <c r="BO68" s="706"/>
      <c r="BP68" s="687"/>
      <c r="BQ68" s="687"/>
      <c r="BS68" s="706"/>
      <c r="BT68" s="687"/>
      <c r="BU68" s="687"/>
      <c r="BW68" s="706"/>
      <c r="BY68" s="687"/>
      <c r="CA68" s="706"/>
      <c r="CE68" s="706"/>
      <c r="CI68" s="706"/>
      <c r="CM68" s="706"/>
      <c r="CQ68" s="706"/>
      <c r="CY68" s="706"/>
      <c r="DG68" s="818" t="s">
        <v>28</v>
      </c>
      <c r="DP68" s="1585" t="str">
        <f>DG68</f>
        <v>7. Pre-opening Expense  (% of Sales)</v>
      </c>
      <c r="DQ68" s="1585"/>
      <c r="DR68" s="1585"/>
      <c r="DS68" s="1585"/>
      <c r="DT68" s="1585"/>
      <c r="DU68" s="1585"/>
      <c r="DV68" s="1585"/>
      <c r="DW68" s="1585"/>
      <c r="EW68" s="805"/>
      <c r="EX68" s="805"/>
    </row>
    <row r="69" spans="1:261" outlineLevel="1">
      <c r="C69" s="706"/>
      <c r="D69" s="687"/>
      <c r="E69" s="687"/>
      <c r="G69" s="706"/>
      <c r="H69" s="687"/>
      <c r="I69" s="687"/>
      <c r="K69" s="706"/>
      <c r="L69" s="687"/>
      <c r="M69" s="687"/>
      <c r="O69" s="706"/>
      <c r="P69" s="687"/>
      <c r="Q69" s="687"/>
      <c r="S69" s="706"/>
      <c r="T69" s="687"/>
      <c r="U69" s="687"/>
      <c r="W69" s="706"/>
      <c r="X69" s="687"/>
      <c r="Y69" s="687"/>
      <c r="AA69" s="706"/>
      <c r="AB69" s="687"/>
      <c r="AC69" s="687"/>
      <c r="AE69" s="706"/>
      <c r="AF69" s="687"/>
      <c r="AG69" s="687"/>
      <c r="AI69" s="706"/>
      <c r="AJ69" s="687"/>
      <c r="AK69" s="687"/>
      <c r="AM69" s="706"/>
      <c r="AN69" s="687"/>
      <c r="AO69" s="687"/>
      <c r="AQ69" s="706"/>
      <c r="AR69" s="687"/>
      <c r="AS69" s="687"/>
      <c r="AU69" s="706"/>
      <c r="AV69" s="687"/>
      <c r="AW69" s="687"/>
      <c r="AY69" s="706"/>
      <c r="AZ69" s="687"/>
      <c r="BA69" s="687"/>
      <c r="BC69" s="706"/>
      <c r="BD69" s="687"/>
      <c r="BE69" s="687"/>
      <c r="BG69" s="706"/>
      <c r="BH69" s="687"/>
      <c r="BI69" s="687"/>
      <c r="BK69" s="706"/>
      <c r="BL69" s="687"/>
      <c r="BM69" s="687"/>
      <c r="BO69" s="706"/>
      <c r="BP69" s="687"/>
      <c r="BQ69" s="687"/>
      <c r="BS69" s="706"/>
      <c r="BT69" s="687"/>
      <c r="BU69" s="687"/>
      <c r="BW69" s="706"/>
      <c r="BY69" s="687"/>
      <c r="CA69" s="706"/>
      <c r="CE69" s="706"/>
      <c r="CI69" s="706"/>
      <c r="CM69" s="706"/>
      <c r="CQ69" s="706"/>
      <c r="CU69" s="706"/>
      <c r="CY69" s="706"/>
      <c r="EW69" s="805"/>
      <c r="EX69" s="805"/>
    </row>
    <row r="70" spans="1:261" outlineLevel="1">
      <c r="A70" s="819" t="s">
        <v>140</v>
      </c>
      <c r="C70" s="877"/>
      <c r="D70" s="867" t="s">
        <v>147</v>
      </c>
      <c r="E70" s="868"/>
      <c r="F70" s="507"/>
      <c r="G70" s="877"/>
      <c r="H70" s="867" t="s">
        <v>147</v>
      </c>
      <c r="I70" s="868"/>
      <c r="J70" s="507"/>
      <c r="K70" s="877"/>
      <c r="L70" s="867" t="s">
        <v>147</v>
      </c>
      <c r="M70" s="868"/>
      <c r="N70" s="507"/>
      <c r="O70" s="877"/>
      <c r="P70" s="867" t="s">
        <v>147</v>
      </c>
      <c r="Q70" s="868"/>
      <c r="R70" s="507"/>
      <c r="S70" s="877"/>
      <c r="T70" s="867" t="s">
        <v>147</v>
      </c>
      <c r="U70" s="868"/>
      <c r="V70" s="507"/>
      <c r="W70" s="877"/>
      <c r="X70" s="867" t="s">
        <v>147</v>
      </c>
      <c r="Y70" s="868"/>
      <c r="Z70" s="507"/>
      <c r="AA70" s="877"/>
      <c r="AB70" s="867" t="s">
        <v>147</v>
      </c>
      <c r="AC70" s="868"/>
      <c r="AD70" s="507"/>
      <c r="AE70" s="877"/>
      <c r="AF70" s="867" t="s">
        <v>147</v>
      </c>
      <c r="AG70" s="868"/>
      <c r="AH70" s="507"/>
      <c r="AI70" s="877"/>
      <c r="AJ70" s="867" t="s">
        <v>147</v>
      </c>
      <c r="AK70" s="868"/>
      <c r="AL70" s="507"/>
      <c r="AM70" s="877"/>
      <c r="AN70" s="867" t="s">
        <v>147</v>
      </c>
      <c r="AO70" s="868"/>
      <c r="AP70" s="507"/>
      <c r="AQ70" s="877"/>
      <c r="AR70" s="867" t="s">
        <v>147</v>
      </c>
      <c r="AS70" s="868"/>
      <c r="AT70" s="507"/>
      <c r="AU70" s="877"/>
      <c r="AV70" s="867" t="s">
        <v>147</v>
      </c>
      <c r="AW70" s="868"/>
      <c r="AX70" s="507"/>
      <c r="AY70" s="877"/>
      <c r="AZ70" s="867" t="s">
        <v>147</v>
      </c>
      <c r="BA70" s="868"/>
      <c r="BB70" s="507"/>
      <c r="BC70" s="877"/>
      <c r="BD70" s="867" t="s">
        <v>147</v>
      </c>
      <c r="BE70" s="868"/>
      <c r="BF70" s="507"/>
      <c r="BG70" s="877"/>
      <c r="BH70" s="867" t="s">
        <v>147</v>
      </c>
      <c r="BI70" s="868"/>
      <c r="BJ70" s="507"/>
      <c r="BK70" s="877"/>
      <c r="BL70" s="867" t="s">
        <v>147</v>
      </c>
      <c r="BM70" s="868"/>
      <c r="BN70" s="507"/>
      <c r="BO70" s="877"/>
      <c r="BP70" s="867" t="s">
        <v>147</v>
      </c>
      <c r="BQ70" s="868"/>
      <c r="BR70" s="507"/>
      <c r="BS70" s="877"/>
      <c r="BT70" s="869" t="s">
        <v>147</v>
      </c>
      <c r="BU70" s="870"/>
      <c r="BW70" s="695">
        <v>2</v>
      </c>
      <c r="BX70" s="878">
        <f t="shared" ref="BX70:BX76" si="146">BW70/BW10*100</f>
        <v>5.0352467270896276E-2</v>
      </c>
      <c r="BY70" s="870"/>
      <c r="CA70" s="695">
        <v>2</v>
      </c>
      <c r="CB70" s="878">
        <f t="shared" ref="CB70:CB76" si="147">CA70/CA10*100</f>
        <v>4.8567265662943171E-2</v>
      </c>
      <c r="CC70" s="822"/>
      <c r="CE70" s="695">
        <v>2</v>
      </c>
      <c r="CF70" s="878">
        <f t="shared" ref="CF70:CF76" si="148">CE70/CE10*100</f>
        <v>4.7404598246029862E-2</v>
      </c>
      <c r="CG70" s="822"/>
      <c r="CI70" s="695">
        <v>6</v>
      </c>
      <c r="CJ70" s="878">
        <f t="shared" ref="CJ70:CJ76" si="149">CI70/CI10*100</f>
        <v>0.13796275005748448</v>
      </c>
      <c r="CK70" s="822"/>
      <c r="CM70" s="695">
        <v>6</v>
      </c>
      <c r="CN70" s="878">
        <f t="shared" ref="CN70:CN76" si="150">CM70/CM10*100</f>
        <v>0.14538405621516839</v>
      </c>
      <c r="CO70" s="822"/>
      <c r="CQ70" s="695">
        <v>9</v>
      </c>
      <c r="CR70" s="878">
        <f t="shared" ref="CR70:CR76" si="151">CQ70/CQ10*100</f>
        <v>0.23157468787226126</v>
      </c>
      <c r="CS70" s="879"/>
      <c r="CU70" s="1342">
        <v>0</v>
      </c>
      <c r="CV70" s="878">
        <f t="shared" ref="CV70:CV76" si="152">CU70/CU10*100</f>
        <v>0</v>
      </c>
      <c r="CW70" s="879"/>
      <c r="CY70" s="1342">
        <v>0</v>
      </c>
      <c r="CZ70" s="878">
        <f t="shared" ref="CZ70:CZ76" si="153">CY70/CY10*100</f>
        <v>0</v>
      </c>
      <c r="DA70" s="879"/>
      <c r="DC70" s="1342">
        <v>0</v>
      </c>
      <c r="DD70" s="878">
        <f t="shared" ref="DD70:DD76" si="154">DC70/DC10*100</f>
        <v>0</v>
      </c>
      <c r="DE70" s="879"/>
      <c r="DG70" s="1342">
        <v>0</v>
      </c>
      <c r="DH70" s="878">
        <f t="shared" ref="DH70:DH76" si="155">DG70/DG10*100</f>
        <v>0</v>
      </c>
      <c r="DI70" s="879"/>
      <c r="DK70" s="1342">
        <v>0</v>
      </c>
      <c r="DL70" s="878">
        <f t="shared" ref="DL70:DL76" si="156">DK70/DK10*100</f>
        <v>0</v>
      </c>
      <c r="DM70" s="879"/>
      <c r="DP70" s="1342">
        <v>0</v>
      </c>
      <c r="DQ70" s="878">
        <f t="shared" ref="DQ70:DQ76" si="157">DP70/DP10*100</f>
        <v>0</v>
      </c>
      <c r="DR70" s="879"/>
      <c r="DU70" s="1342">
        <v>0</v>
      </c>
      <c r="DV70" s="878">
        <f t="shared" ref="DV70:DV76" si="158">DU70/DU10*100</f>
        <v>0</v>
      </c>
      <c r="DW70" s="879"/>
      <c r="DZ70" s="1342">
        <v>0</v>
      </c>
      <c r="EA70" s="878">
        <f t="shared" ref="EA70:EA76" si="159">DZ70/DZ10*100</f>
        <v>0</v>
      </c>
      <c r="EB70" s="879"/>
      <c r="EE70" s="695">
        <v>0</v>
      </c>
      <c r="EF70" s="878">
        <f t="shared" ref="EF70:EF76" si="160">EE70/EE10*100</f>
        <v>0</v>
      </c>
      <c r="EG70" s="879"/>
      <c r="EK70" s="879"/>
      <c r="EL70" s="879"/>
      <c r="EM70" s="879"/>
      <c r="EN70" s="879"/>
      <c r="EO70" s="879"/>
      <c r="EP70" s="879"/>
      <c r="EQ70" s="879"/>
      <c r="ER70" s="879"/>
      <c r="ES70" s="879"/>
      <c r="ET70" s="879"/>
      <c r="EU70" s="879"/>
      <c r="EV70" s="879"/>
      <c r="EW70" s="805"/>
      <c r="EX70" s="805"/>
    </row>
    <row r="71" spans="1:261" outlineLevel="1">
      <c r="A71" s="819" t="s">
        <v>141</v>
      </c>
      <c r="C71" s="877"/>
      <c r="D71" s="867" t="s">
        <v>147</v>
      </c>
      <c r="E71" s="868"/>
      <c r="F71" s="507"/>
      <c r="G71" s="877"/>
      <c r="H71" s="867" t="s">
        <v>147</v>
      </c>
      <c r="I71" s="868"/>
      <c r="J71" s="507"/>
      <c r="K71" s="877"/>
      <c r="L71" s="867" t="s">
        <v>147</v>
      </c>
      <c r="M71" s="868"/>
      <c r="N71" s="507"/>
      <c r="O71" s="877"/>
      <c r="P71" s="867" t="s">
        <v>147</v>
      </c>
      <c r="Q71" s="868"/>
      <c r="R71" s="507"/>
      <c r="S71" s="877"/>
      <c r="T71" s="867" t="s">
        <v>147</v>
      </c>
      <c r="U71" s="868"/>
      <c r="V71" s="507"/>
      <c r="W71" s="877"/>
      <c r="X71" s="867" t="s">
        <v>147</v>
      </c>
      <c r="Y71" s="868"/>
      <c r="Z71" s="507"/>
      <c r="AA71" s="877"/>
      <c r="AB71" s="867" t="s">
        <v>147</v>
      </c>
      <c r="AC71" s="868"/>
      <c r="AD71" s="507"/>
      <c r="AE71" s="877"/>
      <c r="AF71" s="867" t="s">
        <v>147</v>
      </c>
      <c r="AG71" s="868"/>
      <c r="AH71" s="507"/>
      <c r="AI71" s="877"/>
      <c r="AJ71" s="867" t="s">
        <v>147</v>
      </c>
      <c r="AK71" s="868"/>
      <c r="AL71" s="507"/>
      <c r="AM71" s="877"/>
      <c r="AN71" s="867" t="s">
        <v>147</v>
      </c>
      <c r="AO71" s="868"/>
      <c r="AP71" s="507"/>
      <c r="AQ71" s="877"/>
      <c r="AR71" s="867" t="s">
        <v>147</v>
      </c>
      <c r="AS71" s="868"/>
      <c r="AT71" s="507"/>
      <c r="AU71" s="877"/>
      <c r="AV71" s="867" t="s">
        <v>147</v>
      </c>
      <c r="AW71" s="868"/>
      <c r="AX71" s="507"/>
      <c r="AY71" s="877"/>
      <c r="AZ71" s="867" t="s">
        <v>147</v>
      </c>
      <c r="BA71" s="868"/>
      <c r="BB71" s="507"/>
      <c r="BC71" s="877"/>
      <c r="BD71" s="867" t="s">
        <v>147</v>
      </c>
      <c r="BE71" s="868"/>
      <c r="BF71" s="507"/>
      <c r="BG71" s="877"/>
      <c r="BH71" s="867" t="s">
        <v>147</v>
      </c>
      <c r="BI71" s="868"/>
      <c r="BJ71" s="507"/>
      <c r="BK71" s="877"/>
      <c r="BL71" s="867" t="s">
        <v>147</v>
      </c>
      <c r="BM71" s="868"/>
      <c r="BN71" s="507"/>
      <c r="BO71" s="877"/>
      <c r="BP71" s="867" t="s">
        <v>147</v>
      </c>
      <c r="BQ71" s="868"/>
      <c r="BR71" s="507"/>
      <c r="BS71" s="877"/>
      <c r="BT71" s="869" t="s">
        <v>147</v>
      </c>
      <c r="BU71" s="870"/>
      <c r="BW71" s="841">
        <v>3</v>
      </c>
      <c r="BX71" s="878">
        <f t="shared" si="146"/>
        <v>7.9407093700370565E-2</v>
      </c>
      <c r="BY71" s="870"/>
      <c r="CA71" s="841">
        <v>3</v>
      </c>
      <c r="CB71" s="878">
        <f t="shared" si="147"/>
        <v>7.5357950263752832E-2</v>
      </c>
      <c r="CC71" s="822"/>
      <c r="CE71" s="841">
        <v>5</v>
      </c>
      <c r="CF71" s="878">
        <f t="shared" si="148"/>
        <v>0.11800557363925412</v>
      </c>
      <c r="CG71" s="822"/>
      <c r="CI71" s="841">
        <v>15</v>
      </c>
      <c r="CJ71" s="878">
        <f t="shared" si="149"/>
        <v>0.34168564920273348</v>
      </c>
      <c r="CK71" s="822"/>
      <c r="CM71" s="841">
        <v>9</v>
      </c>
      <c r="CN71" s="878">
        <f t="shared" si="150"/>
        <v>0.21015779428509737</v>
      </c>
      <c r="CO71" s="822"/>
      <c r="CQ71" s="841">
        <v>14</v>
      </c>
      <c r="CR71" s="878">
        <f t="shared" si="151"/>
        <v>0.35509109909553854</v>
      </c>
      <c r="CS71" s="879"/>
      <c r="CU71" s="1340">
        <v>0</v>
      </c>
      <c r="CV71" s="878">
        <f t="shared" si="152"/>
        <v>0</v>
      </c>
      <c r="CW71" s="879"/>
      <c r="CY71" s="1340">
        <v>0</v>
      </c>
      <c r="CZ71" s="878">
        <f t="shared" si="153"/>
        <v>0</v>
      </c>
      <c r="DA71" s="879"/>
      <c r="DC71" s="1340">
        <v>0</v>
      </c>
      <c r="DD71" s="878">
        <f t="shared" si="154"/>
        <v>0</v>
      </c>
      <c r="DE71" s="879"/>
      <c r="DG71" s="1353">
        <v>0</v>
      </c>
      <c r="DH71" s="878">
        <f t="shared" si="155"/>
        <v>0</v>
      </c>
      <c r="DI71" s="879"/>
      <c r="DK71" s="1340">
        <v>0</v>
      </c>
      <c r="DL71" s="878">
        <f t="shared" si="156"/>
        <v>0</v>
      </c>
      <c r="DM71" s="879"/>
      <c r="DP71" s="1340">
        <v>0</v>
      </c>
      <c r="DQ71" s="878">
        <f t="shared" si="157"/>
        <v>0</v>
      </c>
      <c r="DR71" s="879"/>
      <c r="DU71" s="1340">
        <v>0</v>
      </c>
      <c r="DV71" s="878">
        <f t="shared" si="158"/>
        <v>0</v>
      </c>
      <c r="DW71" s="879"/>
      <c r="DZ71" s="1353">
        <v>0</v>
      </c>
      <c r="EA71" s="878">
        <f t="shared" si="159"/>
        <v>0</v>
      </c>
      <c r="EB71" s="879"/>
      <c r="EE71" s="825">
        <v>0</v>
      </c>
      <c r="EF71" s="878">
        <f t="shared" si="160"/>
        <v>0</v>
      </c>
      <c r="EG71" s="879"/>
      <c r="EK71" s="879"/>
      <c r="EL71" s="879"/>
      <c r="EM71" s="879"/>
      <c r="EN71" s="879"/>
      <c r="EO71" s="879"/>
      <c r="EP71" s="879"/>
      <c r="EQ71" s="879"/>
      <c r="ER71" s="879"/>
      <c r="ES71" s="879"/>
      <c r="ET71" s="879"/>
      <c r="EU71" s="879"/>
      <c r="EV71" s="879"/>
      <c r="EW71" s="805"/>
      <c r="EX71" s="805"/>
    </row>
    <row r="72" spans="1:261" outlineLevel="1">
      <c r="A72" s="819" t="s">
        <v>142</v>
      </c>
      <c r="C72" s="877"/>
      <c r="D72" s="867" t="s">
        <v>147</v>
      </c>
      <c r="E72" s="868"/>
      <c r="F72" s="507"/>
      <c r="G72" s="877"/>
      <c r="H72" s="867" t="s">
        <v>147</v>
      </c>
      <c r="I72" s="868"/>
      <c r="J72" s="507"/>
      <c r="K72" s="877"/>
      <c r="L72" s="867" t="s">
        <v>147</v>
      </c>
      <c r="M72" s="868"/>
      <c r="N72" s="507"/>
      <c r="O72" s="877"/>
      <c r="P72" s="867" t="s">
        <v>147</v>
      </c>
      <c r="Q72" s="868"/>
      <c r="R72" s="507"/>
      <c r="S72" s="877"/>
      <c r="T72" s="867" t="s">
        <v>147</v>
      </c>
      <c r="U72" s="868"/>
      <c r="V72" s="507"/>
      <c r="W72" s="877"/>
      <c r="X72" s="867" t="s">
        <v>147</v>
      </c>
      <c r="Y72" s="868"/>
      <c r="Z72" s="507"/>
      <c r="AA72" s="877"/>
      <c r="AB72" s="867" t="s">
        <v>147</v>
      </c>
      <c r="AC72" s="868"/>
      <c r="AD72" s="507"/>
      <c r="AE72" s="877"/>
      <c r="AF72" s="867" t="s">
        <v>147</v>
      </c>
      <c r="AG72" s="868"/>
      <c r="AH72" s="507"/>
      <c r="AI72" s="877"/>
      <c r="AJ72" s="867" t="s">
        <v>147</v>
      </c>
      <c r="AK72" s="868"/>
      <c r="AL72" s="507"/>
      <c r="AM72" s="877"/>
      <c r="AN72" s="867" t="s">
        <v>147</v>
      </c>
      <c r="AO72" s="868"/>
      <c r="AP72" s="507"/>
      <c r="AQ72" s="877"/>
      <c r="AR72" s="867" t="s">
        <v>147</v>
      </c>
      <c r="AS72" s="868"/>
      <c r="AT72" s="507"/>
      <c r="AU72" s="877"/>
      <c r="AV72" s="867" t="s">
        <v>147</v>
      </c>
      <c r="AW72" s="868"/>
      <c r="AX72" s="507"/>
      <c r="AY72" s="877"/>
      <c r="AZ72" s="867" t="s">
        <v>147</v>
      </c>
      <c r="BA72" s="868"/>
      <c r="BB72" s="507"/>
      <c r="BC72" s="877"/>
      <c r="BD72" s="867" t="s">
        <v>147</v>
      </c>
      <c r="BE72" s="868"/>
      <c r="BF72" s="507"/>
      <c r="BG72" s="877"/>
      <c r="BH72" s="867" t="s">
        <v>147</v>
      </c>
      <c r="BI72" s="868"/>
      <c r="BJ72" s="507"/>
      <c r="BK72" s="877"/>
      <c r="BL72" s="867" t="s">
        <v>147</v>
      </c>
      <c r="BM72" s="868"/>
      <c r="BN72" s="507"/>
      <c r="BO72" s="877"/>
      <c r="BP72" s="867" t="s">
        <v>147</v>
      </c>
      <c r="BQ72" s="868"/>
      <c r="BR72" s="507"/>
      <c r="BS72" s="877"/>
      <c r="BT72" s="869" t="s">
        <v>147</v>
      </c>
      <c r="BU72" s="870"/>
      <c r="BW72" s="841">
        <v>3</v>
      </c>
      <c r="BX72" s="878">
        <f t="shared" si="146"/>
        <v>6.8321566841266224E-2</v>
      </c>
      <c r="BY72" s="870"/>
      <c r="CA72" s="841">
        <v>6</v>
      </c>
      <c r="CB72" s="878">
        <f t="shared" si="147"/>
        <v>0.13395847287340923</v>
      </c>
      <c r="CC72" s="822"/>
      <c r="CE72" s="841">
        <v>14</v>
      </c>
      <c r="CF72" s="878">
        <f t="shared" si="148"/>
        <v>0.29282576866764276</v>
      </c>
      <c r="CG72" s="822"/>
      <c r="CI72" s="841">
        <v>19</v>
      </c>
      <c r="CJ72" s="878">
        <f t="shared" si="149"/>
        <v>0.40186125211505919</v>
      </c>
      <c r="CK72" s="822"/>
      <c r="CM72" s="841">
        <v>11</v>
      </c>
      <c r="CN72" s="878">
        <f t="shared" si="150"/>
        <v>0.25475852098819057</v>
      </c>
      <c r="CO72" s="822"/>
      <c r="CQ72" s="841">
        <v>4</v>
      </c>
      <c r="CR72" s="878">
        <f t="shared" si="151"/>
        <v>9.5684756443549235E-2</v>
      </c>
      <c r="CS72" s="879"/>
      <c r="CU72" s="1340">
        <v>0</v>
      </c>
      <c r="CV72" s="878">
        <f t="shared" si="152"/>
        <v>0</v>
      </c>
      <c r="CW72" s="879"/>
      <c r="CY72" s="1340">
        <v>0</v>
      </c>
      <c r="CZ72" s="878">
        <f t="shared" si="153"/>
        <v>0</v>
      </c>
      <c r="DA72" s="879"/>
      <c r="DC72" s="1340">
        <v>0</v>
      </c>
      <c r="DD72" s="878">
        <f t="shared" si="154"/>
        <v>0</v>
      </c>
      <c r="DE72" s="879"/>
      <c r="DG72" s="1353">
        <v>0</v>
      </c>
      <c r="DH72" s="878">
        <f t="shared" si="155"/>
        <v>0</v>
      </c>
      <c r="DI72" s="879"/>
      <c r="DK72" s="1340">
        <v>0</v>
      </c>
      <c r="DL72" s="878">
        <f t="shared" si="156"/>
        <v>0</v>
      </c>
      <c r="DM72" s="879"/>
      <c r="DP72" s="1340">
        <v>0</v>
      </c>
      <c r="DQ72" s="878">
        <f t="shared" si="157"/>
        <v>0</v>
      </c>
      <c r="DR72" s="879"/>
      <c r="DU72" s="1340">
        <v>0</v>
      </c>
      <c r="DV72" s="878">
        <f t="shared" si="158"/>
        <v>0</v>
      </c>
      <c r="DW72" s="879"/>
      <c r="DZ72" s="1353">
        <v>0</v>
      </c>
      <c r="EA72" s="878">
        <f t="shared" si="159"/>
        <v>0</v>
      </c>
      <c r="EB72" s="879"/>
      <c r="EE72" s="1546">
        <v>0</v>
      </c>
      <c r="EF72" s="878">
        <f t="shared" si="160"/>
        <v>0</v>
      </c>
      <c r="EG72" s="879"/>
      <c r="EK72" s="879"/>
      <c r="EL72" s="879"/>
      <c r="EM72" s="879"/>
      <c r="EN72" s="879"/>
      <c r="EO72" s="879"/>
      <c r="EP72" s="879"/>
      <c r="EQ72" s="879"/>
      <c r="ER72" s="879"/>
      <c r="ES72" s="879"/>
      <c r="ET72" s="879"/>
      <c r="EU72" s="879"/>
      <c r="EV72" s="879"/>
      <c r="EW72" s="805"/>
      <c r="EX72" s="805"/>
    </row>
    <row r="73" spans="1:261" outlineLevel="1">
      <c r="A73" s="819" t="s">
        <v>143</v>
      </c>
      <c r="C73" s="877"/>
      <c r="D73" s="867" t="s">
        <v>147</v>
      </c>
      <c r="E73" s="868"/>
      <c r="F73" s="507"/>
      <c r="G73" s="877"/>
      <c r="H73" s="867" t="s">
        <v>147</v>
      </c>
      <c r="I73" s="868"/>
      <c r="J73" s="507"/>
      <c r="K73" s="877"/>
      <c r="L73" s="867" t="s">
        <v>147</v>
      </c>
      <c r="M73" s="868"/>
      <c r="N73" s="507"/>
      <c r="O73" s="877"/>
      <c r="P73" s="867" t="s">
        <v>147</v>
      </c>
      <c r="Q73" s="868"/>
      <c r="R73" s="507"/>
      <c r="S73" s="877"/>
      <c r="T73" s="867" t="s">
        <v>147</v>
      </c>
      <c r="U73" s="868"/>
      <c r="V73" s="507"/>
      <c r="W73" s="877"/>
      <c r="X73" s="867" t="s">
        <v>147</v>
      </c>
      <c r="Y73" s="868"/>
      <c r="Z73" s="507"/>
      <c r="AA73" s="877"/>
      <c r="AB73" s="867" t="s">
        <v>147</v>
      </c>
      <c r="AC73" s="868"/>
      <c r="AD73" s="507"/>
      <c r="AE73" s="877"/>
      <c r="AF73" s="867" t="s">
        <v>147</v>
      </c>
      <c r="AG73" s="868"/>
      <c r="AH73" s="507"/>
      <c r="AI73" s="877"/>
      <c r="AJ73" s="867" t="s">
        <v>147</v>
      </c>
      <c r="AK73" s="868"/>
      <c r="AL73" s="507"/>
      <c r="AM73" s="877"/>
      <c r="AN73" s="867" t="s">
        <v>147</v>
      </c>
      <c r="AO73" s="868"/>
      <c r="AP73" s="507"/>
      <c r="AQ73" s="877"/>
      <c r="AR73" s="867" t="s">
        <v>147</v>
      </c>
      <c r="AS73" s="868"/>
      <c r="AT73" s="507"/>
      <c r="AU73" s="877"/>
      <c r="AV73" s="867" t="s">
        <v>147</v>
      </c>
      <c r="AW73" s="868"/>
      <c r="AX73" s="507"/>
      <c r="AY73" s="877"/>
      <c r="AZ73" s="867" t="s">
        <v>147</v>
      </c>
      <c r="BA73" s="868"/>
      <c r="BB73" s="507"/>
      <c r="BC73" s="877"/>
      <c r="BD73" s="867" t="s">
        <v>147</v>
      </c>
      <c r="BE73" s="868"/>
      <c r="BF73" s="507"/>
      <c r="BG73" s="877"/>
      <c r="BH73" s="867" t="s">
        <v>147</v>
      </c>
      <c r="BI73" s="868"/>
      <c r="BJ73" s="507"/>
      <c r="BK73" s="877"/>
      <c r="BL73" s="867" t="s">
        <v>147</v>
      </c>
      <c r="BM73" s="868"/>
      <c r="BN73" s="507"/>
      <c r="BO73" s="877"/>
      <c r="BP73" s="867" t="s">
        <v>147</v>
      </c>
      <c r="BQ73" s="868"/>
      <c r="BR73" s="507"/>
      <c r="BS73" s="877"/>
      <c r="BT73" s="869" t="s">
        <v>147</v>
      </c>
      <c r="BU73" s="870"/>
      <c r="BW73" s="845">
        <v>3</v>
      </c>
      <c r="BX73" s="878">
        <f t="shared" si="146"/>
        <v>5.037783375314861E-2</v>
      </c>
      <c r="BY73" s="870"/>
      <c r="CA73" s="845">
        <v>4</v>
      </c>
      <c r="CB73" s="878">
        <f t="shared" si="147"/>
        <v>6.4484053416010489E-2</v>
      </c>
      <c r="CC73" s="822"/>
      <c r="CE73" s="845">
        <v>6</v>
      </c>
      <c r="CF73" s="878">
        <f t="shared" si="148"/>
        <v>8.9982003599280144E-2</v>
      </c>
      <c r="CG73" s="822"/>
      <c r="CI73" s="845">
        <v>6</v>
      </c>
      <c r="CJ73" s="878">
        <f t="shared" si="149"/>
        <v>9.3896713615023469E-2</v>
      </c>
      <c r="CK73" s="822"/>
      <c r="CM73" s="845">
        <v>5</v>
      </c>
      <c r="CN73" s="878">
        <f t="shared" si="150"/>
        <v>8.6817286325201679E-2</v>
      </c>
      <c r="CO73" s="822"/>
      <c r="CQ73" s="845">
        <v>1</v>
      </c>
      <c r="CR73" s="878">
        <f t="shared" si="151"/>
        <v>1.8018018018018018E-2</v>
      </c>
      <c r="CS73" s="879"/>
      <c r="CU73" s="1341">
        <v>0</v>
      </c>
      <c r="CV73" s="878">
        <f t="shared" si="152"/>
        <v>0</v>
      </c>
      <c r="CW73" s="879"/>
      <c r="CY73" s="1341">
        <v>0</v>
      </c>
      <c r="CZ73" s="878">
        <f t="shared" si="153"/>
        <v>0</v>
      </c>
      <c r="DA73" s="879"/>
      <c r="DC73" s="1341">
        <v>0</v>
      </c>
      <c r="DD73" s="878">
        <f t="shared" si="154"/>
        <v>0</v>
      </c>
      <c r="DE73" s="879"/>
      <c r="DG73" s="1357">
        <v>0</v>
      </c>
      <c r="DH73" s="878">
        <f t="shared" si="155"/>
        <v>0</v>
      </c>
      <c r="DI73" s="879"/>
      <c r="DK73" s="1341">
        <v>0</v>
      </c>
      <c r="DL73" s="878">
        <f t="shared" si="156"/>
        <v>0</v>
      </c>
      <c r="DM73" s="879"/>
      <c r="DP73" s="1341">
        <v>0</v>
      </c>
      <c r="DQ73" s="878">
        <f t="shared" si="157"/>
        <v>0</v>
      </c>
      <c r="DR73" s="879"/>
      <c r="DU73" s="1341">
        <v>0</v>
      </c>
      <c r="DV73" s="878">
        <f t="shared" si="158"/>
        <v>0</v>
      </c>
      <c r="DW73" s="879"/>
      <c r="DZ73" s="1357">
        <v>0</v>
      </c>
      <c r="EA73" s="878">
        <f t="shared" si="159"/>
        <v>0</v>
      </c>
      <c r="EB73" s="879"/>
      <c r="EE73" s="1547">
        <v>0</v>
      </c>
      <c r="EF73" s="878">
        <f t="shared" si="160"/>
        <v>0</v>
      </c>
      <c r="EG73" s="879"/>
      <c r="EK73" s="879"/>
      <c r="EL73" s="879"/>
      <c r="EM73" s="879"/>
      <c r="EN73" s="879"/>
      <c r="EO73" s="879"/>
      <c r="EP73" s="879"/>
      <c r="EQ73" s="879"/>
      <c r="ER73" s="879"/>
      <c r="ES73" s="879"/>
      <c r="ET73" s="879"/>
      <c r="EU73" s="879"/>
      <c r="EV73" s="879"/>
      <c r="EW73" s="805"/>
      <c r="EX73" s="805"/>
    </row>
    <row r="74" spans="1:261" outlineLevel="1">
      <c r="A74" s="819" t="s">
        <v>144</v>
      </c>
      <c r="C74" s="435"/>
      <c r="D74" s="867" t="s">
        <v>147</v>
      </c>
      <c r="E74" s="868"/>
      <c r="F74" s="507"/>
      <c r="G74" s="435"/>
      <c r="H74" s="867" t="s">
        <v>147</v>
      </c>
      <c r="I74" s="868"/>
      <c r="J74" s="507"/>
      <c r="K74" s="435"/>
      <c r="L74" s="867" t="s">
        <v>147</v>
      </c>
      <c r="M74" s="868"/>
      <c r="N74" s="507"/>
      <c r="O74" s="435"/>
      <c r="P74" s="867" t="s">
        <v>147</v>
      </c>
      <c r="Q74" s="868"/>
      <c r="R74" s="507"/>
      <c r="S74" s="435"/>
      <c r="T74" s="867" t="s">
        <v>147</v>
      </c>
      <c r="U74" s="868"/>
      <c r="V74" s="507"/>
      <c r="W74" s="435"/>
      <c r="X74" s="867" t="s">
        <v>147</v>
      </c>
      <c r="Y74" s="868"/>
      <c r="Z74" s="507"/>
      <c r="AA74" s="435"/>
      <c r="AB74" s="867" t="s">
        <v>147</v>
      </c>
      <c r="AC74" s="868"/>
      <c r="AD74" s="507"/>
      <c r="AE74" s="435"/>
      <c r="AF74" s="867" t="s">
        <v>147</v>
      </c>
      <c r="AG74" s="868"/>
      <c r="AH74" s="507"/>
      <c r="AI74" s="435"/>
      <c r="AJ74" s="867" t="s">
        <v>147</v>
      </c>
      <c r="AK74" s="868"/>
      <c r="AL74" s="507"/>
      <c r="AM74" s="435"/>
      <c r="AN74" s="867" t="s">
        <v>147</v>
      </c>
      <c r="AO74" s="868"/>
      <c r="AP74" s="507"/>
      <c r="AQ74" s="435"/>
      <c r="AR74" s="867" t="s">
        <v>147</v>
      </c>
      <c r="AS74" s="868"/>
      <c r="AT74" s="507"/>
      <c r="AU74" s="435"/>
      <c r="AV74" s="867" t="s">
        <v>147</v>
      </c>
      <c r="AW74" s="868"/>
      <c r="AX74" s="507"/>
      <c r="AY74" s="435"/>
      <c r="AZ74" s="867" t="s">
        <v>147</v>
      </c>
      <c r="BA74" s="868"/>
      <c r="BB74" s="507"/>
      <c r="BC74" s="435"/>
      <c r="BD74" s="867" t="s">
        <v>147</v>
      </c>
      <c r="BE74" s="868"/>
      <c r="BF74" s="507"/>
      <c r="BG74" s="435"/>
      <c r="BH74" s="867" t="s">
        <v>147</v>
      </c>
      <c r="BI74" s="868"/>
      <c r="BJ74" s="507"/>
      <c r="BK74" s="435"/>
      <c r="BL74" s="867" t="s">
        <v>147</v>
      </c>
      <c r="BM74" s="870"/>
      <c r="BO74" s="591">
        <v>2</v>
      </c>
      <c r="BP74" s="869" t="s">
        <v>147</v>
      </c>
      <c r="BQ74" s="870"/>
      <c r="BS74" s="591">
        <v>4</v>
      </c>
      <c r="BT74" s="869" t="s">
        <v>147</v>
      </c>
      <c r="BU74" s="870"/>
      <c r="BW74" s="591">
        <f>SUM(BW70:BW73)</f>
        <v>11</v>
      </c>
      <c r="BX74" s="878">
        <f t="shared" si="146"/>
        <v>6.0786914235190101E-2</v>
      </c>
      <c r="BY74" s="870"/>
      <c r="CA74" s="591">
        <f>SUM(CA70:CA73)</f>
        <v>15</v>
      </c>
      <c r="CB74" s="878">
        <f t="shared" si="147"/>
        <v>7.9867594437041015E-2</v>
      </c>
      <c r="CC74" s="880"/>
      <c r="CE74" s="591">
        <f>SUM(CE70:CE73)</f>
        <v>27</v>
      </c>
      <c r="CF74" s="878">
        <f t="shared" si="148"/>
        <v>0.13564371079394374</v>
      </c>
      <c r="CG74" s="880"/>
      <c r="CI74" s="591">
        <f>SUM(CI70:CI73)</f>
        <v>46</v>
      </c>
      <c r="CJ74" s="878">
        <f t="shared" si="149"/>
        <v>0.23165634285138742</v>
      </c>
      <c r="CK74" s="880"/>
      <c r="CM74" s="591">
        <f>SUM(CM70:CM73)</f>
        <v>31</v>
      </c>
      <c r="CN74" s="878">
        <f t="shared" si="150"/>
        <v>0.16768964128728855</v>
      </c>
      <c r="CO74" s="880"/>
      <c r="CQ74" s="591">
        <f>SUM(CQ70:CQ73)</f>
        <v>28</v>
      </c>
      <c r="CR74" s="878">
        <f t="shared" si="151"/>
        <v>0.15945802920558771</v>
      </c>
      <c r="CS74" s="880"/>
      <c r="CU74" s="591">
        <f>SUM(CU70:CU73)</f>
        <v>0</v>
      </c>
      <c r="CV74" s="878">
        <f t="shared" si="152"/>
        <v>0</v>
      </c>
      <c r="CW74" s="880"/>
      <c r="CY74" s="591">
        <f>SUM(CY70:CY73)</f>
        <v>0</v>
      </c>
      <c r="CZ74" s="878">
        <f t="shared" si="153"/>
        <v>0</v>
      </c>
      <c r="DA74" s="880"/>
      <c r="DC74" s="846">
        <f>SUM(DC70:DC73)</f>
        <v>0</v>
      </c>
      <c r="DD74" s="878">
        <f t="shared" si="154"/>
        <v>0</v>
      </c>
      <c r="DE74" s="880"/>
      <c r="DG74" s="846">
        <f>SUM(DG70:DG73)</f>
        <v>0</v>
      </c>
      <c r="DH74" s="878">
        <f t="shared" si="155"/>
        <v>0</v>
      </c>
      <c r="DI74" s="880"/>
      <c r="DK74" s="846">
        <f>SUM(DK70:DK73)</f>
        <v>0</v>
      </c>
      <c r="DL74" s="878">
        <f t="shared" si="156"/>
        <v>0</v>
      </c>
      <c r="DM74" s="880"/>
      <c r="DP74" s="846">
        <f>SUM(DP70:DP73)</f>
        <v>0</v>
      </c>
      <c r="DQ74" s="878">
        <f t="shared" si="157"/>
        <v>0</v>
      </c>
      <c r="DR74" s="880"/>
      <c r="DU74" s="846">
        <f>SUM(DU70:DU73)</f>
        <v>0</v>
      </c>
      <c r="DV74" s="878">
        <f t="shared" si="158"/>
        <v>0</v>
      </c>
      <c r="DW74" s="880"/>
      <c r="DZ74" s="846">
        <f>SUM(DZ70:DZ73)</f>
        <v>0</v>
      </c>
      <c r="EA74" s="878">
        <f t="shared" si="159"/>
        <v>0</v>
      </c>
      <c r="EB74" s="880"/>
      <c r="EE74" s="846">
        <f>SUM(EE70:EE73)</f>
        <v>0</v>
      </c>
      <c r="EF74" s="878">
        <f t="shared" si="160"/>
        <v>0</v>
      </c>
      <c r="EG74" s="880"/>
      <c r="EK74" s="880"/>
      <c r="EL74" s="880"/>
      <c r="EM74" s="880"/>
      <c r="EN74" s="880"/>
      <c r="EO74" s="880"/>
      <c r="EP74" s="880"/>
      <c r="EQ74" s="880"/>
      <c r="ER74" s="880"/>
      <c r="ES74" s="880"/>
      <c r="ET74" s="880"/>
      <c r="EU74" s="880"/>
      <c r="EV74" s="880"/>
      <c r="EW74" s="805"/>
      <c r="EX74" s="805"/>
    </row>
    <row r="75" spans="1:261" hidden="1" outlineLevel="2">
      <c r="A75" s="819" t="s">
        <v>145</v>
      </c>
      <c r="C75" s="435"/>
      <c r="D75" s="867" t="s">
        <v>147</v>
      </c>
      <c r="E75" s="868"/>
      <c r="F75" s="507"/>
      <c r="G75" s="435"/>
      <c r="H75" s="867" t="s">
        <v>147</v>
      </c>
      <c r="I75" s="868"/>
      <c r="J75" s="507"/>
      <c r="K75" s="435"/>
      <c r="L75" s="867" t="s">
        <v>147</v>
      </c>
      <c r="M75" s="868"/>
      <c r="N75" s="507"/>
      <c r="O75" s="435"/>
      <c r="P75" s="867" t="s">
        <v>147</v>
      </c>
      <c r="Q75" s="868"/>
      <c r="R75" s="507"/>
      <c r="S75" s="435"/>
      <c r="T75" s="867" t="s">
        <v>147</v>
      </c>
      <c r="U75" s="868"/>
      <c r="V75" s="507"/>
      <c r="W75" s="435"/>
      <c r="X75" s="867" t="s">
        <v>147</v>
      </c>
      <c r="Y75" s="868"/>
      <c r="Z75" s="507"/>
      <c r="AA75" s="435"/>
      <c r="AB75" s="867" t="s">
        <v>147</v>
      </c>
      <c r="AC75" s="868"/>
      <c r="AD75" s="507"/>
      <c r="AE75" s="435"/>
      <c r="AF75" s="867" t="s">
        <v>147</v>
      </c>
      <c r="AG75" s="868"/>
      <c r="AH75" s="507"/>
      <c r="AI75" s="435"/>
      <c r="AJ75" s="867" t="s">
        <v>147</v>
      </c>
      <c r="AK75" s="868"/>
      <c r="AL75" s="507"/>
      <c r="AM75" s="435"/>
      <c r="AN75" s="867" t="s">
        <v>147</v>
      </c>
      <c r="AO75" s="868"/>
      <c r="AP75" s="507"/>
      <c r="AQ75" s="435"/>
      <c r="AR75" s="867" t="s">
        <v>147</v>
      </c>
      <c r="AS75" s="868"/>
      <c r="AT75" s="507"/>
      <c r="AU75" s="435"/>
      <c r="AV75" s="867" t="s">
        <v>147</v>
      </c>
      <c r="AW75" s="868"/>
      <c r="AX75" s="507"/>
      <c r="AY75" s="435"/>
      <c r="AZ75" s="867" t="s">
        <v>147</v>
      </c>
      <c r="BA75" s="868"/>
      <c r="BB75" s="507"/>
      <c r="BC75" s="435"/>
      <c r="BD75" s="867" t="s">
        <v>147</v>
      </c>
      <c r="BE75" s="868"/>
      <c r="BF75" s="507"/>
      <c r="BG75" s="435"/>
      <c r="BH75" s="867" t="s">
        <v>147</v>
      </c>
      <c r="BI75" s="868"/>
      <c r="BJ75" s="507"/>
      <c r="BK75" s="435"/>
      <c r="BL75" s="867" t="s">
        <v>147</v>
      </c>
      <c r="BM75" s="870"/>
      <c r="BO75" s="706"/>
      <c r="BP75" s="869" t="s">
        <v>147</v>
      </c>
      <c r="BQ75" s="870"/>
      <c r="BS75" s="706"/>
      <c r="BT75" s="869" t="s">
        <v>147</v>
      </c>
      <c r="BU75" s="870"/>
      <c r="BW75" s="706">
        <f>BW70+BW71</f>
        <v>5</v>
      </c>
      <c r="BX75" s="878">
        <f t="shared" si="146"/>
        <v>6.4516129032258063E-2</v>
      </c>
      <c r="BY75" s="870"/>
      <c r="CA75" s="706">
        <f>CA70+CA71</f>
        <v>5</v>
      </c>
      <c r="CB75" s="878">
        <f t="shared" si="147"/>
        <v>6.173601679219657E-2</v>
      </c>
      <c r="CC75" s="880"/>
      <c r="CE75" s="706">
        <f>CE70+CE71</f>
        <v>7</v>
      </c>
      <c r="CF75" s="878">
        <f t="shared" si="148"/>
        <v>8.2780595471570309E-2</v>
      </c>
      <c r="CG75" s="880"/>
      <c r="CI75" s="706">
        <f>CI70+CI71</f>
        <v>21</v>
      </c>
      <c r="CJ75" s="878">
        <f t="shared" si="149"/>
        <v>0.24030209406110539</v>
      </c>
      <c r="CK75" s="880"/>
      <c r="CM75" s="706">
        <f>CM70+CM71</f>
        <v>15</v>
      </c>
      <c r="CN75" s="878">
        <f t="shared" si="150"/>
        <v>0.1783697770347327</v>
      </c>
      <c r="CO75" s="880"/>
      <c r="CQ75" s="706">
        <f>CQ70+CQ71</f>
        <v>23</v>
      </c>
      <c r="CR75" s="878">
        <f t="shared" si="151"/>
        <v>0.2937763352805472</v>
      </c>
      <c r="CS75" s="880"/>
      <c r="CU75" s="706">
        <f>CU70+CU71</f>
        <v>0</v>
      </c>
      <c r="CV75" s="878">
        <f t="shared" si="152"/>
        <v>0</v>
      </c>
      <c r="CW75" s="880"/>
      <c r="CY75" s="706">
        <f>CY70+CY71</f>
        <v>0</v>
      </c>
      <c r="CZ75" s="878">
        <f t="shared" si="153"/>
        <v>0</v>
      </c>
      <c r="DA75" s="880"/>
      <c r="DC75" s="846">
        <f>DC70+DC71</f>
        <v>0</v>
      </c>
      <c r="DD75" s="878">
        <f t="shared" si="154"/>
        <v>0</v>
      </c>
      <c r="DE75" s="880"/>
      <c r="DG75" s="846">
        <f>DG70+DG71</f>
        <v>0</v>
      </c>
      <c r="DH75" s="878">
        <f t="shared" si="155"/>
        <v>0</v>
      </c>
      <c r="DI75" s="880"/>
      <c r="DK75" s="846">
        <f>DK70+DK71</f>
        <v>0</v>
      </c>
      <c r="DL75" s="878">
        <f t="shared" si="156"/>
        <v>0</v>
      </c>
      <c r="DM75" s="880"/>
      <c r="DP75" s="846">
        <f>DP70+DP71</f>
        <v>0</v>
      </c>
      <c r="DQ75" s="878">
        <f t="shared" si="157"/>
        <v>0</v>
      </c>
      <c r="DR75" s="880"/>
      <c r="DU75" s="846">
        <f>DU70+DU71</f>
        <v>0</v>
      </c>
      <c r="DV75" s="878">
        <f t="shared" si="158"/>
        <v>0</v>
      </c>
      <c r="DW75" s="880"/>
      <c r="DZ75" s="846">
        <f>DZ70+DZ71</f>
        <v>0</v>
      </c>
      <c r="EA75" s="878">
        <f t="shared" si="159"/>
        <v>0</v>
      </c>
      <c r="EB75" s="880"/>
      <c r="EE75" s="846">
        <f>EE70+EE71</f>
        <v>0</v>
      </c>
      <c r="EF75" s="878">
        <f t="shared" si="160"/>
        <v>0</v>
      </c>
      <c r="EG75" s="880"/>
      <c r="EK75" s="880"/>
      <c r="EL75" s="880"/>
      <c r="EM75" s="880"/>
      <c r="EN75" s="880"/>
      <c r="EO75" s="880"/>
      <c r="EP75" s="880"/>
      <c r="EQ75" s="880"/>
      <c r="ER75" s="880"/>
      <c r="ES75" s="880"/>
      <c r="ET75" s="880"/>
      <c r="EU75" s="880"/>
      <c r="EV75" s="880"/>
      <c r="EW75" s="805"/>
      <c r="EX75" s="805"/>
    </row>
    <row r="76" spans="1:261" hidden="1" outlineLevel="2">
      <c r="A76" s="819" t="s">
        <v>146</v>
      </c>
      <c r="C76" s="435"/>
      <c r="D76" s="867" t="s">
        <v>147</v>
      </c>
      <c r="E76" s="868"/>
      <c r="F76" s="507"/>
      <c r="G76" s="435"/>
      <c r="H76" s="867" t="s">
        <v>147</v>
      </c>
      <c r="I76" s="868"/>
      <c r="J76" s="507"/>
      <c r="K76" s="435"/>
      <c r="L76" s="867" t="s">
        <v>147</v>
      </c>
      <c r="M76" s="868"/>
      <c r="N76" s="507"/>
      <c r="O76" s="435"/>
      <c r="P76" s="867" t="s">
        <v>147</v>
      </c>
      <c r="Q76" s="868"/>
      <c r="R76" s="507"/>
      <c r="S76" s="435"/>
      <c r="T76" s="867" t="s">
        <v>147</v>
      </c>
      <c r="U76" s="868"/>
      <c r="V76" s="507"/>
      <c r="W76" s="435"/>
      <c r="X76" s="867" t="s">
        <v>147</v>
      </c>
      <c r="Y76" s="868"/>
      <c r="Z76" s="507"/>
      <c r="AA76" s="435"/>
      <c r="AB76" s="867" t="s">
        <v>147</v>
      </c>
      <c r="AC76" s="868"/>
      <c r="AD76" s="507"/>
      <c r="AE76" s="435"/>
      <c r="AF76" s="867" t="s">
        <v>147</v>
      </c>
      <c r="AG76" s="868"/>
      <c r="AH76" s="507"/>
      <c r="AI76" s="435"/>
      <c r="AJ76" s="867" t="s">
        <v>147</v>
      </c>
      <c r="AK76" s="868"/>
      <c r="AL76" s="507"/>
      <c r="AM76" s="435"/>
      <c r="AN76" s="867" t="s">
        <v>147</v>
      </c>
      <c r="AO76" s="868"/>
      <c r="AP76" s="507"/>
      <c r="AQ76" s="435"/>
      <c r="AR76" s="867" t="s">
        <v>147</v>
      </c>
      <c r="AS76" s="868"/>
      <c r="AT76" s="507"/>
      <c r="AU76" s="435"/>
      <c r="AV76" s="867" t="s">
        <v>147</v>
      </c>
      <c r="AW76" s="868"/>
      <c r="AX76" s="507"/>
      <c r="AY76" s="435"/>
      <c r="AZ76" s="867" t="s">
        <v>147</v>
      </c>
      <c r="BA76" s="868"/>
      <c r="BB76" s="507"/>
      <c r="BC76" s="435"/>
      <c r="BD76" s="867" t="s">
        <v>147</v>
      </c>
      <c r="BE76" s="868"/>
      <c r="BF76" s="507"/>
      <c r="BG76" s="435"/>
      <c r="BH76" s="867" t="s">
        <v>147</v>
      </c>
      <c r="BI76" s="868"/>
      <c r="BJ76" s="507"/>
      <c r="BK76" s="435"/>
      <c r="BL76" s="867" t="s">
        <v>147</v>
      </c>
      <c r="BM76" s="870"/>
      <c r="BO76" s="706"/>
      <c r="BP76" s="869" t="s">
        <v>147</v>
      </c>
      <c r="BQ76" s="870"/>
      <c r="BS76" s="706"/>
      <c r="BT76" s="869" t="s">
        <v>147</v>
      </c>
      <c r="BU76" s="870"/>
      <c r="BW76" s="706">
        <f>BW70+BW71+BW72</f>
        <v>8</v>
      </c>
      <c r="BX76" s="878">
        <f t="shared" si="146"/>
        <v>6.5892430607034022E-2</v>
      </c>
      <c r="BY76" s="870"/>
      <c r="CA76" s="706">
        <f>CA70+CA71+CA72</f>
        <v>11</v>
      </c>
      <c r="CB76" s="878">
        <f t="shared" si="147"/>
        <v>8.745428525997774E-2</v>
      </c>
      <c r="CC76" s="880"/>
      <c r="CE76" s="706">
        <f>CE70+CE71+CE72</f>
        <v>21</v>
      </c>
      <c r="CF76" s="878">
        <f t="shared" si="148"/>
        <v>0.15864516425364855</v>
      </c>
      <c r="CG76" s="880"/>
      <c r="CI76" s="706">
        <f>CI70+CI71+CI72</f>
        <v>40</v>
      </c>
      <c r="CJ76" s="878">
        <f t="shared" si="149"/>
        <v>0.2970223509319076</v>
      </c>
      <c r="CK76" s="880"/>
      <c r="CM76" s="706">
        <f>CM70+CM71+CM72</f>
        <v>26</v>
      </c>
      <c r="CN76" s="878">
        <f t="shared" si="150"/>
        <v>0.20428510364537714</v>
      </c>
      <c r="CO76" s="880"/>
      <c r="CQ76" s="706">
        <f>CQ70+CQ71+CQ72</f>
        <v>27</v>
      </c>
      <c r="CR76" s="878">
        <f t="shared" si="151"/>
        <v>0.22482239907850887</v>
      </c>
      <c r="CS76" s="880"/>
      <c r="CU76" s="706">
        <f>CU70+CU71+CU72</f>
        <v>0</v>
      </c>
      <c r="CV76" s="878">
        <f t="shared" si="152"/>
        <v>0</v>
      </c>
      <c r="CW76" s="880"/>
      <c r="CY76" s="706">
        <f>CY70+CY71+CY72</f>
        <v>0</v>
      </c>
      <c r="CZ76" s="878">
        <f t="shared" si="153"/>
        <v>0</v>
      </c>
      <c r="DA76" s="880"/>
      <c r="DC76" s="846">
        <f>DC70+DC71+DC72</f>
        <v>0</v>
      </c>
      <c r="DD76" s="878">
        <f t="shared" si="154"/>
        <v>0</v>
      </c>
      <c r="DE76" s="880"/>
      <c r="DG76" s="846">
        <f>DG70+DG71+DG72</f>
        <v>0</v>
      </c>
      <c r="DH76" s="878">
        <f t="shared" si="155"/>
        <v>0</v>
      </c>
      <c r="DI76" s="880"/>
      <c r="DK76" s="846">
        <f>DK70+DK71+DK72</f>
        <v>0</v>
      </c>
      <c r="DL76" s="878">
        <f t="shared" si="156"/>
        <v>0</v>
      </c>
      <c r="DM76" s="880"/>
      <c r="DP76" s="846">
        <f>DP70+DP71+DP72</f>
        <v>0</v>
      </c>
      <c r="DQ76" s="878">
        <f t="shared" si="157"/>
        <v>0</v>
      </c>
      <c r="DR76" s="880"/>
      <c r="DU76" s="846">
        <f>DU70+DU71+DU72</f>
        <v>0</v>
      </c>
      <c r="DV76" s="878">
        <f t="shared" si="158"/>
        <v>0</v>
      </c>
      <c r="DW76" s="880"/>
      <c r="DZ76" s="846">
        <f>DZ70+DZ71+DZ72</f>
        <v>0</v>
      </c>
      <c r="EA76" s="878">
        <f t="shared" si="159"/>
        <v>0</v>
      </c>
      <c r="EB76" s="880"/>
      <c r="EE76" s="846">
        <f>EE70+EE71+EE72</f>
        <v>0</v>
      </c>
      <c r="EF76" s="878">
        <f t="shared" si="160"/>
        <v>0</v>
      </c>
      <c r="EG76" s="880"/>
      <c r="EK76" s="880"/>
      <c r="EL76" s="880"/>
      <c r="EM76" s="880"/>
      <c r="EN76" s="880"/>
      <c r="EO76" s="880"/>
      <c r="EP76" s="880"/>
      <c r="EQ76" s="880"/>
      <c r="ER76" s="880"/>
      <c r="ES76" s="880"/>
      <c r="ET76" s="880"/>
      <c r="EU76" s="880"/>
      <c r="EV76" s="880"/>
      <c r="EW76" s="805"/>
      <c r="EX76" s="805"/>
    </row>
    <row r="77" spans="1:261" outlineLevel="1" collapsed="1">
      <c r="C77" s="706"/>
      <c r="D77" s="687"/>
      <c r="E77" s="687"/>
      <c r="G77" s="706"/>
      <c r="H77" s="687"/>
      <c r="I77" s="687"/>
      <c r="K77" s="706"/>
      <c r="L77" s="687"/>
      <c r="M77" s="687"/>
      <c r="O77" s="706"/>
      <c r="S77" s="706"/>
      <c r="W77" s="706"/>
      <c r="AA77" s="706"/>
      <c r="AE77" s="706"/>
      <c r="AI77" s="706"/>
      <c r="AM77" s="706"/>
      <c r="AQ77" s="706"/>
      <c r="AU77" s="706"/>
      <c r="AY77" s="706"/>
      <c r="BC77" s="706"/>
      <c r="BG77" s="706"/>
      <c r="BK77" s="706"/>
      <c r="BO77" s="706"/>
      <c r="BS77" s="706"/>
      <c r="BW77" s="706"/>
      <c r="CA77" s="706"/>
      <c r="CE77" s="706"/>
      <c r="CI77" s="706"/>
      <c r="CM77" s="706"/>
      <c r="CQ77" s="706"/>
      <c r="CU77" s="706"/>
      <c r="CY77" s="706"/>
      <c r="EW77" s="805"/>
      <c r="EX77" s="805"/>
    </row>
    <row r="78" spans="1:261" outlineLevel="2">
      <c r="A78" s="881" t="s">
        <v>29</v>
      </c>
      <c r="B78" s="881" t="s">
        <v>29</v>
      </c>
      <c r="C78" s="881" t="s">
        <v>29</v>
      </c>
      <c r="D78" s="881" t="s">
        <v>29</v>
      </c>
      <c r="E78" s="881" t="s">
        <v>29</v>
      </c>
      <c r="F78" s="881" t="s">
        <v>29</v>
      </c>
      <c r="G78" s="881" t="s">
        <v>29</v>
      </c>
      <c r="H78" s="881" t="s">
        <v>29</v>
      </c>
      <c r="I78" s="881" t="s">
        <v>29</v>
      </c>
      <c r="J78" s="881" t="s">
        <v>29</v>
      </c>
      <c r="K78" s="881" t="s">
        <v>29</v>
      </c>
      <c r="L78" s="881" t="s">
        <v>29</v>
      </c>
      <c r="M78" s="881" t="s">
        <v>29</v>
      </c>
      <c r="N78" s="881" t="s">
        <v>29</v>
      </c>
      <c r="O78" s="881" t="s">
        <v>29</v>
      </c>
      <c r="P78" s="881" t="s">
        <v>29</v>
      </c>
      <c r="Q78" s="881" t="s">
        <v>29</v>
      </c>
      <c r="R78" s="881" t="s">
        <v>29</v>
      </c>
      <c r="S78" s="881" t="s">
        <v>29</v>
      </c>
      <c r="T78" s="881" t="s">
        <v>29</v>
      </c>
      <c r="U78" s="881" t="s">
        <v>29</v>
      </c>
      <c r="V78" s="881" t="s">
        <v>29</v>
      </c>
      <c r="W78" s="881" t="s">
        <v>29</v>
      </c>
      <c r="X78" s="881" t="s">
        <v>29</v>
      </c>
      <c r="Y78" s="881" t="s">
        <v>29</v>
      </c>
      <c r="Z78" s="881" t="s">
        <v>29</v>
      </c>
      <c r="AA78" s="881" t="s">
        <v>29</v>
      </c>
      <c r="AB78" s="881" t="s">
        <v>29</v>
      </c>
      <c r="AC78" s="881" t="s">
        <v>29</v>
      </c>
      <c r="AD78" s="881" t="s">
        <v>29</v>
      </c>
      <c r="AE78" s="881" t="s">
        <v>29</v>
      </c>
      <c r="AF78" s="881" t="s">
        <v>29</v>
      </c>
      <c r="AG78" s="881" t="s">
        <v>29</v>
      </c>
      <c r="AH78" s="881" t="s">
        <v>29</v>
      </c>
      <c r="AI78" s="881" t="s">
        <v>29</v>
      </c>
      <c r="AJ78" s="881" t="s">
        <v>29</v>
      </c>
      <c r="AK78" s="881" t="s">
        <v>29</v>
      </c>
      <c r="AL78" s="881" t="s">
        <v>29</v>
      </c>
      <c r="AM78" s="881" t="s">
        <v>29</v>
      </c>
      <c r="AN78" s="881" t="s">
        <v>29</v>
      </c>
      <c r="AO78" s="881" t="s">
        <v>29</v>
      </c>
      <c r="AP78" s="881" t="s">
        <v>29</v>
      </c>
      <c r="AQ78" s="881" t="s">
        <v>29</v>
      </c>
      <c r="AR78" s="881" t="s">
        <v>29</v>
      </c>
      <c r="AS78" s="881" t="s">
        <v>29</v>
      </c>
      <c r="AT78" s="881" t="s">
        <v>29</v>
      </c>
      <c r="AU78" s="881" t="s">
        <v>29</v>
      </c>
      <c r="AV78" s="881" t="s">
        <v>29</v>
      </c>
      <c r="AW78" s="881" t="s">
        <v>29</v>
      </c>
      <c r="AX78" s="881" t="s">
        <v>29</v>
      </c>
      <c r="AY78" s="881" t="s">
        <v>29</v>
      </c>
      <c r="AZ78" s="881" t="s">
        <v>29</v>
      </c>
      <c r="BA78" s="881" t="s">
        <v>29</v>
      </c>
      <c r="BB78" s="881" t="s">
        <v>29</v>
      </c>
      <c r="BC78" s="881" t="s">
        <v>29</v>
      </c>
      <c r="BD78" s="881" t="s">
        <v>29</v>
      </c>
      <c r="BE78" s="881" t="s">
        <v>29</v>
      </c>
      <c r="BF78" s="881" t="s">
        <v>29</v>
      </c>
      <c r="BG78" s="881" t="s">
        <v>29</v>
      </c>
      <c r="BH78" s="881" t="s">
        <v>29</v>
      </c>
      <c r="BI78" s="881" t="s">
        <v>29</v>
      </c>
      <c r="BJ78" s="881" t="s">
        <v>29</v>
      </c>
      <c r="BK78" s="881" t="s">
        <v>29</v>
      </c>
      <c r="BL78" s="881" t="s">
        <v>29</v>
      </c>
      <c r="BM78" s="881" t="s">
        <v>29</v>
      </c>
      <c r="BN78" s="881" t="s">
        <v>29</v>
      </c>
      <c r="BO78" s="881" t="s">
        <v>29</v>
      </c>
      <c r="BP78" s="881" t="s">
        <v>29</v>
      </c>
      <c r="BQ78" s="881" t="s">
        <v>29</v>
      </c>
      <c r="BR78" s="881" t="s">
        <v>29</v>
      </c>
      <c r="BS78" s="881" t="s">
        <v>29</v>
      </c>
      <c r="BT78" s="881" t="s">
        <v>29</v>
      </c>
      <c r="BU78" s="881" t="s">
        <v>29</v>
      </c>
      <c r="BV78" s="881" t="s">
        <v>29</v>
      </c>
      <c r="BW78" s="881" t="s">
        <v>29</v>
      </c>
      <c r="BX78" s="881" t="s">
        <v>29</v>
      </c>
      <c r="BY78" s="881" t="s">
        <v>29</v>
      </c>
      <c r="BZ78" s="881" t="s">
        <v>29</v>
      </c>
      <c r="CA78" s="881" t="s">
        <v>29</v>
      </c>
      <c r="CB78" s="881" t="s">
        <v>29</v>
      </c>
      <c r="CC78" s="881" t="s">
        <v>29</v>
      </c>
      <c r="CD78" s="881" t="s">
        <v>29</v>
      </c>
      <c r="CE78" s="881" t="s">
        <v>29</v>
      </c>
      <c r="CF78" s="881" t="s">
        <v>29</v>
      </c>
      <c r="CG78" s="881" t="s">
        <v>29</v>
      </c>
      <c r="CH78" s="881" t="s">
        <v>29</v>
      </c>
      <c r="CI78" s="881" t="s">
        <v>29</v>
      </c>
      <c r="CJ78" s="881" t="s">
        <v>29</v>
      </c>
      <c r="CK78" s="881" t="s">
        <v>29</v>
      </c>
      <c r="CL78" s="881" t="s">
        <v>29</v>
      </c>
      <c r="CM78" s="881" t="s">
        <v>29</v>
      </c>
      <c r="CN78" s="881" t="s">
        <v>29</v>
      </c>
      <c r="CO78" s="881" t="s">
        <v>29</v>
      </c>
      <c r="CP78" s="881" t="s">
        <v>29</v>
      </c>
      <c r="CQ78" s="881" t="s">
        <v>29</v>
      </c>
      <c r="CR78" s="881" t="s">
        <v>29</v>
      </c>
      <c r="CS78" s="881" t="s">
        <v>29</v>
      </c>
      <c r="CT78" s="881" t="s">
        <v>29</v>
      </c>
      <c r="CU78" s="881" t="s">
        <v>29</v>
      </c>
      <c r="CY78" s="882"/>
      <c r="DG78" s="818" t="s">
        <v>29</v>
      </c>
      <c r="DP78" s="1585" t="str">
        <f>DG78</f>
        <v xml:space="preserve">Total Operating Expenses  (% of Sales) </v>
      </c>
      <c r="DQ78" s="1585"/>
      <c r="DR78" s="1585"/>
      <c r="DS78" s="1585"/>
      <c r="DT78" s="1585"/>
      <c r="DU78" s="1585"/>
      <c r="DV78" s="1585"/>
      <c r="DW78" s="1585"/>
    </row>
    <row r="79" spans="1:261" outlineLevel="2">
      <c r="C79" s="706"/>
      <c r="D79" s="687"/>
      <c r="E79" s="687"/>
      <c r="G79" s="706"/>
      <c r="H79" s="687"/>
      <c r="I79" s="687"/>
      <c r="K79" s="706"/>
      <c r="L79" s="687"/>
      <c r="M79" s="687"/>
      <c r="O79" s="706"/>
      <c r="S79" s="706"/>
      <c r="W79" s="706"/>
      <c r="AA79" s="706"/>
      <c r="AE79" s="706"/>
      <c r="AI79" s="706"/>
      <c r="AM79" s="706"/>
      <c r="AQ79" s="706"/>
      <c r="AU79" s="706"/>
      <c r="AY79" s="706"/>
      <c r="BC79" s="706"/>
      <c r="BG79" s="706"/>
      <c r="BK79" s="706"/>
      <c r="BO79" s="706"/>
      <c r="BS79" s="706"/>
      <c r="BW79" s="706"/>
      <c r="CA79" s="706"/>
      <c r="CE79" s="706"/>
      <c r="CI79" s="706"/>
      <c r="CM79" s="706"/>
      <c r="CQ79" s="706"/>
      <c r="CU79" s="706"/>
      <c r="CY79" s="706"/>
    </row>
    <row r="80" spans="1:261" outlineLevel="2">
      <c r="A80" s="819" t="s">
        <v>140</v>
      </c>
      <c r="C80" s="779">
        <v>931</v>
      </c>
      <c r="D80" s="839">
        <f t="shared" ref="D80:D86" si="161">C80/C10*100</f>
        <v>27.865908410655493</v>
      </c>
      <c r="E80" s="822"/>
      <c r="G80" s="779">
        <v>984</v>
      </c>
      <c r="H80" s="839">
        <f t="shared" ref="H80:H86" si="162">G80/G10*100</f>
        <v>27.875354107648725</v>
      </c>
      <c r="I80" s="822">
        <f>(H80-D80)*100</f>
        <v>0.94456969932323886</v>
      </c>
      <c r="K80" s="779">
        <v>975</v>
      </c>
      <c r="L80" s="839">
        <f t="shared" ref="L80:L86" si="163">K80/K10*100</f>
        <v>28.400815613166326</v>
      </c>
      <c r="M80" s="822">
        <f>(L80-H80)*100</f>
        <v>52.546150551760107</v>
      </c>
      <c r="O80" s="779">
        <v>1014</v>
      </c>
      <c r="P80" s="839">
        <f t="shared" ref="P80:P86" si="164">O80/O10*100</f>
        <v>26.733456366991824</v>
      </c>
      <c r="Q80" s="822">
        <f>(P80-L80)*100</f>
        <v>-166.73592461745022</v>
      </c>
      <c r="S80" s="779">
        <v>1025</v>
      </c>
      <c r="T80" s="839">
        <f t="shared" ref="T80:T86" si="165">S80/S10*100</f>
        <v>25.857719475277495</v>
      </c>
      <c r="U80" s="822">
        <f>(T80-P80)*100</f>
        <v>-87.573689171432889</v>
      </c>
      <c r="W80" s="779">
        <v>1092</v>
      </c>
      <c r="X80" s="839">
        <f t="shared" ref="X80:X86" si="166">W80/W10*100</f>
        <v>25.103448275862068</v>
      </c>
      <c r="Y80" s="822">
        <f>(X80-T80)*100</f>
        <v>-75.427119941542742</v>
      </c>
      <c r="AA80" s="779">
        <v>1148</v>
      </c>
      <c r="AB80" s="839">
        <f t="shared" ref="AB80:AB86" si="167">AA80/AA10*100</f>
        <v>26.288069613006641</v>
      </c>
      <c r="AC80" s="822">
        <f>(AB80-X80)*100</f>
        <v>118.46213371445735</v>
      </c>
      <c r="AE80" s="779">
        <v>1431</v>
      </c>
      <c r="AF80" s="839">
        <f t="shared" ref="AF80:AF86" si="168">AE80/AE10*100</f>
        <v>23.629458388375166</v>
      </c>
      <c r="AG80" s="822">
        <f>(AF80-AB80)*100</f>
        <v>-265.86112246314747</v>
      </c>
      <c r="AI80" s="779">
        <v>1154</v>
      </c>
      <c r="AJ80" s="839">
        <f t="shared" ref="AJ80:AJ86" si="169">AI80/AI10*100</f>
        <v>25.920934411500451</v>
      </c>
      <c r="AK80" s="822">
        <f>(AJ80-AF80)*100</f>
        <v>229.14760231252842</v>
      </c>
      <c r="AM80" s="779">
        <v>1516</v>
      </c>
      <c r="AN80" s="839">
        <f t="shared" ref="AN80:AN86" si="170">AM80/AM10*100</f>
        <v>23.40481373411761</v>
      </c>
      <c r="AO80" s="822">
        <f>(AN80-AJ80)*100</f>
        <v>-251.61206773828405</v>
      </c>
      <c r="AQ80" s="779">
        <v>1551</v>
      </c>
      <c r="AR80" s="839">
        <f t="shared" ref="AR80:AR86" si="171">AQ80/AQ10*100</f>
        <v>22.960769800148039</v>
      </c>
      <c r="AS80" s="822">
        <f>(AR80-AN80)*100</f>
        <v>-44.404393396957076</v>
      </c>
      <c r="AU80" s="779">
        <v>2028</v>
      </c>
      <c r="AV80" s="839">
        <f t="shared" ref="AV80:AV86" si="172">AU80/AU10*100</f>
        <v>27.633192533042649</v>
      </c>
      <c r="AW80" s="822">
        <f>(AV80-AR80)*100</f>
        <v>467.24227328946097</v>
      </c>
      <c r="AY80" s="779">
        <v>2075</v>
      </c>
      <c r="AZ80" s="839">
        <f t="shared" ref="AZ80:AZ86" si="173">AY80/AY10*100</f>
        <v>27.563761955366633</v>
      </c>
      <c r="BA80" s="822">
        <f>(AZ80-AV80)*100</f>
        <v>-6.9430577676016014</v>
      </c>
      <c r="BC80" s="779">
        <v>2045</v>
      </c>
      <c r="BD80" s="839">
        <f t="shared" ref="BD80:BD86" si="174">BC80/BC10*100</f>
        <v>27.186918372773199</v>
      </c>
      <c r="BE80" s="822">
        <f>(BD80-AZ80)*100</f>
        <v>-37.684358259343398</v>
      </c>
      <c r="BG80" s="779">
        <v>2096</v>
      </c>
      <c r="BH80" s="839">
        <f t="shared" ref="BH80:BH86" si="175">BG80/BG10*100</f>
        <v>27.122153209109729</v>
      </c>
      <c r="BI80" s="822">
        <f>(BH80-BD80)*100</f>
        <v>-6.4765163663469849</v>
      </c>
      <c r="BK80" s="779">
        <v>1324</v>
      </c>
      <c r="BL80" s="839">
        <f t="shared" ref="BL80:BL86" si="176">BK80/BK10*100</f>
        <v>32.699431958508271</v>
      </c>
      <c r="BM80" s="822">
        <f>(BL80-BH80)*100</f>
        <v>557.72787493985413</v>
      </c>
      <c r="BO80" s="779">
        <v>1350</v>
      </c>
      <c r="BP80" s="839">
        <f t="shared" ref="BP80:BP86" si="177">BO80/BO10*100</f>
        <v>33.834586466165412</v>
      </c>
      <c r="BQ80" s="822">
        <f>(BP80-BL80)*100</f>
        <v>113.51545076571412</v>
      </c>
      <c r="BS80" s="779">
        <v>1353</v>
      </c>
      <c r="BT80" s="839">
        <f t="shared" ref="BT80:BT86" si="178">BS80/BS10*100</f>
        <v>36.876533115290272</v>
      </c>
      <c r="BU80" s="822">
        <f>(BT80-BP80)*100</f>
        <v>304.19466491248602</v>
      </c>
      <c r="BW80" s="779">
        <f>BW30+BW40+BW50+BW60+BW70</f>
        <v>1310</v>
      </c>
      <c r="BX80" s="839">
        <f t="shared" ref="BX80:BX86" si="179">BW80/BW10*100</f>
        <v>32.980866062437059</v>
      </c>
      <c r="BY80" s="822">
        <f>(BX80-BT80)*100</f>
        <v>-389.56670528532129</v>
      </c>
      <c r="CA80" s="779">
        <f>CA30+CA40+CA50+CA60+CA70</f>
        <v>1340</v>
      </c>
      <c r="CB80" s="839">
        <f t="shared" ref="CB80:CB86" si="180">CA80/CA10*100</f>
        <v>32.540067994171928</v>
      </c>
      <c r="CC80" s="822">
        <f>(CB80-BX80)*100</f>
        <v>-44.079806826513135</v>
      </c>
      <c r="CE80" s="779">
        <f>CE30+CE40+CE50+CE60+CE70</f>
        <v>1353</v>
      </c>
      <c r="CF80" s="839">
        <f t="shared" ref="CF80:CF86" si="181">CE80/CE10*100</f>
        <v>32.069210713439205</v>
      </c>
      <c r="CG80" s="822">
        <f>(CF80-CB80)*100</f>
        <v>-47.085728073272293</v>
      </c>
      <c r="CI80" s="779">
        <f>CI30+CI40+CI50+CI60+CI70</f>
        <v>1397</v>
      </c>
      <c r="CJ80" s="839">
        <f t="shared" ref="CJ80:CJ86" si="182">CI80/CI10*100</f>
        <v>32.122326971717634</v>
      </c>
      <c r="CK80" s="822">
        <f>(CJ80-CF80)*100</f>
        <v>5.3116258278429029</v>
      </c>
      <c r="CM80" s="779">
        <f>CM30+CM40+CM50+CM60+CM70</f>
        <v>1411</v>
      </c>
      <c r="CN80" s="839">
        <f t="shared" ref="CN80:CN86" si="183">CM80/CM10*100</f>
        <v>34.189483886600435</v>
      </c>
      <c r="CO80" s="822">
        <f>(CN80-CJ80)*100</f>
        <v>206.71569148828013</v>
      </c>
      <c r="CQ80" s="779">
        <f>CQ30+CQ40+CQ50+CQ60+CQ70</f>
        <v>1474</v>
      </c>
      <c r="CR80" s="839">
        <f t="shared" ref="CR80:CR86" si="184">CQ80/CQ10*100</f>
        <v>37.926787769301455</v>
      </c>
      <c r="CS80" s="822">
        <f>(CR80-CN80)*100</f>
        <v>373.73038827010203</v>
      </c>
      <c r="CU80" s="779">
        <f>CU30+CU40+CU50+CU60+CU70</f>
        <v>1481</v>
      </c>
      <c r="CV80" s="839">
        <f t="shared" ref="CV80:CV86" si="185">CU80/CU10*100</f>
        <v>37.694069737846782</v>
      </c>
      <c r="CW80" s="822">
        <f>(CV80-CR80)*100</f>
        <v>-23.271803145467373</v>
      </c>
      <c r="CY80" s="779">
        <f>CY30+CY40+CY50+CY60+CY70</f>
        <v>1438</v>
      </c>
      <c r="CZ80" s="839">
        <f t="shared" ref="CZ80:CZ86" si="186">CY80/CY10*100</f>
        <v>36.469693127060616</v>
      </c>
      <c r="DA80" s="822">
        <f>(CZ80-CV80)*100</f>
        <v>-122.4376610786166</v>
      </c>
      <c r="DC80" s="883">
        <f>DC30+DC40+DC50+DC60+DC70</f>
        <v>1343</v>
      </c>
      <c r="DD80" s="839">
        <f t="shared" ref="DD80:DD86" si="187">DC80/DC10*100</f>
        <v>42.607868020304565</v>
      </c>
      <c r="DE80" s="822">
        <f>(DD80-CZ80)*100</f>
        <v>613.81748932439496</v>
      </c>
      <c r="DG80" s="883">
        <f>DG30+DG40+DG50+DG60+DG70</f>
        <v>1248</v>
      </c>
      <c r="DH80" s="839">
        <f t="shared" ref="DH80:DH86" si="188">DG80/DG10*100</f>
        <v>47.362428842504741</v>
      </c>
      <c r="DI80" s="822">
        <f t="shared" ref="DI80:DI86" si="189">(DH80-DD80)*100</f>
        <v>475.45608222001761</v>
      </c>
      <c r="DK80" s="883">
        <f>DK30+DK40+DK50+DK60+DK70</f>
        <v>1168</v>
      </c>
      <c r="DL80" s="839">
        <f t="shared" ref="DL80:DL86" si="190">DK80/DK10*100</f>
        <v>41.699393073902179</v>
      </c>
      <c r="DM80" s="822">
        <f t="shared" ref="DM80:DM86" si="191">(DL80-DH80)*100</f>
        <v>-566.30357686025616</v>
      </c>
      <c r="DP80" s="883">
        <f>DP30+DP40+DP50+DP60+DP70</f>
        <v>1102.75</v>
      </c>
      <c r="DQ80" s="839">
        <f t="shared" ref="DQ80:DQ86" si="192">DP80/DP10*100</f>
        <v>38.598179908995448</v>
      </c>
      <c r="DR80" s="822">
        <f t="shared" ref="DR80:DR86" si="193">(DQ80-DL80)*100</f>
        <v>-310.12131649067317</v>
      </c>
      <c r="DU80" s="883">
        <f>DU30+DU40+DU50+DU60+DU70</f>
        <v>1028</v>
      </c>
      <c r="DV80" s="839">
        <f t="shared" ref="DV80:DV86" si="194">DU80/DU10*100</f>
        <v>36.570615439345424</v>
      </c>
      <c r="DW80" s="822">
        <f t="shared" ref="DW80:DW86" si="195">(DV80-DQ80)*100</f>
        <v>-202.75644696500237</v>
      </c>
      <c r="DZ80" s="883">
        <f>DZ30+DZ40+DZ50+DZ60+DZ70</f>
        <v>986</v>
      </c>
      <c r="EA80" s="839">
        <f t="shared" ref="EA80:EA86" si="196">DZ80/DZ10*100</f>
        <v>36.437546193643755</v>
      </c>
      <c r="EB80" s="822">
        <f t="shared" ref="EB80:EB86" si="197">(EA80-DV80)*100</f>
        <v>-13.306924570166956</v>
      </c>
      <c r="EE80" s="883">
        <f>EE30+EE40+EE50+EE60+EE70</f>
        <v>979.14</v>
      </c>
      <c r="EF80" s="839">
        <f t="shared" ref="EF80:EF86" si="198">EE80/EE10*100</f>
        <v>36.772393777152843</v>
      </c>
      <c r="EG80" s="822">
        <f t="shared" ref="EG80:EG86" si="199">(EF80-EA80)*100</f>
        <v>33.484758350908805</v>
      </c>
      <c r="EK80" s="822"/>
      <c r="EL80" s="822"/>
      <c r="EM80" s="822"/>
      <c r="EN80" s="822"/>
      <c r="EO80" s="822"/>
      <c r="EP80" s="822"/>
      <c r="EQ80" s="822"/>
      <c r="ER80" s="822"/>
      <c r="ES80" s="822"/>
      <c r="ET80" s="822"/>
      <c r="EU80" s="822"/>
      <c r="EV80" s="822"/>
      <c r="EW80" s="822"/>
      <c r="EX80" s="822"/>
      <c r="EY80" s="822"/>
      <c r="EZ80" s="822"/>
      <c r="FA80" s="822"/>
      <c r="FB80" s="822"/>
      <c r="FC80" s="822"/>
      <c r="FD80" s="822"/>
      <c r="FE80" s="822"/>
      <c r="FF80" s="822"/>
      <c r="FG80" s="822"/>
      <c r="FH80" s="822"/>
      <c r="FI80" s="822"/>
      <c r="FJ80" s="822"/>
      <c r="FK80" s="822"/>
      <c r="FL80" s="822"/>
      <c r="FM80" s="822"/>
      <c r="FN80" s="822"/>
      <c r="FO80" s="822"/>
      <c r="FP80" s="822"/>
      <c r="FQ80" s="822"/>
      <c r="FR80" s="822"/>
      <c r="FS80" s="822"/>
      <c r="FT80" s="822"/>
      <c r="FU80" s="822"/>
      <c r="FV80" s="822"/>
      <c r="FW80" s="822"/>
      <c r="FX80" s="822"/>
      <c r="FY80" s="822"/>
      <c r="FZ80" s="822"/>
      <c r="GA80" s="822"/>
      <c r="GB80" s="822"/>
      <c r="GC80" s="822"/>
      <c r="GD80" s="822"/>
      <c r="GE80" s="822"/>
      <c r="GF80" s="822"/>
      <c r="GG80" s="822"/>
      <c r="GH80" s="822"/>
      <c r="GI80" s="822"/>
      <c r="GJ80" s="822"/>
      <c r="GK80" s="822"/>
      <c r="GL80" s="822"/>
      <c r="GM80" s="822"/>
      <c r="GN80" s="822"/>
      <c r="GO80" s="822"/>
      <c r="GP80" s="822"/>
      <c r="GQ80" s="822"/>
      <c r="GR80" s="822"/>
      <c r="GS80" s="822"/>
      <c r="GT80" s="822"/>
      <c r="GU80" s="822"/>
      <c r="GV80" s="822"/>
      <c r="GW80" s="822"/>
      <c r="GX80" s="822"/>
      <c r="GY80" s="822"/>
      <c r="GZ80" s="822"/>
      <c r="HA80" s="822"/>
      <c r="HB80" s="822"/>
      <c r="HC80" s="822"/>
      <c r="HD80" s="822"/>
      <c r="HE80" s="822"/>
      <c r="HF80" s="822"/>
      <c r="HG80" s="822"/>
      <c r="HH80" s="822"/>
      <c r="HI80" s="822"/>
      <c r="HJ80" s="822"/>
      <c r="HK80" s="822"/>
      <c r="HL80" s="822"/>
      <c r="HM80" s="822"/>
      <c r="HN80" s="822"/>
      <c r="HO80" s="822"/>
      <c r="HP80" s="822"/>
      <c r="HQ80" s="822"/>
      <c r="HR80" s="822"/>
      <c r="HS80" s="822"/>
      <c r="HT80" s="822"/>
      <c r="HU80" s="822"/>
      <c r="HV80" s="822"/>
      <c r="HW80" s="822"/>
      <c r="HX80" s="822"/>
      <c r="HY80" s="822"/>
      <c r="HZ80" s="822"/>
      <c r="IA80" s="822"/>
      <c r="IB80" s="822"/>
      <c r="IC80" s="822"/>
      <c r="ID80" s="822"/>
      <c r="IE80" s="822"/>
      <c r="IF80" s="822"/>
      <c r="IG80" s="822"/>
      <c r="IH80" s="822"/>
      <c r="II80" s="822"/>
      <c r="IJ80" s="822"/>
      <c r="IK80" s="822"/>
      <c r="IL80" s="822"/>
      <c r="IM80" s="822"/>
      <c r="IN80" s="822"/>
      <c r="IO80" s="822"/>
      <c r="IP80" s="822"/>
      <c r="IQ80" s="822"/>
      <c r="IR80" s="822"/>
      <c r="IS80" s="822"/>
      <c r="IT80" s="822"/>
      <c r="IU80" s="822"/>
      <c r="IV80" s="822"/>
      <c r="IW80" s="822"/>
      <c r="IX80" s="822"/>
      <c r="IY80" s="822"/>
      <c r="IZ80" s="822"/>
      <c r="JA80" s="822"/>
    </row>
    <row r="81" spans="1:261" outlineLevel="2">
      <c r="A81" s="819" t="s">
        <v>141</v>
      </c>
      <c r="C81" s="780">
        <v>958</v>
      </c>
      <c r="D81" s="839">
        <f t="shared" si="161"/>
        <v>27.865037812681791</v>
      </c>
      <c r="E81" s="822"/>
      <c r="G81" s="780">
        <v>997</v>
      </c>
      <c r="H81" s="839">
        <f t="shared" si="162"/>
        <v>27.849162011173185</v>
      </c>
      <c r="I81" s="822">
        <f t="shared" ref="I81:I86" si="200">(H81-D81)*100</f>
        <v>-1.5875801508606457</v>
      </c>
      <c r="K81" s="780">
        <v>961</v>
      </c>
      <c r="L81" s="839">
        <f t="shared" si="163"/>
        <v>27.806712962962965</v>
      </c>
      <c r="M81" s="822">
        <f t="shared" ref="M81:M86" si="201">(L81-H81)*100</f>
        <v>-4.2449048210219331</v>
      </c>
      <c r="O81" s="780">
        <v>1026</v>
      </c>
      <c r="P81" s="839">
        <f t="shared" si="164"/>
        <v>27.078384798099762</v>
      </c>
      <c r="Q81" s="822">
        <f t="shared" ref="Q81:Q86" si="202">(P81-L81)*100</f>
        <v>-72.83281648632034</v>
      </c>
      <c r="S81" s="780">
        <v>1021</v>
      </c>
      <c r="T81" s="839">
        <f t="shared" si="165"/>
        <v>25.763310623265202</v>
      </c>
      <c r="U81" s="822">
        <f t="shared" ref="U81:U86" si="203">(T81-P81)*100</f>
        <v>-131.50741748345604</v>
      </c>
      <c r="W81" s="780">
        <v>1079</v>
      </c>
      <c r="X81" s="839">
        <f t="shared" si="166"/>
        <v>25.436115040075435</v>
      </c>
      <c r="Y81" s="822">
        <f t="shared" ref="Y81:Y86" si="204">(X81-T81)*100</f>
        <v>-32.719558318976638</v>
      </c>
      <c r="AA81" s="780">
        <v>1107</v>
      </c>
      <c r="AB81" s="839">
        <f t="shared" si="167"/>
        <v>24.96054114994363</v>
      </c>
      <c r="AC81" s="822">
        <f t="shared" ref="AC81:AC86" si="205">(AB81-X81)*100</f>
        <v>-47.55738901318054</v>
      </c>
      <c r="AE81" s="780">
        <v>1433</v>
      </c>
      <c r="AF81" s="839">
        <f t="shared" si="168"/>
        <v>23.831697987693332</v>
      </c>
      <c r="AG81" s="822">
        <f t="shared" ref="AG81:AG86" si="206">(AF81-AB81)*100</f>
        <v>-112.88431622502983</v>
      </c>
      <c r="AI81" s="780">
        <v>1160</v>
      </c>
      <c r="AJ81" s="839">
        <f t="shared" si="169"/>
        <v>25.737741291324607</v>
      </c>
      <c r="AK81" s="822">
        <f t="shared" ref="AK81:AK86" si="207">(AJ81-AF81)*100</f>
        <v>190.60433036312753</v>
      </c>
      <c r="AM81" s="780">
        <v>1472</v>
      </c>
      <c r="AN81" s="839">
        <f t="shared" si="170"/>
        <v>23.05186670007517</v>
      </c>
      <c r="AO81" s="822">
        <f t="shared" ref="AO81:AO86" si="208">(AN81-AJ81)*100</f>
        <v>-268.58745912494373</v>
      </c>
      <c r="AQ81" s="780">
        <v>1488</v>
      </c>
      <c r="AR81" s="839">
        <f t="shared" si="171"/>
        <v>22.955877815489046</v>
      </c>
      <c r="AS81" s="822">
        <f t="shared" ref="AS81:AS86" si="209">(AR81-AN81)*100</f>
        <v>-9.5988884586123646</v>
      </c>
      <c r="AU81" s="780">
        <v>1984</v>
      </c>
      <c r="AV81" s="839">
        <f t="shared" si="172"/>
        <v>27.927927927927925</v>
      </c>
      <c r="AW81" s="822">
        <f t="shared" ref="AW81:AW86" si="210">(AV81-AR81)*100</f>
        <v>497.2050112438879</v>
      </c>
      <c r="AY81" s="780">
        <v>2024</v>
      </c>
      <c r="AZ81" s="839">
        <f t="shared" si="173"/>
        <v>28.083807409463024</v>
      </c>
      <c r="BA81" s="822">
        <f t="shared" ref="BA81:BA86" si="211">(AZ81-AV81)*100</f>
        <v>15.587948153509856</v>
      </c>
      <c r="BC81" s="780">
        <v>1996</v>
      </c>
      <c r="BD81" s="839">
        <f t="shared" si="174"/>
        <v>27.679933435029813</v>
      </c>
      <c r="BE81" s="822">
        <f t="shared" ref="BE81:BE86" si="212">(BD81-AZ81)*100</f>
        <v>-40.387397443321049</v>
      </c>
      <c r="BG81" s="780">
        <v>2040</v>
      </c>
      <c r="BH81" s="839">
        <f t="shared" si="175"/>
        <v>28.341205890525146</v>
      </c>
      <c r="BI81" s="822">
        <f t="shared" ref="BI81:BI86" si="213">(BH81-BD81)*100</f>
        <v>66.127245549533242</v>
      </c>
      <c r="BK81" s="780">
        <v>1262</v>
      </c>
      <c r="BL81" s="839">
        <f t="shared" si="176"/>
        <v>32.84747527329516</v>
      </c>
      <c r="BM81" s="822">
        <f t="shared" ref="BM81:BM86" si="214">(BL81-BH81)*100</f>
        <v>450.62693827700144</v>
      </c>
      <c r="BO81" s="780">
        <v>1279</v>
      </c>
      <c r="BP81" s="839">
        <f t="shared" si="177"/>
        <v>35.46884038799972</v>
      </c>
      <c r="BQ81" s="822">
        <f t="shared" ref="BQ81:BQ86" si="215">(BP81-BL81)*100</f>
        <v>262.13651147045596</v>
      </c>
      <c r="BS81" s="780">
        <v>1232</v>
      </c>
      <c r="BT81" s="839">
        <f t="shared" si="178"/>
        <v>34.432643935159305</v>
      </c>
      <c r="BU81" s="822">
        <f t="shared" ref="BU81:BU86" si="216">(BT81-BP81)*100</f>
        <v>-103.61964528404144</v>
      </c>
      <c r="BW81" s="780">
        <f>BW31+BW41+BW51+BW61+BW71</f>
        <v>1213</v>
      </c>
      <c r="BX81" s="839">
        <f t="shared" si="179"/>
        <v>32.106934886183161</v>
      </c>
      <c r="BY81" s="822">
        <f t="shared" ref="BY81:BY86" si="217">(BX81-BT81)*100</f>
        <v>-232.57090489761438</v>
      </c>
      <c r="CA81" s="780">
        <f>CA31+CA41+CA51+CA61+CA71</f>
        <v>1260</v>
      </c>
      <c r="CB81" s="839">
        <f t="shared" si="180"/>
        <v>31.650339110776187</v>
      </c>
      <c r="CC81" s="822">
        <f t="shared" ref="CC81:CC86" si="218">(CB81-BX81)*100</f>
        <v>-45.659577540697427</v>
      </c>
      <c r="CE81" s="780">
        <f>CE31+CE41+CE51+CE61+CE71</f>
        <v>1312</v>
      </c>
      <c r="CF81" s="839">
        <f t="shared" si="181"/>
        <v>30.964662522940284</v>
      </c>
      <c r="CG81" s="822">
        <f t="shared" ref="CG81:CG86" si="219">(CF81-CB81)*100</f>
        <v>-68.567658783590346</v>
      </c>
      <c r="CI81" s="780">
        <f>CI31+CI41+CI51+CI61+CI71</f>
        <v>1358</v>
      </c>
      <c r="CJ81" s="839">
        <f t="shared" si="182"/>
        <v>30.933940774487471</v>
      </c>
      <c r="CK81" s="822">
        <f t="shared" ref="CK81:CK86" si="220">(CJ81-CF81)*100</f>
        <v>-3.0721748452812392</v>
      </c>
      <c r="CM81" s="780">
        <f>CM31+CM41+CM51+CM61+CM71</f>
        <v>1372</v>
      </c>
      <c r="CN81" s="839">
        <f t="shared" si="183"/>
        <v>32.037388195461517</v>
      </c>
      <c r="CO81" s="822">
        <f t="shared" ref="CO81:CO86" si="221">(CN81-CJ81)*100</f>
        <v>110.34474209740459</v>
      </c>
      <c r="CQ81" s="780">
        <f>CQ31+CQ41+CQ51+CQ61+CQ71</f>
        <v>1460</v>
      </c>
      <c r="CR81" s="839">
        <f t="shared" si="184"/>
        <v>37.030928905677591</v>
      </c>
      <c r="CS81" s="822">
        <f t="shared" ref="CS81:CS86" si="222">(CR81-CN81)*100</f>
        <v>499.35407102160741</v>
      </c>
      <c r="CU81" s="780">
        <f>CU31+CU41+CU51+CU61+CU71</f>
        <v>1464</v>
      </c>
      <c r="CV81" s="839">
        <f t="shared" si="185"/>
        <v>37.176231589639414</v>
      </c>
      <c r="CW81" s="822">
        <f t="shared" ref="CW81:CW86" si="223">(CV81-CR81)*100</f>
        <v>14.530268396182322</v>
      </c>
      <c r="CY81" s="780">
        <f>CY31+CY41+CY51+CY61+CY71</f>
        <v>1399</v>
      </c>
      <c r="CZ81" s="839">
        <f t="shared" si="186"/>
        <v>35.816692268305175</v>
      </c>
      <c r="DA81" s="822">
        <f t="shared" ref="DA81:DA86" si="224">(CZ81-CV81)*100</f>
        <v>-135.9539321334239</v>
      </c>
      <c r="DC81" s="884">
        <f>DC31+DC41+DC51+DC61+DC71</f>
        <v>1236</v>
      </c>
      <c r="DD81" s="839">
        <f t="shared" si="187"/>
        <v>40.900066181336861</v>
      </c>
      <c r="DE81" s="822">
        <f t="shared" ref="DE81:DE86" si="225">(DD81-CZ81)*100</f>
        <v>508.3373913031686</v>
      </c>
      <c r="DG81" s="884">
        <f>DG31+DG41+DG51+DG61+DG71</f>
        <v>1203</v>
      </c>
      <c r="DH81" s="839">
        <f t="shared" si="188"/>
        <v>45.174615095756664</v>
      </c>
      <c r="DI81" s="822">
        <f t="shared" si="189"/>
        <v>427.45489144198029</v>
      </c>
      <c r="DK81" s="884">
        <f>DK31+DK41+DK51+DK61+DK71</f>
        <v>1126</v>
      </c>
      <c r="DL81" s="839">
        <f t="shared" si="190"/>
        <v>40.228653090389429</v>
      </c>
      <c r="DM81" s="822">
        <f t="shared" si="191"/>
        <v>-494.59620053672353</v>
      </c>
      <c r="DP81" s="884">
        <f>DP31+DP41+DP51+DP61+DP71</f>
        <v>1067</v>
      </c>
      <c r="DQ81" s="839">
        <f t="shared" si="192"/>
        <v>37.11304347826087</v>
      </c>
      <c r="DR81" s="822">
        <f t="shared" si="193"/>
        <v>-311.56096121285589</v>
      </c>
      <c r="DU81" s="884">
        <f>DU31+DU41+DU51+DU61+DU71</f>
        <v>1008</v>
      </c>
      <c r="DV81" s="839">
        <f t="shared" si="194"/>
        <v>34.544208361891705</v>
      </c>
      <c r="DW81" s="822">
        <f t="shared" si="195"/>
        <v>-256.88351163691652</v>
      </c>
      <c r="DZ81" s="884">
        <f>DZ31+DZ41+DZ51+DZ61+DZ71</f>
        <v>982</v>
      </c>
      <c r="EA81" s="839">
        <f t="shared" si="196"/>
        <v>33.153274814314649</v>
      </c>
      <c r="EB81" s="822">
        <f t="shared" si="197"/>
        <v>-139.09335475770561</v>
      </c>
      <c r="EE81" s="884">
        <f>EE31+EE41+EE51+EE61+EE71</f>
        <v>968.94999999999993</v>
      </c>
      <c r="EF81" s="839">
        <f t="shared" si="198"/>
        <v>32.976506174990732</v>
      </c>
      <c r="EG81" s="822">
        <f t="shared" si="199"/>
        <v>-17.67686393239174</v>
      </c>
      <c r="EK81" s="822"/>
      <c r="EL81" s="822"/>
      <c r="EM81" s="822"/>
      <c r="EN81" s="822"/>
      <c r="EO81" s="822"/>
      <c r="EP81" s="822"/>
      <c r="EQ81" s="822"/>
      <c r="ER81" s="822"/>
      <c r="ES81" s="822"/>
      <c r="ET81" s="822"/>
      <c r="EU81" s="822"/>
      <c r="EV81" s="822"/>
      <c r="EW81" s="822"/>
      <c r="EX81" s="822"/>
      <c r="EY81" s="822"/>
      <c r="EZ81" s="822"/>
      <c r="FA81" s="822"/>
      <c r="FB81" s="822"/>
      <c r="FC81" s="822"/>
      <c r="FD81" s="822"/>
      <c r="FE81" s="822"/>
      <c r="FF81" s="822"/>
      <c r="FG81" s="822"/>
      <c r="FH81" s="822"/>
      <c r="FI81" s="822"/>
      <c r="FJ81" s="822"/>
      <c r="FK81" s="822"/>
      <c r="FL81" s="822"/>
      <c r="FM81" s="822"/>
      <c r="FN81" s="822"/>
      <c r="FO81" s="822"/>
      <c r="FP81" s="822"/>
      <c r="FQ81" s="822"/>
      <c r="FR81" s="822"/>
      <c r="FS81" s="822"/>
      <c r="FT81" s="822"/>
      <c r="FU81" s="822"/>
      <c r="FV81" s="822"/>
      <c r="FW81" s="822"/>
      <c r="FX81" s="822"/>
      <c r="FY81" s="822"/>
      <c r="FZ81" s="822"/>
      <c r="GA81" s="822"/>
      <c r="GB81" s="822"/>
      <c r="GC81" s="822"/>
      <c r="GD81" s="822"/>
      <c r="GE81" s="822"/>
      <c r="GF81" s="822"/>
      <c r="GG81" s="822"/>
      <c r="GH81" s="822"/>
      <c r="GI81" s="822"/>
      <c r="GJ81" s="822"/>
      <c r="GK81" s="822"/>
      <c r="GL81" s="822"/>
      <c r="GM81" s="822"/>
      <c r="GN81" s="822"/>
      <c r="GO81" s="822"/>
      <c r="GP81" s="822"/>
      <c r="GQ81" s="822"/>
      <c r="GR81" s="822"/>
      <c r="GS81" s="822"/>
      <c r="GT81" s="822"/>
      <c r="GU81" s="822"/>
      <c r="GV81" s="822"/>
      <c r="GW81" s="822"/>
      <c r="GX81" s="822"/>
      <c r="GY81" s="822"/>
      <c r="GZ81" s="822"/>
      <c r="HA81" s="822"/>
      <c r="HB81" s="822"/>
      <c r="HC81" s="822"/>
      <c r="HD81" s="822"/>
      <c r="HE81" s="822"/>
      <c r="HF81" s="822"/>
      <c r="HG81" s="822"/>
      <c r="HH81" s="822"/>
      <c r="HI81" s="822"/>
      <c r="HJ81" s="822"/>
      <c r="HK81" s="822"/>
      <c r="HL81" s="822"/>
      <c r="HM81" s="822"/>
      <c r="HN81" s="822"/>
      <c r="HO81" s="822"/>
      <c r="HP81" s="822"/>
      <c r="HQ81" s="822"/>
      <c r="HR81" s="822"/>
      <c r="HS81" s="822"/>
      <c r="HT81" s="822"/>
      <c r="HU81" s="822"/>
      <c r="HV81" s="822"/>
      <c r="HW81" s="822"/>
      <c r="HX81" s="822"/>
      <c r="HY81" s="822"/>
      <c r="HZ81" s="822"/>
      <c r="IA81" s="822"/>
      <c r="IB81" s="822"/>
      <c r="IC81" s="822"/>
      <c r="ID81" s="822"/>
      <c r="IE81" s="822"/>
      <c r="IF81" s="822"/>
      <c r="IG81" s="822"/>
      <c r="IH81" s="822"/>
      <c r="II81" s="822"/>
      <c r="IJ81" s="822"/>
      <c r="IK81" s="822"/>
      <c r="IL81" s="822"/>
      <c r="IM81" s="822"/>
      <c r="IN81" s="822"/>
      <c r="IO81" s="822"/>
      <c r="IP81" s="822"/>
      <c r="IQ81" s="822"/>
      <c r="IR81" s="822"/>
      <c r="IS81" s="822"/>
      <c r="IT81" s="822"/>
      <c r="IU81" s="822"/>
      <c r="IV81" s="822"/>
      <c r="IW81" s="822"/>
      <c r="IX81" s="822"/>
      <c r="IY81" s="822"/>
      <c r="IZ81" s="822"/>
      <c r="JA81" s="822"/>
    </row>
    <row r="82" spans="1:261" outlineLevel="2">
      <c r="A82" s="819" t="s">
        <v>142</v>
      </c>
      <c r="C82" s="780">
        <v>1072</v>
      </c>
      <c r="D82" s="839">
        <f t="shared" si="161"/>
        <v>26.39743905442009</v>
      </c>
      <c r="E82" s="822"/>
      <c r="G82" s="780">
        <v>1094</v>
      </c>
      <c r="H82" s="839">
        <f t="shared" si="162"/>
        <v>27.384230287859822</v>
      </c>
      <c r="I82" s="822">
        <f>(H82-D82)*100</f>
        <v>98.679123343973174</v>
      </c>
      <c r="K82" s="780">
        <v>1035</v>
      </c>
      <c r="L82" s="839">
        <f t="shared" si="163"/>
        <v>26.289052578105153</v>
      </c>
      <c r="M82" s="822">
        <f>(L82-H82)*100</f>
        <v>-109.51777097546689</v>
      </c>
      <c r="O82" s="780">
        <v>1086</v>
      </c>
      <c r="P82" s="839">
        <f t="shared" si="164"/>
        <v>25.011515430677107</v>
      </c>
      <c r="Q82" s="822">
        <f>(P82-L82)*100</f>
        <v>-127.75371474280455</v>
      </c>
      <c r="S82" s="780">
        <v>1145</v>
      </c>
      <c r="T82" s="839">
        <f t="shared" si="165"/>
        <v>24.181626187961985</v>
      </c>
      <c r="U82" s="822">
        <f>(T82-P82)*100</f>
        <v>-82.988924271512232</v>
      </c>
      <c r="W82" s="780">
        <v>1204</v>
      </c>
      <c r="X82" s="839">
        <f t="shared" si="166"/>
        <v>23.383181200233054</v>
      </c>
      <c r="Y82" s="822">
        <f>(X82-T82)*100</f>
        <v>-79.844498772893147</v>
      </c>
      <c r="AA82" s="780">
        <v>1201</v>
      </c>
      <c r="AB82" s="839">
        <f t="shared" si="167"/>
        <v>23.420436817472698</v>
      </c>
      <c r="AC82" s="822">
        <f>(AB82-X82)*100</f>
        <v>3.7255617239644323</v>
      </c>
      <c r="AE82" s="780">
        <v>1538</v>
      </c>
      <c r="AF82" s="839">
        <f t="shared" si="168"/>
        <v>21.874555539752524</v>
      </c>
      <c r="AG82" s="822">
        <f>(AF82-AB82)*100</f>
        <v>-154.58812777201734</v>
      </c>
      <c r="AI82" s="780">
        <v>1251</v>
      </c>
      <c r="AJ82" s="839">
        <f t="shared" si="169"/>
        <v>22.593462163626512</v>
      </c>
      <c r="AK82" s="822">
        <f>(AJ82-AF82)*100</f>
        <v>71.890662387398763</v>
      </c>
      <c r="AM82" s="780">
        <v>1557</v>
      </c>
      <c r="AN82" s="839">
        <f t="shared" si="170"/>
        <v>21.919389579491224</v>
      </c>
      <c r="AO82" s="822">
        <f>(AN82-AJ82)*100</f>
        <v>-67.407258413528837</v>
      </c>
      <c r="AQ82" s="780">
        <v>1622</v>
      </c>
      <c r="AR82" s="839">
        <f t="shared" si="171"/>
        <v>22.752139149950903</v>
      </c>
      <c r="AS82" s="822">
        <f>(AR82-AN82)*100</f>
        <v>83.274957045967923</v>
      </c>
      <c r="AU82" s="780">
        <v>2167</v>
      </c>
      <c r="AV82" s="839">
        <f t="shared" si="172"/>
        <v>28.367587380547192</v>
      </c>
      <c r="AW82" s="822">
        <f>(AV82-AR82)*100</f>
        <v>561.54482305962892</v>
      </c>
      <c r="AY82" s="780">
        <v>2151</v>
      </c>
      <c r="AZ82" s="839">
        <f t="shared" si="173"/>
        <v>28.535420535951179</v>
      </c>
      <c r="BA82" s="822">
        <f>(AZ82-AV82)*100</f>
        <v>16.783315540398647</v>
      </c>
      <c r="BC82" s="780">
        <v>2105</v>
      </c>
      <c r="BD82" s="839">
        <f t="shared" si="174"/>
        <v>27.235088627248029</v>
      </c>
      <c r="BE82" s="822">
        <f>(BD82-AZ82)*100</f>
        <v>-130.033190870315</v>
      </c>
      <c r="BG82" s="780">
        <v>2156</v>
      </c>
      <c r="BH82" s="839">
        <f t="shared" si="175"/>
        <v>27.38821138211382</v>
      </c>
      <c r="BI82" s="822">
        <f>(BH82-BD82)*100</f>
        <v>15.312275486579097</v>
      </c>
      <c r="BK82" s="780">
        <v>1384</v>
      </c>
      <c r="BL82" s="839">
        <f t="shared" si="176"/>
        <v>31.845375057524162</v>
      </c>
      <c r="BM82" s="822">
        <f>(BL82-BH82)*100</f>
        <v>445.71636754103423</v>
      </c>
      <c r="BO82" s="780">
        <v>1404</v>
      </c>
      <c r="BP82" s="839">
        <f t="shared" si="177"/>
        <v>32.696786213320912</v>
      </c>
      <c r="BQ82" s="822">
        <f>(BP82-BL82)*100</f>
        <v>85.141115579675031</v>
      </c>
      <c r="BS82" s="780">
        <v>1433</v>
      </c>
      <c r="BT82" s="839">
        <f t="shared" si="178"/>
        <v>33.575445173383315</v>
      </c>
      <c r="BU82" s="822">
        <f>(BT82-BP82)*100</f>
        <v>87.865896006240263</v>
      </c>
      <c r="BW82" s="780">
        <f>BW32+BW42+BW52+BW62+BW72</f>
        <v>1393</v>
      </c>
      <c r="BX82" s="839">
        <f t="shared" si="179"/>
        <v>31.723980869961281</v>
      </c>
      <c r="BY82" s="822">
        <f>(BX82-BT82)*100</f>
        <v>-185.14643034220342</v>
      </c>
      <c r="CA82" s="780">
        <f>CA32+CA42+CA52+CA62+CA72</f>
        <v>1423</v>
      </c>
      <c r="CB82" s="839">
        <f t="shared" si="180"/>
        <v>31.770484483143559</v>
      </c>
      <c r="CC82" s="822">
        <f>(CB82-BX82)*100</f>
        <v>4.6503613182277803</v>
      </c>
      <c r="CE82" s="780">
        <f>CE32+CE42+CE52+CE62+CE72</f>
        <v>1489</v>
      </c>
      <c r="CF82" s="839">
        <f t="shared" si="181"/>
        <v>31.144112110437145</v>
      </c>
      <c r="CG82" s="822">
        <f>(CF82-CB82)*100</f>
        <v>-62.637237270641322</v>
      </c>
      <c r="CI82" s="780">
        <f>CI32+CI42+CI52+CI62+CI72</f>
        <v>1477</v>
      </c>
      <c r="CJ82" s="839">
        <f t="shared" si="182"/>
        <v>31.239424703891711</v>
      </c>
      <c r="CK82" s="822">
        <f>(CJ82-CF82)*100</f>
        <v>9.5312593454565331</v>
      </c>
      <c r="CM82" s="780">
        <f>CM32+CM42+CM52+CM62+CM72</f>
        <v>1427</v>
      </c>
      <c r="CN82" s="839">
        <f t="shared" si="183"/>
        <v>33.049128131831637</v>
      </c>
      <c r="CO82" s="822">
        <f>(CN82-CJ82)*100</f>
        <v>180.97034279399259</v>
      </c>
      <c r="CQ82" s="780">
        <f>CQ32+CQ42+CQ52+CQ62+CQ72</f>
        <v>1586</v>
      </c>
      <c r="CR82" s="839">
        <f t="shared" si="184"/>
        <v>37.939005929867278</v>
      </c>
      <c r="CS82" s="822">
        <f>(CR82-CN82)*100</f>
        <v>488.98777980356414</v>
      </c>
      <c r="CU82" s="780">
        <f>CU32+CU42+CU52+CU62+CU72</f>
        <v>1518</v>
      </c>
      <c r="CV82" s="839">
        <f t="shared" si="185"/>
        <v>36.237765576509908</v>
      </c>
      <c r="CW82" s="822">
        <f>(CV82-CR82)*100</f>
        <v>-170.12403533573703</v>
      </c>
      <c r="CY82" s="780">
        <f>CY32+CY42+CY52+CY62+CY72</f>
        <v>1400</v>
      </c>
      <c r="CZ82" s="839">
        <f t="shared" si="186"/>
        <v>35.122930255895632</v>
      </c>
      <c r="DA82" s="822">
        <f>(CZ82-CV82)*100</f>
        <v>-111.48353206142758</v>
      </c>
      <c r="DC82" s="884">
        <f>DC32+DC42+DC52+DC62+DC72</f>
        <v>1271</v>
      </c>
      <c r="DD82" s="839">
        <f t="shared" si="187"/>
        <v>43.423300307482066</v>
      </c>
      <c r="DE82" s="822">
        <f>(DD82-CZ82)*100</f>
        <v>830.03700515864341</v>
      </c>
      <c r="DG82" s="884">
        <f>DG32+DG42+DG52+DG62+DG72</f>
        <v>1201</v>
      </c>
      <c r="DH82" s="839">
        <f t="shared" si="188"/>
        <v>43.216984526808204</v>
      </c>
      <c r="DI82" s="822">
        <f t="shared" si="189"/>
        <v>-20.631578067386158</v>
      </c>
      <c r="DK82" s="884">
        <f>DK32+DK42+DK52+DK62+DK72</f>
        <v>1145</v>
      </c>
      <c r="DL82" s="839">
        <f t="shared" si="190"/>
        <v>41.425470332850942</v>
      </c>
      <c r="DM82" s="822">
        <f t="shared" si="191"/>
        <v>-179.15141939572621</v>
      </c>
      <c r="DP82" s="884">
        <f>DP32+DP42+DP52+DP62+DP72</f>
        <v>1111</v>
      </c>
      <c r="DQ82" s="839">
        <f t="shared" si="192"/>
        <v>38.350017259233688</v>
      </c>
      <c r="DR82" s="822">
        <f t="shared" si="193"/>
        <v>-307.54530736172541</v>
      </c>
      <c r="DU82" s="884">
        <f>DU32+DU42+DU52+DU62+DU72</f>
        <v>1038</v>
      </c>
      <c r="DV82" s="839">
        <f t="shared" si="194"/>
        <v>36.33181659082954</v>
      </c>
      <c r="DW82" s="822">
        <f t="shared" si="195"/>
        <v>-201.82006684041482</v>
      </c>
      <c r="DZ82" s="884">
        <f>DZ32+DZ42+DZ52+DZ62+DZ72</f>
        <v>978</v>
      </c>
      <c r="EA82" s="839">
        <f t="shared" si="196"/>
        <v>34.841467759173497</v>
      </c>
      <c r="EB82" s="822">
        <f t="shared" si="197"/>
        <v>-149.03488316560427</v>
      </c>
      <c r="EE82" s="884">
        <f>EE32+EE42+EE52+EE62+EE72</f>
        <v>969.19999999999993</v>
      </c>
      <c r="EF82" s="839">
        <f t="shared" si="198"/>
        <v>35.52259855945087</v>
      </c>
      <c r="EG82" s="822">
        <f t="shared" si="199"/>
        <v>68.113080027737283</v>
      </c>
      <c r="EK82" s="822"/>
      <c r="EL82" s="822"/>
      <c r="EM82" s="822"/>
      <c r="EN82" s="822"/>
      <c r="EO82" s="822"/>
      <c r="EP82" s="822"/>
      <c r="EQ82" s="822"/>
      <c r="ER82" s="822"/>
      <c r="ES82" s="822"/>
      <c r="ET82" s="822"/>
      <c r="EU82" s="822"/>
      <c r="EV82" s="822"/>
      <c r="EW82" s="822"/>
      <c r="EX82" s="822"/>
      <c r="EY82" s="822"/>
      <c r="EZ82" s="822"/>
      <c r="FA82" s="822"/>
      <c r="FB82" s="822"/>
      <c r="FC82" s="822"/>
      <c r="FD82" s="822"/>
      <c r="FE82" s="822"/>
      <c r="FF82" s="822"/>
      <c r="FG82" s="822"/>
      <c r="FH82" s="822"/>
      <c r="FI82" s="822"/>
      <c r="FJ82" s="822"/>
      <c r="FK82" s="822"/>
      <c r="FL82" s="822"/>
      <c r="FM82" s="822"/>
      <c r="FN82" s="822"/>
      <c r="FO82" s="822"/>
      <c r="FP82" s="822"/>
      <c r="FQ82" s="822"/>
      <c r="FR82" s="822"/>
      <c r="FS82" s="822"/>
      <c r="FT82" s="822"/>
      <c r="FU82" s="822"/>
      <c r="FV82" s="822"/>
      <c r="FW82" s="822"/>
      <c r="FX82" s="822"/>
      <c r="FY82" s="822"/>
      <c r="FZ82" s="822"/>
      <c r="GA82" s="822"/>
      <c r="GB82" s="822"/>
      <c r="GC82" s="822"/>
      <c r="GD82" s="822"/>
      <c r="GE82" s="822"/>
      <c r="GF82" s="822"/>
      <c r="GG82" s="822"/>
      <c r="GH82" s="822"/>
      <c r="GI82" s="822"/>
      <c r="GJ82" s="822"/>
      <c r="GK82" s="822"/>
      <c r="GL82" s="822"/>
      <c r="GM82" s="822"/>
      <c r="GN82" s="822"/>
      <c r="GO82" s="822"/>
      <c r="GP82" s="822"/>
      <c r="GQ82" s="822"/>
      <c r="GR82" s="822"/>
      <c r="GS82" s="822"/>
      <c r="GT82" s="822"/>
      <c r="GU82" s="822"/>
      <c r="GV82" s="822"/>
      <c r="GW82" s="822"/>
      <c r="GX82" s="822"/>
      <c r="GY82" s="822"/>
      <c r="GZ82" s="822"/>
      <c r="HA82" s="822"/>
      <c r="HB82" s="822"/>
      <c r="HC82" s="822"/>
      <c r="HD82" s="822"/>
      <c r="HE82" s="822"/>
      <c r="HF82" s="822"/>
      <c r="HG82" s="822"/>
      <c r="HH82" s="822"/>
      <c r="HI82" s="822"/>
      <c r="HJ82" s="822"/>
      <c r="HK82" s="822"/>
      <c r="HL82" s="822"/>
      <c r="HM82" s="822"/>
      <c r="HN82" s="822"/>
      <c r="HO82" s="822"/>
      <c r="HP82" s="822"/>
      <c r="HQ82" s="822"/>
      <c r="HR82" s="822"/>
      <c r="HS82" s="822"/>
      <c r="HT82" s="822"/>
      <c r="HU82" s="822"/>
      <c r="HV82" s="822"/>
      <c r="HW82" s="822"/>
      <c r="HX82" s="822"/>
      <c r="HY82" s="822"/>
      <c r="HZ82" s="822"/>
      <c r="IA82" s="822"/>
      <c r="IB82" s="822"/>
      <c r="IC82" s="822"/>
      <c r="ID82" s="822"/>
      <c r="IE82" s="822"/>
      <c r="IF82" s="822"/>
      <c r="IG82" s="822"/>
      <c r="IH82" s="822"/>
      <c r="II82" s="822"/>
      <c r="IJ82" s="822"/>
      <c r="IK82" s="822"/>
      <c r="IL82" s="822"/>
      <c r="IM82" s="822"/>
      <c r="IN82" s="822"/>
      <c r="IO82" s="822"/>
      <c r="IP82" s="822"/>
      <c r="IQ82" s="822"/>
      <c r="IR82" s="822"/>
      <c r="IS82" s="822"/>
      <c r="IT82" s="822"/>
      <c r="IU82" s="822"/>
      <c r="IV82" s="822"/>
      <c r="IW82" s="822"/>
      <c r="IX82" s="822"/>
      <c r="IY82" s="822"/>
      <c r="IZ82" s="822"/>
      <c r="JA82" s="822"/>
    </row>
    <row r="83" spans="1:261" outlineLevel="2">
      <c r="A83" s="819" t="s">
        <v>143</v>
      </c>
      <c r="C83" s="781">
        <v>1194</v>
      </c>
      <c r="D83" s="839">
        <f t="shared" si="161"/>
        <v>22.686680600418015</v>
      </c>
      <c r="E83" s="822"/>
      <c r="G83" s="781">
        <v>1210</v>
      </c>
      <c r="H83" s="839">
        <f t="shared" si="162"/>
        <v>23.00380228136882</v>
      </c>
      <c r="I83" s="822">
        <f>(H83-D83)*100</f>
        <v>31.712168095080528</v>
      </c>
      <c r="K83" s="781">
        <v>1183</v>
      </c>
      <c r="L83" s="839">
        <f t="shared" si="163"/>
        <v>22.009302325581395</v>
      </c>
      <c r="M83" s="822">
        <f>(L83-H83)*100</f>
        <v>-99.449995578742545</v>
      </c>
      <c r="O83" s="781">
        <v>1320</v>
      </c>
      <c r="P83" s="839">
        <f t="shared" si="164"/>
        <v>21.692686935086279</v>
      </c>
      <c r="Q83" s="822">
        <f>(P83-L83)*100</f>
        <v>-31.661539049511589</v>
      </c>
      <c r="S83" s="781">
        <v>1317</v>
      </c>
      <c r="T83" s="839">
        <f t="shared" si="165"/>
        <v>20.835310868533462</v>
      </c>
      <c r="U83" s="822">
        <f>(T83-P83)*100</f>
        <v>-85.737606655281695</v>
      </c>
      <c r="W83" s="781">
        <v>1408</v>
      </c>
      <c r="X83" s="839">
        <f t="shared" si="166"/>
        <v>21.208013255008286</v>
      </c>
      <c r="Y83" s="822">
        <f>(X83-T83)*100</f>
        <v>37.270238647482401</v>
      </c>
      <c r="AA83" s="781">
        <v>1439</v>
      </c>
      <c r="AB83" s="839">
        <f t="shared" si="167"/>
        <v>21.697828709288299</v>
      </c>
      <c r="AC83" s="822">
        <f>(AB83-X83)*100</f>
        <v>48.981545428001283</v>
      </c>
      <c r="AE83" s="781">
        <v>1819</v>
      </c>
      <c r="AF83" s="839">
        <f t="shared" si="168"/>
        <v>20.364979847738468</v>
      </c>
      <c r="AG83" s="822">
        <f>(AF83-AB83)*100</f>
        <v>-133.2848861549831</v>
      </c>
      <c r="AI83" s="781">
        <v>1697</v>
      </c>
      <c r="AJ83" s="839">
        <f t="shared" si="169"/>
        <v>20.80676802354095</v>
      </c>
      <c r="AK83" s="822">
        <f>(AJ83-AF83)*100</f>
        <v>44.178817580248264</v>
      </c>
      <c r="AM83" s="781">
        <v>1940</v>
      </c>
      <c r="AN83" s="839">
        <f t="shared" si="170"/>
        <v>20.388859695218077</v>
      </c>
      <c r="AO83" s="822">
        <f>(AN83-AJ83)*100</f>
        <v>-41.79083283228735</v>
      </c>
      <c r="AQ83" s="781">
        <v>1850</v>
      </c>
      <c r="AR83" s="839">
        <f t="shared" si="171"/>
        <v>20.39241622574956</v>
      </c>
      <c r="AS83" s="822">
        <f>(AR83-AN83)*100</f>
        <v>0.3556530531483304</v>
      </c>
      <c r="AU83" s="781">
        <v>2381</v>
      </c>
      <c r="AV83" s="839">
        <f t="shared" si="172"/>
        <v>24.645481834178657</v>
      </c>
      <c r="AW83" s="822">
        <f>(AV83-AR83)*100</f>
        <v>425.30656084290968</v>
      </c>
      <c r="AY83" s="781">
        <v>2375</v>
      </c>
      <c r="AZ83" s="839">
        <f t="shared" si="173"/>
        <v>24.809359657369686</v>
      </c>
      <c r="BA83" s="822">
        <f>(AZ83-AV83)*100</f>
        <v>16.387782319102939</v>
      </c>
      <c r="BC83" s="781">
        <v>2319</v>
      </c>
      <c r="BD83" s="839">
        <f t="shared" si="174"/>
        <v>24.303081115070217</v>
      </c>
      <c r="BE83" s="822">
        <f>(BD83-AZ83)*100</f>
        <v>-50.627854229946934</v>
      </c>
      <c r="BG83" s="781">
        <v>2378</v>
      </c>
      <c r="BH83" s="839">
        <f t="shared" si="175"/>
        <v>24.903131217928578</v>
      </c>
      <c r="BI83" s="822">
        <f>(BH83-BD83)*100</f>
        <v>60.005010285836136</v>
      </c>
      <c r="BK83" s="781">
        <v>1559</v>
      </c>
      <c r="BL83" s="839">
        <f t="shared" si="176"/>
        <v>26.626814688300598</v>
      </c>
      <c r="BM83" s="822">
        <f>(BL83-BH83)*100</f>
        <v>172.368347037202</v>
      </c>
      <c r="BO83" s="781">
        <v>1601</v>
      </c>
      <c r="BP83" s="839">
        <f t="shared" si="177"/>
        <v>27.877415984676997</v>
      </c>
      <c r="BQ83" s="822">
        <f>(BP83-BL83)*100</f>
        <v>125.06012963763986</v>
      </c>
      <c r="BS83" s="781">
        <v>1711</v>
      </c>
      <c r="BT83" s="839">
        <f t="shared" si="178"/>
        <v>28.526175391797263</v>
      </c>
      <c r="BU83" s="822">
        <f>(BT83-BP83)*100</f>
        <v>64.875940712026647</v>
      </c>
      <c r="BW83" s="781">
        <f>BW33+BW43+BW53+BW63+BW73</f>
        <v>1589</v>
      </c>
      <c r="BX83" s="839">
        <f t="shared" si="179"/>
        <v>26.683459277917716</v>
      </c>
      <c r="BY83" s="822">
        <f>(BX83-BT83)*100</f>
        <v>-184.27161138795469</v>
      </c>
      <c r="CA83" s="781">
        <f>CA33+CA43+CA53+CA63+CA73</f>
        <v>1591</v>
      </c>
      <c r="CB83" s="839">
        <f t="shared" si="180"/>
        <v>25.648532246218171</v>
      </c>
      <c r="CC83" s="822">
        <f>(CB83-BX83)*100</f>
        <v>-103.49270316995458</v>
      </c>
      <c r="CE83" s="781">
        <f>CE33+CE43+CE53+CE63+CE73</f>
        <v>1783</v>
      </c>
      <c r="CF83" s="839">
        <f t="shared" si="181"/>
        <v>26.739652069586086</v>
      </c>
      <c r="CG83" s="822">
        <f>(CF83-CB83)*100</f>
        <v>109.11198233679151</v>
      </c>
      <c r="CI83" s="781">
        <f>CI33+CI43+CI53+CI63+CI73</f>
        <v>1597</v>
      </c>
      <c r="CJ83" s="839">
        <f t="shared" si="182"/>
        <v>24.992175273865413</v>
      </c>
      <c r="CK83" s="822">
        <f>(CJ83-CF83)*100</f>
        <v>-174.74767957206723</v>
      </c>
      <c r="CM83" s="781">
        <f>CM33+CM43+CM53+CM63+CM73</f>
        <v>1595</v>
      </c>
      <c r="CN83" s="839">
        <f t="shared" si="183"/>
        <v>27.694714337739335</v>
      </c>
      <c r="CO83" s="822">
        <f>(CN83-CJ83)*100</f>
        <v>270.25390638739214</v>
      </c>
      <c r="CQ83" s="781">
        <f>CQ33+CQ43+CQ53+CQ63+CQ73</f>
        <v>1722</v>
      </c>
      <c r="CR83" s="839">
        <f t="shared" si="184"/>
        <v>31.027027027027028</v>
      </c>
      <c r="CS83" s="822">
        <f>(CR83-CN83)*100</f>
        <v>333.23126892876934</v>
      </c>
      <c r="CU83" s="781">
        <f>CU33+CU43+CU53+CU63+CU73</f>
        <v>1661</v>
      </c>
      <c r="CV83" s="839">
        <f t="shared" si="185"/>
        <v>29.125021918288617</v>
      </c>
      <c r="CW83" s="822">
        <f>(CV83-CR83)*100</f>
        <v>-190.2005108738411</v>
      </c>
      <c r="CY83" s="781">
        <f>CY33+CY43+CY53+CY63+CY73</f>
        <v>1511</v>
      </c>
      <c r="CZ83" s="839">
        <f t="shared" si="186"/>
        <v>27.852534562211982</v>
      </c>
      <c r="DA83" s="822">
        <f>(CZ83-CV83)*100</f>
        <v>-127.24873560766348</v>
      </c>
      <c r="DC83" s="885">
        <f>DC33+DC43+DC53+DC63+DC73</f>
        <v>1552</v>
      </c>
      <c r="DD83" s="839">
        <f t="shared" si="187"/>
        <v>39.958805355303809</v>
      </c>
      <c r="DE83" s="822">
        <f>(DD83-CZ83)*100</f>
        <v>1210.6270793091828</v>
      </c>
      <c r="DG83" s="885">
        <f>DG33+DG43+DG53+DG63+DG73</f>
        <v>1200</v>
      </c>
      <c r="DH83" s="839">
        <f t="shared" si="188"/>
        <v>31.729243786356427</v>
      </c>
      <c r="DI83" s="822">
        <f t="shared" si="189"/>
        <v>-822.95615689473823</v>
      </c>
      <c r="DK83" s="885">
        <f>DK33+DK43+DK53+DK63+DK73</f>
        <v>1191</v>
      </c>
      <c r="DL83" s="839">
        <f t="shared" si="190"/>
        <v>30.593372720267148</v>
      </c>
      <c r="DM83" s="822">
        <f t="shared" si="191"/>
        <v>-113.58710660892797</v>
      </c>
      <c r="DP83" s="885">
        <f>DP33+DP43+DP53+DP63+DP73</f>
        <v>1333</v>
      </c>
      <c r="DQ83" s="839">
        <f t="shared" si="192"/>
        <v>33.358358358358359</v>
      </c>
      <c r="DR83" s="822">
        <f t="shared" si="193"/>
        <v>276.49856380912115</v>
      </c>
      <c r="DU83" s="885">
        <f>DU33+DU43+DU53+DU63+DU73</f>
        <v>1092</v>
      </c>
      <c r="DV83" s="839">
        <f t="shared" si="194"/>
        <v>27.568795758646807</v>
      </c>
      <c r="DW83" s="822">
        <f t="shared" si="195"/>
        <v>-578.95625997115519</v>
      </c>
      <c r="DZ83" s="885">
        <f>DZ33+DZ43+DZ53+DZ63+DZ73</f>
        <v>1111</v>
      </c>
      <c r="EA83" s="839">
        <f t="shared" si="196"/>
        <v>27.561399156536844</v>
      </c>
      <c r="EB83" s="822">
        <f t="shared" si="197"/>
        <v>-0.73966021099636237</v>
      </c>
      <c r="EE83" s="885">
        <f>EE33+EE43+EE53+EE63+EE73</f>
        <v>1055.9949999999999</v>
      </c>
      <c r="EF83" s="839">
        <f t="shared" si="198"/>
        <v>28.351568633136477</v>
      </c>
      <c r="EG83" s="822">
        <f t="shared" si="199"/>
        <v>79.016947659963321</v>
      </c>
      <c r="EK83" s="822"/>
      <c r="EL83" s="822"/>
      <c r="EM83" s="822"/>
      <c r="EN83" s="822"/>
      <c r="EO83" s="822"/>
      <c r="EP83" s="822"/>
      <c r="EQ83" s="822"/>
      <c r="ER83" s="822"/>
      <c r="ES83" s="822"/>
      <c r="ET83" s="822"/>
      <c r="EU83" s="822"/>
      <c r="EV83" s="822"/>
      <c r="EW83" s="822"/>
      <c r="EX83" s="822"/>
      <c r="EY83" s="822"/>
      <c r="EZ83" s="822"/>
      <c r="FA83" s="822"/>
      <c r="FB83" s="822"/>
      <c r="FC83" s="822"/>
      <c r="FD83" s="822"/>
      <c r="FE83" s="822"/>
      <c r="FF83" s="822"/>
      <c r="FG83" s="822"/>
      <c r="FH83" s="822"/>
      <c r="FI83" s="822"/>
      <c r="FJ83" s="822"/>
      <c r="FK83" s="822"/>
      <c r="FL83" s="822"/>
      <c r="FM83" s="822"/>
      <c r="FN83" s="822"/>
      <c r="FO83" s="822"/>
      <c r="FP83" s="822"/>
      <c r="FQ83" s="822"/>
      <c r="FR83" s="822"/>
      <c r="FS83" s="822"/>
      <c r="FT83" s="822"/>
      <c r="FU83" s="822"/>
      <c r="FV83" s="822"/>
      <c r="FW83" s="822"/>
      <c r="FX83" s="822"/>
      <c r="FY83" s="822"/>
      <c r="FZ83" s="822"/>
      <c r="GA83" s="822"/>
      <c r="GB83" s="822"/>
      <c r="GC83" s="822"/>
      <c r="GD83" s="822"/>
      <c r="GE83" s="822"/>
      <c r="GF83" s="822"/>
      <c r="GG83" s="822"/>
      <c r="GH83" s="822"/>
      <c r="GI83" s="822"/>
      <c r="GJ83" s="822"/>
      <c r="GK83" s="822"/>
      <c r="GL83" s="822"/>
      <c r="GM83" s="822"/>
      <c r="GN83" s="822"/>
      <c r="GO83" s="822"/>
      <c r="GP83" s="822"/>
      <c r="GQ83" s="822"/>
      <c r="GR83" s="822"/>
      <c r="GS83" s="822"/>
      <c r="GT83" s="822"/>
      <c r="GU83" s="822"/>
      <c r="GV83" s="822"/>
      <c r="GW83" s="822"/>
      <c r="GX83" s="822"/>
      <c r="GY83" s="822"/>
      <c r="GZ83" s="822"/>
      <c r="HA83" s="822"/>
      <c r="HB83" s="822"/>
      <c r="HC83" s="822"/>
      <c r="HD83" s="822"/>
      <c r="HE83" s="822"/>
      <c r="HF83" s="822"/>
      <c r="HG83" s="822"/>
      <c r="HH83" s="822"/>
      <c r="HI83" s="822"/>
      <c r="HJ83" s="822"/>
      <c r="HK83" s="822"/>
      <c r="HL83" s="822"/>
      <c r="HM83" s="822"/>
      <c r="HN83" s="822"/>
      <c r="HO83" s="822"/>
      <c r="HP83" s="822"/>
      <c r="HQ83" s="822"/>
      <c r="HR83" s="822"/>
      <c r="HS83" s="822"/>
      <c r="HT83" s="822"/>
      <c r="HU83" s="822"/>
      <c r="HV83" s="822"/>
      <c r="HW83" s="822"/>
      <c r="HX83" s="822"/>
      <c r="HY83" s="822"/>
      <c r="HZ83" s="822"/>
      <c r="IA83" s="822"/>
      <c r="IB83" s="822"/>
      <c r="IC83" s="822"/>
      <c r="ID83" s="822"/>
      <c r="IE83" s="822"/>
      <c r="IF83" s="822"/>
      <c r="IG83" s="822"/>
      <c r="IH83" s="822"/>
      <c r="II83" s="822"/>
      <c r="IJ83" s="822"/>
      <c r="IK83" s="822"/>
      <c r="IL83" s="822"/>
      <c r="IM83" s="822"/>
      <c r="IN83" s="822"/>
      <c r="IO83" s="822"/>
      <c r="IP83" s="822"/>
      <c r="IQ83" s="822"/>
      <c r="IR83" s="822"/>
      <c r="IS83" s="822"/>
      <c r="IT83" s="822"/>
      <c r="IU83" s="822"/>
      <c r="IV83" s="822"/>
      <c r="IW83" s="822"/>
      <c r="IX83" s="822"/>
      <c r="IY83" s="822"/>
      <c r="IZ83" s="822"/>
      <c r="JA83" s="822"/>
    </row>
    <row r="84" spans="1:261" outlineLevel="2">
      <c r="A84" s="819" t="s">
        <v>144</v>
      </c>
      <c r="C84" s="591">
        <f>SUM(C80:C83)</f>
        <v>4155</v>
      </c>
      <c r="D84" s="839">
        <f t="shared" si="161"/>
        <v>25.802645469788239</v>
      </c>
      <c r="E84" s="822"/>
      <c r="G84" s="591">
        <f>SUM(G80:G83)</f>
        <v>4285</v>
      </c>
      <c r="H84" s="839">
        <f t="shared" si="162"/>
        <v>26.183929117018028</v>
      </c>
      <c r="I84" s="822">
        <f t="shared" si="200"/>
        <v>38.128364722978958</v>
      </c>
      <c r="K84" s="591">
        <f>SUM(K80:K83)</f>
        <v>4154</v>
      </c>
      <c r="L84" s="839">
        <f t="shared" si="163"/>
        <v>25.640392568359978</v>
      </c>
      <c r="M84" s="822">
        <f t="shared" si="201"/>
        <v>-54.353654865805012</v>
      </c>
      <c r="O84" s="591">
        <f>SUM(O80:O83)</f>
        <v>4446</v>
      </c>
      <c r="P84" s="839">
        <f t="shared" si="164"/>
        <v>24.687656171914043</v>
      </c>
      <c r="Q84" s="822">
        <f t="shared" si="202"/>
        <v>-95.273639644593544</v>
      </c>
      <c r="S84" s="591">
        <f>SUM(S80:S83)</f>
        <v>4508</v>
      </c>
      <c r="T84" s="839">
        <f t="shared" si="165"/>
        <v>23.747563609545384</v>
      </c>
      <c r="U84" s="822">
        <f t="shared" si="203"/>
        <v>-94.009256236865824</v>
      </c>
      <c r="W84" s="591">
        <f>SUM(W80:W83)</f>
        <v>4783</v>
      </c>
      <c r="X84" s="839">
        <f t="shared" si="166"/>
        <v>23.469087340529931</v>
      </c>
      <c r="Y84" s="822">
        <f t="shared" si="204"/>
        <v>-27.847626901545297</v>
      </c>
      <c r="AA84" s="591">
        <f>SUM(AA80:AA83)</f>
        <v>4895</v>
      </c>
      <c r="AB84" s="839">
        <f t="shared" si="167"/>
        <v>23.806049995136661</v>
      </c>
      <c r="AC84" s="822">
        <f t="shared" si="205"/>
        <v>33.696265460672947</v>
      </c>
      <c r="AE84" s="591">
        <f>SUM(AE80:AE83)</f>
        <v>6221</v>
      </c>
      <c r="AF84" s="839">
        <f t="shared" si="168"/>
        <v>22.192494292237445</v>
      </c>
      <c r="AG84" s="822">
        <f t="shared" si="206"/>
        <v>-161.35557028992162</v>
      </c>
      <c r="AI84" s="591">
        <f>SUM(AI80:AI83)</f>
        <v>5262</v>
      </c>
      <c r="AJ84" s="839">
        <f t="shared" si="169"/>
        <v>23.229736888574958</v>
      </c>
      <c r="AK84" s="822">
        <f t="shared" si="207"/>
        <v>103.72425963375136</v>
      </c>
      <c r="AM84" s="591">
        <f>SUM(AM80:AM83)</f>
        <v>6485</v>
      </c>
      <c r="AN84" s="839">
        <f t="shared" si="170"/>
        <v>21.997069318752288</v>
      </c>
      <c r="AO84" s="822">
        <f t="shared" si="208"/>
        <v>-123.26675698226701</v>
      </c>
      <c r="AQ84" s="591">
        <f>SUM(AQ80:AQ83)</f>
        <v>6511</v>
      </c>
      <c r="AR84" s="839">
        <f t="shared" si="171"/>
        <v>22.117671037434608</v>
      </c>
      <c r="AS84" s="822">
        <f t="shared" si="209"/>
        <v>12.060171868231961</v>
      </c>
      <c r="AU84" s="591">
        <f>SUM(AU80:AU83)</f>
        <v>8560</v>
      </c>
      <c r="AV84" s="839">
        <f t="shared" si="172"/>
        <v>26.966575307941909</v>
      </c>
      <c r="AW84" s="822">
        <f t="shared" si="210"/>
        <v>484.89042705073012</v>
      </c>
      <c r="AY84" s="591">
        <f>SUM(AY80:AY83)</f>
        <v>8625</v>
      </c>
      <c r="AZ84" s="839">
        <f t="shared" si="173"/>
        <v>27.083464171324501</v>
      </c>
      <c r="BA84" s="822">
        <f t="shared" si="211"/>
        <v>11.688886338259152</v>
      </c>
      <c r="BC84" s="591">
        <f>SUM(BC80:BC83)</f>
        <v>8465</v>
      </c>
      <c r="BD84" s="839">
        <f t="shared" si="174"/>
        <v>26.449818772653416</v>
      </c>
      <c r="BE84" s="822">
        <f t="shared" si="212"/>
        <v>-63.364539867108505</v>
      </c>
      <c r="BG84" s="591">
        <f>SUM(BG80:BG83)</f>
        <v>8670</v>
      </c>
      <c r="BH84" s="839">
        <f t="shared" si="175"/>
        <v>26.80310384270566</v>
      </c>
      <c r="BI84" s="822">
        <f t="shared" si="213"/>
        <v>35.328507005224452</v>
      </c>
      <c r="BK84" s="779">
        <v>5434</v>
      </c>
      <c r="BL84" s="839">
        <f t="shared" si="176"/>
        <v>30.45964125560538</v>
      </c>
      <c r="BM84" s="822">
        <f t="shared" si="214"/>
        <v>365.653741289972</v>
      </c>
      <c r="BO84" s="779">
        <v>5414</v>
      </c>
      <c r="BP84" s="839">
        <f t="shared" si="177"/>
        <v>31.143580303727564</v>
      </c>
      <c r="BQ84" s="822">
        <f t="shared" si="215"/>
        <v>68.393904812218409</v>
      </c>
      <c r="BS84" s="591">
        <f>BS74+BS64+BS34</f>
        <v>5529</v>
      </c>
      <c r="BT84" s="839">
        <f t="shared" si="178"/>
        <v>31.570833095414834</v>
      </c>
      <c r="BU84" s="822">
        <f t="shared" si="216"/>
        <v>42.725279168726971</v>
      </c>
      <c r="BW84" s="591">
        <f>SUM(BW80:BW83)</f>
        <v>5505</v>
      </c>
      <c r="BX84" s="839">
        <f t="shared" si="179"/>
        <v>30.421087533156498</v>
      </c>
      <c r="BY84" s="822">
        <f t="shared" si="217"/>
        <v>-114.97455622583352</v>
      </c>
      <c r="CA84" s="591">
        <f>SUM(CA80:CA83)</f>
        <v>5614</v>
      </c>
      <c r="CB84" s="839">
        <f t="shared" si="180"/>
        <v>29.891778344636549</v>
      </c>
      <c r="CC84" s="822">
        <f t="shared" si="218"/>
        <v>-52.930918851994946</v>
      </c>
      <c r="CE84" s="591">
        <f>SUM(CE80:CE83)</f>
        <v>5937</v>
      </c>
      <c r="CF84" s="839">
        <f t="shared" si="181"/>
        <v>29.826544851246073</v>
      </c>
      <c r="CG84" s="822">
        <f t="shared" si="219"/>
        <v>-6.5233493390476127</v>
      </c>
      <c r="CI84" s="591">
        <f>SUM(CI80:CI83)</f>
        <v>5829</v>
      </c>
      <c r="CJ84" s="839">
        <f t="shared" si="182"/>
        <v>29.35488744523342</v>
      </c>
      <c r="CK84" s="822">
        <f t="shared" si="220"/>
        <v>-47.165740601265327</v>
      </c>
      <c r="CM84" s="591">
        <f>SUM(CM80:CM83)</f>
        <v>5805</v>
      </c>
      <c r="CN84" s="839">
        <f t="shared" si="183"/>
        <v>31.401237666861615</v>
      </c>
      <c r="CO84" s="822">
        <f t="shared" si="221"/>
        <v>204.63502216281952</v>
      </c>
      <c r="CQ84" s="591">
        <f>SUM(CQ80:CQ83)</f>
        <v>6242</v>
      </c>
      <c r="CR84" s="839">
        <f t="shared" si="184"/>
        <v>35.547750653617094</v>
      </c>
      <c r="CS84" s="822">
        <f t="shared" si="222"/>
        <v>414.65129867554788</v>
      </c>
      <c r="CU84" s="591">
        <f>SUM(CU80:CU83)</f>
        <v>6124</v>
      </c>
      <c r="CV84" s="839">
        <f t="shared" si="185"/>
        <v>34.483923644349346</v>
      </c>
      <c r="CW84" s="822">
        <f t="shared" si="223"/>
        <v>-106.38270092677473</v>
      </c>
      <c r="CY84" s="591">
        <f>SUM(CY80:CY83)</f>
        <v>5748</v>
      </c>
      <c r="CZ84" s="839">
        <f t="shared" si="186"/>
        <v>33.302433371958287</v>
      </c>
      <c r="DA84" s="822">
        <f t="shared" si="224"/>
        <v>-118.14902723910592</v>
      </c>
      <c r="DC84" s="846">
        <f>DC34+DC44+DC54+DC64+DC74</f>
        <v>5402</v>
      </c>
      <c r="DD84" s="839">
        <f t="shared" si="187"/>
        <v>41.601848286484405</v>
      </c>
      <c r="DE84" s="822">
        <f t="shared" si="225"/>
        <v>829.94149145261179</v>
      </c>
      <c r="DG84" s="846">
        <f>DG34+DG44+DG54+DG64+DG74</f>
        <v>4852</v>
      </c>
      <c r="DH84" s="839">
        <f t="shared" si="188"/>
        <v>40.914073699300104</v>
      </c>
      <c r="DI84" s="822">
        <f t="shared" si="189"/>
        <v>-68.77745871843004</v>
      </c>
      <c r="DK84" s="846">
        <f>DK34+DK44+DK54+DK64+DK74</f>
        <v>4630</v>
      </c>
      <c r="DL84" s="839">
        <f t="shared" si="190"/>
        <v>37.774333034184551</v>
      </c>
      <c r="DM84" s="822">
        <f t="shared" si="191"/>
        <v>-313.97406651155535</v>
      </c>
      <c r="DP84" s="846">
        <f>DP34+DP44+DP54+DP64+DP74</f>
        <v>4613.75</v>
      </c>
      <c r="DQ84" s="839">
        <f t="shared" si="192"/>
        <v>36.544554455445542</v>
      </c>
      <c r="DR84" s="822">
        <f t="shared" si="193"/>
        <v>-122.97785787390083</v>
      </c>
      <c r="DU84" s="846">
        <f>DU34+DU44+DU54+DU64+DU74</f>
        <v>4166</v>
      </c>
      <c r="DV84" s="839">
        <f t="shared" si="194"/>
        <v>33.203156132940144</v>
      </c>
      <c r="DW84" s="822">
        <f t="shared" si="195"/>
        <v>-334.13983225053983</v>
      </c>
      <c r="DZ84" s="846">
        <f>DZ34+DZ44+DZ54+DZ64+DZ74</f>
        <v>4057</v>
      </c>
      <c r="EA84" s="839">
        <f t="shared" si="196"/>
        <v>32.440428594274749</v>
      </c>
      <c r="EB84" s="822">
        <f t="shared" si="197"/>
        <v>-76.272753866539489</v>
      </c>
      <c r="EE84" s="846">
        <f>EE34+EE44+EE54+EE64+EE74</f>
        <v>3973.2849999999999</v>
      </c>
      <c r="EF84" s="839">
        <f t="shared" si="198"/>
        <v>32.962224499371828</v>
      </c>
      <c r="EG84" s="822">
        <f t="shared" si="199"/>
        <v>52.179590509707907</v>
      </c>
      <c r="EK84" s="822"/>
      <c r="EL84" s="822"/>
      <c r="EM84" s="822"/>
      <c r="EN84" s="822"/>
      <c r="EO84" s="822"/>
      <c r="EP84" s="822"/>
      <c r="EQ84" s="822"/>
      <c r="ER84" s="822"/>
      <c r="ES84" s="822"/>
      <c r="ET84" s="822"/>
      <c r="EU84" s="822"/>
      <c r="EV84" s="822"/>
      <c r="EW84" s="822"/>
      <c r="EX84" s="822"/>
      <c r="EY84" s="822"/>
      <c r="EZ84" s="822"/>
      <c r="FA84" s="822"/>
      <c r="FB84" s="822"/>
      <c r="FC84" s="822"/>
      <c r="FD84" s="822"/>
      <c r="FE84" s="822"/>
      <c r="FF84" s="822"/>
      <c r="FG84" s="822"/>
      <c r="FH84" s="822"/>
      <c r="FI84" s="822"/>
      <c r="FJ84" s="822"/>
      <c r="FK84" s="822"/>
      <c r="FL84" s="822"/>
      <c r="FM84" s="822"/>
      <c r="FN84" s="822"/>
      <c r="FO84" s="822"/>
      <c r="FP84" s="822"/>
      <c r="FQ84" s="822"/>
      <c r="FR84" s="822"/>
      <c r="FS84" s="822"/>
      <c r="FT84" s="822"/>
      <c r="FU84" s="822"/>
      <c r="FV84" s="822"/>
      <c r="FW84" s="822"/>
      <c r="FX84" s="822"/>
      <c r="FY84" s="822"/>
      <c r="FZ84" s="822"/>
      <c r="GA84" s="822"/>
      <c r="GB84" s="822"/>
      <c r="GC84" s="822"/>
      <c r="GD84" s="822"/>
      <c r="GE84" s="822"/>
      <c r="GF84" s="822"/>
      <c r="GG84" s="822"/>
      <c r="GH84" s="822"/>
      <c r="GI84" s="822"/>
      <c r="GJ84" s="822"/>
      <c r="GK84" s="822"/>
      <c r="GL84" s="822"/>
      <c r="GM84" s="822"/>
      <c r="GN84" s="822"/>
      <c r="GO84" s="822"/>
      <c r="GP84" s="822"/>
      <c r="GQ84" s="822"/>
      <c r="GR84" s="822"/>
      <c r="GS84" s="822"/>
      <c r="GT84" s="822"/>
      <c r="GU84" s="822"/>
      <c r="GV84" s="822"/>
      <c r="GW84" s="822"/>
      <c r="GX84" s="822"/>
      <c r="GY84" s="822"/>
      <c r="GZ84" s="822"/>
      <c r="HA84" s="822"/>
      <c r="HB84" s="822"/>
      <c r="HC84" s="822"/>
      <c r="HD84" s="822"/>
      <c r="HE84" s="822"/>
      <c r="HF84" s="822"/>
      <c r="HG84" s="822"/>
      <c r="HH84" s="822"/>
      <c r="HI84" s="822"/>
      <c r="HJ84" s="822"/>
      <c r="HK84" s="822"/>
      <c r="HL84" s="822"/>
      <c r="HM84" s="822"/>
      <c r="HN84" s="822"/>
      <c r="HO84" s="822"/>
      <c r="HP84" s="822"/>
      <c r="HQ84" s="822"/>
      <c r="HR84" s="822"/>
      <c r="HS84" s="822"/>
      <c r="HT84" s="822"/>
      <c r="HU84" s="822"/>
      <c r="HV84" s="822"/>
      <c r="HW84" s="822"/>
      <c r="HX84" s="822"/>
      <c r="HY84" s="822"/>
      <c r="HZ84" s="822"/>
      <c r="IA84" s="822"/>
      <c r="IB84" s="822"/>
      <c r="IC84" s="822"/>
      <c r="ID84" s="822"/>
      <c r="IE84" s="822"/>
      <c r="IF84" s="822"/>
      <c r="IG84" s="822"/>
      <c r="IH84" s="822"/>
      <c r="II84" s="822"/>
      <c r="IJ84" s="822"/>
      <c r="IK84" s="822"/>
      <c r="IL84" s="822"/>
      <c r="IM84" s="822"/>
      <c r="IN84" s="822"/>
      <c r="IO84" s="822"/>
      <c r="IP84" s="822"/>
      <c r="IQ84" s="822"/>
      <c r="IR84" s="822"/>
      <c r="IS84" s="822"/>
      <c r="IT84" s="822"/>
      <c r="IU84" s="822"/>
      <c r="IV84" s="822"/>
      <c r="IW84" s="822"/>
      <c r="IX84" s="822"/>
      <c r="IY84" s="822"/>
      <c r="IZ84" s="822"/>
      <c r="JA84" s="822"/>
    </row>
    <row r="85" spans="1:261" outlineLevel="2">
      <c r="A85" s="819" t="s">
        <v>145</v>
      </c>
      <c r="C85" s="706">
        <f>C80+C81</f>
        <v>1889</v>
      </c>
      <c r="D85" s="839">
        <f t="shared" si="161"/>
        <v>27.865466883021096</v>
      </c>
      <c r="E85" s="822"/>
      <c r="G85" s="706">
        <f>G80+G81</f>
        <v>1981</v>
      </c>
      <c r="H85" s="839">
        <f t="shared" si="162"/>
        <v>27.862165963431785</v>
      </c>
      <c r="I85" s="822">
        <f t="shared" si="200"/>
        <v>-0.33009195893107801</v>
      </c>
      <c r="K85" s="706">
        <f>K80+K81</f>
        <v>1936</v>
      </c>
      <c r="L85" s="839">
        <f t="shared" si="163"/>
        <v>28.102772535926839</v>
      </c>
      <c r="M85" s="822">
        <f t="shared" si="201"/>
        <v>24.060657249505368</v>
      </c>
      <c r="O85" s="706">
        <f>O80+O81</f>
        <v>2040</v>
      </c>
      <c r="P85" s="839">
        <f t="shared" si="164"/>
        <v>26.905829596412556</v>
      </c>
      <c r="Q85" s="822">
        <f t="shared" si="202"/>
        <v>-119.69429395142832</v>
      </c>
      <c r="S85" s="706">
        <f>S80+S81</f>
        <v>2046</v>
      </c>
      <c r="T85" s="839">
        <f t="shared" si="165"/>
        <v>25.81052100416299</v>
      </c>
      <c r="U85" s="822">
        <f t="shared" si="203"/>
        <v>-109.5308592249566</v>
      </c>
      <c r="W85" s="706">
        <f>W80+W81</f>
        <v>2171</v>
      </c>
      <c r="X85" s="839">
        <f t="shared" si="166"/>
        <v>25.267690875232773</v>
      </c>
      <c r="Y85" s="822">
        <f t="shared" si="204"/>
        <v>-54.28301289302162</v>
      </c>
      <c r="AA85" s="706">
        <f>AA80+AA81</f>
        <v>2255</v>
      </c>
      <c r="AB85" s="839">
        <f t="shared" si="167"/>
        <v>25.619177459668258</v>
      </c>
      <c r="AC85" s="822">
        <f t="shared" si="205"/>
        <v>35.148658443548442</v>
      </c>
      <c r="AE85" s="706">
        <f>AE80+AE81</f>
        <v>2864</v>
      </c>
      <c r="AF85" s="839">
        <f t="shared" si="168"/>
        <v>23.730217913663104</v>
      </c>
      <c r="AG85" s="822">
        <f t="shared" si="206"/>
        <v>-188.89595460051538</v>
      </c>
      <c r="AI85" s="706">
        <f>AI80+AI81</f>
        <v>2314</v>
      </c>
      <c r="AJ85" s="839">
        <f t="shared" si="169"/>
        <v>25.828775532983595</v>
      </c>
      <c r="AK85" s="822">
        <f t="shared" si="207"/>
        <v>209.85576193204912</v>
      </c>
      <c r="AM85" s="706">
        <f>AM80+AM81</f>
        <v>2988</v>
      </c>
      <c r="AN85" s="839">
        <f t="shared" si="170"/>
        <v>23.229598302093617</v>
      </c>
      <c r="AO85" s="822">
        <f t="shared" si="208"/>
        <v>-259.91772308899783</v>
      </c>
      <c r="AQ85" s="706">
        <f>AQ80+AQ81</f>
        <v>3039</v>
      </c>
      <c r="AR85" s="839">
        <f t="shared" si="171"/>
        <v>22.958374253985042</v>
      </c>
      <c r="AS85" s="822">
        <f t="shared" si="209"/>
        <v>-27.122404810857503</v>
      </c>
      <c r="AU85" s="706">
        <f>AU80+AU81</f>
        <v>4012</v>
      </c>
      <c r="AV85" s="839">
        <f t="shared" si="172"/>
        <v>27.778162431627777</v>
      </c>
      <c r="AW85" s="822">
        <f t="shared" si="210"/>
        <v>481.97881776427351</v>
      </c>
      <c r="AY85" s="706">
        <f>AY80+AY81</f>
        <v>4099</v>
      </c>
      <c r="AZ85" s="839">
        <f t="shared" si="173"/>
        <v>27.818120122158124</v>
      </c>
      <c r="BA85" s="822">
        <f t="shared" si="211"/>
        <v>3.9957690530346923</v>
      </c>
      <c r="BC85" s="706">
        <f>BC80+BC81</f>
        <v>4041</v>
      </c>
      <c r="BD85" s="839">
        <f t="shared" si="174"/>
        <v>27.428222357971897</v>
      </c>
      <c r="BE85" s="822">
        <f t="shared" si="212"/>
        <v>-38.989776418622668</v>
      </c>
      <c r="BG85" s="706">
        <f>BG80+BG81</f>
        <v>4136</v>
      </c>
      <c r="BH85" s="839">
        <f t="shared" si="175"/>
        <v>27.7100361784805</v>
      </c>
      <c r="BI85" s="822">
        <f t="shared" si="213"/>
        <v>28.181382050860293</v>
      </c>
      <c r="BK85" s="706">
        <f>BK80+BK81</f>
        <v>2586</v>
      </c>
      <c r="BL85" s="839">
        <f t="shared" si="176"/>
        <v>32.771511848941834</v>
      </c>
      <c r="BM85" s="822">
        <f t="shared" si="214"/>
        <v>506.14756704613342</v>
      </c>
      <c r="BO85" s="706">
        <f>BO80+BO81</f>
        <v>2629</v>
      </c>
      <c r="BP85" s="839">
        <f t="shared" si="177"/>
        <v>34.610403236869175</v>
      </c>
      <c r="BQ85" s="822">
        <f t="shared" si="215"/>
        <v>183.88913879273403</v>
      </c>
      <c r="BS85" s="706">
        <f>BS80+BS81</f>
        <v>2585</v>
      </c>
      <c r="BT85" s="839">
        <f t="shared" si="178"/>
        <v>35.669932385814818</v>
      </c>
      <c r="BU85" s="822">
        <f t="shared" si="216"/>
        <v>105.95291489456429</v>
      </c>
      <c r="BW85" s="706">
        <f>BW80+BW81</f>
        <v>2523</v>
      </c>
      <c r="BX85" s="839">
        <f t="shared" si="179"/>
        <v>32.554838709677419</v>
      </c>
      <c r="BY85" s="822">
        <f t="shared" si="217"/>
        <v>-311.50936761373987</v>
      </c>
      <c r="CA85" s="706">
        <f>CA80+CA81</f>
        <v>2600</v>
      </c>
      <c r="CB85" s="839">
        <f t="shared" si="180"/>
        <v>32.102728731942214</v>
      </c>
      <c r="CC85" s="822">
        <f t="shared" si="218"/>
        <v>-45.210997773520489</v>
      </c>
      <c r="CE85" s="706">
        <f>CE80+CE81</f>
        <v>2665</v>
      </c>
      <c r="CF85" s="839">
        <f t="shared" si="181"/>
        <v>31.515755275962125</v>
      </c>
      <c r="CG85" s="822">
        <f t="shared" si="219"/>
        <v>-58.697345598008965</v>
      </c>
      <c r="CI85" s="706">
        <f>CI80+CI81</f>
        <v>2755</v>
      </c>
      <c r="CJ85" s="839">
        <f t="shared" si="182"/>
        <v>31.525346149445017</v>
      </c>
      <c r="CK85" s="822">
        <f t="shared" si="220"/>
        <v>0.9590873482892448</v>
      </c>
      <c r="CM85" s="706">
        <f>CM80+CM81</f>
        <v>2783</v>
      </c>
      <c r="CN85" s="839">
        <f t="shared" si="183"/>
        <v>33.093539299177408</v>
      </c>
      <c r="CO85" s="822">
        <f t="shared" si="221"/>
        <v>156.8193149732391</v>
      </c>
      <c r="CQ85" s="706">
        <f>CQ80+CQ81</f>
        <v>2934</v>
      </c>
      <c r="CR85" s="839">
        <f t="shared" si="184"/>
        <v>37.475642074483716</v>
      </c>
      <c r="CS85" s="822">
        <f t="shared" si="222"/>
        <v>438.21027753063078</v>
      </c>
      <c r="CU85" s="706">
        <f>CU80+CU81</f>
        <v>2945</v>
      </c>
      <c r="CV85" s="839">
        <f t="shared" si="185"/>
        <v>37.434854455319687</v>
      </c>
      <c r="CW85" s="822">
        <f t="shared" si="223"/>
        <v>-4.0787619164028399</v>
      </c>
      <c r="CY85" s="706">
        <f>CY80+CY81</f>
        <v>2837</v>
      </c>
      <c r="CZ85" s="839">
        <f t="shared" si="186"/>
        <v>36.144731812969802</v>
      </c>
      <c r="DA85" s="822">
        <f t="shared" si="224"/>
        <v>-129.01226423498855</v>
      </c>
      <c r="DC85" s="846">
        <f>DC80+DC81</f>
        <v>2579</v>
      </c>
      <c r="DD85" s="839">
        <f t="shared" si="187"/>
        <v>41.771946873987694</v>
      </c>
      <c r="DE85" s="822">
        <f t="shared" si="225"/>
        <v>562.72150610178926</v>
      </c>
      <c r="DG85" s="846">
        <f>DG80+DG81</f>
        <v>2451</v>
      </c>
      <c r="DH85" s="839">
        <f t="shared" si="188"/>
        <v>46.262740656851641</v>
      </c>
      <c r="DI85" s="822">
        <f t="shared" si="189"/>
        <v>449.07937828639461</v>
      </c>
      <c r="DK85" s="846">
        <f>DK80+DK81</f>
        <v>2294</v>
      </c>
      <c r="DL85" s="839">
        <f t="shared" si="190"/>
        <v>40.964285714285715</v>
      </c>
      <c r="DM85" s="822">
        <f t="shared" si="191"/>
        <v>-529.84549425659247</v>
      </c>
      <c r="DP85" s="846">
        <f>DP80+DP81</f>
        <v>2169.75</v>
      </c>
      <c r="DQ85" s="839">
        <f t="shared" si="192"/>
        <v>37.853279832519192</v>
      </c>
      <c r="DR85" s="822">
        <f t="shared" si="193"/>
        <v>-311.10058817665231</v>
      </c>
      <c r="DU85" s="846">
        <f>DU80+DU81</f>
        <v>2036</v>
      </c>
      <c r="DV85" s="839">
        <f t="shared" si="194"/>
        <v>35.538488392389596</v>
      </c>
      <c r="DW85" s="822">
        <f t="shared" si="195"/>
        <v>-231.47914401295964</v>
      </c>
      <c r="DZ85" s="846">
        <f>DZ80+DZ81</f>
        <v>1968</v>
      </c>
      <c r="EA85" s="839">
        <f t="shared" si="196"/>
        <v>34.721242060691601</v>
      </c>
      <c r="EB85" s="822">
        <f t="shared" si="197"/>
        <v>-81.724633169799432</v>
      </c>
      <c r="EE85" s="846">
        <f>EE80+EE81</f>
        <v>1948.09</v>
      </c>
      <c r="EF85" s="839">
        <f t="shared" si="198"/>
        <v>34.78106083762065</v>
      </c>
      <c r="EG85" s="822">
        <f t="shared" si="199"/>
        <v>5.9818776929049022</v>
      </c>
      <c r="EK85" s="822"/>
      <c r="EL85" s="822"/>
      <c r="EM85" s="822"/>
      <c r="EN85" s="822"/>
      <c r="EO85" s="822"/>
      <c r="EP85" s="822"/>
      <c r="EQ85" s="822"/>
      <c r="ER85" s="822"/>
      <c r="ES85" s="822"/>
      <c r="ET85" s="822"/>
      <c r="EU85" s="822"/>
      <c r="EV85" s="822"/>
      <c r="EW85" s="822"/>
      <c r="EX85" s="822"/>
      <c r="EY85" s="822"/>
      <c r="EZ85" s="822"/>
      <c r="FA85" s="822"/>
      <c r="FB85" s="822"/>
      <c r="FC85" s="822"/>
      <c r="FD85" s="822"/>
      <c r="FE85" s="822"/>
      <c r="FF85" s="822"/>
      <c r="FG85" s="822"/>
      <c r="FH85" s="822"/>
      <c r="FI85" s="822"/>
      <c r="FJ85" s="822"/>
      <c r="FK85" s="822"/>
      <c r="FL85" s="822"/>
      <c r="FM85" s="822"/>
      <c r="FN85" s="822"/>
      <c r="FO85" s="822"/>
      <c r="FP85" s="822"/>
      <c r="FQ85" s="822"/>
      <c r="FR85" s="822"/>
      <c r="FS85" s="822"/>
      <c r="FT85" s="822"/>
      <c r="FU85" s="822"/>
      <c r="FV85" s="822"/>
      <c r="FW85" s="822"/>
      <c r="FX85" s="822"/>
      <c r="FY85" s="822"/>
      <c r="FZ85" s="822"/>
      <c r="GA85" s="822"/>
      <c r="GB85" s="822"/>
      <c r="GC85" s="822"/>
      <c r="GD85" s="822"/>
      <c r="GE85" s="822"/>
      <c r="GF85" s="822"/>
      <c r="GG85" s="822"/>
      <c r="GH85" s="822"/>
      <c r="GI85" s="822"/>
      <c r="GJ85" s="822"/>
      <c r="GK85" s="822"/>
      <c r="GL85" s="822"/>
      <c r="GM85" s="822"/>
      <c r="GN85" s="822"/>
      <c r="GO85" s="822"/>
      <c r="GP85" s="822"/>
      <c r="GQ85" s="822"/>
      <c r="GR85" s="822"/>
      <c r="GS85" s="822"/>
      <c r="GT85" s="822"/>
      <c r="GU85" s="822"/>
      <c r="GV85" s="822"/>
      <c r="GW85" s="822"/>
      <c r="GX85" s="822"/>
      <c r="GY85" s="822"/>
      <c r="GZ85" s="822"/>
      <c r="HA85" s="822"/>
      <c r="HB85" s="822"/>
      <c r="HC85" s="822"/>
      <c r="HD85" s="822"/>
      <c r="HE85" s="822"/>
      <c r="HF85" s="822"/>
      <c r="HG85" s="822"/>
      <c r="HH85" s="822"/>
      <c r="HI85" s="822"/>
      <c r="HJ85" s="822"/>
      <c r="HK85" s="822"/>
      <c r="HL85" s="822"/>
      <c r="HM85" s="822"/>
      <c r="HN85" s="822"/>
      <c r="HO85" s="822"/>
      <c r="HP85" s="822"/>
      <c r="HQ85" s="822"/>
      <c r="HR85" s="822"/>
      <c r="HS85" s="822"/>
      <c r="HT85" s="822"/>
      <c r="HU85" s="822"/>
      <c r="HV85" s="822"/>
      <c r="HW85" s="822"/>
      <c r="HX85" s="822"/>
      <c r="HY85" s="822"/>
      <c r="HZ85" s="822"/>
      <c r="IA85" s="822"/>
      <c r="IB85" s="822"/>
      <c r="IC85" s="822"/>
      <c r="ID85" s="822"/>
      <c r="IE85" s="822"/>
      <c r="IF85" s="822"/>
      <c r="IG85" s="822"/>
      <c r="IH85" s="822"/>
      <c r="II85" s="822"/>
      <c r="IJ85" s="822"/>
      <c r="IK85" s="822"/>
      <c r="IL85" s="822"/>
      <c r="IM85" s="822"/>
      <c r="IN85" s="822"/>
      <c r="IO85" s="822"/>
      <c r="IP85" s="822"/>
      <c r="IQ85" s="822"/>
      <c r="IR85" s="822"/>
      <c r="IS85" s="822"/>
      <c r="IT85" s="822"/>
      <c r="IU85" s="822"/>
      <c r="IV85" s="822"/>
      <c r="IW85" s="822"/>
      <c r="IX85" s="822"/>
      <c r="IY85" s="822"/>
      <c r="IZ85" s="822"/>
      <c r="JA85" s="822"/>
    </row>
    <row r="86" spans="1:261" outlineLevel="2">
      <c r="A86" s="819" t="s">
        <v>146</v>
      </c>
      <c r="C86" s="706">
        <f>C80+C81+C82</f>
        <v>2961</v>
      </c>
      <c r="D86" s="839">
        <f t="shared" si="161"/>
        <v>27.315498154981547</v>
      </c>
      <c r="E86" s="822"/>
      <c r="G86" s="706">
        <f>G80+G81+G82</f>
        <v>3075</v>
      </c>
      <c r="H86" s="839">
        <f t="shared" si="162"/>
        <v>27.69022962629446</v>
      </c>
      <c r="I86" s="822">
        <f t="shared" si="200"/>
        <v>37.473147131291284</v>
      </c>
      <c r="K86" s="706">
        <f>K80+K81+K82</f>
        <v>2971</v>
      </c>
      <c r="L86" s="839">
        <f t="shared" si="163"/>
        <v>27.443192314797709</v>
      </c>
      <c r="M86" s="822">
        <f t="shared" si="201"/>
        <v>-24.703731149675079</v>
      </c>
      <c r="O86" s="706">
        <f>O80+O81+O82</f>
        <v>3126</v>
      </c>
      <c r="P86" s="839">
        <f t="shared" si="164"/>
        <v>26.216034887621603</v>
      </c>
      <c r="Q86" s="822">
        <f t="shared" si="202"/>
        <v>-122.71574271761061</v>
      </c>
      <c r="S86" s="706">
        <f>S80+S81+S82</f>
        <v>3191</v>
      </c>
      <c r="T86" s="839">
        <f t="shared" si="165"/>
        <v>25.201389985784235</v>
      </c>
      <c r="U86" s="822">
        <f t="shared" si="203"/>
        <v>-101.4644901837368</v>
      </c>
      <c r="W86" s="706">
        <f>W80+W81+W82</f>
        <v>3375</v>
      </c>
      <c r="X86" s="839">
        <f t="shared" si="166"/>
        <v>24.561531184047741</v>
      </c>
      <c r="Y86" s="822">
        <f t="shared" si="204"/>
        <v>-63.985880173649434</v>
      </c>
      <c r="AA86" s="706">
        <f>AA80+AA81+AA82</f>
        <v>3456</v>
      </c>
      <c r="AB86" s="839">
        <f t="shared" si="167"/>
        <v>24.809763101220391</v>
      </c>
      <c r="AC86" s="822">
        <f t="shared" si="205"/>
        <v>24.823191717264947</v>
      </c>
      <c r="AE86" s="706">
        <f>AE80+AE81+AE82</f>
        <v>4402</v>
      </c>
      <c r="AF86" s="839">
        <f t="shared" si="168"/>
        <v>23.04712041884817</v>
      </c>
      <c r="AG86" s="822">
        <f t="shared" si="206"/>
        <v>-176.26426823722204</v>
      </c>
      <c r="AI86" s="706">
        <f>AI80+AI81+AI82</f>
        <v>3565</v>
      </c>
      <c r="AJ86" s="839">
        <f t="shared" si="169"/>
        <v>24.592991169977925</v>
      </c>
      <c r="AK86" s="822">
        <f t="shared" si="207"/>
        <v>154.58707511297547</v>
      </c>
      <c r="AM86" s="706">
        <f>AM80+AM81+AM82</f>
        <v>4545</v>
      </c>
      <c r="AN86" s="839">
        <f t="shared" si="170"/>
        <v>22.763470264747422</v>
      </c>
      <c r="AO86" s="822">
        <f t="shared" si="208"/>
        <v>-182.95209052305026</v>
      </c>
      <c r="AQ86" s="706">
        <f>AQ80+AQ81+AQ82</f>
        <v>4661</v>
      </c>
      <c r="AR86" s="839">
        <f t="shared" si="171"/>
        <v>22.886182853775903</v>
      </c>
      <c r="AS86" s="822">
        <f t="shared" si="209"/>
        <v>12.271258902848103</v>
      </c>
      <c r="AU86" s="706">
        <f>AU80+AU81+AU82</f>
        <v>6179</v>
      </c>
      <c r="AV86" s="839">
        <f t="shared" si="172"/>
        <v>27.98206684177158</v>
      </c>
      <c r="AW86" s="822">
        <f t="shared" si="210"/>
        <v>509.5883987995677</v>
      </c>
      <c r="AY86" s="706">
        <f>AY80+AY81+AY82</f>
        <v>6250</v>
      </c>
      <c r="AZ86" s="839">
        <f t="shared" si="173"/>
        <v>28.060880887172811</v>
      </c>
      <c r="BA86" s="822">
        <f t="shared" si="211"/>
        <v>7.8814045401230715</v>
      </c>
      <c r="BC86" s="706">
        <f>BC80+BC81+BC82</f>
        <v>6146</v>
      </c>
      <c r="BD86" s="839">
        <f t="shared" si="174"/>
        <v>27.361766539043721</v>
      </c>
      <c r="BE86" s="822">
        <f t="shared" si="212"/>
        <v>-69.911434812908979</v>
      </c>
      <c r="BG86" s="706">
        <f>BG80+BG81+BG82</f>
        <v>6292</v>
      </c>
      <c r="BH86" s="839">
        <f t="shared" si="175"/>
        <v>27.59891218527941</v>
      </c>
      <c r="BI86" s="822">
        <f t="shared" si="213"/>
        <v>23.71456462356889</v>
      </c>
      <c r="BK86" s="706">
        <f>BK80+BK81+BK82</f>
        <v>3970</v>
      </c>
      <c r="BL86" s="839">
        <f t="shared" si="176"/>
        <v>32.442592138596062</v>
      </c>
      <c r="BM86" s="822">
        <f t="shared" si="214"/>
        <v>484.36799533166521</v>
      </c>
      <c r="BO86" s="706">
        <f>BO80+BO81+BO82</f>
        <v>4033</v>
      </c>
      <c r="BP86" s="839">
        <f t="shared" si="177"/>
        <v>33.919311231926166</v>
      </c>
      <c r="BQ86" s="822">
        <f t="shared" si="215"/>
        <v>147.67190933301038</v>
      </c>
      <c r="BS86" s="706">
        <f>BS80+BS81+BS82</f>
        <v>4018</v>
      </c>
      <c r="BT86" s="839">
        <f t="shared" si="178"/>
        <v>34.893617021276597</v>
      </c>
      <c r="BU86" s="822">
        <f t="shared" si="216"/>
        <v>97.430578935043144</v>
      </c>
      <c r="BW86" s="706">
        <f>BW80+BW81+BW82</f>
        <v>3916</v>
      </c>
      <c r="BX86" s="839">
        <f t="shared" si="179"/>
        <v>32.25434478214315</v>
      </c>
      <c r="BY86" s="822">
        <f t="shared" si="217"/>
        <v>-263.92722391334473</v>
      </c>
      <c r="CA86" s="706">
        <f>CA80+CA81+CA82</f>
        <v>4023</v>
      </c>
      <c r="CB86" s="839">
        <f t="shared" si="180"/>
        <v>31.984417236444585</v>
      </c>
      <c r="CC86" s="822">
        <f t="shared" si="218"/>
        <v>-26.992754569856459</v>
      </c>
      <c r="CE86" s="706">
        <f>CE80+CE81+CE82</f>
        <v>4154</v>
      </c>
      <c r="CF86" s="839">
        <f t="shared" si="181"/>
        <v>31.381524395697909</v>
      </c>
      <c r="CG86" s="822">
        <f t="shared" si="219"/>
        <v>-60.289284074667648</v>
      </c>
      <c r="CI86" s="706">
        <f>CI80+CI81+CI82</f>
        <v>4232</v>
      </c>
      <c r="CJ86" s="839">
        <f t="shared" si="182"/>
        <v>31.424964728595828</v>
      </c>
      <c r="CK86" s="822">
        <f t="shared" si="220"/>
        <v>4.3440332897919376</v>
      </c>
      <c r="CM86" s="706">
        <f>CM80+CM81+CM82</f>
        <v>4210</v>
      </c>
      <c r="CN86" s="839">
        <f t="shared" si="183"/>
        <v>33.078472551809149</v>
      </c>
      <c r="CO86" s="822">
        <f t="shared" si="221"/>
        <v>165.35078232133208</v>
      </c>
      <c r="CQ86" s="706">
        <f>CQ80+CQ81+CQ82</f>
        <v>4520</v>
      </c>
      <c r="CR86" s="839">
        <f t="shared" si="184"/>
        <v>37.636934956846673</v>
      </c>
      <c r="CS86" s="822">
        <f t="shared" si="222"/>
        <v>455.84624050375237</v>
      </c>
      <c r="CU86" s="706">
        <f>CU80+CU81+CU82</f>
        <v>4463</v>
      </c>
      <c r="CV86" s="839">
        <f t="shared" si="185"/>
        <v>37.018911745189115</v>
      </c>
      <c r="CW86" s="822">
        <f t="shared" si="223"/>
        <v>-61.802321165755814</v>
      </c>
      <c r="CY86" s="706">
        <f>CY80+CY81+CY82</f>
        <v>4237</v>
      </c>
      <c r="CZ86" s="839">
        <f t="shared" si="186"/>
        <v>35.800591465990706</v>
      </c>
      <c r="DA86" s="822">
        <f t="shared" si="224"/>
        <v>-121.83202791984087</v>
      </c>
      <c r="DC86" s="846">
        <f>DC80+DC81+DC82</f>
        <v>3850</v>
      </c>
      <c r="DD86" s="839">
        <f t="shared" si="187"/>
        <v>42.303043621580045</v>
      </c>
      <c r="DE86" s="822">
        <f t="shared" si="225"/>
        <v>650.24521555893386</v>
      </c>
      <c r="DG86" s="846">
        <f>DG80+DG81+DG82</f>
        <v>3652</v>
      </c>
      <c r="DH86" s="839">
        <f t="shared" si="188"/>
        <v>45.214807478024014</v>
      </c>
      <c r="DI86" s="822">
        <f t="shared" si="189"/>
        <v>291.17638564439687</v>
      </c>
      <c r="DK86" s="846">
        <f>DK80+DK81+DK82</f>
        <v>3439</v>
      </c>
      <c r="DL86" s="839">
        <f t="shared" si="190"/>
        <v>41.116690578670493</v>
      </c>
      <c r="DM86" s="822">
        <f t="shared" si="191"/>
        <v>-409.81168993535209</v>
      </c>
      <c r="DP86" s="846">
        <f>DP80+DP81+DP82</f>
        <v>3280.75</v>
      </c>
      <c r="DQ86" s="839">
        <f t="shared" si="192"/>
        <v>38.020048673079152</v>
      </c>
      <c r="DR86" s="822">
        <f t="shared" si="193"/>
        <v>-309.66419055913406</v>
      </c>
      <c r="DU86" s="846">
        <f>DU80+DU81+DU82</f>
        <v>3074</v>
      </c>
      <c r="DV86" s="839">
        <f t="shared" si="194"/>
        <v>35.802469135802468</v>
      </c>
      <c r="DW86" s="822">
        <f t="shared" si="195"/>
        <v>-221.75795372766842</v>
      </c>
      <c r="DZ86" s="846">
        <f>DZ80+DZ81+DZ82</f>
        <v>2946</v>
      </c>
      <c r="EA86" s="839">
        <f t="shared" si="196"/>
        <v>34.761061946902657</v>
      </c>
      <c r="EB86" s="822">
        <f t="shared" si="197"/>
        <v>-104.14071888998109</v>
      </c>
      <c r="EE86" s="846">
        <f>EE80+EE81+EE82</f>
        <v>2917.29</v>
      </c>
      <c r="EF86" s="839">
        <f t="shared" si="198"/>
        <v>35.023960875029353</v>
      </c>
      <c r="EG86" s="822">
        <f t="shared" si="199"/>
        <v>26.289892812669535</v>
      </c>
      <c r="EK86" s="822"/>
      <c r="EL86" s="822"/>
      <c r="EM86" s="822"/>
      <c r="EN86" s="822"/>
      <c r="EO86" s="822"/>
      <c r="EP86" s="822"/>
      <c r="EQ86" s="822"/>
      <c r="ER86" s="822"/>
      <c r="ES86" s="822"/>
      <c r="ET86" s="822"/>
      <c r="EU86" s="822"/>
      <c r="EV86" s="822"/>
      <c r="EW86" s="822"/>
      <c r="EX86" s="822"/>
      <c r="EY86" s="822"/>
      <c r="EZ86" s="822"/>
      <c r="FA86" s="822"/>
      <c r="FB86" s="822"/>
      <c r="FC86" s="822"/>
      <c r="FD86" s="822"/>
      <c r="FE86" s="822"/>
      <c r="FF86" s="822"/>
      <c r="FG86" s="822"/>
      <c r="FH86" s="822"/>
      <c r="FI86" s="822"/>
      <c r="FJ86" s="822"/>
      <c r="FK86" s="822"/>
      <c r="FL86" s="822"/>
      <c r="FM86" s="822"/>
      <c r="FN86" s="822"/>
      <c r="FO86" s="822"/>
      <c r="FP86" s="822"/>
      <c r="FQ86" s="822"/>
      <c r="FR86" s="822"/>
      <c r="FS86" s="822"/>
      <c r="FT86" s="822"/>
      <c r="FU86" s="822"/>
      <c r="FV86" s="822"/>
      <c r="FW86" s="822"/>
      <c r="FX86" s="822"/>
      <c r="FY86" s="822"/>
      <c r="FZ86" s="822"/>
      <c r="GA86" s="822"/>
      <c r="GB86" s="822"/>
      <c r="GC86" s="822"/>
      <c r="GD86" s="822"/>
      <c r="GE86" s="822"/>
      <c r="GF86" s="822"/>
      <c r="GG86" s="822"/>
      <c r="GH86" s="822"/>
      <c r="GI86" s="822"/>
      <c r="GJ86" s="822"/>
      <c r="GK86" s="822"/>
      <c r="GL86" s="822"/>
      <c r="GM86" s="822"/>
      <c r="GN86" s="822"/>
      <c r="GO86" s="822"/>
      <c r="GP86" s="822"/>
      <c r="GQ86" s="822"/>
      <c r="GR86" s="822"/>
      <c r="GS86" s="822"/>
      <c r="GT86" s="822"/>
      <c r="GU86" s="822"/>
      <c r="GV86" s="822"/>
      <c r="GW86" s="822"/>
      <c r="GX86" s="822"/>
      <c r="GY86" s="822"/>
      <c r="GZ86" s="822"/>
      <c r="HA86" s="822"/>
      <c r="HB86" s="822"/>
      <c r="HC86" s="822"/>
      <c r="HD86" s="822"/>
      <c r="HE86" s="822"/>
      <c r="HF86" s="822"/>
      <c r="HG86" s="822"/>
      <c r="HH86" s="822"/>
      <c r="HI86" s="822"/>
      <c r="HJ86" s="822"/>
      <c r="HK86" s="822"/>
      <c r="HL86" s="822"/>
      <c r="HM86" s="822"/>
      <c r="HN86" s="822"/>
      <c r="HO86" s="822"/>
      <c r="HP86" s="822"/>
      <c r="HQ86" s="822"/>
      <c r="HR86" s="822"/>
      <c r="HS86" s="822"/>
      <c r="HT86" s="822"/>
      <c r="HU86" s="822"/>
      <c r="HV86" s="822"/>
      <c r="HW86" s="822"/>
      <c r="HX86" s="822"/>
      <c r="HY86" s="822"/>
      <c r="HZ86" s="822"/>
      <c r="IA86" s="822"/>
      <c r="IB86" s="822"/>
      <c r="IC86" s="822"/>
      <c r="ID86" s="822"/>
      <c r="IE86" s="822"/>
      <c r="IF86" s="822"/>
      <c r="IG86" s="822"/>
      <c r="IH86" s="822"/>
      <c r="II86" s="822"/>
      <c r="IJ86" s="822"/>
      <c r="IK86" s="822"/>
      <c r="IL86" s="822"/>
      <c r="IM86" s="822"/>
      <c r="IN86" s="822"/>
      <c r="IO86" s="822"/>
      <c r="IP86" s="822"/>
      <c r="IQ86" s="822"/>
      <c r="IR86" s="822"/>
      <c r="IS86" s="822"/>
      <c r="IT86" s="822"/>
      <c r="IU86" s="822"/>
      <c r="IV86" s="822"/>
      <c r="IW86" s="822"/>
      <c r="IX86" s="822"/>
      <c r="IY86" s="822"/>
      <c r="IZ86" s="822"/>
      <c r="JA86" s="822"/>
    </row>
    <row r="87" spans="1:261" outlineLevel="2">
      <c r="C87" s="706"/>
      <c r="D87" s="687"/>
      <c r="E87" s="687"/>
      <c r="G87" s="706"/>
      <c r="H87" s="687"/>
      <c r="I87" s="687"/>
      <c r="K87" s="706"/>
      <c r="L87" s="687"/>
      <c r="M87" s="687"/>
      <c r="O87" s="706"/>
      <c r="S87" s="706"/>
      <c r="W87" s="706"/>
      <c r="AA87" s="706"/>
      <c r="AE87" s="706"/>
      <c r="AI87" s="706"/>
      <c r="AM87" s="706"/>
      <c r="AQ87" s="706"/>
      <c r="AU87" s="706"/>
      <c r="AY87" s="706"/>
      <c r="BC87" s="706"/>
      <c r="BG87" s="706"/>
      <c r="BK87" s="706"/>
      <c r="BO87" s="706"/>
      <c r="BS87" s="706"/>
      <c r="BW87" s="706"/>
      <c r="CA87" s="706"/>
      <c r="CE87" s="706"/>
      <c r="CI87" s="706"/>
      <c r="CM87" s="706"/>
      <c r="CQ87" s="706"/>
      <c r="CU87" s="706"/>
      <c r="CY87" s="706"/>
      <c r="DG87" s="591"/>
      <c r="DK87" s="591"/>
      <c r="DP87" s="591"/>
      <c r="DU87" s="591"/>
      <c r="DZ87" s="591"/>
      <c r="EE87" s="591"/>
      <c r="EW87" s="805"/>
      <c r="EX87" s="805"/>
    </row>
    <row r="88" spans="1:261" outlineLevel="1">
      <c r="A88" s="816" t="s">
        <v>30</v>
      </c>
      <c r="C88" s="706"/>
      <c r="D88" s="687"/>
      <c r="E88" s="687"/>
      <c r="G88" s="706"/>
      <c r="H88" s="687"/>
      <c r="I88" s="687"/>
      <c r="K88" s="706"/>
      <c r="L88" s="687"/>
      <c r="M88" s="687"/>
      <c r="O88" s="706"/>
      <c r="S88" s="706"/>
      <c r="W88" s="706"/>
      <c r="AA88" s="706"/>
      <c r="AE88" s="706"/>
      <c r="AI88" s="706"/>
      <c r="AM88" s="706"/>
      <c r="AQ88" s="706"/>
      <c r="AU88" s="706"/>
      <c r="AY88" s="706"/>
      <c r="BC88" s="706"/>
      <c r="BG88" s="706"/>
      <c r="BK88" s="706"/>
      <c r="BO88" s="706"/>
      <c r="BS88" s="706"/>
      <c r="BW88" s="706"/>
      <c r="CA88" s="706"/>
      <c r="CE88" s="706"/>
      <c r="CI88" s="706"/>
      <c r="CM88" s="706"/>
      <c r="CQ88" s="706"/>
      <c r="CY88" s="706"/>
      <c r="DG88" s="818" t="s">
        <v>599</v>
      </c>
      <c r="DP88" s="1585" t="str">
        <f>DG88</f>
        <v xml:space="preserve">8. Real Estate and other (% of Sales) </v>
      </c>
      <c r="DQ88" s="1585"/>
      <c r="DR88" s="1585"/>
      <c r="DS88" s="1585"/>
      <c r="DT88" s="1585"/>
      <c r="DU88" s="1585"/>
      <c r="DV88" s="1585"/>
      <c r="DW88" s="1585"/>
      <c r="EW88" s="805"/>
      <c r="EX88" s="805"/>
    </row>
    <row r="89" spans="1:261" outlineLevel="1">
      <c r="C89" s="706"/>
      <c r="D89" s="687"/>
      <c r="E89" s="687"/>
      <c r="G89" s="706"/>
      <c r="H89" s="687"/>
      <c r="I89" s="687"/>
      <c r="K89" s="706"/>
      <c r="L89" s="687"/>
      <c r="M89" s="687"/>
      <c r="O89" s="706"/>
      <c r="S89" s="706"/>
      <c r="W89" s="706"/>
      <c r="AA89" s="706"/>
      <c r="AE89" s="706"/>
      <c r="AI89" s="706"/>
      <c r="AM89" s="706"/>
      <c r="AQ89" s="706"/>
      <c r="AU89" s="706"/>
      <c r="AY89" s="706"/>
      <c r="BC89" s="706"/>
      <c r="BG89" s="706"/>
      <c r="BK89" s="706"/>
      <c r="BO89" s="706"/>
      <c r="BS89" s="706"/>
      <c r="BW89" s="706"/>
      <c r="CA89" s="706"/>
      <c r="CE89" s="706"/>
      <c r="CI89" s="706"/>
      <c r="CM89" s="706"/>
      <c r="CQ89" s="706"/>
      <c r="CU89" s="706"/>
      <c r="CY89" s="706"/>
      <c r="DZ89" s="582"/>
      <c r="EE89" s="582"/>
      <c r="EI89" s="1351"/>
      <c r="EW89" s="805"/>
      <c r="EX89" s="805"/>
    </row>
    <row r="90" spans="1:261" outlineLevel="1">
      <c r="A90" s="819" t="s">
        <v>140</v>
      </c>
      <c r="C90" s="877"/>
      <c r="D90" s="867" t="s">
        <v>147</v>
      </c>
      <c r="E90" s="868"/>
      <c r="F90" s="507"/>
      <c r="G90" s="877"/>
      <c r="H90" s="867" t="s">
        <v>147</v>
      </c>
      <c r="I90" s="868"/>
      <c r="J90" s="507"/>
      <c r="K90" s="877"/>
      <c r="L90" s="867" t="s">
        <v>147</v>
      </c>
      <c r="M90" s="868"/>
      <c r="N90" s="507"/>
      <c r="O90" s="877"/>
      <c r="P90" s="867" t="s">
        <v>147</v>
      </c>
      <c r="Q90" s="868"/>
      <c r="R90" s="507"/>
      <c r="S90" s="877"/>
      <c r="T90" s="867" t="s">
        <v>147</v>
      </c>
      <c r="U90" s="868"/>
      <c r="V90" s="507"/>
      <c r="W90" s="877"/>
      <c r="X90" s="867" t="s">
        <v>147</v>
      </c>
      <c r="Y90" s="868"/>
      <c r="Z90" s="507"/>
      <c r="AA90" s="877"/>
      <c r="AB90" s="867" t="s">
        <v>147</v>
      </c>
      <c r="AC90" s="868"/>
      <c r="AD90" s="507"/>
      <c r="AE90" s="877"/>
      <c r="AF90" s="867" t="s">
        <v>147</v>
      </c>
      <c r="AG90" s="868"/>
      <c r="AH90" s="507"/>
      <c r="AI90" s="877"/>
      <c r="AJ90" s="867" t="s">
        <v>147</v>
      </c>
      <c r="AK90" s="868"/>
      <c r="AL90" s="507"/>
      <c r="AM90" s="877"/>
      <c r="AN90" s="867" t="s">
        <v>147</v>
      </c>
      <c r="AO90" s="868"/>
      <c r="AP90" s="507"/>
      <c r="AQ90" s="877"/>
      <c r="AR90" s="867" t="s">
        <v>147</v>
      </c>
      <c r="AS90" s="868"/>
      <c r="AT90" s="507"/>
      <c r="AU90" s="877"/>
      <c r="AV90" s="867" t="s">
        <v>147</v>
      </c>
      <c r="AW90" s="868"/>
      <c r="AX90" s="507"/>
      <c r="AY90" s="877"/>
      <c r="AZ90" s="867" t="s">
        <v>147</v>
      </c>
      <c r="BA90" s="868"/>
      <c r="BB90" s="507"/>
      <c r="BC90" s="877"/>
      <c r="BD90" s="867" t="s">
        <v>147</v>
      </c>
      <c r="BE90" s="868"/>
      <c r="BF90" s="507"/>
      <c r="BG90" s="877"/>
      <c r="BH90" s="867" t="s">
        <v>147</v>
      </c>
      <c r="BI90" s="868"/>
      <c r="BJ90" s="507"/>
      <c r="BK90" s="877">
        <v>-12</v>
      </c>
      <c r="BL90" s="867">
        <f t="shared" ref="BL90:BL96" si="226">BK90/BK10*100</f>
        <v>-0.29636947394418373</v>
      </c>
      <c r="BM90" s="868"/>
      <c r="BN90" s="507"/>
      <c r="BO90" s="877">
        <v>8</v>
      </c>
      <c r="BP90" s="867">
        <f t="shared" ref="BP90:BP96" si="227">BO90/BO10*100</f>
        <v>0.20050125313283207</v>
      </c>
      <c r="BQ90" s="868"/>
      <c r="BR90" s="507"/>
      <c r="BS90" s="877">
        <v>-9</v>
      </c>
      <c r="BT90" s="869">
        <f t="shared" ref="BT90:BT96" si="228">BS90/BS10*100</f>
        <v>-0.24529844644317253</v>
      </c>
      <c r="BU90" s="870"/>
      <c r="BW90" s="695">
        <v>-8</v>
      </c>
      <c r="BX90" s="878">
        <f t="shared" ref="BX90:BX96" si="229">BW90/BW10*100</f>
        <v>-0.2014098690835851</v>
      </c>
      <c r="BY90" s="870"/>
      <c r="CA90" s="695">
        <v>-22</v>
      </c>
      <c r="CB90" s="878">
        <f t="shared" ref="CB90:CB96" si="230">CA90/CA10*100</f>
        <v>-0.53423992229237494</v>
      </c>
      <c r="CC90" s="822"/>
      <c r="CE90" s="695">
        <v>-13</v>
      </c>
      <c r="CF90" s="878">
        <f t="shared" ref="CF90:CF96" si="231">CE90/CE10*100</f>
        <v>-0.30812988859919416</v>
      </c>
      <c r="CG90" s="822"/>
      <c r="CI90" s="695">
        <v>-9</v>
      </c>
      <c r="CJ90" s="878">
        <f t="shared" ref="CJ90:CJ96" si="232">CI90/CI10*100</f>
        <v>-0.20694412508622673</v>
      </c>
      <c r="CK90" s="822"/>
      <c r="CM90" s="695">
        <v>-9</v>
      </c>
      <c r="CN90" s="878">
        <f t="shared" ref="CN90:CN96" si="233">CM90/CM10*100</f>
        <v>-0.21807608432275258</v>
      </c>
      <c r="CO90" s="822"/>
      <c r="CQ90" s="695">
        <v>-6</v>
      </c>
      <c r="CR90" s="878">
        <f t="shared" ref="CR90:CR96" si="234">CQ90/CQ10*100</f>
        <v>-0.15438312524817419</v>
      </c>
      <c r="CS90" s="879"/>
      <c r="CU90" s="1342">
        <v>-6</v>
      </c>
      <c r="CV90" s="878">
        <f t="shared" ref="CV90:CV96" si="235">CU90/CU10*100</f>
        <v>-0.15271061338763045</v>
      </c>
      <c r="CW90" s="879"/>
      <c r="CY90" s="1342">
        <v>-13</v>
      </c>
      <c r="CZ90" s="878">
        <f t="shared" ref="CZ90:CZ96" si="236">CY90/CY10*100</f>
        <v>-0.32969819934060357</v>
      </c>
      <c r="DA90" s="879"/>
      <c r="DC90" s="1342">
        <v>-7</v>
      </c>
      <c r="DD90" s="878">
        <f t="shared" ref="DD90:DD96" si="237">DC90/DC10*100</f>
        <v>-0.2220812182741117</v>
      </c>
      <c r="DE90" s="879"/>
      <c r="DG90" s="1342">
        <v>-22</v>
      </c>
      <c r="DH90" s="878">
        <f t="shared" ref="DH90:DH96" si="238">DG90/DG10*100</f>
        <v>-0.83491461100569253</v>
      </c>
      <c r="DI90" s="879"/>
      <c r="DK90" s="1342">
        <v>-17</v>
      </c>
      <c r="DL90" s="878">
        <f t="shared" ref="DL90:DL96" si="239">DK90/DK10*100</f>
        <v>-0.6069260978222063</v>
      </c>
      <c r="DM90" s="879"/>
      <c r="DP90" s="1342">
        <f>-35+22</f>
        <v>-13</v>
      </c>
      <c r="DQ90" s="878">
        <f t="shared" ref="DQ90:DQ96" si="240">DP90/DP10*100</f>
        <v>-0.45502275113755691</v>
      </c>
      <c r="DR90" s="879"/>
      <c r="DU90" s="1342">
        <f>-38+6</f>
        <v>-32</v>
      </c>
      <c r="DV90" s="878">
        <f t="shared" ref="DV90:DV96" si="241">DU90/DU10*100</f>
        <v>-1.1383849163998576</v>
      </c>
      <c r="DW90" s="879"/>
      <c r="DZ90" s="1342">
        <f>-118+1</f>
        <v>-117</v>
      </c>
      <c r="EA90" s="878">
        <f t="shared" ref="EA90:EA96" si="242">DZ90/DZ10*100</f>
        <v>-4.3237250554323721</v>
      </c>
      <c r="EB90" s="879"/>
      <c r="EE90" s="695">
        <v>-45</v>
      </c>
      <c r="EF90" s="878">
        <f t="shared" ref="EF90:EF96" si="243">EE90/EE10*100</f>
        <v>-1.690011356876318</v>
      </c>
      <c r="EG90" s="879"/>
      <c r="EI90" s="1261"/>
      <c r="EK90" s="879"/>
      <c r="EL90" s="879"/>
      <c r="EM90" s="879"/>
      <c r="EN90" s="879"/>
      <c r="EO90" s="879"/>
      <c r="EP90" s="879"/>
      <c r="EQ90" s="879"/>
      <c r="ER90" s="879"/>
      <c r="ES90" s="879"/>
      <c r="ET90" s="879"/>
      <c r="EU90" s="879"/>
      <c r="EV90" s="879"/>
      <c r="EW90" s="805"/>
      <c r="EX90" s="805"/>
    </row>
    <row r="91" spans="1:261" outlineLevel="1">
      <c r="A91" s="819" t="s">
        <v>141</v>
      </c>
      <c r="C91" s="877"/>
      <c r="D91" s="867" t="s">
        <v>147</v>
      </c>
      <c r="E91" s="868"/>
      <c r="F91" s="507"/>
      <c r="G91" s="877"/>
      <c r="H91" s="867" t="s">
        <v>147</v>
      </c>
      <c r="I91" s="868"/>
      <c r="J91" s="507"/>
      <c r="K91" s="877"/>
      <c r="L91" s="867" t="s">
        <v>147</v>
      </c>
      <c r="M91" s="868"/>
      <c r="N91" s="507"/>
      <c r="O91" s="877"/>
      <c r="P91" s="867" t="s">
        <v>147</v>
      </c>
      <c r="Q91" s="868"/>
      <c r="R91" s="507"/>
      <c r="S91" s="877"/>
      <c r="T91" s="867" t="s">
        <v>147</v>
      </c>
      <c r="U91" s="868"/>
      <c r="V91" s="507"/>
      <c r="W91" s="877"/>
      <c r="X91" s="867" t="s">
        <v>147</v>
      </c>
      <c r="Y91" s="868"/>
      <c r="Z91" s="507"/>
      <c r="AA91" s="877"/>
      <c r="AB91" s="867" t="s">
        <v>147</v>
      </c>
      <c r="AC91" s="868"/>
      <c r="AD91" s="507"/>
      <c r="AE91" s="877"/>
      <c r="AF91" s="867" t="s">
        <v>147</v>
      </c>
      <c r="AG91" s="868"/>
      <c r="AH91" s="507"/>
      <c r="AI91" s="877"/>
      <c r="AJ91" s="867" t="s">
        <v>147</v>
      </c>
      <c r="AK91" s="868"/>
      <c r="AL91" s="507"/>
      <c r="AM91" s="877"/>
      <c r="AN91" s="867" t="s">
        <v>147</v>
      </c>
      <c r="AO91" s="868"/>
      <c r="AP91" s="507"/>
      <c r="AQ91" s="877"/>
      <c r="AR91" s="867" t="s">
        <v>147</v>
      </c>
      <c r="AS91" s="868"/>
      <c r="AT91" s="507"/>
      <c r="AU91" s="877"/>
      <c r="AV91" s="867" t="s">
        <v>147</v>
      </c>
      <c r="AW91" s="868"/>
      <c r="AX91" s="507"/>
      <c r="AY91" s="877"/>
      <c r="AZ91" s="867" t="s">
        <v>147</v>
      </c>
      <c r="BA91" s="868"/>
      <c r="BB91" s="507"/>
      <c r="BC91" s="877"/>
      <c r="BD91" s="867" t="s">
        <v>147</v>
      </c>
      <c r="BE91" s="868"/>
      <c r="BF91" s="507"/>
      <c r="BG91" s="877"/>
      <c r="BH91" s="867" t="s">
        <v>147</v>
      </c>
      <c r="BI91" s="868"/>
      <c r="BJ91" s="507"/>
      <c r="BK91" s="877">
        <v>23</v>
      </c>
      <c r="BL91" s="867">
        <f t="shared" si="226"/>
        <v>0.59864653826132219</v>
      </c>
      <c r="BM91" s="868"/>
      <c r="BN91" s="507"/>
      <c r="BO91" s="877">
        <v>3</v>
      </c>
      <c r="BP91" s="867">
        <f t="shared" si="227"/>
        <v>8.319509082408065E-2</v>
      </c>
      <c r="BQ91" s="868"/>
      <c r="BR91" s="507"/>
      <c r="BS91" s="877">
        <v>-12</v>
      </c>
      <c r="BT91" s="869">
        <f t="shared" si="228"/>
        <v>-0.33538289547233091</v>
      </c>
      <c r="BU91" s="870"/>
      <c r="BW91" s="841">
        <v>-5</v>
      </c>
      <c r="BX91" s="878">
        <f t="shared" si="229"/>
        <v>-0.13234515616728429</v>
      </c>
      <c r="BY91" s="870"/>
      <c r="CA91" s="841">
        <v>-14</v>
      </c>
      <c r="CB91" s="878">
        <f t="shared" si="230"/>
        <v>-0.35167043456417985</v>
      </c>
      <c r="CC91" s="822"/>
      <c r="CE91" s="841">
        <v>-9</v>
      </c>
      <c r="CF91" s="878">
        <f t="shared" si="231"/>
        <v>-0.21241003255065743</v>
      </c>
      <c r="CG91" s="822"/>
      <c r="CI91" s="841">
        <v>-13</v>
      </c>
      <c r="CJ91" s="878">
        <f t="shared" si="232"/>
        <v>-0.296127562642369</v>
      </c>
      <c r="CK91" s="822"/>
      <c r="CM91" s="841">
        <v>-9</v>
      </c>
      <c r="CN91" s="878">
        <f t="shared" si="233"/>
        <v>-0.21015779428509737</v>
      </c>
      <c r="CO91" s="822"/>
      <c r="CQ91" s="841">
        <v>-7</v>
      </c>
      <c r="CR91" s="878">
        <f t="shared" si="234"/>
        <v>-0.17754554954776927</v>
      </c>
      <c r="CS91" s="879"/>
      <c r="CU91" s="1340">
        <v>-7</v>
      </c>
      <c r="CV91" s="878">
        <f t="shared" si="235"/>
        <v>-0.17775520568816658</v>
      </c>
      <c r="CW91" s="879"/>
      <c r="CY91" s="1340">
        <v>-6</v>
      </c>
      <c r="CZ91" s="878">
        <f t="shared" si="236"/>
        <v>-0.15360983102918588</v>
      </c>
      <c r="DA91" s="879"/>
      <c r="DC91" s="1340">
        <f>-208+200</f>
        <v>-8</v>
      </c>
      <c r="DD91" s="878">
        <f t="shared" si="237"/>
        <v>-0.26472534745201853</v>
      </c>
      <c r="DE91" s="879"/>
      <c r="DG91" s="1340">
        <v>-68</v>
      </c>
      <c r="DH91" s="878">
        <f t="shared" si="238"/>
        <v>-2.5535110777318812</v>
      </c>
      <c r="DI91" s="879"/>
      <c r="DK91" s="1340">
        <v>-53</v>
      </c>
      <c r="DL91" s="878">
        <f t="shared" si="239"/>
        <v>-1.8935334047874242</v>
      </c>
      <c r="DM91" s="879"/>
      <c r="DP91" s="1340">
        <f>19+17</f>
        <v>36</v>
      </c>
      <c r="DQ91" s="878">
        <f t="shared" si="240"/>
        <v>1.2521739130434784</v>
      </c>
      <c r="DR91" s="879"/>
      <c r="DU91" s="1340">
        <f>9-9</f>
        <v>0</v>
      </c>
      <c r="DV91" s="878">
        <f t="shared" si="241"/>
        <v>0</v>
      </c>
      <c r="DW91" s="879"/>
      <c r="DZ91" s="1340">
        <f>-23+19</f>
        <v>-4</v>
      </c>
      <c r="EA91" s="878">
        <f t="shared" si="242"/>
        <v>-0.13504388926401079</v>
      </c>
      <c r="EB91" s="879"/>
      <c r="EE91" s="841">
        <v>-5</v>
      </c>
      <c r="EF91" s="878">
        <f t="shared" si="243"/>
        <v>-0.17016619110888456</v>
      </c>
      <c r="EG91" s="879"/>
      <c r="EK91" s="879"/>
      <c r="EL91" s="879"/>
      <c r="EM91" s="879"/>
      <c r="EN91" s="879"/>
      <c r="EO91" s="879"/>
      <c r="EP91" s="879"/>
      <c r="EQ91" s="879"/>
      <c r="ER91" s="879"/>
      <c r="ES91" s="879"/>
      <c r="ET91" s="879"/>
      <c r="EU91" s="879"/>
      <c r="EV91" s="879"/>
      <c r="EW91" s="805"/>
      <c r="EX91" s="805"/>
    </row>
    <row r="92" spans="1:261" outlineLevel="1">
      <c r="A92" s="819" t="s">
        <v>142</v>
      </c>
      <c r="C92" s="877"/>
      <c r="D92" s="867" t="s">
        <v>147</v>
      </c>
      <c r="E92" s="868"/>
      <c r="F92" s="507"/>
      <c r="G92" s="877"/>
      <c r="H92" s="867" t="s">
        <v>147</v>
      </c>
      <c r="I92" s="868"/>
      <c r="J92" s="507"/>
      <c r="K92" s="877"/>
      <c r="L92" s="867" t="s">
        <v>147</v>
      </c>
      <c r="M92" s="868"/>
      <c r="N92" s="507"/>
      <c r="O92" s="877"/>
      <c r="P92" s="867" t="s">
        <v>147</v>
      </c>
      <c r="Q92" s="868"/>
      <c r="R92" s="507"/>
      <c r="S92" s="877"/>
      <c r="T92" s="867" t="s">
        <v>147</v>
      </c>
      <c r="U92" s="868"/>
      <c r="V92" s="507"/>
      <c r="W92" s="877"/>
      <c r="X92" s="867" t="s">
        <v>147</v>
      </c>
      <c r="Y92" s="868"/>
      <c r="Z92" s="507"/>
      <c r="AA92" s="877"/>
      <c r="AB92" s="867" t="s">
        <v>147</v>
      </c>
      <c r="AC92" s="868"/>
      <c r="AD92" s="507"/>
      <c r="AE92" s="877"/>
      <c r="AF92" s="867" t="s">
        <v>147</v>
      </c>
      <c r="AG92" s="868"/>
      <c r="AH92" s="507"/>
      <c r="AI92" s="877"/>
      <c r="AJ92" s="867" t="s">
        <v>147</v>
      </c>
      <c r="AK92" s="868"/>
      <c r="AL92" s="507"/>
      <c r="AM92" s="877"/>
      <c r="AN92" s="867" t="s">
        <v>147</v>
      </c>
      <c r="AO92" s="868"/>
      <c r="AP92" s="507"/>
      <c r="AQ92" s="877"/>
      <c r="AR92" s="867" t="s">
        <v>147</v>
      </c>
      <c r="AS92" s="868"/>
      <c r="AT92" s="507"/>
      <c r="AU92" s="877"/>
      <c r="AV92" s="867" t="s">
        <v>147</v>
      </c>
      <c r="AW92" s="868"/>
      <c r="AX92" s="507"/>
      <c r="AY92" s="877"/>
      <c r="AZ92" s="867" t="s">
        <v>147</v>
      </c>
      <c r="BA92" s="868"/>
      <c r="BB92" s="507"/>
      <c r="BC92" s="877"/>
      <c r="BD92" s="867" t="s">
        <v>147</v>
      </c>
      <c r="BE92" s="868"/>
      <c r="BF92" s="507"/>
      <c r="BG92" s="877"/>
      <c r="BH92" s="867" t="s">
        <v>147</v>
      </c>
      <c r="BI92" s="868"/>
      <c r="BJ92" s="507"/>
      <c r="BK92" s="877">
        <v>15</v>
      </c>
      <c r="BL92" s="867">
        <f t="shared" si="226"/>
        <v>0.34514496088357111</v>
      </c>
      <c r="BM92" s="868"/>
      <c r="BN92" s="507"/>
      <c r="BO92" s="877">
        <v>5</v>
      </c>
      <c r="BP92" s="867">
        <f t="shared" si="227"/>
        <v>0.11644154634373545</v>
      </c>
      <c r="BQ92" s="868"/>
      <c r="BR92" s="507"/>
      <c r="BS92" s="877">
        <v>4</v>
      </c>
      <c r="BT92" s="869">
        <f t="shared" si="228"/>
        <v>9.3720712277413312E-2</v>
      </c>
      <c r="BU92" s="870"/>
      <c r="BW92" s="841">
        <v>0</v>
      </c>
      <c r="BX92" s="878">
        <f t="shared" si="229"/>
        <v>0</v>
      </c>
      <c r="BY92" s="870"/>
      <c r="CA92" s="841">
        <v>-5</v>
      </c>
      <c r="CB92" s="878">
        <f t="shared" si="230"/>
        <v>-0.11163206072784104</v>
      </c>
      <c r="CC92" s="822"/>
      <c r="CE92" s="841">
        <v>-8</v>
      </c>
      <c r="CF92" s="878">
        <f t="shared" si="231"/>
        <v>-0.16732901066722444</v>
      </c>
      <c r="CG92" s="822"/>
      <c r="CI92" s="841">
        <v>-9</v>
      </c>
      <c r="CJ92" s="878">
        <f t="shared" si="232"/>
        <v>-0.19035532994923859</v>
      </c>
      <c r="CK92" s="822"/>
      <c r="CM92" s="841">
        <v>-10.809677419354838</v>
      </c>
      <c r="CN92" s="878">
        <f t="shared" si="233"/>
        <v>-0.25035067561038904</v>
      </c>
      <c r="CO92" s="822"/>
      <c r="CQ92" s="841">
        <v>3</v>
      </c>
      <c r="CR92" s="878">
        <f t="shared" si="234"/>
        <v>7.176356733266194E-2</v>
      </c>
      <c r="CS92" s="879"/>
      <c r="CU92" s="1340">
        <v>-7</v>
      </c>
      <c r="CV92" s="878">
        <f t="shared" si="235"/>
        <v>-0.167104320840296</v>
      </c>
      <c r="CW92" s="879"/>
      <c r="CY92" s="1340">
        <v>-5</v>
      </c>
      <c r="CZ92" s="878">
        <f t="shared" si="236"/>
        <v>-0.12543903662819869</v>
      </c>
      <c r="DA92" s="879"/>
      <c r="DC92" s="1340">
        <f>-197+(127+70)</f>
        <v>0</v>
      </c>
      <c r="DD92" s="878">
        <f t="shared" si="237"/>
        <v>0</v>
      </c>
      <c r="DE92" s="879"/>
      <c r="DG92" s="1340">
        <v>-27</v>
      </c>
      <c r="DH92" s="878">
        <f t="shared" si="238"/>
        <v>-0.97157250809643758</v>
      </c>
      <c r="DI92" s="879"/>
      <c r="DK92" s="1340">
        <v>-90</v>
      </c>
      <c r="DL92" s="878">
        <f t="shared" si="239"/>
        <v>-3.2561505065123009</v>
      </c>
      <c r="DM92" s="879"/>
      <c r="DP92" s="1340">
        <f>2+14</f>
        <v>16</v>
      </c>
      <c r="DQ92" s="878">
        <f t="shared" si="240"/>
        <v>0.55229547808077317</v>
      </c>
      <c r="DR92" s="879"/>
      <c r="DU92" s="1340">
        <f>2-1</f>
        <v>1</v>
      </c>
      <c r="DV92" s="878">
        <f t="shared" si="241"/>
        <v>3.5001750087504377E-2</v>
      </c>
      <c r="DW92" s="879"/>
      <c r="DZ92" s="1340">
        <f>52+2</f>
        <v>54</v>
      </c>
      <c r="EA92" s="878">
        <f t="shared" si="242"/>
        <v>1.9237620235126471</v>
      </c>
      <c r="EB92" s="879"/>
      <c r="EE92" s="1542">
        <v>-5</v>
      </c>
      <c r="EF92" s="878">
        <f t="shared" si="243"/>
        <v>-0.18325731819774491</v>
      </c>
      <c r="EG92" s="879"/>
      <c r="EK92" s="879"/>
      <c r="EL92" s="879"/>
      <c r="EM92" s="879"/>
      <c r="EN92" s="879"/>
      <c r="EO92" s="879"/>
      <c r="EP92" s="879"/>
      <c r="EQ92" s="879"/>
      <c r="ER92" s="879"/>
      <c r="ES92" s="879"/>
      <c r="ET92" s="879"/>
      <c r="EU92" s="879"/>
      <c r="EV92" s="879"/>
      <c r="EW92" s="805"/>
      <c r="EX92" s="805"/>
    </row>
    <row r="93" spans="1:261" outlineLevel="1">
      <c r="A93" s="819" t="s">
        <v>143</v>
      </c>
      <c r="C93" s="877"/>
      <c r="D93" s="867" t="s">
        <v>147</v>
      </c>
      <c r="E93" s="868"/>
      <c r="F93" s="507"/>
      <c r="G93" s="877"/>
      <c r="H93" s="867" t="s">
        <v>147</v>
      </c>
      <c r="I93" s="868"/>
      <c r="J93" s="507"/>
      <c r="K93" s="877"/>
      <c r="L93" s="867" t="s">
        <v>147</v>
      </c>
      <c r="M93" s="868"/>
      <c r="N93" s="507"/>
      <c r="O93" s="877"/>
      <c r="P93" s="867" t="s">
        <v>147</v>
      </c>
      <c r="Q93" s="868"/>
      <c r="R93" s="507"/>
      <c r="S93" s="877"/>
      <c r="T93" s="867" t="s">
        <v>147</v>
      </c>
      <c r="U93" s="868"/>
      <c r="V93" s="507"/>
      <c r="W93" s="877"/>
      <c r="X93" s="867" t="s">
        <v>147</v>
      </c>
      <c r="Y93" s="868"/>
      <c r="Z93" s="507"/>
      <c r="AA93" s="877"/>
      <c r="AB93" s="867" t="s">
        <v>147</v>
      </c>
      <c r="AC93" s="868"/>
      <c r="AD93" s="507"/>
      <c r="AE93" s="877"/>
      <c r="AF93" s="867" t="s">
        <v>147</v>
      </c>
      <c r="AG93" s="868"/>
      <c r="AH93" s="507"/>
      <c r="AI93" s="877"/>
      <c r="AJ93" s="867" t="s">
        <v>147</v>
      </c>
      <c r="AK93" s="868"/>
      <c r="AL93" s="507"/>
      <c r="AM93" s="877"/>
      <c r="AN93" s="867" t="s">
        <v>147</v>
      </c>
      <c r="AO93" s="868"/>
      <c r="AP93" s="507"/>
      <c r="AQ93" s="877"/>
      <c r="AR93" s="867" t="s">
        <v>147</v>
      </c>
      <c r="AS93" s="868"/>
      <c r="AT93" s="507"/>
      <c r="AU93" s="877"/>
      <c r="AV93" s="867" t="s">
        <v>147</v>
      </c>
      <c r="AW93" s="868"/>
      <c r="AX93" s="507"/>
      <c r="AY93" s="877"/>
      <c r="AZ93" s="867" t="s">
        <v>147</v>
      </c>
      <c r="BA93" s="868"/>
      <c r="BB93" s="507"/>
      <c r="BC93" s="877"/>
      <c r="BD93" s="867" t="s">
        <v>147</v>
      </c>
      <c r="BE93" s="868"/>
      <c r="BF93" s="507"/>
      <c r="BG93" s="877"/>
      <c r="BH93" s="867" t="s">
        <v>147</v>
      </c>
      <c r="BI93" s="868"/>
      <c r="BJ93" s="507"/>
      <c r="BK93" s="877">
        <v>22</v>
      </c>
      <c r="BL93" s="867">
        <f t="shared" si="226"/>
        <v>0.37574722459436377</v>
      </c>
      <c r="BM93" s="868"/>
      <c r="BN93" s="507"/>
      <c r="BO93" s="877">
        <v>43</v>
      </c>
      <c r="BP93" s="867">
        <f t="shared" si="227"/>
        <v>0.74873759359219916</v>
      </c>
      <c r="BQ93" s="868"/>
      <c r="BR93" s="507"/>
      <c r="BS93" s="877">
        <v>0</v>
      </c>
      <c r="BT93" s="869">
        <f t="shared" si="228"/>
        <v>0</v>
      </c>
      <c r="BU93" s="870"/>
      <c r="BW93" s="845">
        <v>25</v>
      </c>
      <c r="BX93" s="878">
        <f t="shared" si="229"/>
        <v>0.41981528127623846</v>
      </c>
      <c r="BY93" s="870"/>
      <c r="CA93" s="845">
        <v>-13</v>
      </c>
      <c r="CB93" s="878">
        <f t="shared" si="230"/>
        <v>-0.20957317360203409</v>
      </c>
      <c r="CC93" s="822"/>
      <c r="CE93" s="845">
        <v>-4</v>
      </c>
      <c r="CF93" s="878">
        <f t="shared" si="231"/>
        <v>-5.9988002399520089E-2</v>
      </c>
      <c r="CG93" s="822"/>
      <c r="CI93" s="845">
        <v>-15</v>
      </c>
      <c r="CJ93" s="878">
        <f t="shared" si="232"/>
        <v>-0.23474178403755869</v>
      </c>
      <c r="CK93" s="822"/>
      <c r="CM93" s="845">
        <v>11</v>
      </c>
      <c r="CN93" s="878">
        <f t="shared" si="233"/>
        <v>0.19099802991544368</v>
      </c>
      <c r="CO93" s="822"/>
      <c r="CQ93" s="845">
        <v>15</v>
      </c>
      <c r="CR93" s="878">
        <f t="shared" si="234"/>
        <v>0.27027027027027029</v>
      </c>
      <c r="CS93" s="879"/>
      <c r="CU93" s="1341">
        <v>-8</v>
      </c>
      <c r="CV93" s="878">
        <f t="shared" si="235"/>
        <v>-0.14027704716815712</v>
      </c>
      <c r="CW93" s="879"/>
      <c r="CY93" s="1341">
        <v>45</v>
      </c>
      <c r="CZ93" s="878">
        <f t="shared" si="236"/>
        <v>0.82949308755760376</v>
      </c>
      <c r="DA93" s="879"/>
      <c r="DC93" s="1341">
        <f>88</f>
        <v>88</v>
      </c>
      <c r="DD93" s="878">
        <f t="shared" si="237"/>
        <v>2.2657054582904221</v>
      </c>
      <c r="DE93" s="879"/>
      <c r="DG93" s="1341">
        <v>-38</v>
      </c>
      <c r="DH93" s="878">
        <f t="shared" si="238"/>
        <v>-1.0047593865679536</v>
      </c>
      <c r="DI93" s="879"/>
      <c r="DK93" s="1341">
        <v>12</v>
      </c>
      <c r="DL93" s="878">
        <f t="shared" si="239"/>
        <v>0.30824556896994609</v>
      </c>
      <c r="DM93" s="879"/>
      <c r="DP93" s="1341">
        <v>17</v>
      </c>
      <c r="DQ93" s="878">
        <f t="shared" si="240"/>
        <v>0.42542542542542544</v>
      </c>
      <c r="DR93" s="879"/>
      <c r="DU93" s="1341">
        <v>-63</v>
      </c>
      <c r="DV93" s="878">
        <f t="shared" si="241"/>
        <v>-1.5905074476142387</v>
      </c>
      <c r="DW93" s="879"/>
      <c r="DZ93" s="1341">
        <f>-11</f>
        <v>-11</v>
      </c>
      <c r="EA93" s="878">
        <f t="shared" si="242"/>
        <v>-0.27288514016373105</v>
      </c>
      <c r="EB93" s="879"/>
      <c r="EE93" s="1545">
        <v>-5</v>
      </c>
      <c r="EF93" s="878">
        <f t="shared" si="243"/>
        <v>-0.13424101739656191</v>
      </c>
      <c r="EG93" s="879"/>
      <c r="EK93" s="879"/>
      <c r="EL93" s="879"/>
      <c r="EM93" s="879"/>
      <c r="EN93" s="879"/>
      <c r="EO93" s="879"/>
      <c r="EP93" s="879"/>
      <c r="EQ93" s="879"/>
      <c r="ER93" s="879"/>
      <c r="ES93" s="879"/>
      <c r="ET93" s="879"/>
      <c r="EU93" s="879"/>
      <c r="EV93" s="879"/>
      <c r="EW93" s="805"/>
      <c r="EX93" s="805"/>
    </row>
    <row r="94" spans="1:261" outlineLevel="1">
      <c r="A94" s="819" t="s">
        <v>144</v>
      </c>
      <c r="C94" s="435"/>
      <c r="D94" s="867" t="s">
        <v>147</v>
      </c>
      <c r="E94" s="886"/>
      <c r="F94" s="507"/>
      <c r="G94" s="435"/>
      <c r="H94" s="867" t="s">
        <v>147</v>
      </c>
      <c r="I94" s="886"/>
      <c r="J94" s="507"/>
      <c r="K94" s="435"/>
      <c r="L94" s="867" t="s">
        <v>147</v>
      </c>
      <c r="M94" s="886"/>
      <c r="N94" s="507"/>
      <c r="O94" s="435"/>
      <c r="P94" s="867" t="s">
        <v>147</v>
      </c>
      <c r="Q94" s="886"/>
      <c r="R94" s="507"/>
      <c r="S94" s="435"/>
      <c r="T94" s="867" t="s">
        <v>147</v>
      </c>
      <c r="U94" s="886"/>
      <c r="V94" s="507"/>
      <c r="W94" s="435"/>
      <c r="X94" s="867" t="s">
        <v>147</v>
      </c>
      <c r="Y94" s="886"/>
      <c r="Z94" s="507"/>
      <c r="AA94" s="435"/>
      <c r="AB94" s="867" t="s">
        <v>147</v>
      </c>
      <c r="AC94" s="886"/>
      <c r="AD94" s="507"/>
      <c r="AE94" s="435"/>
      <c r="AF94" s="867" t="s">
        <v>147</v>
      </c>
      <c r="AG94" s="886"/>
      <c r="AH94" s="507"/>
      <c r="AI94" s="435"/>
      <c r="AJ94" s="867" t="s">
        <v>147</v>
      </c>
      <c r="AK94" s="886"/>
      <c r="AL94" s="507"/>
      <c r="AM94" s="435"/>
      <c r="AN94" s="867" t="s">
        <v>147</v>
      </c>
      <c r="AO94" s="886"/>
      <c r="AP94" s="507"/>
      <c r="AQ94" s="435"/>
      <c r="AR94" s="867" t="s">
        <v>147</v>
      </c>
      <c r="AS94" s="886"/>
      <c r="AT94" s="507"/>
      <c r="AU94" s="435"/>
      <c r="AV94" s="867" t="s">
        <v>147</v>
      </c>
      <c r="AW94" s="886"/>
      <c r="AX94" s="507"/>
      <c r="AY94" s="435"/>
      <c r="AZ94" s="867" t="s">
        <v>147</v>
      </c>
      <c r="BA94" s="886"/>
      <c r="BB94" s="507"/>
      <c r="BC94" s="435"/>
      <c r="BD94" s="867" t="s">
        <v>147</v>
      </c>
      <c r="BE94" s="886"/>
      <c r="BF94" s="507"/>
      <c r="BG94" s="435"/>
      <c r="BH94" s="867" t="s">
        <v>147</v>
      </c>
      <c r="BI94" s="887"/>
      <c r="BK94" s="591">
        <v>46</v>
      </c>
      <c r="BL94" s="878">
        <f t="shared" si="226"/>
        <v>0.25784753363228702</v>
      </c>
      <c r="BM94" s="869"/>
      <c r="BO94" s="591">
        <f>SUM(BO90:BO93)</f>
        <v>59</v>
      </c>
      <c r="BP94" s="878">
        <f t="shared" si="227"/>
        <v>0.3393925448688449</v>
      </c>
      <c r="BQ94" s="888"/>
      <c r="BS94" s="591">
        <v>-39</v>
      </c>
      <c r="BT94" s="878">
        <f t="shared" si="228"/>
        <v>-0.22269171472620339</v>
      </c>
      <c r="BU94" s="888"/>
      <c r="BW94" s="591">
        <f>SUM(BW90:BW93)</f>
        <v>12</v>
      </c>
      <c r="BX94" s="878">
        <f t="shared" si="229"/>
        <v>6.6312997347480099E-2</v>
      </c>
      <c r="BY94" s="888"/>
      <c r="CA94" s="591">
        <f>SUM(CA90:CA93)</f>
        <v>-54</v>
      </c>
      <c r="CB94" s="878">
        <f t="shared" si="230"/>
        <v>-0.28752333997334767</v>
      </c>
      <c r="CC94" s="888"/>
      <c r="CE94" s="591">
        <f>SUM(CE90:CE93)</f>
        <v>-34</v>
      </c>
      <c r="CF94" s="878">
        <f t="shared" si="231"/>
        <v>-0.17081059877755878</v>
      </c>
      <c r="CG94" s="888"/>
      <c r="CI94" s="591">
        <f>SUM(CI90:CI93)</f>
        <v>-46</v>
      </c>
      <c r="CJ94" s="878">
        <f t="shared" si="232"/>
        <v>-0.23165634285138742</v>
      </c>
      <c r="CK94" s="888"/>
      <c r="CM94" s="591">
        <f>SUM(CM90:CM93)</f>
        <v>-17.809677419354838</v>
      </c>
      <c r="CN94" s="878">
        <f t="shared" si="233"/>
        <v>-9.6338658641739863E-2</v>
      </c>
      <c r="CO94" s="888"/>
      <c r="CQ94" s="591">
        <f>SUM(CQ90:CQ93)</f>
        <v>5</v>
      </c>
      <c r="CR94" s="878">
        <f t="shared" si="234"/>
        <v>2.8474648072426383E-2</v>
      </c>
      <c r="CS94" s="888"/>
      <c r="CU94" s="591">
        <f>SUM(CU90:CU93)</f>
        <v>-28</v>
      </c>
      <c r="CV94" s="878">
        <f t="shared" si="235"/>
        <v>-0.15766653527788727</v>
      </c>
      <c r="CW94" s="888"/>
      <c r="CY94" s="591">
        <f>SUM(CY90:CY93)</f>
        <v>21</v>
      </c>
      <c r="CZ94" s="878">
        <f t="shared" si="236"/>
        <v>0.12166859791425261</v>
      </c>
      <c r="DA94" s="888"/>
      <c r="DC94" s="591">
        <f>SUM(DC90:DC93)</f>
        <v>73</v>
      </c>
      <c r="DD94" s="878">
        <f t="shared" si="237"/>
        <v>0.56218713900654604</v>
      </c>
      <c r="DG94" s="591">
        <f>SUM(DG90:DG93)</f>
        <v>-155</v>
      </c>
      <c r="DH94" s="878">
        <f t="shared" si="238"/>
        <v>-1.3070242010287547</v>
      </c>
      <c r="DK94" s="591">
        <f>SUM(DK90:DK93)</f>
        <v>-148</v>
      </c>
      <c r="DL94" s="878">
        <f t="shared" si="239"/>
        <v>-1.2074732805743658</v>
      </c>
      <c r="DP94" s="591">
        <f>SUM(DP90:DP93)</f>
        <v>56</v>
      </c>
      <c r="DQ94" s="878">
        <f t="shared" si="240"/>
        <v>0.44356435643564351</v>
      </c>
      <c r="DU94" s="591">
        <f>SUM(DU90:DU93)</f>
        <v>-94</v>
      </c>
      <c r="DV94" s="878">
        <f t="shared" si="241"/>
        <v>-0.74918307165059372</v>
      </c>
      <c r="DZ94" s="591">
        <f>SUM(DZ90:DZ93)</f>
        <v>-78</v>
      </c>
      <c r="EA94" s="878">
        <f t="shared" si="242"/>
        <v>-0.62370062370062374</v>
      </c>
      <c r="EE94" s="591">
        <f>SUM(EE90:EE93)</f>
        <v>-60</v>
      </c>
      <c r="EF94" s="878">
        <f t="shared" si="243"/>
        <v>-0.49775776717811832</v>
      </c>
      <c r="EW94" s="805"/>
      <c r="EX94" s="805"/>
    </row>
    <row r="95" spans="1:261" hidden="1" outlineLevel="2">
      <c r="A95" s="819" t="s">
        <v>145</v>
      </c>
      <c r="C95" s="435"/>
      <c r="D95" s="867" t="s">
        <v>147</v>
      </c>
      <c r="E95" s="886"/>
      <c r="F95" s="507"/>
      <c r="G95" s="435"/>
      <c r="H95" s="867" t="s">
        <v>147</v>
      </c>
      <c r="I95" s="886"/>
      <c r="J95" s="507"/>
      <c r="K95" s="435"/>
      <c r="L95" s="867" t="s">
        <v>147</v>
      </c>
      <c r="M95" s="886"/>
      <c r="N95" s="507"/>
      <c r="O95" s="435"/>
      <c r="P95" s="867" t="s">
        <v>147</v>
      </c>
      <c r="Q95" s="886"/>
      <c r="R95" s="507"/>
      <c r="S95" s="435"/>
      <c r="T95" s="867" t="s">
        <v>147</v>
      </c>
      <c r="U95" s="886"/>
      <c r="V95" s="507"/>
      <c r="W95" s="435"/>
      <c r="X95" s="867" t="s">
        <v>147</v>
      </c>
      <c r="Y95" s="886"/>
      <c r="Z95" s="507"/>
      <c r="AA95" s="435"/>
      <c r="AB95" s="867" t="s">
        <v>147</v>
      </c>
      <c r="AC95" s="886"/>
      <c r="AD95" s="507"/>
      <c r="AE95" s="435"/>
      <c r="AF95" s="867" t="s">
        <v>147</v>
      </c>
      <c r="AG95" s="886"/>
      <c r="AH95" s="507"/>
      <c r="AI95" s="435"/>
      <c r="AJ95" s="867" t="s">
        <v>147</v>
      </c>
      <c r="AK95" s="886"/>
      <c r="AL95" s="507"/>
      <c r="AM95" s="435"/>
      <c r="AN95" s="867" t="s">
        <v>147</v>
      </c>
      <c r="AO95" s="886"/>
      <c r="AP95" s="507"/>
      <c r="AQ95" s="435"/>
      <c r="AR95" s="867" t="s">
        <v>147</v>
      </c>
      <c r="AS95" s="886"/>
      <c r="AT95" s="507"/>
      <c r="AU95" s="435"/>
      <c r="AV95" s="867" t="s">
        <v>147</v>
      </c>
      <c r="AW95" s="886"/>
      <c r="AX95" s="507"/>
      <c r="AY95" s="435"/>
      <c r="AZ95" s="867" t="s">
        <v>147</v>
      </c>
      <c r="BA95" s="886"/>
      <c r="BB95" s="507"/>
      <c r="BC95" s="435"/>
      <c r="BD95" s="867" t="s">
        <v>147</v>
      </c>
      <c r="BE95" s="886"/>
      <c r="BF95" s="507"/>
      <c r="BG95" s="435"/>
      <c r="BH95" s="867" t="s">
        <v>147</v>
      </c>
      <c r="BI95" s="887"/>
      <c r="BK95" s="706">
        <f>BK90+BK91</f>
        <v>11</v>
      </c>
      <c r="BL95" s="878">
        <f t="shared" si="226"/>
        <v>0.13939931567608668</v>
      </c>
      <c r="BM95" s="869"/>
      <c r="BO95" s="706">
        <f>BO90+BO91</f>
        <v>11</v>
      </c>
      <c r="BP95" s="878">
        <f t="shared" si="227"/>
        <v>0.14481340266472459</v>
      </c>
      <c r="BQ95" s="888"/>
      <c r="BS95" s="706">
        <f>BS90+BS91</f>
        <v>-21</v>
      </c>
      <c r="BT95" s="878">
        <f t="shared" si="228"/>
        <v>-0.28977507934317648</v>
      </c>
      <c r="BU95" s="888"/>
      <c r="BW95" s="706">
        <f>BW90+BW91</f>
        <v>-13</v>
      </c>
      <c r="BX95" s="878">
        <f t="shared" si="229"/>
        <v>-0.16774193548387098</v>
      </c>
      <c r="BY95" s="888"/>
      <c r="CA95" s="706">
        <f>CA90+CA91</f>
        <v>-36</v>
      </c>
      <c r="CB95" s="878">
        <f t="shared" si="230"/>
        <v>-0.44449932090381528</v>
      </c>
      <c r="CC95" s="888"/>
      <c r="CE95" s="706">
        <f>CE90+CE91</f>
        <v>-22</v>
      </c>
      <c r="CF95" s="878">
        <f t="shared" si="231"/>
        <v>-0.26016758576779236</v>
      </c>
      <c r="CG95" s="888"/>
      <c r="CI95" s="706">
        <f>CI90+CI91</f>
        <v>-22</v>
      </c>
      <c r="CJ95" s="878">
        <f t="shared" si="232"/>
        <v>-0.25174505092115801</v>
      </c>
      <c r="CK95" s="888"/>
      <c r="CM95" s="706">
        <f>CM90+CM91</f>
        <v>-18</v>
      </c>
      <c r="CN95" s="878">
        <f t="shared" si="233"/>
        <v>-0.21404373244167924</v>
      </c>
      <c r="CO95" s="888"/>
      <c r="CQ95" s="706">
        <f>CQ90+CQ91</f>
        <v>-13</v>
      </c>
      <c r="CR95" s="878">
        <f t="shared" si="234"/>
        <v>-0.16604749385422232</v>
      </c>
      <c r="CS95" s="888"/>
      <c r="CU95" s="706">
        <f>CU90+CU91</f>
        <v>-13</v>
      </c>
      <c r="CV95" s="878">
        <f t="shared" si="235"/>
        <v>-0.1652472352866404</v>
      </c>
      <c r="CW95" s="888"/>
      <c r="CY95" s="706">
        <f>CY90+CY91</f>
        <v>-19</v>
      </c>
      <c r="CZ95" s="878">
        <f t="shared" si="236"/>
        <v>-0.24206905338259652</v>
      </c>
      <c r="DA95" s="888"/>
      <c r="DC95" s="706">
        <f>DC90+DC91</f>
        <v>-15</v>
      </c>
      <c r="DD95" s="878">
        <f t="shared" si="237"/>
        <v>-0.24295432458697766</v>
      </c>
      <c r="DE95" s="888"/>
      <c r="DG95" s="706">
        <f>DG90+DG91</f>
        <v>-90</v>
      </c>
      <c r="DH95" s="878">
        <f t="shared" si="238"/>
        <v>-1.6987542468856169</v>
      </c>
      <c r="DI95" s="888"/>
      <c r="DK95" s="706">
        <f>DK90+DK91</f>
        <v>-70</v>
      </c>
      <c r="DL95" s="878">
        <f t="shared" si="239"/>
        <v>-1.25</v>
      </c>
      <c r="DM95" s="888"/>
      <c r="DP95" s="706">
        <f>DP90+DP91</f>
        <v>23</v>
      </c>
      <c r="DQ95" s="878">
        <f t="shared" si="240"/>
        <v>0.40125610607117934</v>
      </c>
      <c r="DR95" s="888"/>
      <c r="DU95" s="706">
        <f>DU90+DU91</f>
        <v>-32</v>
      </c>
      <c r="DV95" s="878">
        <f t="shared" si="241"/>
        <v>-0.55856170361319601</v>
      </c>
      <c r="DW95" s="888"/>
      <c r="DZ95" s="706">
        <f>DZ90+DZ91</f>
        <v>-121</v>
      </c>
      <c r="EA95" s="878">
        <f t="shared" si="242"/>
        <v>-2.1347918136908963</v>
      </c>
      <c r="EB95" s="888"/>
      <c r="EE95" s="706">
        <f>EE90+EE91</f>
        <v>-50</v>
      </c>
      <c r="EF95" s="878">
        <f t="shared" si="243"/>
        <v>-0.89269645749479376</v>
      </c>
      <c r="EG95" s="888"/>
      <c r="EK95" s="888"/>
      <c r="EL95" s="888"/>
      <c r="EM95" s="888"/>
      <c r="EN95" s="888"/>
      <c r="EO95" s="888"/>
      <c r="EP95" s="888"/>
      <c r="EQ95" s="888"/>
      <c r="ER95" s="888"/>
      <c r="ES95" s="888"/>
      <c r="ET95" s="888"/>
      <c r="EU95" s="888"/>
      <c r="EV95" s="888"/>
      <c r="EW95" s="805"/>
      <c r="EX95" s="805"/>
    </row>
    <row r="96" spans="1:261" hidden="1" outlineLevel="2">
      <c r="A96" s="819" t="s">
        <v>146</v>
      </c>
      <c r="C96" s="435"/>
      <c r="D96" s="867" t="s">
        <v>147</v>
      </c>
      <c r="E96" s="886"/>
      <c r="F96" s="507"/>
      <c r="G96" s="435"/>
      <c r="H96" s="867" t="s">
        <v>147</v>
      </c>
      <c r="I96" s="886"/>
      <c r="J96" s="507"/>
      <c r="K96" s="435"/>
      <c r="L96" s="867" t="s">
        <v>147</v>
      </c>
      <c r="M96" s="886"/>
      <c r="N96" s="507"/>
      <c r="O96" s="435"/>
      <c r="P96" s="867" t="s">
        <v>147</v>
      </c>
      <c r="Q96" s="886"/>
      <c r="R96" s="507"/>
      <c r="S96" s="435"/>
      <c r="T96" s="867" t="s">
        <v>147</v>
      </c>
      <c r="U96" s="886"/>
      <c r="V96" s="507"/>
      <c r="W96" s="435"/>
      <c r="X96" s="867" t="s">
        <v>147</v>
      </c>
      <c r="Y96" s="886"/>
      <c r="Z96" s="507"/>
      <c r="AA96" s="435"/>
      <c r="AB96" s="867" t="s">
        <v>147</v>
      </c>
      <c r="AC96" s="886"/>
      <c r="AD96" s="507"/>
      <c r="AE96" s="435"/>
      <c r="AF96" s="867" t="s">
        <v>147</v>
      </c>
      <c r="AG96" s="886"/>
      <c r="AH96" s="507"/>
      <c r="AI96" s="435"/>
      <c r="AJ96" s="867" t="s">
        <v>147</v>
      </c>
      <c r="AK96" s="886"/>
      <c r="AL96" s="507"/>
      <c r="AM96" s="435"/>
      <c r="AN96" s="867" t="s">
        <v>147</v>
      </c>
      <c r="AO96" s="886"/>
      <c r="AP96" s="507"/>
      <c r="AQ96" s="435"/>
      <c r="AR96" s="867" t="s">
        <v>147</v>
      </c>
      <c r="AS96" s="886"/>
      <c r="AT96" s="507"/>
      <c r="AU96" s="435"/>
      <c r="AV96" s="867" t="s">
        <v>147</v>
      </c>
      <c r="AW96" s="886"/>
      <c r="AX96" s="507"/>
      <c r="AY96" s="435"/>
      <c r="AZ96" s="867" t="s">
        <v>147</v>
      </c>
      <c r="BA96" s="886"/>
      <c r="BB96" s="507"/>
      <c r="BC96" s="435"/>
      <c r="BD96" s="867" t="s">
        <v>147</v>
      </c>
      <c r="BE96" s="886"/>
      <c r="BF96" s="507"/>
      <c r="BG96" s="435"/>
      <c r="BH96" s="867" t="s">
        <v>147</v>
      </c>
      <c r="BI96" s="887"/>
      <c r="BK96" s="706">
        <f>BK90+BK91+BK92</f>
        <v>26</v>
      </c>
      <c r="BL96" s="878">
        <f t="shared" si="226"/>
        <v>0.21247037672632182</v>
      </c>
      <c r="BM96" s="869"/>
      <c r="BO96" s="706">
        <f>BO90+BO91+BO92</f>
        <v>16</v>
      </c>
      <c r="BP96" s="878">
        <f t="shared" si="227"/>
        <v>0.13456706662802351</v>
      </c>
      <c r="BQ96" s="888"/>
      <c r="BS96" s="706">
        <f>BS90+BS91+BS92</f>
        <v>-17</v>
      </c>
      <c r="BT96" s="878">
        <f t="shared" si="228"/>
        <v>-0.14763352149370387</v>
      </c>
      <c r="BU96" s="888"/>
      <c r="BW96" s="706">
        <f>BW90+BW91+BW92</f>
        <v>-13</v>
      </c>
      <c r="BX96" s="878">
        <f t="shared" si="229"/>
        <v>-0.10707519973643027</v>
      </c>
      <c r="BY96" s="888"/>
      <c r="CA96" s="706">
        <f>CA90+CA91+CA92</f>
        <v>-41</v>
      </c>
      <c r="CB96" s="878">
        <f t="shared" si="230"/>
        <v>-0.32596597233264429</v>
      </c>
      <c r="CC96" s="888"/>
      <c r="CE96" s="706">
        <f>CE90+CE91+CE92</f>
        <v>-30</v>
      </c>
      <c r="CF96" s="878">
        <f t="shared" si="231"/>
        <v>-0.22663594893378361</v>
      </c>
      <c r="CG96" s="888"/>
      <c r="CI96" s="706">
        <f>CI90+CI91+CI92</f>
        <v>-31</v>
      </c>
      <c r="CJ96" s="878">
        <f t="shared" si="232"/>
        <v>-0.23019232197222841</v>
      </c>
      <c r="CK96" s="888"/>
      <c r="CM96" s="706">
        <f>CM90+CM91+CM92</f>
        <v>-28.809677419354838</v>
      </c>
      <c r="CN96" s="878">
        <f t="shared" si="233"/>
        <v>-0.22636107452318402</v>
      </c>
      <c r="CO96" s="888"/>
      <c r="CQ96" s="706">
        <f>CQ90+CQ91+CQ92</f>
        <v>-10</v>
      </c>
      <c r="CR96" s="878">
        <f t="shared" si="234"/>
        <v>-8.3267555214262545E-2</v>
      </c>
      <c r="CS96" s="888"/>
      <c r="CU96" s="706">
        <f>CU90+CU91+CU92</f>
        <v>-20</v>
      </c>
      <c r="CV96" s="878">
        <f t="shared" si="235"/>
        <v>-0.16589250165892502</v>
      </c>
      <c r="CW96" s="888"/>
      <c r="CY96" s="706">
        <f>CY90+CY91+CY92</f>
        <v>-24</v>
      </c>
      <c r="CZ96" s="878">
        <f t="shared" si="236"/>
        <v>-0.20278833967046894</v>
      </c>
      <c r="DA96" s="888"/>
      <c r="DC96" s="706">
        <f>DC90+DC91+DC92</f>
        <v>-15</v>
      </c>
      <c r="DD96" s="878">
        <f t="shared" si="237"/>
        <v>-0.16481705307109107</v>
      </c>
      <c r="DE96" s="888"/>
      <c r="DG96" s="706">
        <f>DG90+DG91+DG92</f>
        <v>-117</v>
      </c>
      <c r="DH96" s="878">
        <f t="shared" si="238"/>
        <v>-1.4485576327844496</v>
      </c>
      <c r="DI96" s="888"/>
      <c r="DK96" s="706">
        <f>DK90+DK91+DK92</f>
        <v>-160</v>
      </c>
      <c r="DL96" s="878">
        <f t="shared" si="239"/>
        <v>-1.9129603060736491</v>
      </c>
      <c r="DM96" s="888"/>
      <c r="DP96" s="706">
        <f>DP90+DP91+DP92</f>
        <v>39</v>
      </c>
      <c r="DQ96" s="878">
        <f t="shared" si="240"/>
        <v>0.45196430640862212</v>
      </c>
      <c r="DR96" s="888"/>
      <c r="DU96" s="706">
        <f>DU90+DU91+DU92</f>
        <v>-31</v>
      </c>
      <c r="DV96" s="878">
        <f t="shared" si="241"/>
        <v>-0.36105287677614722</v>
      </c>
      <c r="DW96" s="888"/>
      <c r="DZ96" s="706">
        <f>DZ90+DZ91+DZ92</f>
        <v>-67</v>
      </c>
      <c r="EA96" s="878">
        <f t="shared" si="242"/>
        <v>-0.79056047197640122</v>
      </c>
      <c r="EB96" s="888"/>
      <c r="EE96" s="706">
        <f>EE90+EE91+EE92</f>
        <v>-55</v>
      </c>
      <c r="EF96" s="878">
        <f t="shared" si="243"/>
        <v>-0.66031071581043177</v>
      </c>
      <c r="EG96" s="888"/>
      <c r="EK96" s="888"/>
      <c r="EL96" s="888"/>
      <c r="EM96" s="888"/>
      <c r="EN96" s="888"/>
      <c r="EO96" s="888"/>
      <c r="EP96" s="888"/>
      <c r="EQ96" s="888"/>
      <c r="ER96" s="888"/>
      <c r="ES96" s="888"/>
      <c r="ET96" s="888"/>
      <c r="EU96" s="888"/>
      <c r="EV96" s="888"/>
      <c r="EW96" s="805"/>
      <c r="EX96" s="805"/>
    </row>
    <row r="97" spans="1:154" hidden="1" outlineLevel="2">
      <c r="C97" s="706"/>
      <c r="D97" s="687"/>
      <c r="E97" s="687"/>
      <c r="G97" s="706"/>
      <c r="H97" s="687"/>
      <c r="I97" s="687"/>
      <c r="K97" s="706"/>
      <c r="L97" s="687"/>
      <c r="M97" s="687"/>
      <c r="O97" s="706"/>
      <c r="Q97" s="687"/>
      <c r="S97" s="706"/>
      <c r="W97" s="706"/>
      <c r="AA97" s="706"/>
      <c r="AE97" s="706"/>
      <c r="AI97" s="706"/>
      <c r="AM97" s="706"/>
      <c r="AQ97" s="706"/>
      <c r="AU97" s="706"/>
      <c r="AY97" s="706"/>
      <c r="BC97" s="706"/>
      <c r="BG97" s="706"/>
      <c r="BK97" s="706"/>
      <c r="BO97" s="706"/>
      <c r="BS97" s="706"/>
      <c r="BW97" s="706"/>
      <c r="CA97" s="706"/>
      <c r="CE97" s="706"/>
      <c r="CI97" s="706"/>
      <c r="CM97" s="706"/>
      <c r="CQ97" s="706"/>
      <c r="CU97" s="706"/>
      <c r="CY97" s="706"/>
      <c r="EW97" s="805"/>
      <c r="EX97" s="805"/>
    </row>
    <row r="98" spans="1:154" outlineLevel="1" collapsed="1">
      <c r="A98" s="816" t="s">
        <v>31</v>
      </c>
      <c r="C98" s="706"/>
      <c r="D98" s="687"/>
      <c r="E98" s="687"/>
      <c r="G98" s="706"/>
      <c r="H98" s="687"/>
      <c r="I98" s="687"/>
      <c r="K98" s="706"/>
      <c r="L98" s="687"/>
      <c r="M98" s="687"/>
      <c r="O98" s="706"/>
      <c r="Q98" s="687"/>
      <c r="S98" s="706"/>
      <c r="W98" s="706"/>
      <c r="AA98" s="706"/>
      <c r="AE98" s="706"/>
      <c r="AI98" s="706"/>
      <c r="AM98" s="706"/>
      <c r="AQ98" s="706"/>
      <c r="AU98" s="706"/>
      <c r="AY98" s="706"/>
      <c r="BC98" s="706"/>
      <c r="BG98" s="706"/>
      <c r="BK98" s="706"/>
      <c r="BO98" s="706"/>
      <c r="BS98" s="706"/>
      <c r="BW98" s="706"/>
      <c r="CA98" s="706"/>
      <c r="CE98" s="706"/>
      <c r="CI98" s="706"/>
      <c r="CM98" s="706"/>
      <c r="CQ98" s="706"/>
      <c r="CY98" s="706"/>
      <c r="DG98" s="818" t="s">
        <v>31</v>
      </c>
      <c r="DP98" s="1585" t="str">
        <f>DG98</f>
        <v>9. Operating Income  (% of Sales / % Change)</v>
      </c>
      <c r="DQ98" s="1585"/>
      <c r="DR98" s="1585"/>
      <c r="DS98" s="1585"/>
      <c r="DT98" s="1585"/>
      <c r="DU98" s="1585"/>
      <c r="DV98" s="1585"/>
      <c r="DW98" s="1585"/>
      <c r="EW98" s="805"/>
      <c r="EX98" s="805"/>
    </row>
    <row r="99" spans="1:154" outlineLevel="1">
      <c r="C99" s="706"/>
      <c r="D99" s="687"/>
      <c r="E99" s="687"/>
      <c r="G99" s="706"/>
      <c r="H99" s="687"/>
      <c r="I99" s="687"/>
      <c r="K99" s="706"/>
      <c r="L99" s="687"/>
      <c r="M99" s="687"/>
      <c r="O99" s="706"/>
      <c r="Q99" s="687"/>
      <c r="S99" s="706"/>
      <c r="W99" s="706"/>
      <c r="AA99" s="706"/>
      <c r="AE99" s="706"/>
      <c r="AI99" s="706"/>
      <c r="AM99" s="706"/>
      <c r="AQ99" s="706"/>
      <c r="AU99" s="706"/>
      <c r="AY99" s="706"/>
      <c r="BC99" s="706"/>
      <c r="BG99" s="706"/>
      <c r="BK99" s="706"/>
      <c r="BO99" s="706"/>
      <c r="BS99" s="706"/>
      <c r="BW99" s="706"/>
      <c r="CA99" s="706"/>
      <c r="CE99" s="706"/>
      <c r="CI99" s="706"/>
      <c r="CM99" s="706"/>
      <c r="CQ99" s="706"/>
      <c r="CU99" s="706"/>
      <c r="CY99" s="706"/>
      <c r="DH99" s="682"/>
      <c r="DL99" s="682"/>
      <c r="DQ99" s="682"/>
      <c r="DV99" s="682"/>
      <c r="EA99" s="682"/>
      <c r="EF99" s="682"/>
      <c r="EW99" s="805"/>
      <c r="EX99" s="805"/>
    </row>
    <row r="100" spans="1:154" outlineLevel="1">
      <c r="A100" s="819" t="s">
        <v>140</v>
      </c>
      <c r="C100" s="591">
        <f>C10-C20-C80-C90</f>
        <v>221</v>
      </c>
      <c r="D100" s="839">
        <f t="shared" ref="D100:D106" si="244">C100/C10*100</f>
        <v>6.6147859922178993</v>
      </c>
      <c r="E100" s="887" t="s">
        <v>24</v>
      </c>
      <c r="G100" s="591">
        <f>G10-G20-G80-G90</f>
        <v>217</v>
      </c>
      <c r="H100" s="839">
        <f t="shared" ref="H100:H106" si="245">G100/G10*100</f>
        <v>6.1473087818696888</v>
      </c>
      <c r="I100" s="840">
        <f>(G100/C100-1)*100</f>
        <v>-1.8099547511312264</v>
      </c>
      <c r="K100" s="591">
        <f>K10-K20-K80-K90</f>
        <v>138</v>
      </c>
      <c r="L100" s="839">
        <f t="shared" ref="L100:L106" si="246">K100/K10*100</f>
        <v>4.0198077483250803</v>
      </c>
      <c r="M100" s="840">
        <f>(K100/G100-1)*100</f>
        <v>-36.405529953917046</v>
      </c>
      <c r="O100" s="591">
        <f>O10-O20-O80-O90</f>
        <v>219</v>
      </c>
      <c r="P100" s="839">
        <f t="shared" ref="P100:P106" si="247">O100/O10*100</f>
        <v>5.7737938307408383</v>
      </c>
      <c r="Q100" s="840">
        <f>(O100/K100-1)*100</f>
        <v>58.695652173913039</v>
      </c>
      <c r="S100" s="591">
        <f>S10-S20-S80-S90</f>
        <v>255</v>
      </c>
      <c r="T100" s="839">
        <f t="shared" ref="T100:T106" si="248">S100/S10*100</f>
        <v>6.4328960645812314</v>
      </c>
      <c r="U100" s="840">
        <f>(S100/O100-1)*100</f>
        <v>16.43835616438356</v>
      </c>
      <c r="W100" s="591">
        <f>W10-W20-W80-W90</f>
        <v>303</v>
      </c>
      <c r="X100" s="839">
        <f t="shared" ref="X100:X106" si="249">W100/W10*100</f>
        <v>6.9655172413793096</v>
      </c>
      <c r="Y100" s="840">
        <f>(W100/S100-1)*100</f>
        <v>18.823529411764707</v>
      </c>
      <c r="AA100" s="591">
        <f>AA10-AA20-AA80-AA90</f>
        <v>222</v>
      </c>
      <c r="AB100" s="839">
        <f t="shared" ref="AB100:AB106" si="250">AA100/AA10*100</f>
        <v>5.0835814059995421</v>
      </c>
      <c r="AC100" s="840">
        <f>(AA100/W100-1)*100</f>
        <v>-26.732673267326735</v>
      </c>
      <c r="AE100" s="591">
        <f>AE10-AE20-AE80-AE90</f>
        <v>269</v>
      </c>
      <c r="AF100" s="839">
        <f t="shared" ref="AF100:AF106" si="251">AE100/AE10*100</f>
        <v>4.4418758256274771</v>
      </c>
      <c r="AG100" s="840">
        <f>(AE100/AA100-1)*100</f>
        <v>21.171171171171178</v>
      </c>
      <c r="AI100" s="591">
        <f>AI10-AI20-AI80-AI90</f>
        <v>186</v>
      </c>
      <c r="AJ100" s="839">
        <f t="shared" ref="AJ100:AJ106" si="252">AI100/AI10*100</f>
        <v>4.177897574123989</v>
      </c>
      <c r="AK100" s="840">
        <f>(AI100/AE100-1)*100</f>
        <v>-30.855018587360593</v>
      </c>
      <c r="AM100" s="591">
        <f>AM10-AM20-AM80-AM90</f>
        <v>288</v>
      </c>
      <c r="AN100" s="839">
        <f t="shared" ref="AN100:AN106" si="253">AM100/AM10*100</f>
        <v>4.4462970682228704</v>
      </c>
      <c r="AO100" s="840">
        <f>(AM100/AI100-1)*100</f>
        <v>54.838709677419352</v>
      </c>
      <c r="AQ100" s="591">
        <f>AQ10-AQ20-AQ80-AQ90</f>
        <v>362.04737665669109</v>
      </c>
      <c r="AR100" s="839">
        <f t="shared" ref="AR100:AR106" si="254">AQ100/AQ10*100</f>
        <v>5.3596946951397637</v>
      </c>
      <c r="AS100" s="840">
        <f>(AQ100/AM100-1)*100</f>
        <v>25.710894672462192</v>
      </c>
      <c r="AU100" s="591">
        <f>AU10-AU20-AU80-AU90</f>
        <v>286</v>
      </c>
      <c r="AV100" s="839">
        <f t="shared" ref="AV100:AV106" si="255">AU100/AU10*100</f>
        <v>3.8969886905572966</v>
      </c>
      <c r="AW100" s="840">
        <f>(AU100/AQ100-1)*100</f>
        <v>-21.004813612778218</v>
      </c>
      <c r="AY100" s="591">
        <f>AY10-AY20-AY80-AY90</f>
        <v>227</v>
      </c>
      <c r="AZ100" s="839">
        <f t="shared" ref="AZ100:AZ106" si="256">AY100/AY10*100</f>
        <v>3.0154091392136024</v>
      </c>
      <c r="BA100" s="840">
        <f>(AY100/AU100-1)*100</f>
        <v>-20.629370629370626</v>
      </c>
      <c r="BC100" s="591">
        <f>BC10-BC20-BC80-BC90</f>
        <v>204</v>
      </c>
      <c r="BD100" s="839">
        <f t="shared" ref="BD100:BD106" si="257">BC100/BC10*100</f>
        <v>2.7120446689710183</v>
      </c>
      <c r="BE100" s="840">
        <f>(BC100/AY100-1)*100</f>
        <v>-10.132158590308372</v>
      </c>
      <c r="BG100" s="591">
        <f>BG10-BG20-BG80-BG90</f>
        <v>272</v>
      </c>
      <c r="BH100" s="839">
        <f t="shared" ref="BH100:BH106" si="258">BG100/BG10*100</f>
        <v>3.5196687370600417</v>
      </c>
      <c r="BI100" s="840">
        <f>(BG100/BC100-1)*100</f>
        <v>33.333333333333329</v>
      </c>
      <c r="BK100" s="591">
        <f>BK10-BK20-BK80-BK90</f>
        <v>144</v>
      </c>
      <c r="BL100" s="839">
        <f t="shared" ref="BL100:BL106" si="259">BK100/BK10*100</f>
        <v>3.5564336873302049</v>
      </c>
      <c r="BM100" s="840">
        <f>(BK100/BG100-1)*100</f>
        <v>-47.058823529411761</v>
      </c>
      <c r="BO100" s="591">
        <f>BO10-BO20-BO80-BO90</f>
        <v>149</v>
      </c>
      <c r="BP100" s="839">
        <f t="shared" ref="BP100:BP106" si="260">BO100/BO10*100</f>
        <v>3.7343358395989976</v>
      </c>
      <c r="BQ100" s="840">
        <f>(BO100/BK100-1)*100</f>
        <v>3.4722222222222321</v>
      </c>
      <c r="BS100" s="591">
        <f>BS10-BS20-BS80-BS90</f>
        <v>92</v>
      </c>
      <c r="BT100" s="839">
        <f t="shared" ref="BT100:BT106" si="261">BS100/BS10*100</f>
        <v>2.5074952303079856</v>
      </c>
      <c r="BU100" s="840">
        <f>(BS100/BO100-1)*100</f>
        <v>-38.255033557046978</v>
      </c>
      <c r="BW100" s="591">
        <f>BW10-BW20-BW80-BW90</f>
        <v>232</v>
      </c>
      <c r="BX100" s="839">
        <f t="shared" ref="BX100:BX106" si="262">BW100/BW10*100</f>
        <v>5.8408862034239677</v>
      </c>
      <c r="BY100" s="840">
        <f>(BW100/BS100-1)*100</f>
        <v>152.17391304347828</v>
      </c>
      <c r="CA100" s="591">
        <f>CA10-CA20-CA80-CA90</f>
        <v>330</v>
      </c>
      <c r="CB100" s="839">
        <f t="shared" ref="CB100:CB106" si="263">CA100/CA10*100</f>
        <v>8.0135988343856237</v>
      </c>
      <c r="CC100" s="840">
        <f>(CA100/BW100-1)*100</f>
        <v>42.241379310344819</v>
      </c>
      <c r="CE100" s="591">
        <f>CE10-CE20-CE80-CE90</f>
        <v>381</v>
      </c>
      <c r="CF100" s="839">
        <f t="shared" ref="CF100:CF106" si="264">CE100/CE10*100</f>
        <v>9.0305759658686888</v>
      </c>
      <c r="CG100" s="840">
        <f>(CE100/CA100-1)*100</f>
        <v>15.454545454545453</v>
      </c>
      <c r="CI100" s="591">
        <f>CI10-CI20-CI80-CI90</f>
        <v>418</v>
      </c>
      <c r="CJ100" s="839">
        <f t="shared" ref="CJ100:CJ106" si="265">CI100/CI10*100</f>
        <v>9.6114049206714185</v>
      </c>
      <c r="CK100" s="840">
        <f>(CI100/CE100-1)*100</f>
        <v>9.7112860892388362</v>
      </c>
      <c r="CM100" s="591">
        <f>CM10-CM20-CM80-CM90</f>
        <v>248</v>
      </c>
      <c r="CN100" s="839">
        <f t="shared" ref="CN100:CN106" si="266">CM100/CM10*100</f>
        <v>6.0092076568936275</v>
      </c>
      <c r="CO100" s="840">
        <f>(CM100/CI100-1)*100</f>
        <v>-40.669856459330148</v>
      </c>
      <c r="CQ100" s="591">
        <f>CQ10-CQ20-CQ80-CQ90</f>
        <v>106</v>
      </c>
      <c r="CR100" s="839">
        <f t="shared" ref="CR100:CR106" si="267">CQ100/CQ10*100</f>
        <v>2.7274352127177437</v>
      </c>
      <c r="CS100" s="840">
        <f>(CQ100/CM100-1)*100</f>
        <v>-57.258064516129025</v>
      </c>
      <c r="CU100" s="591">
        <f>CU10-CU20-CU80-CU90</f>
        <v>155</v>
      </c>
      <c r="CV100" s="839">
        <f t="shared" ref="CV100:CV106" si="268">CU100/CU10*100</f>
        <v>3.9450241791804528</v>
      </c>
      <c r="CW100" s="840">
        <f>(CU100/CQ100-1)*100</f>
        <v>46.226415094339622</v>
      </c>
      <c r="CY100" s="591">
        <f>CY10-CY20-CY80-CY90</f>
        <v>170</v>
      </c>
      <c r="CZ100" s="839">
        <f t="shared" ref="CZ100:CZ106" si="269">CY100/CY10*100</f>
        <v>4.3114379913771241</v>
      </c>
      <c r="DA100" s="840">
        <f>(CY100/CU100-1)*100</f>
        <v>9.6774193548387011</v>
      </c>
      <c r="DC100" s="591">
        <f>DC10-DC20-DC80-DC90</f>
        <v>-97</v>
      </c>
      <c r="DD100" s="878">
        <f t="shared" ref="DD100:DD106" si="270">DC100/DC10*100</f>
        <v>-3.0774111675126901</v>
      </c>
      <c r="DE100" s="840">
        <f t="shared" ref="DE100:DE106" si="271">(DC100/CY100-1)*100</f>
        <v>-157.05882352941177</v>
      </c>
      <c r="DG100" s="591">
        <f>DG10-DG20-DG80-DG90</f>
        <v>-414</v>
      </c>
      <c r="DH100" s="878">
        <f t="shared" ref="DH100:DH106" si="272">DG100/DG10*100</f>
        <v>-15.711574952561669</v>
      </c>
      <c r="DI100" s="840">
        <f t="shared" ref="DI100:DI106" si="273">(DG100/DC100-1)*100</f>
        <v>326.8041237113402</v>
      </c>
      <c r="DK100" s="591">
        <f>DK10-DK20-DK80-DK90</f>
        <v>-225</v>
      </c>
      <c r="DL100" s="878">
        <f t="shared" ref="DL100:DL106" si="274">DK100/DK10*100</f>
        <v>-8.0328454123527315</v>
      </c>
      <c r="DM100" s="840">
        <f t="shared" ref="DM100:DM106" si="275">(DK100/DG100-1)*100</f>
        <v>-45.652173913043484</v>
      </c>
      <c r="DP100" s="591">
        <f>DP10-DP20-DP80-DP90</f>
        <v>-48.75</v>
      </c>
      <c r="DQ100" s="878">
        <f t="shared" ref="DQ100:DQ106" si="276">DP100/DP10*100</f>
        <v>-1.7063353167658384</v>
      </c>
      <c r="DR100" s="840">
        <f t="shared" ref="DR100:DR106" si="277">(DP100/DK100-1)*100</f>
        <v>-78.333333333333329</v>
      </c>
      <c r="DU100" s="591">
        <f>DU10-DU20-DU80-DU90</f>
        <v>22</v>
      </c>
      <c r="DV100" s="878">
        <f t="shared" ref="DV100:DV106" si="278">DU100/DU10*100</f>
        <v>0.78263963002490211</v>
      </c>
      <c r="DW100" s="840">
        <f t="shared" ref="DW100:DW106" si="279">(DU100/DP100-1)*100</f>
        <v>-145.12820512820511</v>
      </c>
      <c r="DZ100" s="591">
        <f>DZ10-DZ20-DZ80-DZ90</f>
        <v>114</v>
      </c>
      <c r="EA100" s="878">
        <f t="shared" ref="EA100:EA106" si="280">DZ100/DZ10*100</f>
        <v>4.2128603104212861</v>
      </c>
      <c r="EB100" s="840">
        <f t="shared" ref="EB100:EB106" si="281">(DZ100/DU100-1)*100</f>
        <v>418.18181818181819</v>
      </c>
      <c r="EE100" s="591">
        <f>EE10-EE20-EE80-EE90</f>
        <v>21.770736000000056</v>
      </c>
      <c r="EF100" s="878">
        <f t="shared" ref="EF100:EF106" si="282">EE100/EE10*100</f>
        <v>0.81761757972347116</v>
      </c>
      <c r="EG100" s="840">
        <f t="shared" ref="EG100:EG106" si="283">(EE100/DZ100-1)*100</f>
        <v>-80.902863157894686</v>
      </c>
      <c r="EK100" s="840"/>
      <c r="EL100" s="840"/>
      <c r="EM100" s="840"/>
      <c r="EN100" s="840"/>
      <c r="EO100" s="840"/>
      <c r="EP100" s="840"/>
      <c r="EQ100" s="840"/>
      <c r="ER100" s="840"/>
      <c r="ES100" s="840"/>
      <c r="ET100" s="840"/>
      <c r="EU100" s="840"/>
      <c r="EV100" s="840"/>
      <c r="EW100" s="805"/>
      <c r="EX100" s="805"/>
    </row>
    <row r="101" spans="1:154" outlineLevel="1">
      <c r="A101" s="819" t="s">
        <v>141</v>
      </c>
      <c r="C101" s="706">
        <f>C11-C21-C81-C91</f>
        <v>150</v>
      </c>
      <c r="D101" s="839">
        <f t="shared" si="244"/>
        <v>4.3630017452006982</v>
      </c>
      <c r="E101" s="887" t="s">
        <v>24</v>
      </c>
      <c r="G101" s="706">
        <f>G11-G21-G81-G91</f>
        <v>135</v>
      </c>
      <c r="H101" s="839">
        <f t="shared" si="245"/>
        <v>3.7709497206703912</v>
      </c>
      <c r="I101" s="840">
        <f t="shared" ref="I101:I106" si="284">(G101/C101-1)*100</f>
        <v>-9.9999999999999982</v>
      </c>
      <c r="K101" s="706">
        <f>K11-K21-K81-K91</f>
        <v>84</v>
      </c>
      <c r="L101" s="839">
        <f t="shared" si="246"/>
        <v>2.4305555555555558</v>
      </c>
      <c r="M101" s="840">
        <f t="shared" ref="M101:M106" si="285">(K101/G101-1)*100</f>
        <v>-37.777777777777779</v>
      </c>
      <c r="O101" s="706">
        <f>O11-O21-O81-O91</f>
        <v>138</v>
      </c>
      <c r="P101" s="839">
        <f t="shared" si="247"/>
        <v>3.642121931908155</v>
      </c>
      <c r="Q101" s="840">
        <f t="shared" ref="Q101:Q106" si="286">(O101/K101-1)*100</f>
        <v>64.285714285714278</v>
      </c>
      <c r="S101" s="706">
        <f>S11-S21-S81-S91</f>
        <v>170</v>
      </c>
      <c r="T101" s="839">
        <f t="shared" si="248"/>
        <v>4.2896795357052735</v>
      </c>
      <c r="U101" s="840">
        <f t="shared" ref="U101:U106" si="287">(S101/O101-1)*100</f>
        <v>23.188405797101442</v>
      </c>
      <c r="W101" s="706">
        <f>W11-W21-W81-W91</f>
        <v>203</v>
      </c>
      <c r="X101" s="839">
        <f t="shared" si="249"/>
        <v>4.7854785478547859</v>
      </c>
      <c r="Y101" s="840">
        <f t="shared" ref="Y101:Y106" si="288">(W101/S101-1)*100</f>
        <v>19.411764705882351</v>
      </c>
      <c r="AA101" s="706">
        <f>AA11-AA21-AA81-AA91</f>
        <v>185</v>
      </c>
      <c r="AB101" s="839">
        <f t="shared" si="250"/>
        <v>4.1713641488162345</v>
      </c>
      <c r="AC101" s="840">
        <f t="shared" ref="AC101:AC106" si="289">(AA101/W101-1)*100</f>
        <v>-8.8669950738916263</v>
      </c>
      <c r="AE101" s="706">
        <f>AE11-AE21-AE81-AE91</f>
        <v>202</v>
      </c>
      <c r="AF101" s="839">
        <f t="shared" si="251"/>
        <v>3.3593879926825214</v>
      </c>
      <c r="AG101" s="840">
        <f t="shared" ref="AG101:AG106" si="290">(AE101/AA101-1)*100</f>
        <v>9.1891891891891841</v>
      </c>
      <c r="AI101" s="706">
        <f>AI11-AI21-AI81-AI91</f>
        <v>152</v>
      </c>
      <c r="AJ101" s="839">
        <f t="shared" si="252"/>
        <v>3.3725316174839142</v>
      </c>
      <c r="AK101" s="840">
        <f t="shared" ref="AK101:AK106" si="291">(AI101/AE101-1)*100</f>
        <v>-24.752475247524753</v>
      </c>
      <c r="AM101" s="706">
        <f>AM11-AM21-AM81-AM91</f>
        <v>244</v>
      </c>
      <c r="AN101" s="839">
        <f t="shared" si="253"/>
        <v>3.8210974693059381</v>
      </c>
      <c r="AO101" s="840">
        <f t="shared" ref="AO101:AO106" si="292">(AM101/AI101-1)*100</f>
        <v>60.526315789473692</v>
      </c>
      <c r="AQ101" s="706">
        <f>AQ11-AQ21-AQ81-AQ91</f>
        <v>247</v>
      </c>
      <c r="AR101" s="839">
        <f t="shared" si="254"/>
        <v>3.8105522986732492</v>
      </c>
      <c r="AS101" s="840">
        <f t="shared" ref="AS101:AS106" si="293">(AQ101/AM101-1)*100</f>
        <v>1.2295081967213184</v>
      </c>
      <c r="AU101" s="706">
        <f>AU11-AU21-AU81-AU91</f>
        <v>206</v>
      </c>
      <c r="AV101" s="839">
        <f t="shared" si="255"/>
        <v>2.8997747747747749</v>
      </c>
      <c r="AW101" s="840">
        <f t="shared" ref="AW101:AW106" si="294">(AU101/AQ101-1)*100</f>
        <v>-16.599190283400812</v>
      </c>
      <c r="AY101" s="706">
        <f>AY11-AY21-AY81-AY91</f>
        <v>89</v>
      </c>
      <c r="AZ101" s="839">
        <f t="shared" si="256"/>
        <v>1.2349105036769807</v>
      </c>
      <c r="BA101" s="840">
        <f t="shared" ref="BA101:BA106" si="295">(AY101/AU101-1)*100</f>
        <v>-56.796116504854368</v>
      </c>
      <c r="BC101" s="706">
        <f>BC11-BC21-BC81-BC91</f>
        <v>55</v>
      </c>
      <c r="BD101" s="839">
        <f t="shared" si="257"/>
        <v>0.7627236166967134</v>
      </c>
      <c r="BE101" s="840">
        <f t="shared" ref="BE101:BE106" si="296">(BC101/AY101-1)*100</f>
        <v>-38.202247191011239</v>
      </c>
      <c r="BG101" s="706">
        <f>BG11-BG21-BG81-BG91</f>
        <v>104</v>
      </c>
      <c r="BH101" s="839">
        <f t="shared" si="258"/>
        <v>1.4448457904973604</v>
      </c>
      <c r="BI101" s="840">
        <f t="shared" ref="BI101:BI106" si="297">(BG101/BC101-1)*100</f>
        <v>89.090909090909093</v>
      </c>
      <c r="BK101" s="706">
        <f>BK11-BK21-BK81-BK91</f>
        <v>-11</v>
      </c>
      <c r="BL101" s="839">
        <f t="shared" si="259"/>
        <v>-0.28630921395106712</v>
      </c>
      <c r="BM101" s="840">
        <f t="shared" ref="BM101:BM106" si="298">(BK101/BG101-1)*100</f>
        <v>-110.57692307692308</v>
      </c>
      <c r="BO101" s="706">
        <f>BO11-BO21-BO81-BO91</f>
        <v>20</v>
      </c>
      <c r="BP101" s="839">
        <f t="shared" si="260"/>
        <v>0.55463393882720435</v>
      </c>
      <c r="BQ101" s="840">
        <f t="shared" ref="BQ101:BQ106" si="299">(BO101/BK101-1)*100</f>
        <v>-281.81818181818181</v>
      </c>
      <c r="BS101" s="706">
        <f>BS11-BS21-BS81-BS91</f>
        <v>60</v>
      </c>
      <c r="BT101" s="839">
        <f t="shared" si="261"/>
        <v>1.6769144773616547</v>
      </c>
      <c r="BU101" s="840">
        <f t="shared" ref="BU101:BU106" si="300">(BS101/BO101-1)*100</f>
        <v>200</v>
      </c>
      <c r="BW101" s="706">
        <f>BW11-BW21-BW81-BW91</f>
        <v>154</v>
      </c>
      <c r="BX101" s="839">
        <f t="shared" si="262"/>
        <v>4.0762308099523556</v>
      </c>
      <c r="BY101" s="840">
        <f t="shared" ref="BY101:BY106" si="301">(BW101/BS101-1)*100</f>
        <v>156.66666666666669</v>
      </c>
      <c r="CA101" s="706">
        <f>CA11-CA21-CA81-CA91</f>
        <v>227</v>
      </c>
      <c r="CB101" s="839">
        <f t="shared" si="263"/>
        <v>5.7020849032906309</v>
      </c>
      <c r="CC101" s="840">
        <f t="shared" ref="CC101:CC106" si="302">(CA101/BW101-1)*100</f>
        <v>47.402597402597401</v>
      </c>
      <c r="CE101" s="706">
        <f>CE11-CE21-CE81-CE91</f>
        <v>279</v>
      </c>
      <c r="CF101" s="839">
        <f t="shared" si="264"/>
        <v>6.5847110090703804</v>
      </c>
      <c r="CG101" s="840">
        <f t="shared" ref="CG101:CG106" si="303">(CE101/CA101-1)*100</f>
        <v>22.907488986784141</v>
      </c>
      <c r="CI101" s="706">
        <f>CI11-CI21-CI81-CI91</f>
        <v>328.07000000000016</v>
      </c>
      <c r="CJ101" s="839">
        <f t="shared" si="265"/>
        <v>7.4731207289293886</v>
      </c>
      <c r="CK101" s="840">
        <f t="shared" ref="CK101:CK106" si="304">(CI101/CE101-1)*100</f>
        <v>17.587813620071735</v>
      </c>
      <c r="CM101" s="706">
        <f>CM11-CM21-CM81-CM91</f>
        <v>243.0595000000003</v>
      </c>
      <c r="CN101" s="839">
        <f t="shared" si="266"/>
        <v>5.6756498222265206</v>
      </c>
      <c r="CO101" s="840">
        <f t="shared" ref="CO101:CO106" si="305">(CM101/CI101-1)*100</f>
        <v>-25.91230530069797</v>
      </c>
      <c r="CQ101" s="706">
        <f>CQ11-CQ21-CQ81-CQ91</f>
        <v>67</v>
      </c>
      <c r="CR101" s="839">
        <f t="shared" si="267"/>
        <v>1.6993645456715061</v>
      </c>
      <c r="CS101" s="840">
        <f t="shared" ref="CS101:CS106" si="306">(CQ101/CM101-1)*100</f>
        <v>-72.434733059189242</v>
      </c>
      <c r="CU101" s="706">
        <f>CU11-CU21-CU81-CU91</f>
        <v>95</v>
      </c>
      <c r="CV101" s="839">
        <f t="shared" si="268"/>
        <v>2.4123920771965466</v>
      </c>
      <c r="CW101" s="840">
        <f t="shared" ref="CW101:CW106" si="307">(CU101/CQ101-1)*100</f>
        <v>41.791044776119413</v>
      </c>
      <c r="CY101" s="706">
        <f>CY11-CY21-CY81-CY91</f>
        <v>104</v>
      </c>
      <c r="CZ101" s="839">
        <f t="shared" si="269"/>
        <v>2.6625704045058884</v>
      </c>
      <c r="DA101" s="840">
        <f t="shared" ref="DA101:DA106" si="308">(CY101/CU101-1)*100</f>
        <v>9.4736842105263221</v>
      </c>
      <c r="DC101" s="706">
        <f>DC11-DC21-DC81-DC91</f>
        <v>-224</v>
      </c>
      <c r="DD101" s="878">
        <f t="shared" si="270"/>
        <v>-7.4123097286565187</v>
      </c>
      <c r="DE101" s="840">
        <f t="shared" si="271"/>
        <v>-315.38461538461536</v>
      </c>
      <c r="DG101" s="706">
        <f>DG11-DG21-DG81-DG91</f>
        <v>-348</v>
      </c>
      <c r="DH101" s="878">
        <f t="shared" si="272"/>
        <v>-13.067968456627863</v>
      </c>
      <c r="DI101" s="840">
        <f t="shared" si="273"/>
        <v>55.357142857142861</v>
      </c>
      <c r="DK101" s="706">
        <f>DK11-DK21-DK81-DK91</f>
        <v>-65</v>
      </c>
      <c r="DL101" s="878">
        <f t="shared" si="274"/>
        <v>-2.3222579492675957</v>
      </c>
      <c r="DM101" s="840">
        <f t="shared" si="275"/>
        <v>-81.321839080459768</v>
      </c>
      <c r="DP101" s="706">
        <f>DP11-DP21-DP81-DP91</f>
        <v>-38</v>
      </c>
      <c r="DQ101" s="878">
        <f t="shared" si="276"/>
        <v>-1.3217391304347827</v>
      </c>
      <c r="DR101" s="840">
        <f t="shared" si="277"/>
        <v>-41.538461538461533</v>
      </c>
      <c r="DU101" s="706">
        <f>DU11-DU21-DU81-DU91</f>
        <v>76</v>
      </c>
      <c r="DV101" s="878">
        <f t="shared" si="278"/>
        <v>2.6045236463331052</v>
      </c>
      <c r="DW101" s="840">
        <f t="shared" si="279"/>
        <v>-300</v>
      </c>
      <c r="DZ101" s="706">
        <f>DZ11-DZ21-DZ81-DZ91</f>
        <v>61.000000000000455</v>
      </c>
      <c r="EA101" s="878">
        <f t="shared" si="280"/>
        <v>2.0594193112761796</v>
      </c>
      <c r="EB101" s="840">
        <f t="shared" si="281"/>
        <v>-19.736842105262564</v>
      </c>
      <c r="EE101" s="706">
        <f>EE11-EE21-EE81-EE91</f>
        <v>111.46926400000018</v>
      </c>
      <c r="EF101" s="878">
        <f t="shared" si="282"/>
        <v>3.7936600161181473</v>
      </c>
      <c r="EG101" s="840">
        <f t="shared" si="283"/>
        <v>82.736498360654664</v>
      </c>
      <c r="EK101" s="840"/>
      <c r="EL101" s="840"/>
      <c r="EM101" s="840"/>
      <c r="EN101" s="840"/>
      <c r="EO101" s="840"/>
      <c r="EP101" s="840"/>
      <c r="EQ101" s="840"/>
      <c r="ER101" s="840"/>
      <c r="ES101" s="840"/>
      <c r="ET101" s="840"/>
      <c r="EU101" s="840"/>
      <c r="EV101" s="840"/>
      <c r="EW101" s="805"/>
      <c r="EX101" s="805"/>
    </row>
    <row r="102" spans="1:154" outlineLevel="1">
      <c r="A102" s="819" t="s">
        <v>142</v>
      </c>
      <c r="C102" s="706">
        <f>C12-C22-C82-C92</f>
        <v>322</v>
      </c>
      <c r="D102" s="839">
        <f t="shared" si="244"/>
        <v>7.9290815070179761</v>
      </c>
      <c r="E102" s="887" t="s">
        <v>24</v>
      </c>
      <c r="G102" s="706">
        <f>G12-G22-G82-G92</f>
        <v>231</v>
      </c>
      <c r="H102" s="839">
        <f t="shared" si="245"/>
        <v>5.7822277847309138</v>
      </c>
      <c r="I102" s="840">
        <f t="shared" si="284"/>
        <v>-28.260869565217394</v>
      </c>
      <c r="K102" s="706">
        <f>K12-K22-K82-K92</f>
        <v>225</v>
      </c>
      <c r="L102" s="839">
        <f t="shared" si="246"/>
        <v>5.7150114300228605</v>
      </c>
      <c r="M102" s="840">
        <f t="shared" si="285"/>
        <v>-2.5974025974025983</v>
      </c>
      <c r="O102" s="706">
        <f>O12-O22-O82-O92</f>
        <v>309</v>
      </c>
      <c r="P102" s="839">
        <f t="shared" si="247"/>
        <v>7.1165361584523259</v>
      </c>
      <c r="Q102" s="840">
        <f t="shared" si="286"/>
        <v>37.333333333333329</v>
      </c>
      <c r="S102" s="706">
        <f>S12-S22-S82-S92</f>
        <v>385</v>
      </c>
      <c r="T102" s="839">
        <f t="shared" si="248"/>
        <v>8.1309398099260832</v>
      </c>
      <c r="U102" s="840">
        <f t="shared" si="287"/>
        <v>24.595469255663428</v>
      </c>
      <c r="W102" s="706">
        <f>W12-W22-W82-W92</f>
        <v>457</v>
      </c>
      <c r="X102" s="839">
        <f t="shared" si="249"/>
        <v>8.8755098077296566</v>
      </c>
      <c r="Y102" s="840">
        <f t="shared" si="288"/>
        <v>18.701298701298708</v>
      </c>
      <c r="AA102" s="706">
        <f>AA12-AA22-AA82-AA92</f>
        <v>391</v>
      </c>
      <c r="AB102" s="839">
        <f t="shared" si="250"/>
        <v>7.6248049921996879</v>
      </c>
      <c r="AC102" s="840">
        <f t="shared" si="289"/>
        <v>-14.442013129102849</v>
      </c>
      <c r="AE102" s="706">
        <f>AE12-AE22-AE82-AE92</f>
        <v>470</v>
      </c>
      <c r="AF102" s="839">
        <f t="shared" si="251"/>
        <v>6.6846821220310044</v>
      </c>
      <c r="AG102" s="840">
        <f t="shared" si="290"/>
        <v>20.204603580562662</v>
      </c>
      <c r="AI102" s="706">
        <f>AI12-AI22-AI82-AI92</f>
        <v>449</v>
      </c>
      <c r="AJ102" s="839">
        <f t="shared" si="252"/>
        <v>8.1090843417012817</v>
      </c>
      <c r="AK102" s="840">
        <f t="shared" si="291"/>
        <v>-4.4680851063829792</v>
      </c>
      <c r="AM102" s="706">
        <f>AM12-AM22-AM82-AM92</f>
        <v>489</v>
      </c>
      <c r="AN102" s="839">
        <f t="shared" si="253"/>
        <v>6.8841242802641016</v>
      </c>
      <c r="AO102" s="840">
        <f t="shared" si="292"/>
        <v>8.9086859688195972</v>
      </c>
      <c r="AQ102" s="706">
        <f>AQ12-AQ22-AQ82-AQ92</f>
        <v>403</v>
      </c>
      <c r="AR102" s="839">
        <f t="shared" si="254"/>
        <v>5.6529667555056813</v>
      </c>
      <c r="AS102" s="840">
        <f t="shared" si="293"/>
        <v>-17.586912065439677</v>
      </c>
      <c r="AU102" s="706">
        <f>AU12-AU22-AU82-AU92</f>
        <v>261</v>
      </c>
      <c r="AV102" s="839">
        <f t="shared" si="255"/>
        <v>3.4166775755989005</v>
      </c>
      <c r="AW102" s="840">
        <f t="shared" si="294"/>
        <v>-35.235732009925556</v>
      </c>
      <c r="AY102" s="706">
        <f>AY12-AY22-AY82-AY92</f>
        <v>31</v>
      </c>
      <c r="AZ102" s="839">
        <f t="shared" si="256"/>
        <v>0.41124966834704169</v>
      </c>
      <c r="BA102" s="840">
        <f t="shared" si="295"/>
        <v>-88.122605363984675</v>
      </c>
      <c r="BC102" s="706">
        <f>BC12-BC22-BC82-BC92</f>
        <v>190</v>
      </c>
      <c r="BD102" s="839">
        <f t="shared" si="257"/>
        <v>2.4582740328632422</v>
      </c>
      <c r="BE102" s="840">
        <f t="shared" si="296"/>
        <v>512.90322580645159</v>
      </c>
      <c r="BG102" s="706">
        <f>BG12-BG22-BG82-BG92</f>
        <v>255</v>
      </c>
      <c r="BH102" s="839">
        <f t="shared" si="258"/>
        <v>3.2393292682926829</v>
      </c>
      <c r="BI102" s="840">
        <f t="shared" si="297"/>
        <v>34.210526315789465</v>
      </c>
      <c r="BK102" s="706">
        <f>BK12-BK22-BK82-BK92</f>
        <v>135</v>
      </c>
      <c r="BL102" s="839">
        <f t="shared" si="259"/>
        <v>3.1063046479521397</v>
      </c>
      <c r="BM102" s="840">
        <f t="shared" si="298"/>
        <v>-47.058823529411761</v>
      </c>
      <c r="BO102" s="706">
        <f>BO12-BO22-BO82-BO92</f>
        <v>166</v>
      </c>
      <c r="BP102" s="839">
        <f t="shared" si="260"/>
        <v>3.865859338612017</v>
      </c>
      <c r="BQ102" s="840">
        <f t="shared" si="299"/>
        <v>22.962962962962962</v>
      </c>
      <c r="BS102" s="706">
        <f>BS12-BS22-BS82-BS92</f>
        <v>202</v>
      </c>
      <c r="BT102" s="839">
        <f t="shared" si="261"/>
        <v>4.7328959700093725</v>
      </c>
      <c r="BU102" s="840">
        <f t="shared" si="300"/>
        <v>21.68674698795181</v>
      </c>
      <c r="BW102" s="706">
        <f>BW12-BW22-BW82-BW92</f>
        <v>342</v>
      </c>
      <c r="BX102" s="839">
        <f t="shared" si="262"/>
        <v>7.7886586199043499</v>
      </c>
      <c r="BY102" s="840">
        <f t="shared" si="301"/>
        <v>69.306930693069305</v>
      </c>
      <c r="CA102" s="706">
        <f>CA12-CA22-CA82-CA92</f>
        <v>406</v>
      </c>
      <c r="CB102" s="839">
        <f t="shared" si="263"/>
        <v>9.0645233311006912</v>
      </c>
      <c r="CC102" s="840">
        <f t="shared" si="302"/>
        <v>18.71345029239766</v>
      </c>
      <c r="CE102" s="706">
        <f>CE12-CE22-CE82-CE92</f>
        <v>504</v>
      </c>
      <c r="CF102" s="839">
        <f t="shared" si="264"/>
        <v>10.54172767203514</v>
      </c>
      <c r="CG102" s="840">
        <f t="shared" si="303"/>
        <v>24.137931034482762</v>
      </c>
      <c r="CI102" s="706">
        <f>CI12-CI22-CI82-CI92</f>
        <v>410</v>
      </c>
      <c r="CJ102" s="839">
        <f t="shared" si="265"/>
        <v>8.6717428087986459</v>
      </c>
      <c r="CK102" s="840">
        <f t="shared" si="304"/>
        <v>-18.650793650793652</v>
      </c>
      <c r="CM102" s="706">
        <f>CM12-CM22-CM82-CM92</f>
        <v>247.80967741935393</v>
      </c>
      <c r="CN102" s="839">
        <f t="shared" si="266"/>
        <v>5.7392388096286568</v>
      </c>
      <c r="CO102" s="840">
        <f t="shared" si="305"/>
        <v>-39.558615263572214</v>
      </c>
      <c r="CQ102" s="706">
        <f>CQ12-CQ22-CQ82-CQ92</f>
        <v>107</v>
      </c>
      <c r="CR102" s="839">
        <f t="shared" si="267"/>
        <v>2.5595672348649421</v>
      </c>
      <c r="CS102" s="840">
        <f t="shared" si="306"/>
        <v>-56.821702399083421</v>
      </c>
      <c r="CU102" s="706">
        <f>CU12-CU22-CU82-CU92</f>
        <v>124</v>
      </c>
      <c r="CV102" s="839">
        <f t="shared" si="268"/>
        <v>2.9601336834566725</v>
      </c>
      <c r="CW102" s="840">
        <f t="shared" si="307"/>
        <v>15.887850467289709</v>
      </c>
      <c r="CY102" s="706">
        <f>CY12-CY22-CY82-CY92</f>
        <v>94</v>
      </c>
      <c r="CZ102" s="839">
        <f t="shared" si="269"/>
        <v>2.3582538886101356</v>
      </c>
      <c r="DA102" s="840">
        <f t="shared" si="308"/>
        <v>-24.193548387096776</v>
      </c>
      <c r="DC102" s="706">
        <f>DC12-DC22-DC82-DC92</f>
        <v>-319</v>
      </c>
      <c r="DD102" s="878">
        <f t="shared" si="270"/>
        <v>-10.898530919029724</v>
      </c>
      <c r="DE102" s="840">
        <f t="shared" si="271"/>
        <v>-439.36170212765956</v>
      </c>
      <c r="DG102" s="706">
        <f>DG12-DG22-DG82-DG92</f>
        <v>-355</v>
      </c>
      <c r="DH102" s="878">
        <f t="shared" si="272"/>
        <v>-12.774379273119827</v>
      </c>
      <c r="DI102" s="840">
        <f t="shared" si="273"/>
        <v>11.285266457680244</v>
      </c>
      <c r="DK102" s="706">
        <f>DK12-DK22-DK82-DK92</f>
        <v>-42</v>
      </c>
      <c r="DL102" s="878">
        <f t="shared" si="274"/>
        <v>-1.519536903039074</v>
      </c>
      <c r="DM102" s="840">
        <f t="shared" si="275"/>
        <v>-88.16901408450704</v>
      </c>
      <c r="DP102" s="706">
        <f>DP12-DP22-DP82-DP92</f>
        <v>-45</v>
      </c>
      <c r="DQ102" s="878">
        <f t="shared" si="276"/>
        <v>-1.5533310321021747</v>
      </c>
      <c r="DR102" s="840">
        <f t="shared" si="277"/>
        <v>7.1428571428571397</v>
      </c>
      <c r="DU102" s="706">
        <f>DU12-DU22-DU82-DU92</f>
        <v>23</v>
      </c>
      <c r="DV102" s="878">
        <f t="shared" si="278"/>
        <v>0.80504025201260065</v>
      </c>
      <c r="DW102" s="840">
        <f t="shared" si="279"/>
        <v>-151.11111111111111</v>
      </c>
      <c r="DZ102" s="706">
        <f>DZ12-DZ22-DZ82-DZ92</f>
        <v>-77</v>
      </c>
      <c r="EA102" s="878">
        <f t="shared" si="280"/>
        <v>-2.7431421446384037</v>
      </c>
      <c r="EB102" s="840">
        <f t="shared" si="281"/>
        <v>-434.78260869565213</v>
      </c>
      <c r="EE102" s="706">
        <f>EE12-EE22-EE82-EE92</f>
        <v>31.667460000000005</v>
      </c>
      <c r="EF102" s="878">
        <f t="shared" si="282"/>
        <v>1.160658758746872</v>
      </c>
      <c r="EG102" s="840">
        <f t="shared" si="283"/>
        <v>-141.12657142857142</v>
      </c>
      <c r="EK102" s="840"/>
      <c r="EL102" s="840"/>
      <c r="EM102" s="840"/>
      <c r="EN102" s="840"/>
      <c r="EO102" s="840"/>
      <c r="EP102" s="840"/>
      <c r="EQ102" s="840"/>
      <c r="ER102" s="840"/>
      <c r="ES102" s="840"/>
      <c r="ET102" s="840"/>
      <c r="EU102" s="840"/>
      <c r="EV102" s="840"/>
      <c r="EW102" s="805"/>
      <c r="EX102" s="805"/>
    </row>
    <row r="103" spans="1:154" outlineLevel="1">
      <c r="A103" s="819" t="s">
        <v>143</v>
      </c>
      <c r="C103" s="769">
        <f>C13-C23-C83-C93</f>
        <v>493</v>
      </c>
      <c r="D103" s="839">
        <f t="shared" si="244"/>
        <v>9.3672810184305533</v>
      </c>
      <c r="E103" s="887" t="s">
        <v>24</v>
      </c>
      <c r="G103" s="769">
        <f>G13-G23-G83-G93</f>
        <v>325</v>
      </c>
      <c r="H103" s="839">
        <f t="shared" si="245"/>
        <v>6.1787072243346008</v>
      </c>
      <c r="I103" s="840">
        <f t="shared" si="284"/>
        <v>-34.077079107505071</v>
      </c>
      <c r="K103" s="769">
        <f>K13-K23-K83-K93</f>
        <v>410</v>
      </c>
      <c r="L103" s="839">
        <f t="shared" si="246"/>
        <v>7.6279069767441863</v>
      </c>
      <c r="M103" s="840">
        <f t="shared" si="285"/>
        <v>26.15384615384615</v>
      </c>
      <c r="O103" s="769">
        <f>O13-O23-O83-O93</f>
        <v>568</v>
      </c>
      <c r="P103" s="839">
        <f t="shared" si="247"/>
        <v>9.3344289235825801</v>
      </c>
      <c r="Q103" s="840">
        <f t="shared" si="286"/>
        <v>38.536585365853647</v>
      </c>
      <c r="S103" s="769">
        <f>S13-S23-S83-S93</f>
        <v>632</v>
      </c>
      <c r="T103" s="839">
        <f t="shared" si="248"/>
        <v>9.9984179718398991</v>
      </c>
      <c r="U103" s="840">
        <f t="shared" si="287"/>
        <v>11.267605633802823</v>
      </c>
      <c r="W103" s="769">
        <f>W13-W23-W83-W93</f>
        <v>665</v>
      </c>
      <c r="X103" s="839">
        <f t="shared" si="249"/>
        <v>10.016568760355476</v>
      </c>
      <c r="Y103" s="840">
        <f t="shared" si="288"/>
        <v>5.2215189873417778</v>
      </c>
      <c r="AA103" s="769">
        <f>AA13-AA23-AA83-AA93</f>
        <v>515</v>
      </c>
      <c r="AB103" s="839">
        <f t="shared" si="250"/>
        <v>7.7653799758745476</v>
      </c>
      <c r="AC103" s="840">
        <f t="shared" si="289"/>
        <v>-22.556390977443609</v>
      </c>
      <c r="AE103" s="769">
        <f>AE13-AE23-AE83-AE93</f>
        <v>546</v>
      </c>
      <c r="AF103" s="839">
        <f t="shared" si="251"/>
        <v>6.1128526645768027</v>
      </c>
      <c r="AG103" s="840">
        <f t="shared" si="290"/>
        <v>6.0194174757281615</v>
      </c>
      <c r="AI103" s="769">
        <f>AI13-AI23-AI83-AI93</f>
        <v>531</v>
      </c>
      <c r="AJ103" s="839">
        <f t="shared" si="252"/>
        <v>6.5105443845022064</v>
      </c>
      <c r="AK103" s="840">
        <f t="shared" si="291"/>
        <v>-2.7472527472527486</v>
      </c>
      <c r="AM103" s="769">
        <f>AM13-AM23-AM83-AM93</f>
        <v>706</v>
      </c>
      <c r="AN103" s="839">
        <f t="shared" si="253"/>
        <v>7.4198633736205988</v>
      </c>
      <c r="AO103" s="840">
        <f t="shared" si="292"/>
        <v>32.956685499058395</v>
      </c>
      <c r="AQ103" s="769">
        <f>AQ13-AQ23-AQ83-AQ93</f>
        <v>382</v>
      </c>
      <c r="AR103" s="839">
        <f t="shared" si="254"/>
        <v>4.2107583774250434</v>
      </c>
      <c r="AS103" s="840">
        <f t="shared" si="293"/>
        <v>-45.892351274787536</v>
      </c>
      <c r="AU103" s="769">
        <f>AU13-AU23-AU83-AU93</f>
        <v>282</v>
      </c>
      <c r="AV103" s="839">
        <f t="shared" si="255"/>
        <v>2.9189524893903322</v>
      </c>
      <c r="AW103" s="840">
        <f t="shared" si="294"/>
        <v>-26.178010471204193</v>
      </c>
      <c r="AY103" s="769">
        <f>AY13-AY23-AY83-AY93</f>
        <v>108</v>
      </c>
      <c r="AZ103" s="839">
        <f t="shared" si="256"/>
        <v>1.1281729865246004</v>
      </c>
      <c r="BA103" s="840">
        <f t="shared" si="295"/>
        <v>-61.702127659574465</v>
      </c>
      <c r="BC103" s="769">
        <f>BC13-BC23-BC83-BC93</f>
        <v>339</v>
      </c>
      <c r="BD103" s="839">
        <f t="shared" si="257"/>
        <v>3.5527143156570946</v>
      </c>
      <c r="BE103" s="840">
        <f t="shared" si="296"/>
        <v>213.88888888888889</v>
      </c>
      <c r="BG103" s="769">
        <f>BG13-BG23-BG83-BG93</f>
        <v>499</v>
      </c>
      <c r="BH103" s="839">
        <f t="shared" si="258"/>
        <v>5.2256780814744994</v>
      </c>
      <c r="BI103" s="840">
        <f t="shared" si="297"/>
        <v>47.197640117994098</v>
      </c>
      <c r="BK103" s="769">
        <f>BK13-BK23-BK83-BK93</f>
        <v>237</v>
      </c>
      <c r="BL103" s="839">
        <f t="shared" si="259"/>
        <v>4.0478223740392822</v>
      </c>
      <c r="BM103" s="840">
        <f t="shared" si="298"/>
        <v>-52.505010020040089</v>
      </c>
      <c r="BO103" s="769">
        <f>BO13-BO23-BO83-BO93</f>
        <v>306</v>
      </c>
      <c r="BP103" s="839">
        <f t="shared" si="260"/>
        <v>5.3282256660282084</v>
      </c>
      <c r="BQ103" s="840">
        <f t="shared" si="299"/>
        <v>29.11392405063291</v>
      </c>
      <c r="BS103" s="769">
        <f>BS13-BS23-BS83-BS93</f>
        <v>432</v>
      </c>
      <c r="BT103" s="839">
        <f t="shared" si="261"/>
        <v>7.2024008002667559</v>
      </c>
      <c r="BU103" s="840">
        <f t="shared" si="300"/>
        <v>41.176470588235304</v>
      </c>
      <c r="BW103" s="769">
        <f>BW13-BW23-BW83-BW93</f>
        <v>529</v>
      </c>
      <c r="BX103" s="839">
        <f t="shared" si="262"/>
        <v>8.8832913518052052</v>
      </c>
      <c r="BY103" s="840">
        <f t="shared" si="301"/>
        <v>22.453703703703699</v>
      </c>
      <c r="CA103" s="769">
        <f>CA13-CA23-CA83-CA93</f>
        <v>667.08399999999983</v>
      </c>
      <c r="CB103" s="839">
        <f t="shared" si="263"/>
        <v>10.754070072241483</v>
      </c>
      <c r="CC103" s="840">
        <f t="shared" si="302"/>
        <v>26.102835538752323</v>
      </c>
      <c r="CE103" s="769">
        <f>CE13-CE23-CE83-CE93</f>
        <v>744</v>
      </c>
      <c r="CF103" s="839">
        <f t="shared" si="264"/>
        <v>11.157768446310738</v>
      </c>
      <c r="CG103" s="840">
        <f t="shared" si="303"/>
        <v>11.530182106001675</v>
      </c>
      <c r="CI103" s="769">
        <f>CI13-CI23-CI83-CI93</f>
        <v>722</v>
      </c>
      <c r="CJ103" s="839">
        <f t="shared" si="265"/>
        <v>11.298904538341157</v>
      </c>
      <c r="CK103" s="840">
        <f t="shared" si="304"/>
        <v>-2.9569892473118253</v>
      </c>
      <c r="CM103" s="769">
        <f>CM13-CM23-CM83-CM93</f>
        <v>390</v>
      </c>
      <c r="CN103" s="839">
        <f t="shared" si="266"/>
        <v>6.7717483333657302</v>
      </c>
      <c r="CO103" s="840">
        <f t="shared" si="305"/>
        <v>-45.983379501385045</v>
      </c>
      <c r="CQ103" s="769">
        <f>CQ13-CQ23-CQ83-CQ93</f>
        <v>383</v>
      </c>
      <c r="CR103" s="839">
        <f t="shared" si="267"/>
        <v>6.9009009009009015</v>
      </c>
      <c r="CS103" s="840">
        <f t="shared" si="306"/>
        <v>-1.7948717948717996</v>
      </c>
      <c r="CU103" s="769">
        <f>CU13-CU23-CU83-CU93</f>
        <v>490</v>
      </c>
      <c r="CV103" s="839">
        <f t="shared" si="268"/>
        <v>8.5919691390496222</v>
      </c>
      <c r="CW103" s="840">
        <f t="shared" si="307"/>
        <v>27.937336814621403</v>
      </c>
      <c r="CY103" s="769">
        <f>CY13-CY23-CY83-CY93</f>
        <v>288</v>
      </c>
      <c r="CZ103" s="839">
        <f t="shared" si="269"/>
        <v>5.3087557603686637</v>
      </c>
      <c r="DA103" s="840">
        <f t="shared" si="308"/>
        <v>-41.224489795918359</v>
      </c>
      <c r="DC103" s="769">
        <f>DC13-DC23-DC83-DC93</f>
        <v>-716</v>
      </c>
      <c r="DD103" s="878">
        <f t="shared" si="270"/>
        <v>-18.4346035015448</v>
      </c>
      <c r="DE103" s="840">
        <f t="shared" si="271"/>
        <v>-348.61111111111114</v>
      </c>
      <c r="DG103" s="769">
        <f>DG13-DG23-DG83-DG93</f>
        <v>-88</v>
      </c>
      <c r="DH103" s="878">
        <f t="shared" si="272"/>
        <v>-2.326811210999471</v>
      </c>
      <c r="DI103" s="840">
        <f t="shared" si="273"/>
        <v>-87.709497206703915</v>
      </c>
      <c r="DK103" s="769">
        <f>DK13-DK23-DK83-DK93</f>
        <v>111</v>
      </c>
      <c r="DL103" s="878">
        <f t="shared" si="274"/>
        <v>2.851271512972001</v>
      </c>
      <c r="DM103" s="840">
        <f t="shared" si="275"/>
        <v>-226.13636363636368</v>
      </c>
      <c r="DP103" s="769">
        <f>DP13-DP23-DP83-DP93</f>
        <v>13</v>
      </c>
      <c r="DQ103" s="878">
        <f t="shared" si="276"/>
        <v>0.32532532532532532</v>
      </c>
      <c r="DR103" s="840">
        <f t="shared" si="277"/>
        <v>-88.288288288288285</v>
      </c>
      <c r="DU103" s="769">
        <f>DU13-DU23-DU83-DU93</f>
        <v>283</v>
      </c>
      <c r="DV103" s="878">
        <f t="shared" si="278"/>
        <v>7.14466043928301</v>
      </c>
      <c r="DW103" s="840">
        <f t="shared" si="279"/>
        <v>2076.9230769230771</v>
      </c>
      <c r="DZ103" s="769">
        <f>DZ13-DZ23-DZ83-DZ93</f>
        <v>255</v>
      </c>
      <c r="EA103" s="878">
        <f t="shared" si="280"/>
        <v>6.3259737037955848</v>
      </c>
      <c r="EB103" s="840">
        <f t="shared" si="281"/>
        <v>-9.8939929328621936</v>
      </c>
      <c r="EE103" s="769">
        <f>EE13-EE23-EE83-EE93</f>
        <v>174.41287599999987</v>
      </c>
      <c r="EF103" s="878">
        <f t="shared" si="282"/>
        <v>4.6826723842600764</v>
      </c>
      <c r="EG103" s="840">
        <f t="shared" si="283"/>
        <v>-31.602793725490251</v>
      </c>
      <c r="EK103" s="840"/>
      <c r="EL103" s="840"/>
      <c r="EM103" s="840"/>
      <c r="EN103" s="840"/>
      <c r="EO103" s="840"/>
      <c r="EP103" s="840"/>
      <c r="EQ103" s="840"/>
      <c r="ER103" s="840"/>
      <c r="ES103" s="840"/>
      <c r="ET103" s="840"/>
      <c r="EU103" s="840"/>
      <c r="EV103" s="840"/>
      <c r="EW103" s="805"/>
      <c r="EX103" s="805"/>
    </row>
    <row r="104" spans="1:154" outlineLevel="1">
      <c r="A104" s="819" t="s">
        <v>144</v>
      </c>
      <c r="C104" s="591">
        <f>C14-C24-C84-C94</f>
        <v>1186</v>
      </c>
      <c r="D104" s="839">
        <f t="shared" si="244"/>
        <v>7.3650872508228282</v>
      </c>
      <c r="E104" s="887" t="s">
        <v>24</v>
      </c>
      <c r="G104" s="591">
        <f>G14-G24-G84-G94</f>
        <v>908</v>
      </c>
      <c r="H104" s="839">
        <f t="shared" si="245"/>
        <v>5.5484265200122218</v>
      </c>
      <c r="I104" s="840">
        <f t="shared" si="284"/>
        <v>-23.440134907251263</v>
      </c>
      <c r="K104" s="591">
        <f>K14-K24-K84-K94</f>
        <v>857</v>
      </c>
      <c r="L104" s="839">
        <f t="shared" si="246"/>
        <v>5.2897969261156721</v>
      </c>
      <c r="M104" s="840">
        <f t="shared" si="285"/>
        <v>-5.6167400881057317</v>
      </c>
      <c r="O104" s="591">
        <f>O14-O24-O84-O94</f>
        <v>1234</v>
      </c>
      <c r="P104" s="839">
        <f t="shared" si="247"/>
        <v>6.8521294908101504</v>
      </c>
      <c r="Q104" s="840">
        <f t="shared" si="286"/>
        <v>43.990665110851815</v>
      </c>
      <c r="S104" s="591">
        <f>S14-S24-S84-S94</f>
        <v>1442</v>
      </c>
      <c r="T104" s="839">
        <f t="shared" si="248"/>
        <v>7.596270347152716</v>
      </c>
      <c r="U104" s="840">
        <f t="shared" si="287"/>
        <v>16.855753646677464</v>
      </c>
      <c r="W104" s="591">
        <f>W14-W24-W84-W94</f>
        <v>1628</v>
      </c>
      <c r="X104" s="839">
        <f t="shared" si="249"/>
        <v>7.988223748773307</v>
      </c>
      <c r="Y104" s="840">
        <f t="shared" si="288"/>
        <v>12.898751733703184</v>
      </c>
      <c r="AA104" s="591">
        <f>AA14-AA24-AA84-AA94</f>
        <v>1313</v>
      </c>
      <c r="AB104" s="839">
        <f t="shared" si="250"/>
        <v>6.3855656064585151</v>
      </c>
      <c r="AC104" s="840">
        <f t="shared" si="289"/>
        <v>-19.348894348894351</v>
      </c>
      <c r="AE104" s="591">
        <f>AE14-AE24-AE84-AE94</f>
        <v>1487</v>
      </c>
      <c r="AF104" s="839">
        <f t="shared" si="251"/>
        <v>5.3046518264840188</v>
      </c>
      <c r="AG104" s="840">
        <f t="shared" si="290"/>
        <v>13.252094440213247</v>
      </c>
      <c r="AI104" s="591">
        <f>AI14-AI24-AI84-AI94</f>
        <v>1318</v>
      </c>
      <c r="AJ104" s="839">
        <f t="shared" si="252"/>
        <v>5.8184707752074871</v>
      </c>
      <c r="AK104" s="840">
        <f t="shared" si="291"/>
        <v>-11.365164761264291</v>
      </c>
      <c r="AM104" s="591">
        <f>AM14-AM24-AM84-AM94</f>
        <v>1727</v>
      </c>
      <c r="AN104" s="839">
        <f t="shared" si="253"/>
        <v>5.8579705032359604</v>
      </c>
      <c r="AO104" s="840">
        <f t="shared" si="292"/>
        <v>31.031866464339906</v>
      </c>
      <c r="AQ104" s="591">
        <f>AQ14-AQ24-AQ84-AQ94</f>
        <v>1394.0473766566902</v>
      </c>
      <c r="AR104" s="839">
        <f t="shared" si="254"/>
        <v>4.7355369816451196</v>
      </c>
      <c r="AS104" s="840">
        <f t="shared" si="293"/>
        <v>-19.279248601233924</v>
      </c>
      <c r="AU104" s="591">
        <f>AU14-AU24-AU84-AU94</f>
        <v>1035</v>
      </c>
      <c r="AV104" s="839">
        <f t="shared" si="255"/>
        <v>3.260561383612135</v>
      </c>
      <c r="AW104" s="840">
        <f t="shared" si="294"/>
        <v>-25.755751394747051</v>
      </c>
      <c r="AY104" s="591">
        <f>AY14-AY24-AY84-AY94</f>
        <v>455</v>
      </c>
      <c r="AZ104" s="839">
        <f t="shared" si="256"/>
        <v>1.4287508635307418</v>
      </c>
      <c r="BA104" s="840">
        <f t="shared" si="295"/>
        <v>-56.038647342995176</v>
      </c>
      <c r="BC104" s="591">
        <f>BC14-BC24-BC84-BC94</f>
        <v>788</v>
      </c>
      <c r="BD104" s="839">
        <f t="shared" si="257"/>
        <v>2.4621922259717537</v>
      </c>
      <c r="BE104" s="840">
        <f t="shared" si="296"/>
        <v>73.186813186813197</v>
      </c>
      <c r="BG104" s="591">
        <f>BG14-BG24-BG84-BG94</f>
        <v>1130</v>
      </c>
      <c r="BH104" s="839">
        <f t="shared" si="258"/>
        <v>3.4933687822672894</v>
      </c>
      <c r="BI104" s="840">
        <f t="shared" si="297"/>
        <v>43.401015228426388</v>
      </c>
      <c r="BK104" s="591">
        <f>BK14-BK24-BK84-BK94</f>
        <v>494</v>
      </c>
      <c r="BL104" s="839">
        <f t="shared" si="259"/>
        <v>2.7690582959641259</v>
      </c>
      <c r="BM104" s="840">
        <f t="shared" si="298"/>
        <v>-56.283185840707972</v>
      </c>
      <c r="BO104" s="591">
        <f>BO14-BO24-BO84-BO94</f>
        <v>624</v>
      </c>
      <c r="BP104" s="839">
        <f t="shared" si="260"/>
        <v>3.5895075931891398</v>
      </c>
      <c r="BQ104" s="840">
        <f t="shared" si="299"/>
        <v>26.315789473684205</v>
      </c>
      <c r="BS104" s="591">
        <f>BS14-BS24-BS84-BS94</f>
        <v>786</v>
      </c>
      <c r="BT104" s="839">
        <f t="shared" si="261"/>
        <v>4.4880945583280996</v>
      </c>
      <c r="BU104" s="840">
        <f t="shared" si="300"/>
        <v>25.96153846153846</v>
      </c>
      <c r="BW104" s="591">
        <f>BW14-BW24-BW84-BW94</f>
        <v>1257</v>
      </c>
      <c r="BX104" s="839">
        <f t="shared" si="262"/>
        <v>6.9462864721485413</v>
      </c>
      <c r="BY104" s="840">
        <f t="shared" si="301"/>
        <v>59.92366412213741</v>
      </c>
      <c r="CA104" s="591">
        <f>CA14-CA24-CA84-CA94</f>
        <v>1630.0839999999989</v>
      </c>
      <c r="CB104" s="839">
        <f t="shared" si="263"/>
        <v>8.6793925206872977</v>
      </c>
      <c r="CC104" s="840">
        <f t="shared" si="302"/>
        <v>29.680509148766809</v>
      </c>
      <c r="CE104" s="591">
        <f>CE14-CE24-CE84-CE94</f>
        <v>1908</v>
      </c>
      <c r="CF104" s="839">
        <f t="shared" si="264"/>
        <v>9.5854888961053586</v>
      </c>
      <c r="CG104" s="840">
        <f t="shared" si="303"/>
        <v>17.049182741502978</v>
      </c>
      <c r="CI104" s="591">
        <f>CI14-CI24-CI84-CI94</f>
        <v>1878.0699999999997</v>
      </c>
      <c r="CJ104" s="839">
        <f t="shared" si="265"/>
        <v>9.4579745178022847</v>
      </c>
      <c r="CK104" s="840">
        <f t="shared" si="304"/>
        <v>-1.5686582809224525</v>
      </c>
      <c r="CM104" s="591">
        <f>CM14-CM24-CM84-CM94</f>
        <v>1128.8691774193524</v>
      </c>
      <c r="CN104" s="839">
        <f t="shared" si="266"/>
        <v>6.1064408845718612</v>
      </c>
      <c r="CO104" s="840">
        <f t="shared" si="305"/>
        <v>-39.892060603739345</v>
      </c>
      <c r="CQ104" s="591">
        <f>CQ14-CQ24-CQ84-CQ94</f>
        <v>663</v>
      </c>
      <c r="CR104" s="839">
        <f t="shared" si="267"/>
        <v>3.7757383344037381</v>
      </c>
      <c r="CS104" s="840">
        <f t="shared" si="306"/>
        <v>-41.268659534522065</v>
      </c>
      <c r="CU104" s="591">
        <f>CU14-CU24-CU84-CU94</f>
        <v>864</v>
      </c>
      <c r="CV104" s="839">
        <f t="shared" si="268"/>
        <v>4.8651388028605211</v>
      </c>
      <c r="CW104" s="840">
        <f t="shared" si="307"/>
        <v>30.316742081447966</v>
      </c>
      <c r="CY104" s="591">
        <f>CY14-CY24-CY84-CY94</f>
        <v>656</v>
      </c>
      <c r="CZ104" s="839">
        <f t="shared" si="269"/>
        <v>3.8006952491309387</v>
      </c>
      <c r="DA104" s="840">
        <f t="shared" si="308"/>
        <v>-24.074074074074069</v>
      </c>
      <c r="DC104" s="591">
        <f>SUM(DC100:DC103)</f>
        <v>-1356</v>
      </c>
      <c r="DD104" s="878">
        <f t="shared" si="270"/>
        <v>-10.442818636888717</v>
      </c>
      <c r="DE104" s="840">
        <f t="shared" si="271"/>
        <v>-306.70731707317071</v>
      </c>
      <c r="DG104" s="591">
        <f>SUM(DG100:DG103)</f>
        <v>-1205</v>
      </c>
      <c r="DH104" s="878">
        <f t="shared" si="272"/>
        <v>-10.161059111223542</v>
      </c>
      <c r="DI104" s="840">
        <f t="shared" si="273"/>
        <v>-11.135693215339238</v>
      </c>
      <c r="DK104" s="591">
        <f>SUM(DK100:DK103)</f>
        <v>-221</v>
      </c>
      <c r="DL104" s="878">
        <f t="shared" si="274"/>
        <v>-1.8030513176144243</v>
      </c>
      <c r="DM104" s="840">
        <f t="shared" si="275"/>
        <v>-81.659751037344392</v>
      </c>
      <c r="DP104" s="591">
        <f>SUM(DP100:DP103)</f>
        <v>-118.75</v>
      </c>
      <c r="DQ104" s="878">
        <f t="shared" si="276"/>
        <v>-0.94059405940594054</v>
      </c>
      <c r="DR104" s="840">
        <f t="shared" si="277"/>
        <v>-46.266968325791858</v>
      </c>
      <c r="DU104" s="591">
        <f>SUM(DU100:DU103)</f>
        <v>404</v>
      </c>
      <c r="DV104" s="878">
        <f t="shared" si="278"/>
        <v>3.219893201562126</v>
      </c>
      <c r="DW104" s="840">
        <f t="shared" si="279"/>
        <v>-440.21052631578942</v>
      </c>
      <c r="DZ104" s="591">
        <f>SUM(DZ100:DZ103)</f>
        <v>353.00000000000045</v>
      </c>
      <c r="EA104" s="878">
        <f t="shared" si="280"/>
        <v>2.8226451303374414</v>
      </c>
      <c r="EB104" s="840">
        <f t="shared" si="281"/>
        <v>-12.623762376237513</v>
      </c>
      <c r="EE104" s="591">
        <f>SUM(EE100:EE103)</f>
        <v>339.32033600000011</v>
      </c>
      <c r="EF104" s="878">
        <f t="shared" si="282"/>
        <v>2.8149888800914824</v>
      </c>
      <c r="EG104" s="840">
        <f t="shared" si="283"/>
        <v>-3.8752589235128365</v>
      </c>
      <c r="EK104" s="840"/>
      <c r="EL104" s="840"/>
      <c r="EM104" s="840"/>
      <c r="EN104" s="840"/>
      <c r="EO104" s="840"/>
      <c r="EP104" s="840"/>
      <c r="EQ104" s="840"/>
      <c r="ER104" s="840"/>
      <c r="ES104" s="840"/>
      <c r="ET104" s="840"/>
      <c r="EU104" s="840"/>
      <c r="EV104" s="840"/>
      <c r="EW104" s="805"/>
      <c r="EX104" s="805"/>
    </row>
    <row r="105" spans="1:154" outlineLevel="2">
      <c r="A105" s="819" t="s">
        <v>145</v>
      </c>
      <c r="C105" s="706">
        <f>C100+C101</f>
        <v>371</v>
      </c>
      <c r="D105" s="839">
        <f t="shared" si="244"/>
        <v>5.4727835964006486</v>
      </c>
      <c r="E105" s="887" t="s">
        <v>24</v>
      </c>
      <c r="G105" s="706">
        <f>G100+G101</f>
        <v>352</v>
      </c>
      <c r="H105" s="839">
        <f t="shared" si="245"/>
        <v>4.9507735583684953</v>
      </c>
      <c r="I105" s="840">
        <f t="shared" si="284"/>
        <v>-5.1212938005390836</v>
      </c>
      <c r="K105" s="706">
        <f>K100+K101</f>
        <v>222</v>
      </c>
      <c r="L105" s="839">
        <f t="shared" si="246"/>
        <v>3.2225286688924375</v>
      </c>
      <c r="M105" s="840">
        <f t="shared" si="285"/>
        <v>-36.93181818181818</v>
      </c>
      <c r="O105" s="706">
        <f>O100+O101</f>
        <v>357</v>
      </c>
      <c r="P105" s="839">
        <f t="shared" si="247"/>
        <v>4.7085201793721971</v>
      </c>
      <c r="Q105" s="840">
        <f t="shared" si="286"/>
        <v>60.810810810810814</v>
      </c>
      <c r="S105" s="706">
        <f>S100+S101</f>
        <v>425</v>
      </c>
      <c r="T105" s="839">
        <f t="shared" si="248"/>
        <v>5.3614229847357135</v>
      </c>
      <c r="U105" s="840">
        <f t="shared" si="287"/>
        <v>19.047619047619047</v>
      </c>
      <c r="W105" s="706">
        <f>W100+W101</f>
        <v>506</v>
      </c>
      <c r="X105" s="839">
        <f t="shared" si="249"/>
        <v>5.889199255121043</v>
      </c>
      <c r="Y105" s="840">
        <f t="shared" si="288"/>
        <v>19.058823529411772</v>
      </c>
      <c r="AA105" s="706">
        <f>AA100+AA101</f>
        <v>407</v>
      </c>
      <c r="AB105" s="839">
        <f t="shared" si="250"/>
        <v>4.6239491024767094</v>
      </c>
      <c r="AC105" s="840">
        <f t="shared" si="289"/>
        <v>-19.565217391304344</v>
      </c>
      <c r="AE105" s="706">
        <f>AE100+AE101</f>
        <v>471</v>
      </c>
      <c r="AF105" s="839">
        <f t="shared" si="251"/>
        <v>3.9025602783992044</v>
      </c>
      <c r="AG105" s="840">
        <f t="shared" si="290"/>
        <v>15.724815724815722</v>
      </c>
      <c r="AI105" s="706">
        <f>AI100+AI101</f>
        <v>338</v>
      </c>
      <c r="AJ105" s="839">
        <f t="shared" si="252"/>
        <v>3.7727424935818732</v>
      </c>
      <c r="AK105" s="840">
        <f t="shared" si="291"/>
        <v>-28.237791932059451</v>
      </c>
      <c r="AM105" s="706">
        <f>AM100+AM101</f>
        <v>532</v>
      </c>
      <c r="AN105" s="839">
        <f t="shared" si="253"/>
        <v>4.1359258021130527</v>
      </c>
      <c r="AO105" s="840">
        <f t="shared" si="292"/>
        <v>57.396449704142015</v>
      </c>
      <c r="AQ105" s="706">
        <f>AQ100+AQ101</f>
        <v>609.04737665669109</v>
      </c>
      <c r="AR105" s="839">
        <f t="shared" si="254"/>
        <v>4.6010982598526189</v>
      </c>
      <c r="AS105" s="840">
        <f t="shared" si="293"/>
        <v>14.482589597122386</v>
      </c>
      <c r="AU105" s="706">
        <f>AU100+AU101</f>
        <v>492</v>
      </c>
      <c r="AV105" s="839">
        <f t="shared" si="255"/>
        <v>3.4064944956034062</v>
      </c>
      <c r="AW105" s="840">
        <f t="shared" si="294"/>
        <v>-19.218107021363718</v>
      </c>
      <c r="AY105" s="706">
        <f>AY100+AY101</f>
        <v>316</v>
      </c>
      <c r="AZ105" s="839">
        <f t="shared" si="256"/>
        <v>2.1445537835086528</v>
      </c>
      <c r="BA105" s="840">
        <f t="shared" si="295"/>
        <v>-35.77235772357723</v>
      </c>
      <c r="BC105" s="706">
        <f>BC100+BC101</f>
        <v>259</v>
      </c>
      <c r="BD105" s="839">
        <f t="shared" si="257"/>
        <v>1.7579583248489783</v>
      </c>
      <c r="BE105" s="840">
        <f t="shared" si="296"/>
        <v>-18.037974683544299</v>
      </c>
      <c r="BG105" s="706">
        <f>BG100+BG101</f>
        <v>376</v>
      </c>
      <c r="BH105" s="839">
        <f t="shared" si="258"/>
        <v>2.5190941980436818</v>
      </c>
      <c r="BI105" s="840">
        <f t="shared" si="297"/>
        <v>45.173745173745175</v>
      </c>
      <c r="BK105" s="706">
        <f>BK100+BK101</f>
        <v>133</v>
      </c>
      <c r="BL105" s="839">
        <f t="shared" si="259"/>
        <v>1.6854644531745024</v>
      </c>
      <c r="BM105" s="840">
        <f t="shared" si="298"/>
        <v>-64.627659574468083</v>
      </c>
      <c r="BO105" s="706">
        <f>BO100+BO101</f>
        <v>169</v>
      </c>
      <c r="BP105" s="839">
        <f t="shared" si="260"/>
        <v>2.2248604591216781</v>
      </c>
      <c r="BQ105" s="840">
        <f t="shared" si="299"/>
        <v>27.06766917293233</v>
      </c>
      <c r="BS105" s="706">
        <f>BS100+BS101</f>
        <v>152</v>
      </c>
      <c r="BT105" s="839">
        <f t="shared" si="261"/>
        <v>2.0974196219125156</v>
      </c>
      <c r="BU105" s="840">
        <f t="shared" si="300"/>
        <v>-10.059171597633132</v>
      </c>
      <c r="BW105" s="706">
        <f>BW100+BW101</f>
        <v>386</v>
      </c>
      <c r="BX105" s="839">
        <f t="shared" si="262"/>
        <v>4.9806451612903224</v>
      </c>
      <c r="BY105" s="840">
        <f t="shared" si="301"/>
        <v>153.9473684210526</v>
      </c>
      <c r="CA105" s="706">
        <f>CA100+CA101</f>
        <v>557</v>
      </c>
      <c r="CB105" s="839">
        <f t="shared" si="263"/>
        <v>6.8773922706506978</v>
      </c>
      <c r="CC105" s="840">
        <f t="shared" si="302"/>
        <v>44.300518134715027</v>
      </c>
      <c r="CE105" s="706">
        <f>CE100+CE101</f>
        <v>660</v>
      </c>
      <c r="CF105" s="839">
        <f t="shared" si="264"/>
        <v>7.8050275730337724</v>
      </c>
      <c r="CG105" s="840">
        <f t="shared" si="303"/>
        <v>18.49192100538599</v>
      </c>
      <c r="CI105" s="706">
        <f>CI100+CI101</f>
        <v>746.07000000000016</v>
      </c>
      <c r="CJ105" s="839">
        <f t="shared" si="265"/>
        <v>8.5372468245794746</v>
      </c>
      <c r="CK105" s="840">
        <f t="shared" si="304"/>
        <v>13.040909090909114</v>
      </c>
      <c r="CM105" s="706">
        <f>CM100+CM101</f>
        <v>491.0595000000003</v>
      </c>
      <c r="CN105" s="839">
        <f t="shared" si="266"/>
        <v>5.8393449017191585</v>
      </c>
      <c r="CO105" s="840">
        <f t="shared" si="305"/>
        <v>-34.180505850657418</v>
      </c>
      <c r="CQ105" s="706">
        <f>CQ100+CQ101</f>
        <v>173</v>
      </c>
      <c r="CR105" s="839">
        <f t="shared" si="267"/>
        <v>2.2097089566754202</v>
      </c>
      <c r="CS105" s="840">
        <f t="shared" si="306"/>
        <v>-64.770053323477114</v>
      </c>
      <c r="CU105" s="706">
        <f>CU100+CU101</f>
        <v>250</v>
      </c>
      <c r="CV105" s="839">
        <f t="shared" si="268"/>
        <v>3.177831447820008</v>
      </c>
      <c r="CW105" s="840">
        <f t="shared" si="307"/>
        <v>44.50867052023122</v>
      </c>
      <c r="CY105" s="706">
        <f>CY100+CY101</f>
        <v>274</v>
      </c>
      <c r="CZ105" s="839">
        <f t="shared" si="269"/>
        <v>3.4908905593069179</v>
      </c>
      <c r="DA105" s="840">
        <f t="shared" si="308"/>
        <v>9.6000000000000085</v>
      </c>
      <c r="DC105" s="706">
        <f>DC100+DC101</f>
        <v>-321</v>
      </c>
      <c r="DD105" s="878">
        <f t="shared" si="270"/>
        <v>-5.1992225461613213</v>
      </c>
      <c r="DE105" s="840">
        <f t="shared" si="271"/>
        <v>-217.15328467153284</v>
      </c>
      <c r="DG105" s="706">
        <f>DG100+DG101</f>
        <v>-762</v>
      </c>
      <c r="DH105" s="878">
        <f t="shared" si="272"/>
        <v>-14.382785956964891</v>
      </c>
      <c r="DI105" s="840">
        <f t="shared" si="273"/>
        <v>137.38317757009347</v>
      </c>
      <c r="DK105" s="706">
        <f>DK100+DK101</f>
        <v>-290</v>
      </c>
      <c r="DL105" s="878">
        <f t="shared" si="274"/>
        <v>-5.1785714285714288</v>
      </c>
      <c r="DM105" s="840">
        <f t="shared" si="275"/>
        <v>-61.942257217847761</v>
      </c>
      <c r="DP105" s="706">
        <f>DP100+DP101</f>
        <v>-86.75</v>
      </c>
      <c r="DQ105" s="878">
        <f t="shared" si="276"/>
        <v>-1.5134333565945568</v>
      </c>
      <c r="DR105" s="840">
        <f t="shared" si="277"/>
        <v>-70.086206896551715</v>
      </c>
      <c r="DU105" s="706">
        <f>DU100+DU101</f>
        <v>98</v>
      </c>
      <c r="DV105" s="878">
        <f t="shared" si="278"/>
        <v>1.7105952173154126</v>
      </c>
      <c r="DW105" s="840">
        <f t="shared" si="279"/>
        <v>-212.96829971181558</v>
      </c>
      <c r="DZ105" s="706">
        <f>DZ100+DZ101</f>
        <v>175.00000000000045</v>
      </c>
      <c r="EA105" s="878">
        <f t="shared" si="280"/>
        <v>3.0875088214537838</v>
      </c>
      <c r="EB105" s="840">
        <f t="shared" si="281"/>
        <v>78.571428571429024</v>
      </c>
      <c r="EE105" s="706">
        <f>EE100+EE101</f>
        <v>133.24000000000024</v>
      </c>
      <c r="EF105" s="878">
        <f t="shared" si="282"/>
        <v>2.3788575199321307</v>
      </c>
      <c r="EG105" s="840">
        <f t="shared" si="283"/>
        <v>-23.862857142857209</v>
      </c>
      <c r="EK105" s="840"/>
      <c r="EL105" s="840"/>
      <c r="EM105" s="840"/>
      <c r="EN105" s="840"/>
      <c r="EO105" s="840"/>
      <c r="EP105" s="840"/>
      <c r="EQ105" s="840"/>
      <c r="ER105" s="840"/>
      <c r="ES105" s="840"/>
      <c r="ET105" s="840"/>
      <c r="EU105" s="840"/>
      <c r="EV105" s="840"/>
      <c r="EW105" s="805"/>
      <c r="EX105" s="805"/>
    </row>
    <row r="106" spans="1:154" outlineLevel="2">
      <c r="A106" s="819" t="s">
        <v>146</v>
      </c>
      <c r="C106" s="706">
        <f>C100+C101+C102</f>
        <v>693</v>
      </c>
      <c r="D106" s="839">
        <f t="shared" si="244"/>
        <v>6.3929889298892988</v>
      </c>
      <c r="E106" s="887" t="s">
        <v>24</v>
      </c>
      <c r="G106" s="706">
        <f>G100+G101+G102</f>
        <v>583</v>
      </c>
      <c r="H106" s="839">
        <f t="shared" si="245"/>
        <v>5.2498874380909495</v>
      </c>
      <c r="I106" s="840">
        <f t="shared" si="284"/>
        <v>-15.873015873015872</v>
      </c>
      <c r="K106" s="706">
        <f>K100+K101+K102</f>
        <v>447</v>
      </c>
      <c r="L106" s="839">
        <f t="shared" si="246"/>
        <v>4.128948826898208</v>
      </c>
      <c r="M106" s="840">
        <f t="shared" si="285"/>
        <v>-23.327615780445964</v>
      </c>
      <c r="O106" s="706">
        <f>O100+O101+O102</f>
        <v>666</v>
      </c>
      <c r="P106" s="839">
        <f t="shared" si="247"/>
        <v>5.5853740355585373</v>
      </c>
      <c r="Q106" s="840">
        <f t="shared" si="286"/>
        <v>48.993288590604031</v>
      </c>
      <c r="S106" s="706">
        <f>S100+S101+S102</f>
        <v>810</v>
      </c>
      <c r="T106" s="839">
        <f t="shared" si="248"/>
        <v>6.3970936660875051</v>
      </c>
      <c r="U106" s="840">
        <f t="shared" si="287"/>
        <v>21.621621621621621</v>
      </c>
      <c r="W106" s="706">
        <f>W100+W101+W102</f>
        <v>963</v>
      </c>
      <c r="X106" s="839">
        <f t="shared" si="249"/>
        <v>7.0082235645149549</v>
      </c>
      <c r="Y106" s="840">
        <f t="shared" si="288"/>
        <v>18.888888888888889</v>
      </c>
      <c r="AA106" s="706">
        <f>AA100+AA101+AA102</f>
        <v>798</v>
      </c>
      <c r="AB106" s="839">
        <f t="shared" si="250"/>
        <v>5.7286432160804024</v>
      </c>
      <c r="AC106" s="840">
        <f t="shared" si="289"/>
        <v>-17.133956386292837</v>
      </c>
      <c r="AE106" s="706">
        <f>AE100+AE101+AE102</f>
        <v>941</v>
      </c>
      <c r="AF106" s="839">
        <f t="shared" si="251"/>
        <v>4.9267015706806285</v>
      </c>
      <c r="AG106" s="840">
        <f t="shared" si="290"/>
        <v>17.919799498746869</v>
      </c>
      <c r="AI106" s="706">
        <f>AI100+AI101+AI102</f>
        <v>787</v>
      </c>
      <c r="AJ106" s="839">
        <f t="shared" si="252"/>
        <v>5.429083885209713</v>
      </c>
      <c r="AK106" s="840">
        <f t="shared" si="291"/>
        <v>-16.365568544102015</v>
      </c>
      <c r="AM106" s="706">
        <f>AM100+AM101+AM102</f>
        <v>1021</v>
      </c>
      <c r="AN106" s="839">
        <f t="shared" si="253"/>
        <v>5.1136420550730737</v>
      </c>
      <c r="AO106" s="840">
        <f t="shared" si="292"/>
        <v>29.733163913595927</v>
      </c>
      <c r="AQ106" s="706">
        <f>AQ100+AQ101+AQ102</f>
        <v>1012.0473766566911</v>
      </c>
      <c r="AR106" s="839">
        <f t="shared" si="254"/>
        <v>4.9692987167666267</v>
      </c>
      <c r="AS106" s="840">
        <f t="shared" si="293"/>
        <v>-0.87684851550527965</v>
      </c>
      <c r="AU106" s="706">
        <f>AU100+AU101+AU102</f>
        <v>753</v>
      </c>
      <c r="AV106" s="839">
        <f t="shared" si="255"/>
        <v>3.4100172085861788</v>
      </c>
      <c r="AW106" s="840">
        <f t="shared" si="294"/>
        <v>-25.596368572433516</v>
      </c>
      <c r="AY106" s="706">
        <f>AY100+AY101+AY102</f>
        <v>347</v>
      </c>
      <c r="AZ106" s="839">
        <f t="shared" si="256"/>
        <v>1.5579401068558345</v>
      </c>
      <c r="BA106" s="840">
        <f t="shared" si="295"/>
        <v>-53.917662682602916</v>
      </c>
      <c r="BC106" s="706">
        <f>BC100+BC101+BC102</f>
        <v>449</v>
      </c>
      <c r="BD106" s="839">
        <f t="shared" si="257"/>
        <v>1.9989315288042024</v>
      </c>
      <c r="BE106" s="840">
        <f t="shared" si="296"/>
        <v>29.39481268011528</v>
      </c>
      <c r="BG106" s="706">
        <f>BG100+BG101+BG102</f>
        <v>631</v>
      </c>
      <c r="BH106" s="839">
        <f t="shared" si="258"/>
        <v>2.7677866479515747</v>
      </c>
      <c r="BI106" s="840">
        <f t="shared" si="297"/>
        <v>40.534521158129166</v>
      </c>
      <c r="BK106" s="706">
        <f>BK100+BK101+BK102</f>
        <v>268</v>
      </c>
      <c r="BL106" s="839">
        <f t="shared" si="259"/>
        <v>2.1900792677943941</v>
      </c>
      <c r="BM106" s="840">
        <f t="shared" si="298"/>
        <v>-57.527733755942954</v>
      </c>
      <c r="BO106" s="706">
        <f>BO100+BO101+BO102</f>
        <v>335</v>
      </c>
      <c r="BP106" s="839">
        <f t="shared" si="260"/>
        <v>2.817497957524242</v>
      </c>
      <c r="BQ106" s="840">
        <f t="shared" si="299"/>
        <v>25</v>
      </c>
      <c r="BS106" s="706">
        <f>BS100+BS101+BS102</f>
        <v>354</v>
      </c>
      <c r="BT106" s="839">
        <f t="shared" si="261"/>
        <v>3.0742509769865389</v>
      </c>
      <c r="BU106" s="840">
        <f t="shared" si="300"/>
        <v>5.6716417910447792</v>
      </c>
      <c r="BW106" s="706">
        <f>BW100+BW101+BW102</f>
        <v>728</v>
      </c>
      <c r="BX106" s="839">
        <f t="shared" si="262"/>
        <v>5.996211185240095</v>
      </c>
      <c r="BY106" s="840">
        <f t="shared" si="301"/>
        <v>105.6497175141243</v>
      </c>
      <c r="CA106" s="706">
        <f>CA100+CA101+CA102</f>
        <v>963</v>
      </c>
      <c r="CB106" s="839">
        <f t="shared" si="263"/>
        <v>7.6562251550325966</v>
      </c>
      <c r="CC106" s="840">
        <f t="shared" si="302"/>
        <v>32.280219780219774</v>
      </c>
      <c r="CE106" s="706">
        <f>CE100+CE101+CE102</f>
        <v>1164</v>
      </c>
      <c r="CF106" s="839">
        <f t="shared" si="264"/>
        <v>8.7934748186308038</v>
      </c>
      <c r="CG106" s="840">
        <f t="shared" si="303"/>
        <v>20.872274143302171</v>
      </c>
      <c r="CI106" s="706">
        <f>CI100+CI101+CI102</f>
        <v>1156.0700000000002</v>
      </c>
      <c r="CJ106" s="839">
        <f t="shared" si="265"/>
        <v>8.5844657310462615</v>
      </c>
      <c r="CK106" s="840">
        <f t="shared" si="304"/>
        <v>-0.6812714776632145</v>
      </c>
      <c r="CM106" s="706">
        <f>CM100+CM101+CM102</f>
        <v>738.86917741935417</v>
      </c>
      <c r="CN106" s="839">
        <f t="shared" si="266"/>
        <v>5.8053833265187436</v>
      </c>
      <c r="CO106" s="840">
        <f t="shared" si="305"/>
        <v>-36.087851304907659</v>
      </c>
      <c r="CQ106" s="706">
        <f>CQ100+CQ101+CQ102</f>
        <v>280</v>
      </c>
      <c r="CR106" s="839">
        <f t="shared" si="267"/>
        <v>2.3314915459993513</v>
      </c>
      <c r="CS106" s="840">
        <f t="shared" si="306"/>
        <v>-62.104252206330358</v>
      </c>
      <c r="CU106" s="706">
        <f>CU100+CU101+CU102</f>
        <v>374</v>
      </c>
      <c r="CV106" s="839">
        <f t="shared" si="268"/>
        <v>3.1021897810218979</v>
      </c>
      <c r="CW106" s="840">
        <f t="shared" si="307"/>
        <v>33.571428571428562</v>
      </c>
      <c r="CY106" s="706">
        <f>CY100+CY101+CY102</f>
        <v>368</v>
      </c>
      <c r="CZ106" s="839">
        <f t="shared" si="269"/>
        <v>3.1094212082805237</v>
      </c>
      <c r="DA106" s="840">
        <f t="shared" si="308"/>
        <v>-1.6042780748663055</v>
      </c>
      <c r="DC106" s="706">
        <f>DC100+DC101+DC102</f>
        <v>-640</v>
      </c>
      <c r="DD106" s="878">
        <f t="shared" si="270"/>
        <v>-7.032194264366554</v>
      </c>
      <c r="DE106" s="840">
        <f t="shared" si="271"/>
        <v>-273.91304347826082</v>
      </c>
      <c r="DG106" s="706">
        <f>DG100+DG101+DG102</f>
        <v>-1117</v>
      </c>
      <c r="DH106" s="878">
        <f t="shared" si="272"/>
        <v>-13.82939210102761</v>
      </c>
      <c r="DI106" s="840">
        <f t="shared" si="273"/>
        <v>74.53125</v>
      </c>
      <c r="DK106" s="706">
        <f>DK100+DK101+DK102</f>
        <v>-332</v>
      </c>
      <c r="DL106" s="878">
        <f t="shared" si="274"/>
        <v>-3.9693926351028219</v>
      </c>
      <c r="DM106" s="840">
        <f t="shared" si="275"/>
        <v>-70.277529095792303</v>
      </c>
      <c r="DP106" s="706">
        <f>DP100+DP101+DP102</f>
        <v>-131.75</v>
      </c>
      <c r="DQ106" s="878">
        <f t="shared" si="276"/>
        <v>-1.526828137675281</v>
      </c>
      <c r="DR106" s="840">
        <f t="shared" si="277"/>
        <v>-60.316265060240973</v>
      </c>
      <c r="DU106" s="706">
        <f>DU100+DU101+DU102</f>
        <v>121</v>
      </c>
      <c r="DV106" s="878">
        <f t="shared" si="278"/>
        <v>1.4092709061262521</v>
      </c>
      <c r="DW106" s="840">
        <f t="shared" si="279"/>
        <v>-191.84060721062619</v>
      </c>
      <c r="DZ106" s="706">
        <f>DZ100+DZ101+DZ102</f>
        <v>98.000000000000455</v>
      </c>
      <c r="EA106" s="878">
        <f t="shared" si="280"/>
        <v>1.1563421828908607</v>
      </c>
      <c r="EB106" s="840">
        <f t="shared" si="281"/>
        <v>-19.008264462809542</v>
      </c>
      <c r="EE106" s="706">
        <f>EE100+EE101+EE102</f>
        <v>164.90746000000024</v>
      </c>
      <c r="EF106" s="878">
        <f t="shared" si="282"/>
        <v>1.9798211446378235</v>
      </c>
      <c r="EG106" s="840">
        <f t="shared" si="283"/>
        <v>68.272918367346421</v>
      </c>
      <c r="EK106" s="840"/>
      <c r="EL106" s="840"/>
      <c r="EM106" s="840"/>
      <c r="EN106" s="840"/>
      <c r="EO106" s="840"/>
      <c r="EP106" s="840"/>
      <c r="EQ106" s="840"/>
      <c r="ER106" s="840"/>
      <c r="ES106" s="840"/>
      <c r="ET106" s="840"/>
      <c r="EU106" s="840"/>
      <c r="EV106" s="840"/>
      <c r="EW106" s="805"/>
      <c r="EX106" s="805"/>
    </row>
    <row r="107" spans="1:154" outlineLevel="2">
      <c r="A107" s="819"/>
      <c r="C107" s="706"/>
      <c r="D107" s="839"/>
      <c r="E107" s="887"/>
      <c r="G107" s="706"/>
      <c r="H107" s="839"/>
      <c r="I107" s="840"/>
      <c r="K107" s="706"/>
      <c r="L107" s="839"/>
      <c r="M107" s="840"/>
      <c r="O107" s="706"/>
      <c r="P107" s="839"/>
      <c r="Q107" s="840"/>
      <c r="S107" s="706"/>
      <c r="T107" s="839"/>
      <c r="U107" s="840"/>
      <c r="W107" s="706"/>
      <c r="X107" s="839"/>
      <c r="Y107" s="840"/>
      <c r="AA107" s="706"/>
      <c r="AB107" s="839"/>
      <c r="AC107" s="840"/>
      <c r="AE107" s="706"/>
      <c r="AF107" s="839"/>
      <c r="AG107" s="840"/>
      <c r="AI107" s="706"/>
      <c r="AJ107" s="839"/>
      <c r="AK107" s="840"/>
      <c r="AM107" s="706"/>
      <c r="AN107" s="839"/>
      <c r="AO107" s="840"/>
      <c r="AQ107" s="706"/>
      <c r="AR107" s="839"/>
      <c r="AS107" s="840"/>
      <c r="AU107" s="706"/>
      <c r="AV107" s="839"/>
      <c r="AW107" s="840"/>
      <c r="AY107" s="706"/>
      <c r="AZ107" s="839"/>
      <c r="BA107" s="840"/>
      <c r="BC107" s="706"/>
      <c r="BD107" s="839"/>
      <c r="BE107" s="840"/>
      <c r="BG107" s="706"/>
      <c r="BH107" s="839"/>
      <c r="BI107" s="840"/>
      <c r="BK107" s="706"/>
      <c r="BL107" s="839"/>
      <c r="BM107" s="840"/>
      <c r="BO107" s="706"/>
      <c r="BP107" s="839"/>
      <c r="BQ107" s="840"/>
      <c r="BS107" s="706"/>
      <c r="BT107" s="839"/>
      <c r="BU107" s="840"/>
      <c r="BW107" s="706"/>
      <c r="BX107" s="839"/>
      <c r="BY107" s="840"/>
      <c r="CA107" s="706"/>
      <c r="CB107" s="839"/>
      <c r="CC107" s="840"/>
      <c r="CE107" s="706"/>
      <c r="CF107" s="839"/>
      <c r="CG107" s="840"/>
      <c r="CI107" s="706"/>
      <c r="CJ107" s="839"/>
      <c r="CK107" s="840"/>
      <c r="CM107" s="706"/>
      <c r="CN107" s="839"/>
      <c r="CO107" s="840"/>
      <c r="CQ107" s="706"/>
      <c r="CR107" s="839"/>
      <c r="CS107" s="840"/>
      <c r="CU107" s="706"/>
      <c r="CV107" s="839"/>
      <c r="CW107" s="840"/>
      <c r="CY107" s="706"/>
      <c r="CZ107" s="839"/>
      <c r="DA107" s="840"/>
      <c r="DC107" s="706"/>
      <c r="DD107" s="878"/>
      <c r="DE107" s="840"/>
      <c r="DG107" s="706"/>
      <c r="DH107" s="878"/>
      <c r="DI107" s="840"/>
      <c r="DK107" s="706"/>
      <c r="DL107" s="878"/>
      <c r="DM107" s="840"/>
      <c r="DP107" s="706"/>
      <c r="DQ107" s="878"/>
      <c r="DR107" s="840"/>
      <c r="DU107" s="706"/>
      <c r="DV107" s="878"/>
      <c r="DW107" s="840"/>
      <c r="DZ107" s="706"/>
      <c r="EA107" s="878"/>
      <c r="EB107" s="840"/>
      <c r="EE107" s="706"/>
      <c r="EF107" s="878"/>
      <c r="EG107" s="840"/>
      <c r="EK107" s="840"/>
      <c r="EL107" s="840"/>
      <c r="EM107" s="840"/>
      <c r="EN107" s="840"/>
      <c r="EO107" s="840"/>
      <c r="EP107" s="840"/>
      <c r="EQ107" s="840"/>
      <c r="ER107" s="840"/>
      <c r="ES107" s="840"/>
      <c r="ET107" s="840"/>
      <c r="EU107" s="840"/>
      <c r="EV107" s="840"/>
      <c r="EW107" s="805"/>
      <c r="EX107" s="805"/>
    </row>
    <row r="108" spans="1:154" outlineLevel="2">
      <c r="A108" s="816" t="s">
        <v>245</v>
      </c>
      <c r="C108" s="706"/>
      <c r="D108" s="839"/>
      <c r="E108" s="887"/>
      <c r="G108" s="706"/>
      <c r="H108" s="839"/>
      <c r="I108" s="840"/>
      <c r="K108" s="706"/>
      <c r="L108" s="839"/>
      <c r="M108" s="840"/>
      <c r="O108" s="706"/>
      <c r="P108" s="839"/>
      <c r="Q108" s="840"/>
      <c r="S108" s="706"/>
      <c r="T108" s="839"/>
      <c r="U108" s="840"/>
      <c r="W108" s="706"/>
      <c r="X108" s="839"/>
      <c r="Y108" s="840"/>
      <c r="AA108" s="706"/>
      <c r="AB108" s="839"/>
      <c r="AC108" s="840"/>
      <c r="AE108" s="706"/>
      <c r="AF108" s="839"/>
      <c r="AG108" s="840"/>
      <c r="AI108" s="706"/>
      <c r="AJ108" s="839"/>
      <c r="AK108" s="840"/>
      <c r="AM108" s="706"/>
      <c r="AN108" s="839"/>
      <c r="AO108" s="840"/>
      <c r="AQ108" s="706"/>
      <c r="AR108" s="839"/>
      <c r="AS108" s="840"/>
      <c r="AU108" s="706"/>
      <c r="AV108" s="839"/>
      <c r="AW108" s="840"/>
      <c r="AY108" s="706"/>
      <c r="AZ108" s="839"/>
      <c r="BA108" s="840"/>
      <c r="BC108" s="706"/>
      <c r="BD108" s="839"/>
      <c r="BE108" s="840"/>
      <c r="BG108" s="706"/>
      <c r="BH108" s="839"/>
      <c r="BI108" s="840"/>
      <c r="BK108" s="706"/>
      <c r="BL108" s="839"/>
      <c r="BM108" s="840"/>
      <c r="BO108" s="706"/>
      <c r="BP108" s="839"/>
      <c r="BQ108" s="840"/>
      <c r="BS108" s="706"/>
      <c r="BT108" s="839"/>
      <c r="BU108" s="840"/>
      <c r="BW108" s="706"/>
      <c r="BX108" s="839"/>
      <c r="BY108" s="840"/>
      <c r="CA108" s="706"/>
      <c r="CB108" s="839"/>
      <c r="CC108" s="840"/>
      <c r="CE108" s="706"/>
      <c r="CF108" s="839"/>
      <c r="CG108" s="840"/>
      <c r="CI108" s="706"/>
      <c r="CJ108" s="839"/>
      <c r="CK108" s="840"/>
      <c r="CM108" s="706"/>
      <c r="CN108" s="839"/>
      <c r="CO108" s="840"/>
      <c r="CQ108" s="706"/>
      <c r="CR108" s="839"/>
      <c r="CS108" s="840"/>
      <c r="CV108" s="839"/>
      <c r="CW108" s="840"/>
      <c r="CY108" s="706"/>
      <c r="CZ108" s="839"/>
      <c r="DA108" s="840"/>
      <c r="DC108" s="706"/>
      <c r="DD108" s="878"/>
      <c r="DE108" s="840"/>
      <c r="DG108" s="818" t="s">
        <v>245</v>
      </c>
      <c r="DH108" s="878"/>
      <c r="DI108" s="840"/>
      <c r="DK108" s="706"/>
      <c r="DL108" s="878"/>
      <c r="DM108" s="840"/>
      <c r="DP108" s="1585" t="str">
        <f>DG108</f>
        <v>EBITDA</v>
      </c>
      <c r="DQ108" s="1585"/>
      <c r="DR108" s="1585"/>
      <c r="DS108" s="1585"/>
      <c r="DT108" s="1585"/>
      <c r="DU108" s="1585"/>
      <c r="DV108" s="1585"/>
      <c r="DW108" s="1585"/>
      <c r="EK108" s="840"/>
      <c r="EL108" s="840"/>
      <c r="EM108" s="840"/>
      <c r="EN108" s="840"/>
      <c r="EO108" s="840"/>
      <c r="EP108" s="840"/>
      <c r="EQ108" s="840"/>
      <c r="ER108" s="840"/>
      <c r="ES108" s="840"/>
      <c r="ET108" s="840"/>
      <c r="EU108" s="840"/>
      <c r="EV108" s="840"/>
      <c r="EW108" s="805"/>
      <c r="EX108" s="805"/>
    </row>
    <row r="109" spans="1:154" outlineLevel="2">
      <c r="C109" s="706"/>
      <c r="D109" s="839"/>
      <c r="E109" s="887"/>
      <c r="G109" s="706"/>
      <c r="H109" s="839"/>
      <c r="I109" s="840"/>
      <c r="K109" s="706"/>
      <c r="L109" s="839"/>
      <c r="M109" s="840"/>
      <c r="O109" s="706"/>
      <c r="P109" s="839"/>
      <c r="Q109" s="840"/>
      <c r="S109" s="706"/>
      <c r="T109" s="839"/>
      <c r="U109" s="840"/>
      <c r="W109" s="706"/>
      <c r="X109" s="839"/>
      <c r="Y109" s="840"/>
      <c r="AA109" s="706"/>
      <c r="AB109" s="839"/>
      <c r="AC109" s="840"/>
      <c r="AE109" s="706"/>
      <c r="AF109" s="839"/>
      <c r="AG109" s="840"/>
      <c r="AI109" s="706"/>
      <c r="AJ109" s="839"/>
      <c r="AK109" s="840"/>
      <c r="AM109" s="706"/>
      <c r="AN109" s="839"/>
      <c r="AO109" s="840"/>
      <c r="AQ109" s="706"/>
      <c r="AR109" s="839"/>
      <c r="AS109" s="840"/>
      <c r="AU109" s="706"/>
      <c r="AV109" s="839"/>
      <c r="AW109" s="840"/>
      <c r="AY109" s="706"/>
      <c r="AZ109" s="839"/>
      <c r="BA109" s="840"/>
      <c r="BC109" s="706"/>
      <c r="BD109" s="839"/>
      <c r="BE109" s="840"/>
      <c r="BG109" s="706"/>
      <c r="BH109" s="839"/>
      <c r="BI109" s="840"/>
      <c r="BK109" s="706"/>
      <c r="BL109" s="839"/>
      <c r="BM109" s="840"/>
      <c r="BO109" s="706"/>
      <c r="BP109" s="839"/>
      <c r="BQ109" s="840"/>
      <c r="BS109" s="706"/>
      <c r="BT109" s="839"/>
      <c r="BU109" s="840"/>
      <c r="BW109" s="706"/>
      <c r="BX109" s="839"/>
      <c r="BY109" s="840"/>
      <c r="CA109" s="706"/>
      <c r="CB109" s="839"/>
      <c r="CC109" s="840"/>
      <c r="CE109" s="706"/>
      <c r="CF109" s="839"/>
      <c r="CG109" s="840"/>
      <c r="CI109" s="706"/>
      <c r="CJ109" s="839"/>
      <c r="CK109" s="840"/>
      <c r="CM109" s="706"/>
      <c r="CN109" s="839"/>
      <c r="CO109" s="840"/>
      <c r="CQ109" s="706"/>
      <c r="CR109" s="839"/>
      <c r="CS109" s="840"/>
      <c r="CU109" s="706"/>
      <c r="CV109" s="839"/>
      <c r="CW109" s="840"/>
      <c r="CY109" s="706"/>
      <c r="CZ109" s="839"/>
      <c r="DA109" s="840"/>
      <c r="DC109" s="706"/>
      <c r="DD109" s="878"/>
      <c r="DE109" s="840"/>
      <c r="DG109" s="706"/>
      <c r="DH109" s="878"/>
      <c r="DI109" s="840"/>
      <c r="DK109" s="706"/>
      <c r="DL109" s="878"/>
      <c r="DM109" s="840"/>
      <c r="DP109" s="706"/>
      <c r="DQ109" s="878"/>
      <c r="DR109" s="840"/>
      <c r="DU109" s="706"/>
      <c r="DV109" s="878"/>
      <c r="DW109" s="840"/>
      <c r="DZ109" s="706"/>
      <c r="EA109" s="878"/>
      <c r="EB109" s="840"/>
      <c r="EE109" s="706"/>
      <c r="EF109" s="878"/>
      <c r="EG109" s="840"/>
      <c r="EK109" s="840"/>
      <c r="EL109" s="840"/>
      <c r="EM109" s="840"/>
      <c r="EN109" s="840"/>
      <c r="EO109" s="840"/>
      <c r="EP109" s="840"/>
      <c r="EQ109" s="840"/>
      <c r="ER109" s="840"/>
      <c r="ES109" s="840"/>
      <c r="ET109" s="840"/>
      <c r="EU109" s="840"/>
      <c r="EV109" s="840"/>
      <c r="EW109" s="805"/>
      <c r="EX109" s="805"/>
    </row>
    <row r="110" spans="1:154" outlineLevel="2">
      <c r="A110" s="819" t="s">
        <v>140</v>
      </c>
      <c r="C110" s="820" t="str">
        <f t="shared" ref="C110:C116" si="309">IF(C60=0,"NA",C100+C60)</f>
        <v>NA</v>
      </c>
      <c r="D110" s="839"/>
      <c r="E110" s="887"/>
      <c r="G110" s="820" t="str">
        <f t="shared" ref="G110:G116" si="310">IF(G60=0,"NA",G100+G60)</f>
        <v>NA</v>
      </c>
      <c r="H110" s="839"/>
      <c r="I110" s="840"/>
      <c r="K110" s="820" t="str">
        <f t="shared" ref="K110:K116" si="311">IF(K60=0,"NA",K100+K60)</f>
        <v>NA</v>
      </c>
      <c r="L110" s="839"/>
      <c r="M110" s="840"/>
      <c r="O110" s="820" t="str">
        <f t="shared" ref="O110:O116" si="312">IF(O60=0,"NA",O100+O60)</f>
        <v>NA</v>
      </c>
      <c r="P110" s="839"/>
      <c r="Q110" s="840"/>
      <c r="S110" s="820" t="str">
        <f t="shared" ref="S110:S116" si="313">IF(S60=0,"NA",S100+S60)</f>
        <v>NA</v>
      </c>
      <c r="T110" s="839"/>
      <c r="U110" s="840"/>
      <c r="W110" s="820" t="str">
        <f t="shared" ref="W110:W116" si="314">IF(W60=0,"NA",W100+W60)</f>
        <v>NA</v>
      </c>
      <c r="X110" s="839"/>
      <c r="Y110" s="840"/>
      <c r="AA110" s="820" t="str">
        <f t="shared" ref="AA110:AA116" si="315">IF(AA60=0,"NA",AA100+AA60)</f>
        <v>NA</v>
      </c>
      <c r="AB110" s="839"/>
      <c r="AC110" s="840"/>
      <c r="AE110" s="820" t="str">
        <f t="shared" ref="AE110:AE116" si="316">IF(AE60=0,"NA",AE100+AE60)</f>
        <v>NA</v>
      </c>
      <c r="AF110" s="839"/>
      <c r="AG110" s="840"/>
      <c r="AI110" s="820" t="str">
        <f t="shared" ref="AI110:AI116" si="317">IF(AI60=0,"NA",AI100+AI60)</f>
        <v>NA</v>
      </c>
      <c r="AJ110" s="839"/>
      <c r="AK110" s="840"/>
      <c r="AM110" s="820" t="str">
        <f t="shared" ref="AM110:AM116" si="318">IF(AM60=0,"NA",AM100+AM60)</f>
        <v>NA</v>
      </c>
      <c r="AN110" s="839"/>
      <c r="AO110" s="840"/>
      <c r="AQ110" s="820" t="str">
        <f t="shared" ref="AQ110:AQ116" si="319">IF(AQ60=0,"NA",AQ100+AQ60)</f>
        <v>NA</v>
      </c>
      <c r="AR110" s="839"/>
      <c r="AS110" s="840"/>
      <c r="AU110" s="820" t="str">
        <f t="shared" ref="AU110:AU116" si="320">IF(AU60=0,"NA",AU100+AU60)</f>
        <v>NA</v>
      </c>
      <c r="AV110" s="839"/>
      <c r="AW110" s="840"/>
      <c r="AY110" s="820" t="str">
        <f t="shared" ref="AY110:AY116" si="321">IF(AY60=0,"NA",AY100+AY60)</f>
        <v>NA</v>
      </c>
      <c r="AZ110" s="839"/>
      <c r="BA110" s="840"/>
      <c r="BC110" s="820" t="str">
        <f t="shared" ref="BC110:BC116" si="322">IF(BC60=0,"NA",BC100+BC60)</f>
        <v>NA</v>
      </c>
      <c r="BD110" s="839"/>
      <c r="BE110" s="840"/>
      <c r="BG110" s="820" t="str">
        <f t="shared" ref="BG110:BG116" si="323">IF(BG60=0,"NA",BG100+BG60)</f>
        <v>NA</v>
      </c>
      <c r="BH110" s="839"/>
      <c r="BI110" s="840"/>
      <c r="BK110" s="820" t="str">
        <f t="shared" ref="BK110:BK116" si="324">IF(BK60=0,"NA",BK100+BK60)</f>
        <v>NA</v>
      </c>
      <c r="BL110" s="839"/>
      <c r="BM110" s="840"/>
      <c r="BO110" s="820" t="str">
        <f t="shared" ref="BO110:BO116" si="325">IF(BO60=0,"NA",BO100+BO60)</f>
        <v>NA</v>
      </c>
      <c r="BP110" s="839"/>
      <c r="BQ110" s="840"/>
      <c r="BS110" s="820" t="str">
        <f t="shared" ref="BS110:BS116" si="326">IF(BS60=0,"NA",BS100+BS60)</f>
        <v>NA</v>
      </c>
      <c r="BT110" s="839"/>
      <c r="BU110" s="840"/>
      <c r="BW110" s="820">
        <f t="shared" ref="BW110:BW116" si="327">IF(BW60=0,"NA",BW100+BW60)</f>
        <v>317</v>
      </c>
      <c r="BX110" s="839"/>
      <c r="BY110" s="840"/>
      <c r="CA110" s="820">
        <f t="shared" ref="CA110:CA116" si="328">IF(CA60=0,"NA",CA100+CA60)</f>
        <v>417</v>
      </c>
      <c r="CB110" s="839"/>
      <c r="CC110" s="840"/>
      <c r="CE110" s="820">
        <f t="shared" ref="CE110:CE116" si="329">IF(CE60=0,"NA",CE100+CE60)</f>
        <v>469</v>
      </c>
      <c r="CF110" s="839"/>
      <c r="CG110" s="840"/>
      <c r="CI110" s="820">
        <f t="shared" ref="CI110:CI116" si="330">IF(CI60=0,"NA",CI100+CI60)</f>
        <v>518</v>
      </c>
      <c r="CJ110" s="839"/>
      <c r="CK110" s="840"/>
      <c r="CM110" s="820">
        <f t="shared" ref="CM110:CM116" si="331">IF(CM60=0,"NA",CM100+CM60)</f>
        <v>358</v>
      </c>
      <c r="CN110" s="839"/>
      <c r="CO110" s="840"/>
      <c r="CQ110" s="820">
        <f t="shared" ref="CQ110:CQ116" si="332">IF(CQ60=0,"NA",CQ100+CQ60)</f>
        <v>226</v>
      </c>
      <c r="CR110" s="839"/>
      <c r="CS110" s="840"/>
      <c r="CU110" s="820">
        <f t="shared" ref="CU110:CU116" si="333">IF(CU60=0,"NA",CU100+CU60)</f>
        <v>280</v>
      </c>
      <c r="CV110" s="839"/>
      <c r="CW110" s="840"/>
      <c r="CY110" s="820">
        <f t="shared" ref="CY110:CY116" si="334">IF(CY60=0,"NA",CY100+CY60)</f>
        <v>298</v>
      </c>
      <c r="CZ110" s="839"/>
      <c r="DA110" s="840"/>
      <c r="DC110" s="820">
        <f t="shared" ref="DC110:DC116" si="335">IF(DC60=0,"NA",DC100+DC60)</f>
        <v>28</v>
      </c>
      <c r="DD110" s="878"/>
      <c r="DE110" s="840"/>
      <c r="DG110" s="820">
        <f t="shared" ref="DG110:DG116" si="336">IF(DG60=0,"NA",DG100+DG60)</f>
        <v>-278</v>
      </c>
      <c r="DH110" s="878"/>
      <c r="DI110" s="840"/>
      <c r="DK110" s="824">
        <f>IF(DK60=0,"NA",DK100+DK60)-DK130</f>
        <v>-89</v>
      </c>
      <c r="DL110" s="878"/>
      <c r="DM110" s="840"/>
      <c r="DP110" s="820">
        <f t="shared" ref="DP110:DP116" si="337">IF(DP60=0,"NA",DP100+DP60)</f>
        <v>105.25</v>
      </c>
      <c r="DQ110" s="878"/>
      <c r="DR110" s="840"/>
      <c r="DU110" s="820">
        <f>IF(DU60=0,"NA",DU100+DU60)</f>
        <v>176</v>
      </c>
      <c r="DV110" s="878"/>
      <c r="DW110" s="840"/>
      <c r="DZ110" s="820">
        <f>IF(DZ60=0,"NA",DZ100+DZ60)</f>
        <v>259</v>
      </c>
      <c r="EA110" s="878"/>
      <c r="EB110" s="840"/>
      <c r="EE110" s="820">
        <f>IF(EE60=0,"NA",EE100+EE60)</f>
        <v>163.77073600000006</v>
      </c>
      <c r="EF110" s="878"/>
      <c r="EG110" s="840"/>
      <c r="EK110" s="840"/>
      <c r="EL110" s="840"/>
      <c r="EM110" s="840"/>
      <c r="EN110" s="840"/>
      <c r="EO110" s="840"/>
      <c r="EP110" s="840"/>
      <c r="EQ110" s="840"/>
      <c r="ER110" s="840"/>
      <c r="ES110" s="840"/>
      <c r="ET110" s="840"/>
      <c r="EU110" s="840"/>
      <c r="EV110" s="840"/>
      <c r="EW110" s="805"/>
      <c r="EX110" s="805"/>
    </row>
    <row r="111" spans="1:154" outlineLevel="2">
      <c r="A111" s="819" t="s">
        <v>141</v>
      </c>
      <c r="C111" s="824" t="str">
        <f t="shared" si="309"/>
        <v>NA</v>
      </c>
      <c r="D111" s="839"/>
      <c r="E111" s="887"/>
      <c r="G111" s="824" t="str">
        <f t="shared" si="310"/>
        <v>NA</v>
      </c>
      <c r="H111" s="839"/>
      <c r="I111" s="840"/>
      <c r="K111" s="824" t="str">
        <f t="shared" si="311"/>
        <v>NA</v>
      </c>
      <c r="L111" s="839"/>
      <c r="M111" s="840"/>
      <c r="O111" s="824" t="str">
        <f t="shared" si="312"/>
        <v>NA</v>
      </c>
      <c r="P111" s="839"/>
      <c r="Q111" s="840"/>
      <c r="S111" s="824" t="str">
        <f t="shared" si="313"/>
        <v>NA</v>
      </c>
      <c r="T111" s="839"/>
      <c r="U111" s="840"/>
      <c r="W111" s="824" t="str">
        <f t="shared" si="314"/>
        <v>NA</v>
      </c>
      <c r="X111" s="839"/>
      <c r="Y111" s="840"/>
      <c r="AA111" s="824" t="str">
        <f t="shared" si="315"/>
        <v>NA</v>
      </c>
      <c r="AB111" s="839"/>
      <c r="AC111" s="840"/>
      <c r="AE111" s="824" t="str">
        <f t="shared" si="316"/>
        <v>NA</v>
      </c>
      <c r="AF111" s="839"/>
      <c r="AG111" s="840"/>
      <c r="AI111" s="824" t="str">
        <f t="shared" si="317"/>
        <v>NA</v>
      </c>
      <c r="AJ111" s="839"/>
      <c r="AK111" s="840"/>
      <c r="AM111" s="824" t="str">
        <f t="shared" si="318"/>
        <v>NA</v>
      </c>
      <c r="AN111" s="839"/>
      <c r="AO111" s="840"/>
      <c r="AQ111" s="824" t="str">
        <f t="shared" si="319"/>
        <v>NA</v>
      </c>
      <c r="AR111" s="839"/>
      <c r="AS111" s="840"/>
      <c r="AU111" s="824" t="str">
        <f t="shared" si="320"/>
        <v>NA</v>
      </c>
      <c r="AV111" s="839"/>
      <c r="AW111" s="840"/>
      <c r="AY111" s="824" t="str">
        <f t="shared" si="321"/>
        <v>NA</v>
      </c>
      <c r="AZ111" s="839"/>
      <c r="BA111" s="840"/>
      <c r="BC111" s="824" t="str">
        <f t="shared" si="322"/>
        <v>NA</v>
      </c>
      <c r="BD111" s="839"/>
      <c r="BE111" s="840"/>
      <c r="BG111" s="824" t="str">
        <f t="shared" si="323"/>
        <v>NA</v>
      </c>
      <c r="BH111" s="839"/>
      <c r="BI111" s="840"/>
      <c r="BK111" s="824" t="str">
        <f t="shared" si="324"/>
        <v>NA</v>
      </c>
      <c r="BL111" s="839"/>
      <c r="BM111" s="840"/>
      <c r="BO111" s="824" t="str">
        <f t="shared" si="325"/>
        <v>NA</v>
      </c>
      <c r="BP111" s="839"/>
      <c r="BQ111" s="840"/>
      <c r="BS111" s="824" t="str">
        <f t="shared" si="326"/>
        <v>NA</v>
      </c>
      <c r="BT111" s="839"/>
      <c r="BU111" s="840"/>
      <c r="BW111" s="824">
        <f t="shared" si="327"/>
        <v>237</v>
      </c>
      <c r="BX111" s="839"/>
      <c r="BY111" s="840"/>
      <c r="CA111" s="824">
        <f t="shared" si="328"/>
        <v>315</v>
      </c>
      <c r="CB111" s="839"/>
      <c r="CC111" s="840"/>
      <c r="CE111" s="824">
        <f t="shared" si="329"/>
        <v>367</v>
      </c>
      <c r="CF111" s="839"/>
      <c r="CG111" s="840"/>
      <c r="CI111" s="824">
        <f t="shared" si="330"/>
        <v>428.07000000000016</v>
      </c>
      <c r="CJ111" s="839"/>
      <c r="CK111" s="840"/>
      <c r="CM111" s="824">
        <f t="shared" si="331"/>
        <v>358.0595000000003</v>
      </c>
      <c r="CN111" s="839"/>
      <c r="CO111" s="840"/>
      <c r="CQ111" s="824">
        <f t="shared" si="332"/>
        <v>188</v>
      </c>
      <c r="CR111" s="839"/>
      <c r="CS111" s="840"/>
      <c r="CU111" s="824">
        <f t="shared" si="333"/>
        <v>221</v>
      </c>
      <c r="CV111" s="839"/>
      <c r="CW111" s="840"/>
      <c r="CY111" s="824">
        <f t="shared" si="334"/>
        <v>232</v>
      </c>
      <c r="CZ111" s="839"/>
      <c r="DA111" s="840"/>
      <c r="DC111" s="824">
        <f t="shared" si="335"/>
        <v>-96</v>
      </c>
      <c r="DD111" s="878"/>
      <c r="DE111" s="840"/>
      <c r="DG111" s="824">
        <f t="shared" si="336"/>
        <v>-205</v>
      </c>
      <c r="DH111" s="878"/>
      <c r="DI111" s="840"/>
      <c r="DK111" s="824">
        <f>IF(DK61=0,"NA",DK101+DK61)-DK131</f>
        <v>90</v>
      </c>
      <c r="DL111" s="878"/>
      <c r="DM111" s="840"/>
      <c r="DP111" s="824">
        <f t="shared" si="337"/>
        <v>115</v>
      </c>
      <c r="DQ111" s="878"/>
      <c r="DR111" s="840"/>
      <c r="DU111" s="824">
        <f t="shared" ref="DU111:DU116" si="338">IF(DU61=0,"NA",DU101+DU61)</f>
        <v>229</v>
      </c>
      <c r="DV111" s="878"/>
      <c r="DW111" s="840"/>
      <c r="DZ111" s="824">
        <f t="shared" ref="DZ111:DZ116" si="339">IF(DZ61=0,"NA",DZ101+DZ61)</f>
        <v>205.00000000000045</v>
      </c>
      <c r="EA111" s="878"/>
      <c r="EB111" s="840"/>
      <c r="EE111" s="824">
        <f t="shared" ref="EE111:EE116" si="340">IF(EE61=0,"NA",EE101+EE61)</f>
        <v>248.46926400000018</v>
      </c>
      <c r="EF111" s="878"/>
      <c r="EG111" s="840"/>
      <c r="EK111" s="840"/>
      <c r="EL111" s="840"/>
      <c r="EM111" s="840"/>
      <c r="EN111" s="840"/>
      <c r="EO111" s="840"/>
      <c r="EP111" s="840"/>
      <c r="EQ111" s="840"/>
      <c r="ER111" s="840"/>
      <c r="ES111" s="840"/>
      <c r="ET111" s="840"/>
      <c r="EU111" s="840"/>
      <c r="EV111" s="840"/>
      <c r="EW111" s="805"/>
      <c r="EX111" s="805"/>
    </row>
    <row r="112" spans="1:154" outlineLevel="2">
      <c r="A112" s="819" t="s">
        <v>142</v>
      </c>
      <c r="C112" s="824" t="str">
        <f t="shared" si="309"/>
        <v>NA</v>
      </c>
      <c r="D112" s="839"/>
      <c r="E112" s="887"/>
      <c r="G112" s="824" t="str">
        <f t="shared" si="310"/>
        <v>NA</v>
      </c>
      <c r="H112" s="839"/>
      <c r="I112" s="840"/>
      <c r="K112" s="824" t="str">
        <f t="shared" si="311"/>
        <v>NA</v>
      </c>
      <c r="L112" s="839"/>
      <c r="M112" s="840"/>
      <c r="O112" s="824" t="str">
        <f t="shared" si="312"/>
        <v>NA</v>
      </c>
      <c r="P112" s="839"/>
      <c r="Q112" s="840"/>
      <c r="S112" s="824" t="str">
        <f t="shared" si="313"/>
        <v>NA</v>
      </c>
      <c r="T112" s="839"/>
      <c r="U112" s="840"/>
      <c r="W112" s="824" t="str">
        <f t="shared" si="314"/>
        <v>NA</v>
      </c>
      <c r="X112" s="839"/>
      <c r="Y112" s="840"/>
      <c r="AA112" s="824" t="str">
        <f t="shared" si="315"/>
        <v>NA</v>
      </c>
      <c r="AB112" s="839"/>
      <c r="AC112" s="840"/>
      <c r="AE112" s="824" t="str">
        <f t="shared" si="316"/>
        <v>NA</v>
      </c>
      <c r="AF112" s="839"/>
      <c r="AG112" s="840"/>
      <c r="AI112" s="824" t="str">
        <f t="shared" si="317"/>
        <v>NA</v>
      </c>
      <c r="AJ112" s="839"/>
      <c r="AK112" s="840"/>
      <c r="AM112" s="824" t="str">
        <f t="shared" si="318"/>
        <v>NA</v>
      </c>
      <c r="AN112" s="839"/>
      <c r="AO112" s="840"/>
      <c r="AQ112" s="824" t="str">
        <f t="shared" si="319"/>
        <v>NA</v>
      </c>
      <c r="AR112" s="839"/>
      <c r="AS112" s="840"/>
      <c r="AU112" s="824" t="str">
        <f t="shared" si="320"/>
        <v>NA</v>
      </c>
      <c r="AV112" s="839"/>
      <c r="AW112" s="840"/>
      <c r="AY112" s="824" t="str">
        <f t="shared" si="321"/>
        <v>NA</v>
      </c>
      <c r="AZ112" s="839"/>
      <c r="BA112" s="840"/>
      <c r="BC112" s="824" t="str">
        <f t="shared" si="322"/>
        <v>NA</v>
      </c>
      <c r="BD112" s="839"/>
      <c r="BE112" s="840"/>
      <c r="BG112" s="824" t="str">
        <f t="shared" si="323"/>
        <v>NA</v>
      </c>
      <c r="BH112" s="839"/>
      <c r="BI112" s="840"/>
      <c r="BK112" s="824" t="str">
        <f t="shared" si="324"/>
        <v>NA</v>
      </c>
      <c r="BL112" s="839"/>
      <c r="BM112" s="840"/>
      <c r="BO112" s="824" t="str">
        <f t="shared" si="325"/>
        <v>NA</v>
      </c>
      <c r="BP112" s="839"/>
      <c r="BQ112" s="840"/>
      <c r="BS112" s="824" t="str">
        <f t="shared" si="326"/>
        <v>NA</v>
      </c>
      <c r="BT112" s="839"/>
      <c r="BU112" s="840"/>
      <c r="BW112" s="824">
        <f t="shared" si="327"/>
        <v>431</v>
      </c>
      <c r="BX112" s="839"/>
      <c r="BY112" s="840"/>
      <c r="CA112" s="824">
        <f t="shared" si="328"/>
        <v>502</v>
      </c>
      <c r="CB112" s="839"/>
      <c r="CC112" s="840"/>
      <c r="CE112" s="824">
        <f t="shared" si="329"/>
        <v>602</v>
      </c>
      <c r="CF112" s="839"/>
      <c r="CG112" s="840"/>
      <c r="CI112" s="824">
        <f t="shared" si="330"/>
        <v>520</v>
      </c>
      <c r="CJ112" s="839"/>
      <c r="CK112" s="840"/>
      <c r="CM112" s="824">
        <f t="shared" si="331"/>
        <v>365.80967741935393</v>
      </c>
      <c r="CN112" s="839"/>
      <c r="CO112" s="840"/>
      <c r="CQ112" s="824">
        <f t="shared" si="332"/>
        <v>230</v>
      </c>
      <c r="CR112" s="839"/>
      <c r="CS112" s="840"/>
      <c r="CU112" s="824">
        <f t="shared" si="333"/>
        <v>252</v>
      </c>
      <c r="CV112" s="839"/>
      <c r="CW112" s="840"/>
      <c r="CY112" s="824">
        <f t="shared" si="334"/>
        <v>221</v>
      </c>
      <c r="CZ112" s="839"/>
      <c r="DA112" s="840"/>
      <c r="DC112" s="824">
        <f t="shared" si="335"/>
        <v>-186</v>
      </c>
      <c r="DD112" s="878"/>
      <c r="DE112" s="840"/>
      <c r="DG112" s="824">
        <f t="shared" si="336"/>
        <v>-194</v>
      </c>
      <c r="DH112" s="878"/>
      <c r="DI112" s="840"/>
      <c r="DK112" s="824">
        <f>IF(DK62=0,"NA",DK102+DK62)-12</f>
        <v>102</v>
      </c>
      <c r="DL112" s="878"/>
      <c r="DM112" s="840"/>
      <c r="DP112" s="824">
        <f t="shared" si="337"/>
        <v>107</v>
      </c>
      <c r="DQ112" s="878"/>
      <c r="DR112" s="840"/>
      <c r="DU112" s="824">
        <f t="shared" si="338"/>
        <v>172</v>
      </c>
      <c r="DV112" s="878"/>
      <c r="DW112" s="840"/>
      <c r="DZ112" s="824">
        <f>IF(DZ62=0,"NA",DZ102+DZ62)+52+7-3</f>
        <v>110</v>
      </c>
      <c r="EA112" s="878"/>
      <c r="EB112" s="840"/>
      <c r="EE112" s="824">
        <f t="shared" si="340"/>
        <v>166.66746000000001</v>
      </c>
      <c r="EF112" s="878"/>
      <c r="EG112" s="840"/>
      <c r="EK112" s="840"/>
      <c r="EL112" s="840"/>
      <c r="EM112" s="840"/>
      <c r="EN112" s="840"/>
      <c r="EO112" s="840"/>
      <c r="EP112" s="840"/>
      <c r="EQ112" s="840"/>
      <c r="ER112" s="840"/>
      <c r="ES112" s="840"/>
      <c r="ET112" s="840"/>
      <c r="EU112" s="840"/>
      <c r="EV112" s="840"/>
      <c r="EW112" s="805"/>
      <c r="EX112" s="805"/>
    </row>
    <row r="113" spans="1:154" outlineLevel="2">
      <c r="A113" s="819" t="s">
        <v>143</v>
      </c>
      <c r="C113" s="827" t="str">
        <f t="shared" si="309"/>
        <v>NA</v>
      </c>
      <c r="D113" s="839"/>
      <c r="E113" s="887"/>
      <c r="G113" s="827" t="str">
        <f t="shared" si="310"/>
        <v>NA</v>
      </c>
      <c r="H113" s="839"/>
      <c r="I113" s="840"/>
      <c r="K113" s="827" t="str">
        <f t="shared" si="311"/>
        <v>NA</v>
      </c>
      <c r="L113" s="839"/>
      <c r="M113" s="840"/>
      <c r="O113" s="827" t="str">
        <f t="shared" si="312"/>
        <v>NA</v>
      </c>
      <c r="P113" s="839"/>
      <c r="Q113" s="840"/>
      <c r="S113" s="827" t="str">
        <f t="shared" si="313"/>
        <v>NA</v>
      </c>
      <c r="T113" s="839"/>
      <c r="U113" s="840"/>
      <c r="W113" s="827" t="str">
        <f t="shared" si="314"/>
        <v>NA</v>
      </c>
      <c r="X113" s="839"/>
      <c r="Y113" s="840"/>
      <c r="AA113" s="827" t="str">
        <f t="shared" si="315"/>
        <v>NA</v>
      </c>
      <c r="AB113" s="839"/>
      <c r="AC113" s="840"/>
      <c r="AE113" s="827" t="str">
        <f t="shared" si="316"/>
        <v>NA</v>
      </c>
      <c r="AF113" s="839"/>
      <c r="AG113" s="840"/>
      <c r="AI113" s="827" t="str">
        <f t="shared" si="317"/>
        <v>NA</v>
      </c>
      <c r="AJ113" s="839"/>
      <c r="AK113" s="840"/>
      <c r="AM113" s="827" t="str">
        <f t="shared" si="318"/>
        <v>NA</v>
      </c>
      <c r="AN113" s="839"/>
      <c r="AO113" s="840"/>
      <c r="AQ113" s="827" t="str">
        <f t="shared" si="319"/>
        <v>NA</v>
      </c>
      <c r="AR113" s="839"/>
      <c r="AS113" s="840"/>
      <c r="AU113" s="827" t="str">
        <f t="shared" si="320"/>
        <v>NA</v>
      </c>
      <c r="AV113" s="839"/>
      <c r="AW113" s="840"/>
      <c r="AY113" s="827" t="str">
        <f t="shared" si="321"/>
        <v>NA</v>
      </c>
      <c r="AZ113" s="839"/>
      <c r="BA113" s="840"/>
      <c r="BC113" s="827" t="str">
        <f t="shared" si="322"/>
        <v>NA</v>
      </c>
      <c r="BD113" s="839"/>
      <c r="BE113" s="840"/>
      <c r="BG113" s="827" t="str">
        <f t="shared" si="323"/>
        <v>NA</v>
      </c>
      <c r="BH113" s="839"/>
      <c r="BI113" s="840"/>
      <c r="BK113" s="827" t="str">
        <f t="shared" si="324"/>
        <v>NA</v>
      </c>
      <c r="BL113" s="839"/>
      <c r="BM113" s="840"/>
      <c r="BO113" s="827" t="str">
        <f t="shared" si="325"/>
        <v>NA</v>
      </c>
      <c r="BP113" s="839"/>
      <c r="BQ113" s="840"/>
      <c r="BS113" s="827" t="str">
        <f t="shared" si="326"/>
        <v>NA</v>
      </c>
      <c r="BT113" s="839"/>
      <c r="BU113" s="840"/>
      <c r="BW113" s="827">
        <f t="shared" si="327"/>
        <v>631</v>
      </c>
      <c r="BX113" s="839"/>
      <c r="BY113" s="840"/>
      <c r="CA113" s="827">
        <f t="shared" si="328"/>
        <v>768.08399999999983</v>
      </c>
      <c r="CB113" s="839"/>
      <c r="CC113" s="840"/>
      <c r="CE113" s="827">
        <f t="shared" si="329"/>
        <v>859</v>
      </c>
      <c r="CF113" s="839"/>
      <c r="CG113" s="840"/>
      <c r="CI113" s="827">
        <f t="shared" si="330"/>
        <v>838</v>
      </c>
      <c r="CJ113" s="839"/>
      <c r="CK113" s="840"/>
      <c r="CM113" s="827">
        <f t="shared" si="331"/>
        <v>516</v>
      </c>
      <c r="CN113" s="839"/>
      <c r="CO113" s="840"/>
      <c r="CQ113" s="827">
        <f t="shared" si="332"/>
        <v>514</v>
      </c>
      <c r="CR113" s="839"/>
      <c r="CS113" s="840"/>
      <c r="CU113" s="827">
        <f t="shared" si="333"/>
        <v>622</v>
      </c>
      <c r="CV113" s="839"/>
      <c r="CW113" s="840"/>
      <c r="CY113" s="827">
        <f t="shared" si="334"/>
        <v>423</v>
      </c>
      <c r="CZ113" s="839"/>
      <c r="DA113" s="840"/>
      <c r="DC113" s="827">
        <f t="shared" si="335"/>
        <v>-559</v>
      </c>
      <c r="DD113" s="878"/>
      <c r="DE113" s="840"/>
      <c r="DG113" s="827">
        <f t="shared" si="336"/>
        <v>73</v>
      </c>
      <c r="DH113" s="878"/>
      <c r="DI113" s="840"/>
      <c r="DK113" s="827">
        <f>IF(DK63=0,"NA",DK103+DK63)</f>
        <v>268</v>
      </c>
      <c r="DL113" s="878"/>
      <c r="DM113" s="840"/>
      <c r="DP113" s="827">
        <f t="shared" si="337"/>
        <v>170</v>
      </c>
      <c r="DQ113" s="878"/>
      <c r="DR113" s="840"/>
      <c r="DU113" s="827">
        <f>IF(DU63=0,"NA",DU103+DU63)</f>
        <v>436</v>
      </c>
      <c r="DV113" s="878"/>
      <c r="DW113" s="840"/>
      <c r="DZ113" s="827">
        <f t="shared" si="339"/>
        <v>405</v>
      </c>
      <c r="EA113" s="878"/>
      <c r="EB113" s="840"/>
      <c r="EE113" s="827">
        <f t="shared" si="340"/>
        <v>309.41287599999987</v>
      </c>
      <c r="EF113" s="878"/>
      <c r="EG113" s="1558"/>
      <c r="EK113" s="840"/>
      <c r="EL113" s="840"/>
      <c r="EM113" s="840"/>
      <c r="EN113" s="840"/>
      <c r="EO113" s="840"/>
      <c r="EP113" s="840"/>
      <c r="EQ113" s="840"/>
      <c r="ER113" s="840"/>
      <c r="ES113" s="840"/>
      <c r="ET113" s="840"/>
      <c r="EU113" s="840"/>
      <c r="EV113" s="840"/>
      <c r="EW113" s="805"/>
      <c r="EX113" s="805"/>
    </row>
    <row r="114" spans="1:154" outlineLevel="2">
      <c r="A114" s="819" t="s">
        <v>144</v>
      </c>
      <c r="C114" s="820" t="str">
        <f t="shared" si="309"/>
        <v>NA</v>
      </c>
      <c r="D114" s="839"/>
      <c r="E114" s="887"/>
      <c r="G114" s="820" t="str">
        <f t="shared" si="310"/>
        <v>NA</v>
      </c>
      <c r="H114" s="839"/>
      <c r="I114" s="840"/>
      <c r="K114" s="820" t="str">
        <f t="shared" si="311"/>
        <v>NA</v>
      </c>
      <c r="L114" s="839"/>
      <c r="M114" s="840"/>
      <c r="O114" s="820" t="str">
        <f t="shared" si="312"/>
        <v>NA</v>
      </c>
      <c r="P114" s="839"/>
      <c r="Q114" s="840"/>
      <c r="S114" s="820" t="str">
        <f t="shared" si="313"/>
        <v>NA</v>
      </c>
      <c r="T114" s="839"/>
      <c r="U114" s="840"/>
      <c r="W114" s="820" t="str">
        <f t="shared" si="314"/>
        <v>NA</v>
      </c>
      <c r="X114" s="839"/>
      <c r="Y114" s="840"/>
      <c r="AA114" s="820" t="str">
        <f t="shared" si="315"/>
        <v>NA</v>
      </c>
      <c r="AB114" s="839"/>
      <c r="AC114" s="840"/>
      <c r="AE114" s="820" t="str">
        <f t="shared" si="316"/>
        <v>NA</v>
      </c>
      <c r="AF114" s="839"/>
      <c r="AG114" s="840"/>
      <c r="AI114" s="820" t="str">
        <f t="shared" si="317"/>
        <v>NA</v>
      </c>
      <c r="AJ114" s="839"/>
      <c r="AK114" s="840"/>
      <c r="AM114" s="820" t="str">
        <f t="shared" si="318"/>
        <v>NA</v>
      </c>
      <c r="AN114" s="839"/>
      <c r="AO114" s="840"/>
      <c r="AQ114" s="820" t="str">
        <f t="shared" si="319"/>
        <v>NA</v>
      </c>
      <c r="AR114" s="839"/>
      <c r="AS114" s="840"/>
      <c r="AU114" s="820" t="str">
        <f t="shared" si="320"/>
        <v>NA</v>
      </c>
      <c r="AV114" s="839"/>
      <c r="AW114" s="840"/>
      <c r="AY114" s="820" t="str">
        <f t="shared" si="321"/>
        <v>NA</v>
      </c>
      <c r="AZ114" s="839"/>
      <c r="BA114" s="840"/>
      <c r="BC114" s="820" t="str">
        <f t="shared" si="322"/>
        <v>NA</v>
      </c>
      <c r="BD114" s="839"/>
      <c r="BE114" s="840"/>
      <c r="BG114" s="820" t="str">
        <f t="shared" si="323"/>
        <v>NA</v>
      </c>
      <c r="BH114" s="839"/>
      <c r="BI114" s="840"/>
      <c r="BK114" s="820" t="str">
        <f t="shared" si="324"/>
        <v>NA</v>
      </c>
      <c r="BL114" s="839"/>
      <c r="BM114" s="840"/>
      <c r="BO114" s="820">
        <f t="shared" si="325"/>
        <v>986</v>
      </c>
      <c r="BP114" s="839"/>
      <c r="BQ114" s="840"/>
      <c r="BS114" s="820">
        <f t="shared" si="326"/>
        <v>1172</v>
      </c>
      <c r="BT114" s="839"/>
      <c r="BU114" s="840"/>
      <c r="BW114" s="820">
        <f t="shared" si="327"/>
        <v>1616</v>
      </c>
      <c r="BX114" s="839"/>
      <c r="BY114" s="840"/>
      <c r="CA114" s="820">
        <f t="shared" si="328"/>
        <v>2002.0839999999989</v>
      </c>
      <c r="CB114" s="839"/>
      <c r="CC114" s="840"/>
      <c r="CE114" s="820">
        <f t="shared" si="329"/>
        <v>2297</v>
      </c>
      <c r="CF114" s="839"/>
      <c r="CG114" s="840"/>
      <c r="CI114" s="820">
        <f t="shared" si="330"/>
        <v>2304.0699999999997</v>
      </c>
      <c r="CJ114" s="839"/>
      <c r="CK114" s="840"/>
      <c r="CM114" s="820">
        <f t="shared" si="331"/>
        <v>1597.8691774193524</v>
      </c>
      <c r="CN114" s="839"/>
      <c r="CO114" s="840"/>
      <c r="CQ114" s="820">
        <f t="shared" si="332"/>
        <v>1158</v>
      </c>
      <c r="CR114" s="839"/>
      <c r="CS114" s="840"/>
      <c r="CU114" s="820">
        <f t="shared" si="333"/>
        <v>1375</v>
      </c>
      <c r="CV114" s="839"/>
      <c r="CW114" s="840"/>
      <c r="CY114" s="820">
        <f t="shared" si="334"/>
        <v>1174</v>
      </c>
      <c r="CZ114" s="839"/>
      <c r="DA114" s="840"/>
      <c r="DC114" s="820">
        <f t="shared" si="335"/>
        <v>-813</v>
      </c>
      <c r="DD114" s="878"/>
      <c r="DE114" s="840"/>
      <c r="DG114" s="820">
        <f t="shared" si="336"/>
        <v>-604</v>
      </c>
      <c r="DH114" s="878"/>
      <c r="DI114" s="840"/>
      <c r="DK114" s="820">
        <f>IF(DK64=0,"NA",DK104+DK64)</f>
        <v>410</v>
      </c>
      <c r="DL114" s="878"/>
      <c r="DM114" s="840"/>
      <c r="DP114" s="820">
        <f t="shared" si="337"/>
        <v>497.25</v>
      </c>
      <c r="DQ114" s="878"/>
      <c r="DR114" s="840"/>
      <c r="DU114" s="820">
        <f>IF(DU64=0,"NA",DU104+DU64)</f>
        <v>1013</v>
      </c>
      <c r="DV114" s="878"/>
      <c r="DW114" s="840"/>
      <c r="DZ114" s="820">
        <f>IF(DZ64=0,"NA",DZ104+DZ64)</f>
        <v>923.00000000000045</v>
      </c>
      <c r="EA114" s="878"/>
      <c r="EB114" s="840"/>
      <c r="EE114" s="820">
        <f>IF(EE64=0,"NA",EE104+EE64)</f>
        <v>888.32033600000011</v>
      </c>
      <c r="EF114" s="878"/>
      <c r="EG114" s="840"/>
      <c r="EK114" s="840"/>
      <c r="EL114" s="840"/>
      <c r="EM114" s="840"/>
      <c r="EN114" s="840"/>
      <c r="EO114" s="840"/>
      <c r="EP114" s="840"/>
      <c r="EQ114" s="840"/>
      <c r="ER114" s="840"/>
      <c r="ES114" s="840"/>
      <c r="ET114" s="840"/>
      <c r="EU114" s="840"/>
      <c r="EV114" s="840"/>
      <c r="EW114" s="805"/>
      <c r="EX114" s="805"/>
    </row>
    <row r="115" spans="1:154" outlineLevel="2">
      <c r="A115" s="819" t="s">
        <v>145</v>
      </c>
      <c r="C115" s="824" t="str">
        <f t="shared" si="309"/>
        <v>NA</v>
      </c>
      <c r="D115" s="839"/>
      <c r="E115" s="887"/>
      <c r="G115" s="824" t="str">
        <f t="shared" si="310"/>
        <v>NA</v>
      </c>
      <c r="H115" s="839"/>
      <c r="I115" s="840"/>
      <c r="K115" s="824" t="str">
        <f t="shared" si="311"/>
        <v>NA</v>
      </c>
      <c r="L115" s="839"/>
      <c r="M115" s="840"/>
      <c r="O115" s="824" t="str">
        <f t="shared" si="312"/>
        <v>NA</v>
      </c>
      <c r="P115" s="839"/>
      <c r="Q115" s="840"/>
      <c r="S115" s="824" t="str">
        <f t="shared" si="313"/>
        <v>NA</v>
      </c>
      <c r="T115" s="839"/>
      <c r="U115" s="840"/>
      <c r="W115" s="824" t="str">
        <f t="shared" si="314"/>
        <v>NA</v>
      </c>
      <c r="X115" s="839"/>
      <c r="Y115" s="840"/>
      <c r="AA115" s="824" t="str">
        <f t="shared" si="315"/>
        <v>NA</v>
      </c>
      <c r="AB115" s="839"/>
      <c r="AC115" s="840"/>
      <c r="AE115" s="824" t="str">
        <f t="shared" si="316"/>
        <v>NA</v>
      </c>
      <c r="AF115" s="839"/>
      <c r="AG115" s="840"/>
      <c r="AI115" s="824" t="str">
        <f t="shared" si="317"/>
        <v>NA</v>
      </c>
      <c r="AJ115" s="839"/>
      <c r="AK115" s="840"/>
      <c r="AM115" s="824" t="str">
        <f t="shared" si="318"/>
        <v>NA</v>
      </c>
      <c r="AN115" s="839"/>
      <c r="AO115" s="840"/>
      <c r="AQ115" s="824" t="str">
        <f t="shared" si="319"/>
        <v>NA</v>
      </c>
      <c r="AR115" s="839"/>
      <c r="AS115" s="840"/>
      <c r="AU115" s="824" t="str">
        <f t="shared" si="320"/>
        <v>NA</v>
      </c>
      <c r="AV115" s="839"/>
      <c r="AW115" s="840"/>
      <c r="AY115" s="824" t="str">
        <f t="shared" si="321"/>
        <v>NA</v>
      </c>
      <c r="AZ115" s="839"/>
      <c r="BA115" s="840"/>
      <c r="BC115" s="824" t="str">
        <f t="shared" si="322"/>
        <v>NA</v>
      </c>
      <c r="BD115" s="839"/>
      <c r="BE115" s="840"/>
      <c r="BG115" s="824" t="str">
        <f t="shared" si="323"/>
        <v>NA</v>
      </c>
      <c r="BH115" s="839"/>
      <c r="BI115" s="840"/>
      <c r="BK115" s="824" t="str">
        <f t="shared" si="324"/>
        <v>NA</v>
      </c>
      <c r="BL115" s="839"/>
      <c r="BM115" s="840"/>
      <c r="BO115" s="824" t="str">
        <f t="shared" si="325"/>
        <v>NA</v>
      </c>
      <c r="BP115" s="839"/>
      <c r="BQ115" s="840"/>
      <c r="BS115" s="824" t="str">
        <f t="shared" si="326"/>
        <v>NA</v>
      </c>
      <c r="BT115" s="839"/>
      <c r="BU115" s="840"/>
      <c r="BW115" s="824">
        <f t="shared" si="327"/>
        <v>554</v>
      </c>
      <c r="BX115" s="839"/>
      <c r="BY115" s="840"/>
      <c r="CA115" s="824">
        <f t="shared" si="328"/>
        <v>732</v>
      </c>
      <c r="CB115" s="839"/>
      <c r="CC115" s="840"/>
      <c r="CE115" s="824">
        <f t="shared" si="329"/>
        <v>836</v>
      </c>
      <c r="CF115" s="839"/>
      <c r="CG115" s="840"/>
      <c r="CI115" s="824">
        <f t="shared" si="330"/>
        <v>946.07000000000016</v>
      </c>
      <c r="CJ115" s="839"/>
      <c r="CK115" s="840"/>
      <c r="CM115" s="824">
        <f t="shared" si="331"/>
        <v>716.0595000000003</v>
      </c>
      <c r="CN115" s="839"/>
      <c r="CO115" s="840"/>
      <c r="CQ115" s="824">
        <f t="shared" si="332"/>
        <v>414</v>
      </c>
      <c r="CR115" s="839"/>
      <c r="CS115" s="840"/>
      <c r="CU115" s="824">
        <f t="shared" si="333"/>
        <v>501</v>
      </c>
      <c r="CV115" s="839"/>
      <c r="CW115" s="840"/>
      <c r="CY115" s="824">
        <f t="shared" si="334"/>
        <v>530</v>
      </c>
      <c r="CZ115" s="839"/>
      <c r="DA115" s="840"/>
      <c r="DC115" s="824">
        <f t="shared" si="335"/>
        <v>-68</v>
      </c>
      <c r="DD115" s="878"/>
      <c r="DE115" s="840"/>
      <c r="DG115" s="824">
        <f t="shared" si="336"/>
        <v>-483</v>
      </c>
      <c r="DH115" s="878"/>
      <c r="DI115" s="840"/>
      <c r="DK115" s="824">
        <f>IF(DK65=0,"NA",DK105+DK65)</f>
        <v>28</v>
      </c>
      <c r="DL115" s="878"/>
      <c r="DM115" s="840"/>
      <c r="DP115" s="824">
        <f t="shared" si="337"/>
        <v>220.25</v>
      </c>
      <c r="DQ115" s="878"/>
      <c r="DR115" s="840"/>
      <c r="DU115" s="824">
        <f t="shared" si="338"/>
        <v>405</v>
      </c>
      <c r="DV115" s="878"/>
      <c r="DW115" s="840"/>
      <c r="DZ115" s="824">
        <f t="shared" si="339"/>
        <v>464.00000000000045</v>
      </c>
      <c r="EA115" s="878"/>
      <c r="EB115" s="840"/>
      <c r="EE115" s="824">
        <f t="shared" si="340"/>
        <v>412.24000000000024</v>
      </c>
      <c r="EF115" s="878"/>
      <c r="EG115" s="840"/>
      <c r="EK115" s="840"/>
      <c r="EL115" s="840"/>
      <c r="EM115" s="840"/>
      <c r="EN115" s="840"/>
      <c r="EO115" s="840"/>
      <c r="EP115" s="840"/>
      <c r="EQ115" s="840"/>
      <c r="ER115" s="840"/>
      <c r="ES115" s="840"/>
      <c r="ET115" s="840"/>
      <c r="EU115" s="840"/>
      <c r="EV115" s="840"/>
      <c r="EW115" s="805"/>
      <c r="EX115" s="805"/>
    </row>
    <row r="116" spans="1:154" outlineLevel="2">
      <c r="A116" s="819" t="s">
        <v>146</v>
      </c>
      <c r="C116" s="824" t="str">
        <f t="shared" si="309"/>
        <v>NA</v>
      </c>
      <c r="D116" s="839"/>
      <c r="E116" s="887"/>
      <c r="G116" s="824" t="str">
        <f t="shared" si="310"/>
        <v>NA</v>
      </c>
      <c r="H116" s="839"/>
      <c r="I116" s="840"/>
      <c r="K116" s="824" t="str">
        <f t="shared" si="311"/>
        <v>NA</v>
      </c>
      <c r="L116" s="839"/>
      <c r="M116" s="840"/>
      <c r="O116" s="824" t="str">
        <f t="shared" si="312"/>
        <v>NA</v>
      </c>
      <c r="P116" s="839"/>
      <c r="Q116" s="840"/>
      <c r="S116" s="824" t="str">
        <f t="shared" si="313"/>
        <v>NA</v>
      </c>
      <c r="T116" s="839"/>
      <c r="U116" s="840"/>
      <c r="W116" s="824" t="str">
        <f t="shared" si="314"/>
        <v>NA</v>
      </c>
      <c r="X116" s="839"/>
      <c r="Y116" s="840"/>
      <c r="AA116" s="824" t="str">
        <f t="shared" si="315"/>
        <v>NA</v>
      </c>
      <c r="AB116" s="839"/>
      <c r="AC116" s="840"/>
      <c r="AE116" s="824" t="str">
        <f t="shared" si="316"/>
        <v>NA</v>
      </c>
      <c r="AF116" s="839"/>
      <c r="AG116" s="840"/>
      <c r="AI116" s="824" t="str">
        <f t="shared" si="317"/>
        <v>NA</v>
      </c>
      <c r="AJ116" s="839"/>
      <c r="AK116" s="840"/>
      <c r="AM116" s="824" t="str">
        <f t="shared" si="318"/>
        <v>NA</v>
      </c>
      <c r="AN116" s="839"/>
      <c r="AO116" s="840"/>
      <c r="AQ116" s="824" t="str">
        <f t="shared" si="319"/>
        <v>NA</v>
      </c>
      <c r="AR116" s="839"/>
      <c r="AS116" s="840"/>
      <c r="AU116" s="824" t="str">
        <f t="shared" si="320"/>
        <v>NA</v>
      </c>
      <c r="AV116" s="839"/>
      <c r="AW116" s="840"/>
      <c r="AY116" s="824" t="str">
        <f t="shared" si="321"/>
        <v>NA</v>
      </c>
      <c r="AZ116" s="839"/>
      <c r="BA116" s="840"/>
      <c r="BC116" s="824" t="str">
        <f t="shared" si="322"/>
        <v>NA</v>
      </c>
      <c r="BD116" s="839"/>
      <c r="BE116" s="840"/>
      <c r="BG116" s="824" t="str">
        <f t="shared" si="323"/>
        <v>NA</v>
      </c>
      <c r="BH116" s="839"/>
      <c r="BI116" s="840"/>
      <c r="BK116" s="824" t="str">
        <f t="shared" si="324"/>
        <v>NA</v>
      </c>
      <c r="BL116" s="839"/>
      <c r="BM116" s="840"/>
      <c r="BO116" s="824" t="str">
        <f t="shared" si="325"/>
        <v>NA</v>
      </c>
      <c r="BP116" s="839"/>
      <c r="BQ116" s="840"/>
      <c r="BS116" s="824" t="str">
        <f t="shared" si="326"/>
        <v>NA</v>
      </c>
      <c r="BT116" s="839"/>
      <c r="BU116" s="840"/>
      <c r="BW116" s="824">
        <f t="shared" si="327"/>
        <v>985</v>
      </c>
      <c r="BX116" s="839"/>
      <c r="BY116" s="840"/>
      <c r="CA116" s="824">
        <f t="shared" si="328"/>
        <v>1234</v>
      </c>
      <c r="CB116" s="839"/>
      <c r="CC116" s="840"/>
      <c r="CE116" s="824">
        <f t="shared" si="329"/>
        <v>1438</v>
      </c>
      <c r="CF116" s="839"/>
      <c r="CG116" s="840"/>
      <c r="CI116" s="824">
        <f t="shared" si="330"/>
        <v>1466.0700000000002</v>
      </c>
      <c r="CJ116" s="839"/>
      <c r="CK116" s="840"/>
      <c r="CM116" s="824">
        <f t="shared" si="331"/>
        <v>1081.8691774193542</v>
      </c>
      <c r="CN116" s="839"/>
      <c r="CO116" s="840"/>
      <c r="CQ116" s="824">
        <f t="shared" si="332"/>
        <v>644</v>
      </c>
      <c r="CR116" s="839"/>
      <c r="CS116" s="840"/>
      <c r="CU116" s="824">
        <f t="shared" si="333"/>
        <v>753</v>
      </c>
      <c r="CV116" s="839"/>
      <c r="CW116" s="840"/>
      <c r="CY116" s="824">
        <f t="shared" si="334"/>
        <v>751</v>
      </c>
      <c r="CZ116" s="839"/>
      <c r="DA116" s="840"/>
      <c r="DC116" s="824">
        <f t="shared" si="335"/>
        <v>-254</v>
      </c>
      <c r="DD116" s="878"/>
      <c r="DE116" s="840"/>
      <c r="DG116" s="824">
        <f t="shared" si="336"/>
        <v>-677</v>
      </c>
      <c r="DH116" s="878"/>
      <c r="DI116" s="840"/>
      <c r="DK116" s="824">
        <f>IF(DK66=0,"NA",DK106+DK66)</f>
        <v>142</v>
      </c>
      <c r="DL116" s="878"/>
      <c r="DM116" s="840"/>
      <c r="DP116" s="824">
        <f t="shared" si="337"/>
        <v>327.25</v>
      </c>
      <c r="DQ116" s="878"/>
      <c r="DR116" s="840"/>
      <c r="DU116" s="824">
        <f t="shared" si="338"/>
        <v>577</v>
      </c>
      <c r="DV116" s="878"/>
      <c r="DW116" s="840"/>
      <c r="DZ116" s="824">
        <f t="shared" si="339"/>
        <v>518.00000000000045</v>
      </c>
      <c r="EA116" s="878"/>
      <c r="EB116" s="840"/>
      <c r="EE116" s="824">
        <f t="shared" si="340"/>
        <v>578.90746000000024</v>
      </c>
      <c r="EF116" s="878"/>
      <c r="EG116" s="840"/>
      <c r="EK116" s="840"/>
      <c r="EL116" s="840"/>
      <c r="EM116" s="840"/>
      <c r="EN116" s="840"/>
      <c r="EO116" s="840"/>
      <c r="EP116" s="840"/>
      <c r="EQ116" s="840"/>
      <c r="ER116" s="840"/>
      <c r="ES116" s="840"/>
      <c r="ET116" s="840"/>
      <c r="EU116" s="840"/>
      <c r="EV116" s="840"/>
      <c r="EW116" s="805"/>
      <c r="EX116" s="805"/>
    </row>
    <row r="117" spans="1:154" outlineLevel="2">
      <c r="C117" s="706"/>
      <c r="D117" s="687"/>
      <c r="E117" s="687"/>
      <c r="G117" s="706"/>
      <c r="H117" s="687"/>
      <c r="I117" s="687"/>
      <c r="K117" s="706"/>
      <c r="L117" s="687"/>
      <c r="M117" s="687"/>
      <c r="O117" s="706"/>
      <c r="S117" s="706"/>
      <c r="W117" s="706"/>
      <c r="AA117" s="706"/>
      <c r="AE117" s="706"/>
      <c r="AI117" s="706"/>
      <c r="AM117" s="706"/>
      <c r="AQ117" s="706"/>
      <c r="AU117" s="706"/>
      <c r="AY117" s="706"/>
      <c r="BC117" s="706"/>
      <c r="BG117" s="706"/>
      <c r="BK117" s="706"/>
      <c r="BO117" s="706"/>
      <c r="BS117" s="706"/>
      <c r="BW117" s="706"/>
      <c r="CA117" s="706"/>
      <c r="CE117" s="706"/>
      <c r="CI117" s="706"/>
      <c r="CM117" s="706"/>
      <c r="CQ117" s="706"/>
      <c r="CU117" s="706"/>
      <c r="CY117" s="706"/>
      <c r="DU117" s="579"/>
      <c r="EW117" s="805"/>
      <c r="EX117" s="805"/>
    </row>
    <row r="118" spans="1:154" outlineLevel="1">
      <c r="A118" s="816" t="s">
        <v>32</v>
      </c>
      <c r="C118" s="706"/>
      <c r="D118" s="687"/>
      <c r="E118" s="687"/>
      <c r="G118" s="706"/>
      <c r="H118" s="687"/>
      <c r="I118" s="687"/>
      <c r="K118" s="706"/>
      <c r="L118" s="687"/>
      <c r="M118" s="687"/>
      <c r="O118" s="706"/>
      <c r="S118" s="706"/>
      <c r="W118" s="706"/>
      <c r="AA118" s="706"/>
      <c r="AE118" s="706"/>
      <c r="AI118" s="706"/>
      <c r="AM118" s="706"/>
      <c r="AQ118" s="706"/>
      <c r="AU118" s="706"/>
      <c r="AY118" s="706"/>
      <c r="BC118" s="706"/>
      <c r="BG118" s="706"/>
      <c r="BK118" s="706"/>
      <c r="BO118" s="706"/>
      <c r="BS118" s="706"/>
      <c r="BW118" s="706"/>
      <c r="CA118" s="706"/>
      <c r="CE118" s="706"/>
      <c r="CI118" s="706"/>
      <c r="CM118" s="706"/>
      <c r="CQ118" s="706"/>
      <c r="CY118" s="706"/>
      <c r="DG118" s="818" t="s">
        <v>32</v>
      </c>
      <c r="DP118" s="1585" t="str">
        <f>DG118</f>
        <v>10. Interest Expense (Income)  (% of Sales / % Change)</v>
      </c>
      <c r="DQ118" s="1585"/>
      <c r="DR118" s="1585"/>
      <c r="DS118" s="1585"/>
      <c r="DT118" s="1585"/>
      <c r="DU118" s="1585"/>
      <c r="DV118" s="1585"/>
      <c r="DW118" s="1585"/>
      <c r="EJ118" s="889"/>
      <c r="EK118" s="889"/>
      <c r="EL118" s="889"/>
      <c r="EM118" s="889"/>
      <c r="EN118" s="889"/>
      <c r="EO118" s="889"/>
      <c r="EP118" s="507"/>
      <c r="EQ118" s="507"/>
      <c r="EW118" s="805"/>
      <c r="EX118" s="805"/>
    </row>
    <row r="119" spans="1:154" outlineLevel="1">
      <c r="C119" s="706"/>
      <c r="D119" s="687"/>
      <c r="E119" s="687"/>
      <c r="G119" s="706"/>
      <c r="H119" s="687"/>
      <c r="I119" s="687"/>
      <c r="K119" s="706"/>
      <c r="L119" s="687"/>
      <c r="M119" s="687"/>
      <c r="O119" s="706"/>
      <c r="S119" s="706"/>
      <c r="W119" s="706"/>
      <c r="AA119" s="706"/>
      <c r="AE119" s="706"/>
      <c r="AI119" s="706"/>
      <c r="AM119" s="706"/>
      <c r="AQ119" s="706"/>
      <c r="AU119" s="706"/>
      <c r="AY119" s="706"/>
      <c r="BC119" s="706"/>
      <c r="BG119" s="706"/>
      <c r="BK119" s="706"/>
      <c r="BO119" s="706"/>
      <c r="BS119" s="706"/>
      <c r="BW119" s="706"/>
      <c r="CA119" s="706"/>
      <c r="CE119" s="706"/>
      <c r="CI119" s="706"/>
      <c r="CM119" s="706"/>
      <c r="CQ119" s="706"/>
      <c r="CU119" s="706"/>
      <c r="CY119" s="706"/>
      <c r="EJ119" s="890"/>
      <c r="EK119" s="890"/>
      <c r="EL119" s="890"/>
      <c r="EM119" s="890"/>
      <c r="EN119" s="890"/>
      <c r="EO119" s="890"/>
      <c r="EP119" s="507"/>
      <c r="EQ119" s="507"/>
      <c r="EW119" s="805"/>
      <c r="EX119" s="805"/>
    </row>
    <row r="120" spans="1:154" outlineLevel="1">
      <c r="A120" s="819" t="s">
        <v>140</v>
      </c>
      <c r="C120" s="695">
        <v>-6</v>
      </c>
      <c r="D120" s="878">
        <f t="shared" ref="D120:D126" si="341">C120/C10*100</f>
        <v>-0.17958695001496558</v>
      </c>
      <c r="E120" s="822" t="s">
        <v>24</v>
      </c>
      <c r="G120" s="695">
        <v>-3</v>
      </c>
      <c r="H120" s="878">
        <f t="shared" ref="H120:H126" si="342">G120/G10*100</f>
        <v>-8.4985835694050993E-2</v>
      </c>
      <c r="I120" s="822">
        <f t="shared" ref="I120:I126" si="343">(G120/C120-1)*100</f>
        <v>-50</v>
      </c>
      <c r="K120" s="695">
        <v>22</v>
      </c>
      <c r="L120" s="878">
        <f t="shared" ref="L120:L126" si="344">K120/K10*100</f>
        <v>0.6408389163996504</v>
      </c>
      <c r="M120" s="822">
        <f t="shared" ref="M120:M126" si="345">(K120/G120-1)*100</f>
        <v>-833.33333333333326</v>
      </c>
      <c r="O120" s="695">
        <v>29</v>
      </c>
      <c r="P120" s="878">
        <f t="shared" ref="P120:P126" si="346">O120/O10*100</f>
        <v>0.76456630635380962</v>
      </c>
      <c r="Q120" s="822">
        <f t="shared" ref="Q120:Q126" si="347">(O120/K120-1)*100</f>
        <v>31.818181818181813</v>
      </c>
      <c r="S120" s="695">
        <v>14</v>
      </c>
      <c r="T120" s="878">
        <f t="shared" ref="T120:T126" si="348">S120/S10*100</f>
        <v>0.35317860746720486</v>
      </c>
      <c r="U120" s="822">
        <f t="shared" ref="U120:U126" si="349">(S120/O120-1)*100</f>
        <v>-51.724137931034477</v>
      </c>
      <c r="W120" s="695">
        <v>-17</v>
      </c>
      <c r="X120" s="878">
        <f t="shared" ref="X120:X126" si="350">W120/W10*100</f>
        <v>-0.39080459770114939</v>
      </c>
      <c r="Y120" s="822">
        <f>(W120/S120-1)*100</f>
        <v>-221.42857142857144</v>
      </c>
      <c r="AA120" s="695">
        <v>17</v>
      </c>
      <c r="AB120" s="878">
        <f t="shared" ref="AB120:AB126" si="351">AA120/AA10*100</f>
        <v>0.38928326081978476</v>
      </c>
      <c r="AC120" s="822">
        <f t="shared" ref="AC120:AC126" si="352">(AA120/W120-1)*100</f>
        <v>-200</v>
      </c>
      <c r="AE120" s="695"/>
      <c r="AF120" s="891"/>
      <c r="AG120" s="888"/>
      <c r="AI120" s="695">
        <v>23</v>
      </c>
      <c r="AJ120" s="878">
        <f t="shared" ref="AJ120:AJ126" si="353">AI120/AI10*100</f>
        <v>0.51662174303683739</v>
      </c>
      <c r="AK120" s="822">
        <f t="shared" ref="AK120:AK126" si="354">(AI120/AA120-1)*100</f>
        <v>35.294117647058833</v>
      </c>
      <c r="AM120" s="695">
        <v>81</v>
      </c>
      <c r="AN120" s="878">
        <f t="shared" ref="AN120:AN126" si="355">AM120/AM10*100</f>
        <v>1.2505210504376822</v>
      </c>
      <c r="AO120" s="822">
        <f t="shared" ref="AO120:AO126" si="356">(AM120/AI120-1)*100</f>
        <v>252.17391304347828</v>
      </c>
      <c r="AQ120" s="695">
        <v>93</v>
      </c>
      <c r="AR120" s="878">
        <f t="shared" ref="AR120:AR126" si="357">AQ120/AQ10*100</f>
        <v>1.376757957068838</v>
      </c>
      <c r="AS120" s="822">
        <f t="shared" ref="AS120:AS126" si="358">(AQ120/AM120-1)*100</f>
        <v>14.814814814814813</v>
      </c>
      <c r="AU120" s="695">
        <v>33</v>
      </c>
      <c r="AV120" s="878">
        <f t="shared" ref="AV120:AV126" si="359">AU120/AU10*100</f>
        <v>0.44965254121814957</v>
      </c>
      <c r="AW120" s="822">
        <f t="shared" ref="AW120:AW126" si="360">(AU120/AQ120-1)*100</f>
        <v>-64.516129032258064</v>
      </c>
      <c r="AY120" s="695">
        <v>113</v>
      </c>
      <c r="AZ120" s="878">
        <f t="shared" ref="AZ120:AZ126" si="361">AY120/AY10*100</f>
        <v>1.5010626992561105</v>
      </c>
      <c r="BA120" s="822">
        <f t="shared" ref="BA120:BA126" si="362">(AY120/AU120-1)*100</f>
        <v>242.42424242424244</v>
      </c>
      <c r="BC120" s="695">
        <v>98</v>
      </c>
      <c r="BD120" s="878">
        <f t="shared" ref="BD120:BD126" si="363">BC120/BC10*100</f>
        <v>1.302844988035097</v>
      </c>
      <c r="BE120" s="822">
        <f t="shared" ref="BE120:BE126" si="364">(BC120/AY120-1)*100</f>
        <v>-13.274336283185839</v>
      </c>
      <c r="BG120" s="695">
        <v>102</v>
      </c>
      <c r="BH120" s="878">
        <f t="shared" ref="BH120:BH126" si="365">BG120/BG10*100</f>
        <v>1.3198757763975155</v>
      </c>
      <c r="BI120" s="822">
        <f t="shared" ref="BI120:BI126" si="366">(BG120/BC120-1)*100</f>
        <v>4.081632653061229</v>
      </c>
      <c r="BK120" s="695">
        <v>64</v>
      </c>
      <c r="BL120" s="878">
        <f t="shared" ref="BL120:BL126" si="367">BK120/BK10*100</f>
        <v>1.5806371943689799</v>
      </c>
      <c r="BM120" s="822">
        <f t="shared" ref="BM120:BM126" si="368">(BK120/AY120-1)*100</f>
        <v>-43.362831858407077</v>
      </c>
      <c r="BO120" s="695">
        <v>54</v>
      </c>
      <c r="BP120" s="878">
        <f t="shared" ref="BP120:BP126" si="369">BO120/BO10*100</f>
        <v>1.3533834586466165</v>
      </c>
      <c r="BQ120" s="822">
        <f t="shared" ref="BQ120:BQ126" si="370">(BO120/BK120-1)*100</f>
        <v>-15.625</v>
      </c>
      <c r="BS120" s="695">
        <v>61</v>
      </c>
      <c r="BT120" s="878">
        <f t="shared" ref="BT120:BT126" si="371">BS120/BS10*100</f>
        <v>1.6625783592259473</v>
      </c>
      <c r="BU120" s="822">
        <f t="shared" ref="BU120:BU126" si="372">(BS120/BO120-1)*100</f>
        <v>12.962962962962955</v>
      </c>
      <c r="BW120" s="695">
        <v>54</v>
      </c>
      <c r="BX120" s="878">
        <f t="shared" ref="BX120:BX126" si="373">BW120/BW10*100</f>
        <v>1.3595166163141994</v>
      </c>
      <c r="BY120" s="822">
        <f t="shared" ref="BY120:BY126" si="374">(BW120/BS120-1)*100</f>
        <v>-11.475409836065575</v>
      </c>
      <c r="CA120" s="695">
        <v>49</v>
      </c>
      <c r="CB120" s="878">
        <f t="shared" ref="CB120:CB126" si="375">CA120/CA10*100</f>
        <v>1.1898980087421078</v>
      </c>
      <c r="CC120" s="822">
        <f t="shared" ref="CC120:CC126" si="376">(CA120/BW120-1)*100</f>
        <v>-9.259259259259256</v>
      </c>
      <c r="CE120" s="695">
        <v>34</v>
      </c>
      <c r="CF120" s="878">
        <f t="shared" ref="CF120:CF126" si="377">CE120/CE10*100</f>
        <v>0.80587817018250762</v>
      </c>
      <c r="CG120" s="822">
        <f t="shared" ref="CG120:CG126" si="378">(CE120/CA120-1)*100</f>
        <v>-30.612244897959183</v>
      </c>
      <c r="CI120" s="695">
        <v>32</v>
      </c>
      <c r="CJ120" s="878">
        <f t="shared" ref="CJ120:CJ126" si="379">CI120/CI10*100</f>
        <v>0.73580133363991729</v>
      </c>
      <c r="CK120" s="822">
        <f t="shared" ref="CK120:CK126" si="380">(CI120/CE120-1)*100</f>
        <v>-5.8823529411764719</v>
      </c>
      <c r="CM120" s="695">
        <v>53</v>
      </c>
      <c r="CN120" s="878">
        <f t="shared" ref="CN120:CN126" si="381">CM120/CM10*100</f>
        <v>1.2842258299006541</v>
      </c>
      <c r="CO120" s="822">
        <f t="shared" ref="CO120:CO126" si="382">(CM120/CI120-1)*100</f>
        <v>65.625</v>
      </c>
      <c r="CQ120" s="695">
        <v>63</v>
      </c>
      <c r="CR120" s="878">
        <f t="shared" ref="CR120:CR126" si="383">CQ120/CQ10*100</f>
        <v>1.6210228151058288</v>
      </c>
      <c r="CS120" s="822">
        <f t="shared" ref="CS120:CS126" si="384">(CQ120/CM120-1)*100</f>
        <v>18.867924528301884</v>
      </c>
      <c r="CU120" s="1342">
        <v>59</v>
      </c>
      <c r="CV120" s="878">
        <f t="shared" ref="CV120:CV126" si="385">CU120/CU10*100</f>
        <v>1.501654364978366</v>
      </c>
      <c r="CW120" s="822">
        <f t="shared" ref="CW120:CW126" si="386">(CU120/CQ120-1)*100</f>
        <v>-6.3492063492063489</v>
      </c>
      <c r="CY120" s="1342">
        <v>58</v>
      </c>
      <c r="CZ120" s="878">
        <f t="shared" ref="CZ120:CZ126" si="387">CY120/CY10*100</f>
        <v>1.4709611970580776</v>
      </c>
      <c r="DA120" s="822">
        <f t="shared" ref="DA120:DA126" si="388">(CY120/CU120-1)*100</f>
        <v>-1.6949152542372836</v>
      </c>
      <c r="DC120" s="1342">
        <v>56</v>
      </c>
      <c r="DD120" s="878">
        <f t="shared" ref="DD120:DD126" si="389">DC120/DC10*100</f>
        <v>1.7766497461928936</v>
      </c>
      <c r="DE120" s="822">
        <f t="shared" ref="DE120:DE126" si="390">(DC120/CY120-1)*100</f>
        <v>-3.4482758620689613</v>
      </c>
      <c r="DG120" s="1342">
        <v>61</v>
      </c>
      <c r="DH120" s="878">
        <f t="shared" ref="DH120:DH126" si="391">DG120/DG10*100</f>
        <v>2.3149905123339658</v>
      </c>
      <c r="DI120" s="822">
        <f t="shared" ref="DI120:DI126" si="392">(DG120/DC120-1)*100</f>
        <v>8.9285714285714199</v>
      </c>
      <c r="DK120" s="1342">
        <v>97</v>
      </c>
      <c r="DL120" s="878">
        <f t="shared" ref="DL120:DL126" si="393">DK120/DK10*100</f>
        <v>3.4630489111031775</v>
      </c>
      <c r="DM120" s="822">
        <f t="shared" ref="DM120:DM126" si="394">(DK120/DG120-1)*100</f>
        <v>59.016393442622949</v>
      </c>
      <c r="DP120" s="1342">
        <v>98</v>
      </c>
      <c r="DQ120" s="878">
        <f t="shared" ref="DQ120:DQ126" si="395">DP120/DP10*100</f>
        <v>3.430171508575429</v>
      </c>
      <c r="DR120" s="822">
        <f t="shared" ref="DR120:DR126" si="396">(DP120/DK120-1)*100</f>
        <v>1.0309278350515427</v>
      </c>
      <c r="DU120" s="1342">
        <v>95</v>
      </c>
      <c r="DV120" s="878">
        <f t="shared" ref="DV120:DV126" si="397">DU120/DU10*100</f>
        <v>3.3795802205620777</v>
      </c>
      <c r="DW120" s="822">
        <f t="shared" ref="DW120:DW126" si="398">(DU120/DP120-1)*100</f>
        <v>-3.0612244897959218</v>
      </c>
      <c r="DZ120" s="1342">
        <v>87</v>
      </c>
      <c r="EA120" s="878">
        <f t="shared" ref="EA120:EA126" si="399">DZ120/DZ10*100</f>
        <v>3.2150776053215075</v>
      </c>
      <c r="EB120" s="822">
        <f t="shared" ref="EB120:EB126" si="400">(DZ120/DU120-1)*100</f>
        <v>-8.4210526315789522</v>
      </c>
      <c r="EE120" s="1277">
        <v>77</v>
      </c>
      <c r="EF120" s="878">
        <f t="shared" ref="EF120:EF126" si="401">EE120/EE10*100</f>
        <v>2.8917972106550329</v>
      </c>
      <c r="EG120" s="822">
        <f t="shared" ref="EG120:EG126" si="402">(EE120/DZ120-1)*100</f>
        <v>-11.494252873563216</v>
      </c>
      <c r="EJ120" s="427"/>
      <c r="EK120" s="427"/>
      <c r="EL120" s="427"/>
      <c r="EM120" s="427"/>
      <c r="EN120" s="427"/>
      <c r="EO120" s="427"/>
      <c r="EP120" s="831"/>
      <c r="EQ120" s="831"/>
      <c r="ER120" s="822"/>
      <c r="ES120" s="822"/>
      <c r="ET120" s="822"/>
      <c r="EU120" s="822"/>
      <c r="EV120" s="822"/>
      <c r="EW120" s="805"/>
      <c r="EX120" s="805"/>
    </row>
    <row r="121" spans="1:154" outlineLevel="1">
      <c r="A121" s="819" t="s">
        <v>141</v>
      </c>
      <c r="C121" s="841">
        <v>18</v>
      </c>
      <c r="D121" s="878">
        <f t="shared" si="341"/>
        <v>0.52356020942408377</v>
      </c>
      <c r="E121" s="822" t="s">
        <v>24</v>
      </c>
      <c r="G121" s="841">
        <v>22</v>
      </c>
      <c r="H121" s="878">
        <f t="shared" si="342"/>
        <v>0.61452513966480438</v>
      </c>
      <c r="I121" s="822">
        <f t="shared" si="343"/>
        <v>22.222222222222232</v>
      </c>
      <c r="K121" s="841">
        <v>50</v>
      </c>
      <c r="L121" s="878">
        <f t="shared" si="344"/>
        <v>1.4467592592592593</v>
      </c>
      <c r="M121" s="822">
        <f t="shared" si="345"/>
        <v>127.27272727272729</v>
      </c>
      <c r="O121" s="841">
        <v>35</v>
      </c>
      <c r="P121" s="878">
        <f t="shared" si="346"/>
        <v>0.92372657693322779</v>
      </c>
      <c r="Q121" s="822">
        <f t="shared" si="347"/>
        <v>-30.000000000000004</v>
      </c>
      <c r="S121" s="841">
        <v>28</v>
      </c>
      <c r="T121" s="878">
        <f t="shared" si="348"/>
        <v>0.70653545293969211</v>
      </c>
      <c r="U121" s="822">
        <f t="shared" si="349"/>
        <v>-19.999999999999996</v>
      </c>
      <c r="W121" s="841">
        <v>26</v>
      </c>
      <c r="X121" s="878">
        <f t="shared" si="350"/>
        <v>0.61291843470061291</v>
      </c>
      <c r="Y121" s="822">
        <f>(W121/S121-1)*100</f>
        <v>-7.1428571428571397</v>
      </c>
      <c r="AA121" s="841">
        <v>48</v>
      </c>
      <c r="AB121" s="878">
        <f t="shared" si="351"/>
        <v>1.0822998872604284</v>
      </c>
      <c r="AC121" s="822">
        <f t="shared" si="352"/>
        <v>84.615384615384627</v>
      </c>
      <c r="AE121" s="841"/>
      <c r="AF121" s="891"/>
      <c r="AG121" s="888"/>
      <c r="AI121" s="841">
        <v>62</v>
      </c>
      <c r="AJ121" s="878">
        <f t="shared" si="353"/>
        <v>1.3756378966052807</v>
      </c>
      <c r="AK121" s="822">
        <f t="shared" si="354"/>
        <v>29.166666666666675</v>
      </c>
      <c r="AM121" s="841">
        <v>122</v>
      </c>
      <c r="AN121" s="878">
        <f t="shared" si="355"/>
        <v>1.910548734652969</v>
      </c>
      <c r="AO121" s="822">
        <f t="shared" si="356"/>
        <v>96.774193548387103</v>
      </c>
      <c r="AQ121" s="841">
        <v>115</v>
      </c>
      <c r="AR121" s="878">
        <f t="shared" si="357"/>
        <v>1.7741437827830917</v>
      </c>
      <c r="AS121" s="822">
        <f t="shared" si="358"/>
        <v>-5.7377049180327822</v>
      </c>
      <c r="AU121" s="841">
        <v>61</v>
      </c>
      <c r="AV121" s="878">
        <f t="shared" si="359"/>
        <v>0.8586711711711712</v>
      </c>
      <c r="AW121" s="822">
        <f t="shared" si="360"/>
        <v>-46.95652173913043</v>
      </c>
      <c r="AY121" s="841">
        <v>102</v>
      </c>
      <c r="AZ121" s="878">
        <f t="shared" si="361"/>
        <v>1.4152906896073263</v>
      </c>
      <c r="BA121" s="822">
        <f t="shared" si="362"/>
        <v>67.21311475409837</v>
      </c>
      <c r="BC121" s="841">
        <v>94</v>
      </c>
      <c r="BD121" s="878">
        <f t="shared" si="363"/>
        <v>1.3035639994452919</v>
      </c>
      <c r="BE121" s="822">
        <f t="shared" si="364"/>
        <v>-7.8431372549019667</v>
      </c>
      <c r="BG121" s="841">
        <v>92</v>
      </c>
      <c r="BH121" s="878">
        <f t="shared" si="365"/>
        <v>1.2781328146707418</v>
      </c>
      <c r="BI121" s="822">
        <f t="shared" si="366"/>
        <v>-2.1276595744680882</v>
      </c>
      <c r="BK121" s="841">
        <v>51</v>
      </c>
      <c r="BL121" s="878">
        <f t="shared" si="367"/>
        <v>1.3274336283185841</v>
      </c>
      <c r="BM121" s="822">
        <f t="shared" si="368"/>
        <v>-50</v>
      </c>
      <c r="BO121" s="841">
        <v>52</v>
      </c>
      <c r="BP121" s="878">
        <f t="shared" si="369"/>
        <v>1.4420482409507314</v>
      </c>
      <c r="BQ121" s="822">
        <f t="shared" si="370"/>
        <v>1.9607843137254832</v>
      </c>
      <c r="BS121" s="841">
        <v>67</v>
      </c>
      <c r="BT121" s="878">
        <f t="shared" si="371"/>
        <v>1.8725544997205141</v>
      </c>
      <c r="BU121" s="822">
        <f t="shared" si="372"/>
        <v>28.846153846153854</v>
      </c>
      <c r="BW121" s="841">
        <v>48</v>
      </c>
      <c r="BX121" s="878">
        <f t="shared" si="373"/>
        <v>1.270513499205929</v>
      </c>
      <c r="BY121" s="822">
        <f t="shared" si="374"/>
        <v>-28.358208955223883</v>
      </c>
      <c r="CA121" s="841">
        <v>40</v>
      </c>
      <c r="CB121" s="878">
        <f t="shared" si="375"/>
        <v>1.004772670183371</v>
      </c>
      <c r="CC121" s="822">
        <f t="shared" si="376"/>
        <v>-16.666666666666664</v>
      </c>
      <c r="CE121" s="841">
        <v>32</v>
      </c>
      <c r="CF121" s="878">
        <f t="shared" si="377"/>
        <v>0.75523567129122648</v>
      </c>
      <c r="CG121" s="822">
        <f t="shared" si="378"/>
        <v>-19.999999999999996</v>
      </c>
      <c r="CI121" s="841">
        <v>37</v>
      </c>
      <c r="CJ121" s="878">
        <f t="shared" si="379"/>
        <v>0.84282460136674253</v>
      </c>
      <c r="CK121" s="822">
        <f t="shared" si="380"/>
        <v>15.625</v>
      </c>
      <c r="CM121" s="841">
        <v>55</v>
      </c>
      <c r="CN121" s="878">
        <f t="shared" si="381"/>
        <v>1.2842976317422616</v>
      </c>
      <c r="CO121" s="822">
        <f t="shared" si="382"/>
        <v>48.648648648648638</v>
      </c>
      <c r="CQ121" s="841">
        <v>68</v>
      </c>
      <c r="CR121" s="878">
        <f t="shared" si="383"/>
        <v>1.7247281956069016</v>
      </c>
      <c r="CS121" s="822">
        <f t="shared" si="384"/>
        <v>23.636363636363633</v>
      </c>
      <c r="CU121" s="1340">
        <v>57</v>
      </c>
      <c r="CV121" s="878">
        <f t="shared" si="385"/>
        <v>1.4474352463179279</v>
      </c>
      <c r="CW121" s="822">
        <f t="shared" si="386"/>
        <v>-16.176470588235293</v>
      </c>
      <c r="CY121" s="1340">
        <v>56.678373073677903</v>
      </c>
      <c r="CZ121" s="878">
        <f t="shared" si="387"/>
        <v>1.4510592184761368</v>
      </c>
      <c r="DA121" s="822">
        <f t="shared" si="388"/>
        <v>-0.56425776547736062</v>
      </c>
      <c r="DC121" s="1340">
        <v>58</v>
      </c>
      <c r="DD121" s="878">
        <f t="shared" si="389"/>
        <v>1.9192587690271343</v>
      </c>
      <c r="DE121" s="822">
        <f t="shared" si="390"/>
        <v>2.3318010991671745</v>
      </c>
      <c r="DG121" s="1340">
        <v>95</v>
      </c>
      <c r="DH121" s="878">
        <f t="shared" si="391"/>
        <v>3.5674051821254222</v>
      </c>
      <c r="DI121" s="822">
        <f t="shared" si="392"/>
        <v>63.793103448275865</v>
      </c>
      <c r="DK121" s="1340">
        <v>106</v>
      </c>
      <c r="DL121" s="878">
        <f t="shared" si="393"/>
        <v>3.7870668095748483</v>
      </c>
      <c r="DM121" s="822">
        <f t="shared" si="394"/>
        <v>11.578947368421044</v>
      </c>
      <c r="DP121" s="1340">
        <v>103</v>
      </c>
      <c r="DQ121" s="878">
        <f t="shared" si="395"/>
        <v>3.5826086956521737</v>
      </c>
      <c r="DR121" s="822">
        <f t="shared" si="396"/>
        <v>-2.8301886792452824</v>
      </c>
      <c r="DU121" s="1340">
        <v>93</v>
      </c>
      <c r="DV121" s="878">
        <f t="shared" si="397"/>
        <v>3.1871144619602472</v>
      </c>
      <c r="DW121" s="822">
        <f t="shared" si="398"/>
        <v>-9.7087378640776656</v>
      </c>
      <c r="DZ121" s="1340">
        <v>79</v>
      </c>
      <c r="EA121" s="878">
        <f t="shared" si="399"/>
        <v>2.6671168129642129</v>
      </c>
      <c r="EB121" s="822">
        <f t="shared" si="400"/>
        <v>-15.053763440860212</v>
      </c>
      <c r="EE121" s="1542">
        <v>75</v>
      </c>
      <c r="EF121" s="878">
        <f t="shared" si="401"/>
        <v>2.5524928666332682</v>
      </c>
      <c r="EG121" s="822">
        <f t="shared" si="402"/>
        <v>-5.0632911392405111</v>
      </c>
      <c r="EJ121" s="427"/>
      <c r="EK121" s="427"/>
      <c r="EL121" s="427"/>
      <c r="EM121" s="427"/>
      <c r="EN121" s="427"/>
      <c r="EO121" s="427"/>
      <c r="EP121" s="831"/>
      <c r="EQ121" s="831"/>
      <c r="ER121" s="822"/>
      <c r="ES121" s="822"/>
      <c r="ET121" s="822"/>
      <c r="EU121" s="822"/>
      <c r="EV121" s="822"/>
      <c r="EW121" s="805"/>
      <c r="EX121" s="805"/>
    </row>
    <row r="122" spans="1:154" outlineLevel="1">
      <c r="A122" s="819" t="s">
        <v>142</v>
      </c>
      <c r="C122" s="841">
        <v>28</v>
      </c>
      <c r="D122" s="878">
        <f t="shared" si="341"/>
        <v>0.68948534843634579</v>
      </c>
      <c r="E122" s="822" t="s">
        <v>24</v>
      </c>
      <c r="G122" s="841">
        <v>41</v>
      </c>
      <c r="H122" s="878">
        <f t="shared" si="342"/>
        <v>1.0262828535669586</v>
      </c>
      <c r="I122" s="822">
        <f t="shared" si="343"/>
        <v>46.428571428571416</v>
      </c>
      <c r="K122" s="841">
        <v>54</v>
      </c>
      <c r="L122" s="878">
        <f t="shared" si="344"/>
        <v>1.3716027432054865</v>
      </c>
      <c r="M122" s="822">
        <f t="shared" si="345"/>
        <v>31.707317073170739</v>
      </c>
      <c r="O122" s="841">
        <v>39</v>
      </c>
      <c r="P122" s="878">
        <f t="shared" si="346"/>
        <v>0.89820359281437123</v>
      </c>
      <c r="Q122" s="822">
        <f t="shared" si="347"/>
        <v>-27.777777777777779</v>
      </c>
      <c r="S122" s="841">
        <v>29</v>
      </c>
      <c r="T122" s="878">
        <f t="shared" si="348"/>
        <v>0.61246040126715939</v>
      </c>
      <c r="U122" s="822">
        <f t="shared" si="349"/>
        <v>-25.641025641025639</v>
      </c>
      <c r="W122" s="841">
        <v>48</v>
      </c>
      <c r="X122" s="878">
        <f t="shared" si="350"/>
        <v>0.93221984851427453</v>
      </c>
      <c r="Y122" s="822">
        <f>(W122/S122-1)*100</f>
        <v>65.517241379310349</v>
      </c>
      <c r="AA122" s="841">
        <v>58</v>
      </c>
      <c r="AB122" s="878">
        <f t="shared" si="351"/>
        <v>1.1310452418096724</v>
      </c>
      <c r="AC122" s="822">
        <f t="shared" si="352"/>
        <v>20.833333333333325</v>
      </c>
      <c r="AE122" s="841"/>
      <c r="AF122" s="891"/>
      <c r="AG122" s="888"/>
      <c r="AI122" s="841">
        <v>92</v>
      </c>
      <c r="AJ122" s="878">
        <f t="shared" si="353"/>
        <v>1.6615495755824452</v>
      </c>
      <c r="AK122" s="822">
        <f t="shared" si="354"/>
        <v>58.62068965517242</v>
      </c>
      <c r="AM122" s="841">
        <v>152</v>
      </c>
      <c r="AN122" s="878">
        <f t="shared" si="355"/>
        <v>2.1398504920248334</v>
      </c>
      <c r="AO122" s="822">
        <f t="shared" si="356"/>
        <v>65.217391304347828</v>
      </c>
      <c r="AQ122" s="841">
        <v>142</v>
      </c>
      <c r="AR122" s="878">
        <f t="shared" si="357"/>
        <v>1.9918642165801654</v>
      </c>
      <c r="AS122" s="822">
        <f t="shared" si="358"/>
        <v>-6.5789473684210513</v>
      </c>
      <c r="AU122" s="841">
        <v>82</v>
      </c>
      <c r="AV122" s="878">
        <f t="shared" si="359"/>
        <v>1.0734389317973556</v>
      </c>
      <c r="AW122" s="822">
        <f t="shared" si="360"/>
        <v>-42.25352112676056</v>
      </c>
      <c r="AY122" s="841">
        <v>110</v>
      </c>
      <c r="AZ122" s="878">
        <f t="shared" si="361"/>
        <v>1.4592730167153092</v>
      </c>
      <c r="BA122" s="822">
        <f t="shared" si="362"/>
        <v>34.146341463414643</v>
      </c>
      <c r="BC122" s="841">
        <v>93</v>
      </c>
      <c r="BD122" s="878">
        <f t="shared" si="363"/>
        <v>1.2032604476646396</v>
      </c>
      <c r="BE122" s="822">
        <f t="shared" si="364"/>
        <v>-15.454545454545453</v>
      </c>
      <c r="BG122" s="841">
        <v>97</v>
      </c>
      <c r="BH122" s="878">
        <f t="shared" si="365"/>
        <v>1.2322154471544715</v>
      </c>
      <c r="BI122" s="822">
        <f t="shared" si="366"/>
        <v>4.3010752688172005</v>
      </c>
      <c r="BK122" s="841">
        <v>57</v>
      </c>
      <c r="BL122" s="878">
        <f t="shared" si="367"/>
        <v>1.3115508513575702</v>
      </c>
      <c r="BM122" s="822">
        <f t="shared" si="368"/>
        <v>-48.18181818181818</v>
      </c>
      <c r="BO122" s="841">
        <v>58</v>
      </c>
      <c r="BP122" s="878">
        <f t="shared" si="369"/>
        <v>1.3507219375873312</v>
      </c>
      <c r="BQ122" s="822">
        <f t="shared" si="370"/>
        <v>1.7543859649122862</v>
      </c>
      <c r="BS122" s="841">
        <v>62</v>
      </c>
      <c r="BT122" s="878">
        <f t="shared" si="371"/>
        <v>1.4526710402999063</v>
      </c>
      <c r="BU122" s="822">
        <f t="shared" si="372"/>
        <v>6.8965517241379226</v>
      </c>
      <c r="BW122" s="841">
        <v>68</v>
      </c>
      <c r="BX122" s="878">
        <f t="shared" si="373"/>
        <v>1.5486221817353678</v>
      </c>
      <c r="BY122" s="822">
        <f t="shared" si="374"/>
        <v>9.6774193548387011</v>
      </c>
      <c r="CA122" s="841">
        <v>41</v>
      </c>
      <c r="CB122" s="878">
        <f t="shared" si="375"/>
        <v>0.91538289796829642</v>
      </c>
      <c r="CC122" s="822">
        <f t="shared" si="376"/>
        <v>-39.705882352941181</v>
      </c>
      <c r="CE122" s="841">
        <v>36</v>
      </c>
      <c r="CF122" s="878">
        <f t="shared" si="377"/>
        <v>0.75298054800250991</v>
      </c>
      <c r="CG122" s="822">
        <f t="shared" si="378"/>
        <v>-12.195121951219512</v>
      </c>
      <c r="CI122" s="841">
        <v>41</v>
      </c>
      <c r="CJ122" s="878">
        <f t="shared" si="379"/>
        <v>0.86717428087986459</v>
      </c>
      <c r="CK122" s="822">
        <f t="shared" si="380"/>
        <v>13.888888888888884</v>
      </c>
      <c r="CM122" s="841">
        <v>56</v>
      </c>
      <c r="CN122" s="878">
        <f t="shared" si="381"/>
        <v>1.2969524704853339</v>
      </c>
      <c r="CO122" s="822">
        <f t="shared" si="382"/>
        <v>36.585365853658544</v>
      </c>
      <c r="CQ122" s="841">
        <v>64</v>
      </c>
      <c r="CR122" s="878">
        <f t="shared" si="383"/>
        <v>1.5309561030967878</v>
      </c>
      <c r="CS122" s="822">
        <f t="shared" si="384"/>
        <v>14.285714285714279</v>
      </c>
      <c r="CU122" s="1340">
        <v>57</v>
      </c>
      <c r="CV122" s="878">
        <f t="shared" si="385"/>
        <v>1.360706612556696</v>
      </c>
      <c r="CW122" s="822">
        <f t="shared" si="386"/>
        <v>-10.9375</v>
      </c>
      <c r="CY122" s="1340">
        <v>55</v>
      </c>
      <c r="CZ122" s="878">
        <f t="shared" si="387"/>
        <v>1.3798294029101856</v>
      </c>
      <c r="DA122" s="822">
        <f t="shared" si="388"/>
        <v>-3.5087719298245612</v>
      </c>
      <c r="DC122" s="1340">
        <v>55</v>
      </c>
      <c r="DD122" s="878">
        <f t="shared" si="389"/>
        <v>1.8790570550051247</v>
      </c>
      <c r="DE122" s="822">
        <f t="shared" si="390"/>
        <v>0</v>
      </c>
      <c r="DG122" s="1340">
        <v>99</v>
      </c>
      <c r="DH122" s="878">
        <f t="shared" si="391"/>
        <v>3.5624325296869372</v>
      </c>
      <c r="DI122" s="822">
        <f t="shared" si="392"/>
        <v>80</v>
      </c>
      <c r="DK122" s="1340">
        <v>103</v>
      </c>
      <c r="DL122" s="878">
        <f t="shared" si="393"/>
        <v>3.7264833574529663</v>
      </c>
      <c r="DM122" s="822">
        <f t="shared" si="394"/>
        <v>4.0404040404040442</v>
      </c>
      <c r="DP122" s="1340">
        <v>102</v>
      </c>
      <c r="DQ122" s="878">
        <f t="shared" si="395"/>
        <v>3.5208836727649295</v>
      </c>
      <c r="DR122" s="822">
        <f t="shared" si="396"/>
        <v>-0.97087378640776656</v>
      </c>
      <c r="DU122" s="1340">
        <v>87</v>
      </c>
      <c r="DV122" s="878">
        <f t="shared" si="397"/>
        <v>3.0451522576128807</v>
      </c>
      <c r="DW122" s="822">
        <f t="shared" si="398"/>
        <v>-14.705882352941179</v>
      </c>
      <c r="DZ122" s="1340">
        <v>78</v>
      </c>
      <c r="EA122" s="878">
        <f t="shared" si="399"/>
        <v>2.7787673672960458</v>
      </c>
      <c r="EB122" s="822">
        <f t="shared" si="400"/>
        <v>-10.344827586206895</v>
      </c>
      <c r="EE122" s="1542">
        <v>75</v>
      </c>
      <c r="EF122" s="878">
        <f t="shared" si="401"/>
        <v>2.7488597729661737</v>
      </c>
      <c r="EG122" s="822">
        <f t="shared" si="402"/>
        <v>-3.8461538461538436</v>
      </c>
      <c r="EJ122" s="427"/>
      <c r="EK122" s="427"/>
      <c r="EL122" s="427"/>
      <c r="EM122" s="427"/>
      <c r="EN122" s="427"/>
      <c r="EO122" s="427"/>
      <c r="EP122" s="831"/>
      <c r="EQ122" s="831"/>
      <c r="ER122" s="822"/>
      <c r="ES122" s="822"/>
      <c r="ET122" s="822"/>
      <c r="EU122" s="822"/>
      <c r="EV122" s="822"/>
      <c r="EW122" s="805"/>
      <c r="EX122" s="805"/>
    </row>
    <row r="123" spans="1:154" outlineLevel="1">
      <c r="A123" s="819" t="s">
        <v>143</v>
      </c>
      <c r="C123" s="845">
        <v>18</v>
      </c>
      <c r="D123" s="878">
        <f t="shared" si="341"/>
        <v>0.34201026030780923</v>
      </c>
      <c r="E123" s="822" t="s">
        <v>24</v>
      </c>
      <c r="G123" s="845">
        <v>38</v>
      </c>
      <c r="H123" s="878">
        <f t="shared" si="342"/>
        <v>0.72243346007604559</v>
      </c>
      <c r="I123" s="822">
        <f t="shared" si="343"/>
        <v>111.11111111111111</v>
      </c>
      <c r="K123" s="845">
        <v>50</v>
      </c>
      <c r="L123" s="878">
        <f t="shared" si="344"/>
        <v>0.93023255813953487</v>
      </c>
      <c r="M123" s="822">
        <f t="shared" si="345"/>
        <v>31.578947368421062</v>
      </c>
      <c r="O123" s="845">
        <v>29</v>
      </c>
      <c r="P123" s="878">
        <f t="shared" si="346"/>
        <v>0.47658175842235007</v>
      </c>
      <c r="Q123" s="822">
        <f t="shared" si="347"/>
        <v>-42.000000000000007</v>
      </c>
      <c r="S123" s="845">
        <v>2</v>
      </c>
      <c r="T123" s="878">
        <f t="shared" si="348"/>
        <v>3.1640563202024997E-2</v>
      </c>
      <c r="U123" s="822">
        <f t="shared" si="349"/>
        <v>-93.103448275862064</v>
      </c>
      <c r="W123" s="845">
        <v>36</v>
      </c>
      <c r="X123" s="878">
        <f t="shared" si="350"/>
        <v>0.5422503389064619</v>
      </c>
      <c r="Y123" s="822" t="s">
        <v>365</v>
      </c>
      <c r="AA123" s="845">
        <v>59.8</v>
      </c>
      <c r="AB123" s="878">
        <f t="shared" si="351"/>
        <v>0.90168878166465627</v>
      </c>
      <c r="AC123" s="822">
        <f t="shared" si="352"/>
        <v>66.1111111111111</v>
      </c>
      <c r="AE123" s="845"/>
      <c r="AF123" s="891"/>
      <c r="AG123" s="888"/>
      <c r="AI123" s="845">
        <v>101</v>
      </c>
      <c r="AJ123" s="878">
        <f t="shared" si="353"/>
        <v>1.2383521333987249</v>
      </c>
      <c r="AK123" s="822">
        <f t="shared" si="354"/>
        <v>68.896321070234109</v>
      </c>
      <c r="AM123" s="845">
        <v>192</v>
      </c>
      <c r="AN123" s="878">
        <f t="shared" si="355"/>
        <v>2.0178665265370466</v>
      </c>
      <c r="AO123" s="822">
        <f t="shared" si="356"/>
        <v>90.099009900990097</v>
      </c>
      <c r="AQ123" s="845">
        <v>130</v>
      </c>
      <c r="AR123" s="878">
        <f t="shared" si="357"/>
        <v>1.4329805996472662</v>
      </c>
      <c r="AS123" s="822">
        <f t="shared" si="358"/>
        <v>-32.291666666666664</v>
      </c>
      <c r="AU123" s="845">
        <v>118</v>
      </c>
      <c r="AV123" s="878">
        <f t="shared" si="359"/>
        <v>1.2214056515888625</v>
      </c>
      <c r="AW123" s="822">
        <f t="shared" si="360"/>
        <v>-9.2307692307692317</v>
      </c>
      <c r="AY123" s="845">
        <v>102</v>
      </c>
      <c r="AZ123" s="878">
        <f t="shared" si="361"/>
        <v>1.0654967094954559</v>
      </c>
      <c r="BA123" s="822">
        <f t="shared" si="362"/>
        <v>-13.559322033898303</v>
      </c>
      <c r="BC123" s="845">
        <v>101</v>
      </c>
      <c r="BD123" s="878">
        <f t="shared" si="363"/>
        <v>1.0584783064347096</v>
      </c>
      <c r="BE123" s="822">
        <f t="shared" si="364"/>
        <v>-0.98039215686274161</v>
      </c>
      <c r="BG123" s="845">
        <v>97</v>
      </c>
      <c r="BH123" s="878">
        <f t="shared" si="365"/>
        <v>1.0158131741543617</v>
      </c>
      <c r="BI123" s="822">
        <f t="shared" si="366"/>
        <v>-3.9603960396039639</v>
      </c>
      <c r="BK123" s="845">
        <v>59</v>
      </c>
      <c r="BL123" s="878">
        <f t="shared" si="367"/>
        <v>1.0076857386848848</v>
      </c>
      <c r="BM123" s="822">
        <f t="shared" si="368"/>
        <v>-42.156862745098032</v>
      </c>
      <c r="BO123" s="845">
        <v>62</v>
      </c>
      <c r="BP123" s="878">
        <f t="shared" si="369"/>
        <v>1.0795751349468918</v>
      </c>
      <c r="BQ123" s="822">
        <f t="shared" si="370"/>
        <v>5.0847457627118731</v>
      </c>
      <c r="BS123" s="845">
        <v>57</v>
      </c>
      <c r="BT123" s="878">
        <f t="shared" si="371"/>
        <v>0.95031677225741917</v>
      </c>
      <c r="BU123" s="822">
        <f t="shared" si="372"/>
        <v>-8.0645161290322616</v>
      </c>
      <c r="BW123" s="845">
        <v>53</v>
      </c>
      <c r="BX123" s="878">
        <f t="shared" si="373"/>
        <v>0.89000839630562556</v>
      </c>
      <c r="BY123" s="822">
        <f t="shared" si="374"/>
        <v>-7.0175438596491224</v>
      </c>
      <c r="CA123" s="845">
        <v>39</v>
      </c>
      <c r="CB123" s="878">
        <f t="shared" si="375"/>
        <v>0.62871952080610227</v>
      </c>
      <c r="CC123" s="822">
        <f t="shared" si="376"/>
        <v>-26.415094339622648</v>
      </c>
      <c r="CE123" s="845">
        <v>28</v>
      </c>
      <c r="CF123" s="878">
        <f t="shared" si="377"/>
        <v>0.4199160167966407</v>
      </c>
      <c r="CG123" s="822">
        <f t="shared" si="378"/>
        <v>-28.205128205128204</v>
      </c>
      <c r="CI123" s="845">
        <v>43</v>
      </c>
      <c r="CJ123" s="878">
        <f t="shared" si="379"/>
        <v>0.67292644757433484</v>
      </c>
      <c r="CK123" s="822">
        <f t="shared" si="380"/>
        <v>53.571428571428584</v>
      </c>
      <c r="CM123" s="845">
        <v>61</v>
      </c>
      <c r="CN123" s="878">
        <f t="shared" si="381"/>
        <v>1.0591708931674604</v>
      </c>
      <c r="CO123" s="822">
        <f t="shared" si="382"/>
        <v>41.86046511627908</v>
      </c>
      <c r="CQ123" s="845">
        <v>65</v>
      </c>
      <c r="CR123" s="878">
        <f t="shared" si="383"/>
        <v>1.1711711711711712</v>
      </c>
      <c r="CS123" s="822">
        <f t="shared" si="384"/>
        <v>6.5573770491803351</v>
      </c>
      <c r="CU123" s="1341">
        <v>58</v>
      </c>
      <c r="CV123" s="878">
        <f t="shared" si="385"/>
        <v>1.0170085919691392</v>
      </c>
      <c r="CW123" s="822">
        <f t="shared" si="386"/>
        <v>-10.769230769230765</v>
      </c>
      <c r="CY123" s="1341">
        <v>57</v>
      </c>
      <c r="CZ123" s="878">
        <f t="shared" si="387"/>
        <v>1.0506912442396314</v>
      </c>
      <c r="DA123" s="822">
        <f t="shared" si="388"/>
        <v>-1.7241379310344862</v>
      </c>
      <c r="DC123" s="1341">
        <v>57</v>
      </c>
      <c r="DD123" s="878">
        <f t="shared" si="389"/>
        <v>1.4675592173017509</v>
      </c>
      <c r="DE123" s="822">
        <f t="shared" si="390"/>
        <v>0</v>
      </c>
      <c r="DG123" s="1341">
        <v>97</v>
      </c>
      <c r="DH123" s="878">
        <f t="shared" si="391"/>
        <v>2.5647805393971446</v>
      </c>
      <c r="DI123" s="822">
        <f t="shared" si="392"/>
        <v>70.175438596491219</v>
      </c>
      <c r="DK123" s="1341">
        <v>100</v>
      </c>
      <c r="DL123" s="878">
        <f t="shared" si="393"/>
        <v>2.5687130747495504</v>
      </c>
      <c r="DM123" s="822">
        <f t="shared" si="394"/>
        <v>3.0927835051546282</v>
      </c>
      <c r="DP123" s="1341">
        <v>102</v>
      </c>
      <c r="DQ123" s="878">
        <f t="shared" si="395"/>
        <v>2.5525525525525525</v>
      </c>
      <c r="DR123" s="822">
        <f t="shared" si="396"/>
        <v>2.0000000000000018</v>
      </c>
      <c r="DU123" s="1341">
        <v>88</v>
      </c>
      <c r="DV123" s="878">
        <f t="shared" si="397"/>
        <v>2.2216611966675082</v>
      </c>
      <c r="DW123" s="822">
        <f t="shared" si="398"/>
        <v>-13.725490196078427</v>
      </c>
      <c r="DZ123" s="1341">
        <v>81</v>
      </c>
      <c r="EA123" s="878">
        <f t="shared" si="399"/>
        <v>2.009426941205656</v>
      </c>
      <c r="EB123" s="822">
        <f t="shared" si="400"/>
        <v>-7.9545454545454586</v>
      </c>
      <c r="EE123" s="1545">
        <v>73</v>
      </c>
      <c r="EF123" s="878">
        <f t="shared" si="401"/>
        <v>1.959918853989804</v>
      </c>
      <c r="EG123" s="822">
        <f t="shared" si="402"/>
        <v>-9.8765432098765427</v>
      </c>
      <c r="EJ123" s="435"/>
      <c r="EK123" s="435"/>
      <c r="EL123" s="435"/>
      <c r="EM123" s="435"/>
      <c r="EN123" s="435"/>
      <c r="EO123" s="435"/>
      <c r="EP123" s="831"/>
      <c r="EQ123" s="831"/>
      <c r="ER123" s="822"/>
      <c r="ES123" s="822"/>
      <c r="ET123" s="822"/>
      <c r="EU123" s="822"/>
      <c r="EV123" s="822"/>
      <c r="EW123" s="805"/>
      <c r="EX123" s="805"/>
    </row>
    <row r="124" spans="1:154" outlineLevel="1">
      <c r="A124" s="819" t="s">
        <v>144</v>
      </c>
      <c r="C124" s="591">
        <f>SUM(C120:C123)</f>
        <v>58</v>
      </c>
      <c r="D124" s="878">
        <f t="shared" si="341"/>
        <v>0.36018133267093089</v>
      </c>
      <c r="E124" s="822" t="s">
        <v>24</v>
      </c>
      <c r="G124" s="591">
        <f>SUM(G120:G123)</f>
        <v>98</v>
      </c>
      <c r="H124" s="878">
        <f t="shared" si="342"/>
        <v>0.59883898564008553</v>
      </c>
      <c r="I124" s="822">
        <f t="shared" si="343"/>
        <v>68.965517241379317</v>
      </c>
      <c r="K124" s="591">
        <f>SUM(K120:K123)</f>
        <v>176</v>
      </c>
      <c r="L124" s="878">
        <f t="shared" si="344"/>
        <v>1.086352694278131</v>
      </c>
      <c r="M124" s="822">
        <f t="shared" si="345"/>
        <v>79.591836734693871</v>
      </c>
      <c r="O124" s="591">
        <f>SUM(O120:O123)</f>
        <v>132</v>
      </c>
      <c r="P124" s="878">
        <f t="shared" si="346"/>
        <v>0.73296684990837913</v>
      </c>
      <c r="Q124" s="822">
        <f t="shared" si="347"/>
        <v>-25</v>
      </c>
      <c r="S124" s="591">
        <f>SUM(S120:S123)</f>
        <v>73</v>
      </c>
      <c r="T124" s="878">
        <f t="shared" si="348"/>
        <v>0.38455460148553972</v>
      </c>
      <c r="U124" s="822">
        <f t="shared" si="349"/>
        <v>-44.696969696969703</v>
      </c>
      <c r="W124" s="591">
        <f>SUM(W120:W123)</f>
        <v>93</v>
      </c>
      <c r="X124" s="878">
        <f t="shared" si="350"/>
        <v>0.45632973503434737</v>
      </c>
      <c r="Y124" s="822">
        <f>(W124/S124-1)*100</f>
        <v>27.397260273972602</v>
      </c>
      <c r="AA124" s="591">
        <f>SUM(AA120:AA123)</f>
        <v>182.8</v>
      </c>
      <c r="AB124" s="878">
        <f t="shared" si="351"/>
        <v>0.88901857795934247</v>
      </c>
      <c r="AC124" s="822">
        <f t="shared" si="352"/>
        <v>96.559139784946254</v>
      </c>
      <c r="AE124" s="591"/>
      <c r="AF124" s="891"/>
      <c r="AG124" s="888"/>
      <c r="AI124" s="591">
        <f>SUM(AI120:AI123)</f>
        <v>278</v>
      </c>
      <c r="AJ124" s="878">
        <f t="shared" si="353"/>
        <v>1.227264700688681</v>
      </c>
      <c r="AK124" s="822">
        <f t="shared" si="354"/>
        <v>52.078774617067822</v>
      </c>
      <c r="AM124" s="591">
        <f>SUM(AM120:AM123)</f>
        <v>547</v>
      </c>
      <c r="AN124" s="878">
        <f t="shared" si="355"/>
        <v>1.8554197251129532</v>
      </c>
      <c r="AO124" s="822">
        <f t="shared" si="356"/>
        <v>96.762589928057551</v>
      </c>
      <c r="AQ124" s="591">
        <f>SUM(AQ120:AQ123)</f>
        <v>480</v>
      </c>
      <c r="AR124" s="878">
        <f t="shared" si="357"/>
        <v>1.6305455533663971</v>
      </c>
      <c r="AS124" s="822">
        <f t="shared" si="358"/>
        <v>-12.24862888482633</v>
      </c>
      <c r="AU124" s="591">
        <f>SUM(AU120:AU123)</f>
        <v>294</v>
      </c>
      <c r="AV124" s="878">
        <f t="shared" si="359"/>
        <v>0.92618845099707026</v>
      </c>
      <c r="AW124" s="822">
        <f t="shared" si="360"/>
        <v>-38.749999999999993</v>
      </c>
      <c r="AY124" s="591">
        <f>SUM(AY120:AY123)</f>
        <v>427</v>
      </c>
      <c r="AZ124" s="878">
        <f t="shared" si="361"/>
        <v>1.3408277334673113</v>
      </c>
      <c r="BA124" s="822">
        <f t="shared" si="362"/>
        <v>45.238095238095234</v>
      </c>
      <c r="BC124" s="591">
        <f>SUM(BC120:BC123)</f>
        <v>386</v>
      </c>
      <c r="BD124" s="878">
        <f t="shared" si="363"/>
        <v>1.2060992375953006</v>
      </c>
      <c r="BE124" s="822">
        <f t="shared" si="364"/>
        <v>-9.6018735362997649</v>
      </c>
      <c r="BG124" s="591">
        <f>SUM(BG120:BG123)</f>
        <v>388</v>
      </c>
      <c r="BH124" s="878">
        <f t="shared" si="365"/>
        <v>1.1994929978050515</v>
      </c>
      <c r="BI124" s="822">
        <f t="shared" si="366"/>
        <v>0.51813471502590858</v>
      </c>
      <c r="BK124" s="591">
        <v>219</v>
      </c>
      <c r="BL124" s="878">
        <f t="shared" si="367"/>
        <v>1.2275784753363228</v>
      </c>
      <c r="BM124" s="822">
        <f t="shared" si="368"/>
        <v>-48.711943793911004</v>
      </c>
      <c r="BO124" s="591">
        <v>212</v>
      </c>
      <c r="BP124" s="878">
        <f t="shared" si="369"/>
        <v>1.2195121951219512</v>
      </c>
      <c r="BQ124" s="822">
        <f t="shared" si="370"/>
        <v>-3.1963470319634757</v>
      </c>
      <c r="BS124" s="591">
        <f>SUM(BS120:BS123)</f>
        <v>247</v>
      </c>
      <c r="BT124" s="878">
        <f t="shared" si="371"/>
        <v>1.4103808599326215</v>
      </c>
      <c r="BU124" s="822">
        <f t="shared" si="372"/>
        <v>16.50943396226414</v>
      </c>
      <c r="BW124" s="591">
        <f>SUM(BW120:BW123)</f>
        <v>223</v>
      </c>
      <c r="BX124" s="878">
        <f t="shared" si="373"/>
        <v>1.2323165340406719</v>
      </c>
      <c r="BY124" s="822">
        <f t="shared" si="374"/>
        <v>-9.7165991902834037</v>
      </c>
      <c r="CA124" s="591">
        <f>SUM(CA120:CA123)</f>
        <v>169</v>
      </c>
      <c r="CB124" s="878">
        <f t="shared" si="375"/>
        <v>0.89984156399066217</v>
      </c>
      <c r="CC124" s="822">
        <f t="shared" si="376"/>
        <v>-24.215246636771305</v>
      </c>
      <c r="CE124" s="591">
        <f>SUM(CE120:CE123)</f>
        <v>130</v>
      </c>
      <c r="CF124" s="878">
        <f t="shared" si="377"/>
        <v>0.65309934826713656</v>
      </c>
      <c r="CG124" s="822">
        <f t="shared" si="378"/>
        <v>-23.076923076923073</v>
      </c>
      <c r="CI124" s="591">
        <f>SUM(CI120:CI123)</f>
        <v>153</v>
      </c>
      <c r="CJ124" s="878">
        <f t="shared" si="379"/>
        <v>0.77050914035352769</v>
      </c>
      <c r="CK124" s="822">
        <f t="shared" si="380"/>
        <v>17.692307692307697</v>
      </c>
      <c r="CM124" s="591">
        <f>SUM(CM120:CM123)</f>
        <v>225</v>
      </c>
      <c r="CN124" s="878">
        <f t="shared" si="381"/>
        <v>1.217102235149675</v>
      </c>
      <c r="CO124" s="822">
        <f t="shared" si="382"/>
        <v>47.058823529411775</v>
      </c>
      <c r="CQ124" s="591">
        <f>SUM(CQ120:CQ123)</f>
        <v>260</v>
      </c>
      <c r="CR124" s="878">
        <f t="shared" si="383"/>
        <v>1.4806816997661718</v>
      </c>
      <c r="CS124" s="822">
        <f t="shared" si="384"/>
        <v>15.555555555555545</v>
      </c>
      <c r="CU124" s="591">
        <f>SUM(CU120:CU123)</f>
        <v>231</v>
      </c>
      <c r="CV124" s="878">
        <f t="shared" si="385"/>
        <v>1.30074891604257</v>
      </c>
      <c r="CW124" s="822">
        <f t="shared" si="386"/>
        <v>-11.153846153846159</v>
      </c>
      <c r="CY124" s="591">
        <f>SUM(CY120:CY123)</f>
        <v>226.6783730736779</v>
      </c>
      <c r="CZ124" s="878">
        <f t="shared" si="387"/>
        <v>1.3133161823503934</v>
      </c>
      <c r="DA124" s="822">
        <f t="shared" si="388"/>
        <v>-1.8708341672389994</v>
      </c>
      <c r="DC124" s="591">
        <f>SUM(DC120:DC123)</f>
        <v>226</v>
      </c>
      <c r="DD124" s="878">
        <f t="shared" si="389"/>
        <v>1.7404697728147862</v>
      </c>
      <c r="DE124" s="822">
        <f t="shared" si="390"/>
        <v>-0.29926678248101135</v>
      </c>
      <c r="DG124" s="591">
        <f>SUM(DG120:DG123)</f>
        <v>352</v>
      </c>
      <c r="DH124" s="878">
        <f t="shared" si="391"/>
        <v>2.9682097984653004</v>
      </c>
      <c r="DI124" s="822">
        <f t="shared" si="392"/>
        <v>55.752212389380531</v>
      </c>
      <c r="DK124" s="591">
        <f>SUM(DK120:DK123)</f>
        <v>406</v>
      </c>
      <c r="DL124" s="878">
        <f t="shared" si="393"/>
        <v>3.3123929183323817</v>
      </c>
      <c r="DM124" s="822">
        <f t="shared" si="394"/>
        <v>15.340909090909083</v>
      </c>
      <c r="DP124" s="591">
        <f>SUM(DP120:DP123)</f>
        <v>405</v>
      </c>
      <c r="DQ124" s="878">
        <f t="shared" si="395"/>
        <v>3.2079207920792081</v>
      </c>
      <c r="DR124" s="822">
        <f t="shared" si="396"/>
        <v>-0.24630541871921707</v>
      </c>
      <c r="DU124" s="591">
        <f>SUM(DU120:DU123)</f>
        <v>363</v>
      </c>
      <c r="DV124" s="878">
        <f t="shared" si="397"/>
        <v>2.8931218617996333</v>
      </c>
      <c r="DW124" s="822">
        <f t="shared" si="398"/>
        <v>-10.370370370370374</v>
      </c>
      <c r="DZ124" s="591">
        <f>SUM(DZ120:DZ123)</f>
        <v>325</v>
      </c>
      <c r="EA124" s="878">
        <f t="shared" si="399"/>
        <v>2.5987525987525988</v>
      </c>
      <c r="EB124" s="822">
        <f t="shared" si="400"/>
        <v>-10.468319559228645</v>
      </c>
      <c r="EE124" s="591">
        <f>SUM(EE120:EE123)</f>
        <v>300</v>
      </c>
      <c r="EF124" s="878">
        <f t="shared" si="401"/>
        <v>2.4887888358905914</v>
      </c>
      <c r="EG124" s="822">
        <f t="shared" si="402"/>
        <v>-7.6923076923076872</v>
      </c>
      <c r="EJ124" s="427"/>
      <c r="EK124" s="427"/>
      <c r="EL124" s="427"/>
      <c r="EM124" s="427"/>
      <c r="EN124" s="427"/>
      <c r="EO124" s="427"/>
      <c r="EP124" s="831"/>
      <c r="EQ124" s="831"/>
      <c r="ER124" s="822"/>
      <c r="ES124" s="822"/>
      <c r="ET124" s="822"/>
      <c r="EU124" s="822"/>
      <c r="EV124" s="822"/>
      <c r="EW124" s="805"/>
      <c r="EX124" s="805"/>
    </row>
    <row r="125" spans="1:154" hidden="1" outlineLevel="2">
      <c r="A125" s="819" t="s">
        <v>145</v>
      </c>
      <c r="C125" s="706">
        <f>C120+C121</f>
        <v>12</v>
      </c>
      <c r="D125" s="878">
        <f t="shared" si="341"/>
        <v>0.17701725918277031</v>
      </c>
      <c r="E125" s="822" t="s">
        <v>24</v>
      </c>
      <c r="G125" s="706">
        <f>G120+G121</f>
        <v>19</v>
      </c>
      <c r="H125" s="878">
        <f t="shared" si="342"/>
        <v>0.2672292545710267</v>
      </c>
      <c r="I125" s="822">
        <f t="shared" si="343"/>
        <v>58.333333333333329</v>
      </c>
      <c r="K125" s="706">
        <f>K120+K121</f>
        <v>72</v>
      </c>
      <c r="L125" s="878">
        <f t="shared" si="344"/>
        <v>1.0451444331543041</v>
      </c>
      <c r="M125" s="822">
        <f t="shared" si="345"/>
        <v>278.9473684210526</v>
      </c>
      <c r="O125" s="706">
        <f>O120+O121</f>
        <v>64</v>
      </c>
      <c r="P125" s="878">
        <f t="shared" si="346"/>
        <v>0.84410445792666855</v>
      </c>
      <c r="Q125" s="822">
        <f t="shared" si="347"/>
        <v>-11.111111111111116</v>
      </c>
      <c r="S125" s="706">
        <f>S120+S121</f>
        <v>42</v>
      </c>
      <c r="T125" s="878">
        <f t="shared" si="348"/>
        <v>0.52983474202094105</v>
      </c>
      <c r="U125" s="822">
        <f t="shared" si="349"/>
        <v>-34.375</v>
      </c>
      <c r="W125" s="706">
        <f>W120+W121</f>
        <v>9</v>
      </c>
      <c r="X125" s="878">
        <f t="shared" si="350"/>
        <v>0.10474860335195531</v>
      </c>
      <c r="Y125" s="822">
        <f>(W125/S125-1)*100</f>
        <v>-78.571428571428569</v>
      </c>
      <c r="AA125" s="706">
        <f>AA120+AA121</f>
        <v>65</v>
      </c>
      <c r="AB125" s="878">
        <f t="shared" si="351"/>
        <v>0.73846852987957279</v>
      </c>
      <c r="AC125" s="822">
        <f t="shared" si="352"/>
        <v>622.22222222222229</v>
      </c>
      <c r="AE125" s="706"/>
      <c r="AF125" s="891"/>
      <c r="AG125" s="888"/>
      <c r="AI125" s="706">
        <f>AI120+AI121</f>
        <v>85</v>
      </c>
      <c r="AJ125" s="878">
        <f t="shared" si="353"/>
        <v>0.94876660341555974</v>
      </c>
      <c r="AK125" s="822">
        <f t="shared" si="354"/>
        <v>30.76923076923077</v>
      </c>
      <c r="AM125" s="706">
        <f>AM120+AM121</f>
        <v>203</v>
      </c>
      <c r="AN125" s="878">
        <f t="shared" si="355"/>
        <v>1.5781822139641914</v>
      </c>
      <c r="AO125" s="822">
        <f t="shared" si="356"/>
        <v>138.8235294117647</v>
      </c>
      <c r="AQ125" s="706">
        <f>AQ120+AQ121</f>
        <v>208</v>
      </c>
      <c r="AR125" s="878">
        <f t="shared" si="357"/>
        <v>1.5713530256100325</v>
      </c>
      <c r="AS125" s="822">
        <f t="shared" si="358"/>
        <v>2.4630541871921263</v>
      </c>
      <c r="AU125" s="706">
        <f>AU120+AU121</f>
        <v>94</v>
      </c>
      <c r="AV125" s="878">
        <f t="shared" si="359"/>
        <v>0.65083431420065085</v>
      </c>
      <c r="AW125" s="822">
        <f t="shared" si="360"/>
        <v>-54.807692307692314</v>
      </c>
      <c r="AY125" s="706">
        <f>AY120+AY121</f>
        <v>215</v>
      </c>
      <c r="AZ125" s="878">
        <f t="shared" si="361"/>
        <v>1.4591109602986088</v>
      </c>
      <c r="BA125" s="822">
        <f t="shared" si="362"/>
        <v>128.72340425531914</v>
      </c>
      <c r="BC125" s="706">
        <f>BC120+BC121</f>
        <v>192</v>
      </c>
      <c r="BD125" s="878">
        <f t="shared" si="363"/>
        <v>1.3031969049073509</v>
      </c>
      <c r="BE125" s="822">
        <f t="shared" si="364"/>
        <v>-10.697674418604652</v>
      </c>
      <c r="BG125" s="706">
        <f>BG120+BG121</f>
        <v>194</v>
      </c>
      <c r="BH125" s="878">
        <f t="shared" si="365"/>
        <v>1.2997454106927508</v>
      </c>
      <c r="BI125" s="822">
        <f t="shared" si="366"/>
        <v>1.0416666666666741</v>
      </c>
      <c r="BK125" s="706">
        <f>BK120+BK121</f>
        <v>115</v>
      </c>
      <c r="BL125" s="878">
        <f t="shared" si="367"/>
        <v>1.4573564820681788</v>
      </c>
      <c r="BM125" s="822">
        <f t="shared" si="368"/>
        <v>-46.511627906976749</v>
      </c>
      <c r="BO125" s="706">
        <f>BO120+BO121</f>
        <v>106</v>
      </c>
      <c r="BP125" s="878">
        <f t="shared" si="369"/>
        <v>1.3954746074964368</v>
      </c>
      <c r="BQ125" s="822">
        <f t="shared" si="370"/>
        <v>-7.8260869565217384</v>
      </c>
      <c r="BS125" s="706">
        <f>BS120+BS121</f>
        <v>128</v>
      </c>
      <c r="BT125" s="878">
        <f t="shared" si="371"/>
        <v>1.7662481026631709</v>
      </c>
      <c r="BU125" s="822">
        <f t="shared" si="372"/>
        <v>20.75471698113207</v>
      </c>
      <c r="BW125" s="706">
        <f>BW120+BW121</f>
        <v>102</v>
      </c>
      <c r="BX125" s="878">
        <f t="shared" si="373"/>
        <v>1.3161290322580645</v>
      </c>
      <c r="BY125" s="822">
        <f t="shared" si="374"/>
        <v>-20.3125</v>
      </c>
      <c r="CA125" s="706">
        <f>CA120+CA121</f>
        <v>89</v>
      </c>
      <c r="CB125" s="878">
        <f t="shared" si="375"/>
        <v>1.098901098901099</v>
      </c>
      <c r="CC125" s="822">
        <f t="shared" si="376"/>
        <v>-12.745098039215685</v>
      </c>
      <c r="CE125" s="706">
        <f>CE120+CE121</f>
        <v>66</v>
      </c>
      <c r="CF125" s="878">
        <f t="shared" si="377"/>
        <v>0.78050275730337726</v>
      </c>
      <c r="CG125" s="822">
        <f t="shared" si="378"/>
        <v>-25.842696629213478</v>
      </c>
      <c r="CI125" s="706">
        <f>CI120+CI121</f>
        <v>69</v>
      </c>
      <c r="CJ125" s="878">
        <f t="shared" si="379"/>
        <v>0.78956402334363196</v>
      </c>
      <c r="CK125" s="822">
        <f t="shared" si="380"/>
        <v>4.5454545454545414</v>
      </c>
      <c r="CM125" s="706">
        <f>CM120+CM121</f>
        <v>108</v>
      </c>
      <c r="CN125" s="878">
        <f t="shared" si="381"/>
        <v>1.2842623946500755</v>
      </c>
      <c r="CO125" s="822">
        <f t="shared" si="382"/>
        <v>56.521739130434788</v>
      </c>
      <c r="CQ125" s="706">
        <f>CQ120+CQ121</f>
        <v>131</v>
      </c>
      <c r="CR125" s="878">
        <f t="shared" si="383"/>
        <v>1.6732478226848555</v>
      </c>
      <c r="CS125" s="822">
        <f t="shared" si="384"/>
        <v>21.296296296296301</v>
      </c>
      <c r="CU125" s="706">
        <f>CU120+CU121</f>
        <v>116</v>
      </c>
      <c r="CV125" s="878">
        <f t="shared" si="385"/>
        <v>1.4745137917884836</v>
      </c>
      <c r="CW125" s="822">
        <f t="shared" si="386"/>
        <v>-11.450381679389309</v>
      </c>
      <c r="CY125" s="706">
        <f>CY120+CY121</f>
        <v>114.6783730736779</v>
      </c>
      <c r="CZ125" s="878">
        <f t="shared" si="387"/>
        <v>1.4610571164948134</v>
      </c>
      <c r="DA125" s="822">
        <f t="shared" si="388"/>
        <v>-1.1393335571742158</v>
      </c>
      <c r="DC125" s="706">
        <f>DC120+DC121</f>
        <v>114</v>
      </c>
      <c r="DD125" s="878">
        <f t="shared" si="389"/>
        <v>1.8464528668610301</v>
      </c>
      <c r="DE125" s="822">
        <f t="shared" si="390"/>
        <v>-0.59154403353984808</v>
      </c>
      <c r="DG125" s="706">
        <f>DG120+DG121</f>
        <v>156</v>
      </c>
      <c r="DH125" s="878">
        <f t="shared" si="391"/>
        <v>2.944507361268403</v>
      </c>
      <c r="DI125" s="822">
        <f t="shared" si="392"/>
        <v>36.842105263157897</v>
      </c>
      <c r="DK125" s="706">
        <f>DK120+DK121</f>
        <v>203</v>
      </c>
      <c r="DL125" s="878">
        <f t="shared" si="393"/>
        <v>3.6249999999999996</v>
      </c>
      <c r="DM125" s="822">
        <f t="shared" si="394"/>
        <v>30.128205128205131</v>
      </c>
      <c r="DP125" s="706">
        <f>DP120+DP121</f>
        <v>201</v>
      </c>
      <c r="DQ125" s="878">
        <f t="shared" si="395"/>
        <v>3.5066294487090017</v>
      </c>
      <c r="DR125" s="822">
        <f t="shared" si="396"/>
        <v>-0.98522167487684609</v>
      </c>
      <c r="DU125" s="706">
        <f>DU120+DU121</f>
        <v>188</v>
      </c>
      <c r="DV125" s="878">
        <f t="shared" si="397"/>
        <v>3.2815500087275269</v>
      </c>
      <c r="DW125" s="822">
        <f t="shared" si="398"/>
        <v>-6.4676616915422924</v>
      </c>
      <c r="DZ125" s="706">
        <f>DZ120+DZ121</f>
        <v>166</v>
      </c>
      <c r="EA125" s="878">
        <f t="shared" si="399"/>
        <v>2.928722653493296</v>
      </c>
      <c r="EB125" s="822">
        <f t="shared" si="400"/>
        <v>-11.702127659574469</v>
      </c>
      <c r="EE125" s="706">
        <f>EE120+EE121</f>
        <v>152</v>
      </c>
      <c r="EF125" s="878">
        <f t="shared" si="401"/>
        <v>2.7137972307841727</v>
      </c>
      <c r="EG125" s="822">
        <f t="shared" si="402"/>
        <v>-8.4337349397590415</v>
      </c>
      <c r="EJ125" s="427"/>
      <c r="EK125" s="427"/>
      <c r="EL125" s="427"/>
      <c r="EM125" s="427"/>
      <c r="EN125" s="427"/>
      <c r="EO125" s="427"/>
      <c r="EP125" s="831"/>
      <c r="EQ125" s="831"/>
      <c r="ER125" s="822"/>
      <c r="ES125" s="822"/>
      <c r="ET125" s="822"/>
      <c r="EU125" s="822"/>
      <c r="EV125" s="822"/>
      <c r="EW125" s="805"/>
      <c r="EX125" s="805"/>
    </row>
    <row r="126" spans="1:154" hidden="1" outlineLevel="2">
      <c r="A126" s="819" t="s">
        <v>146</v>
      </c>
      <c r="C126" s="706">
        <f>C120+C121+C122</f>
        <v>40</v>
      </c>
      <c r="D126" s="878">
        <f t="shared" si="341"/>
        <v>0.36900369003690037</v>
      </c>
      <c r="E126" s="822" t="s">
        <v>24</v>
      </c>
      <c r="G126" s="706">
        <f>G120+G121+G122</f>
        <v>60</v>
      </c>
      <c r="H126" s="878">
        <f t="shared" si="342"/>
        <v>0.54029716343989187</v>
      </c>
      <c r="I126" s="822">
        <f t="shared" si="343"/>
        <v>50</v>
      </c>
      <c r="K126" s="706">
        <f>K120+K121+K122</f>
        <v>126</v>
      </c>
      <c r="L126" s="878">
        <f t="shared" si="344"/>
        <v>1.1638647699981526</v>
      </c>
      <c r="M126" s="822">
        <f t="shared" si="345"/>
        <v>110.00000000000001</v>
      </c>
      <c r="O126" s="706">
        <f>O120+O121+O122</f>
        <v>103</v>
      </c>
      <c r="P126" s="878">
        <f t="shared" si="346"/>
        <v>0.86380409258638036</v>
      </c>
      <c r="Q126" s="822">
        <f t="shared" si="347"/>
        <v>-18.253968253968257</v>
      </c>
      <c r="S126" s="706">
        <f>S120+S121+S122</f>
        <v>71</v>
      </c>
      <c r="T126" s="878">
        <f t="shared" si="348"/>
        <v>0.56073290159532463</v>
      </c>
      <c r="U126" s="822">
        <f t="shared" si="349"/>
        <v>-31.067961165048541</v>
      </c>
      <c r="W126" s="706">
        <f>W120+W121+W122</f>
        <v>57</v>
      </c>
      <c r="X126" s="878">
        <f t="shared" si="350"/>
        <v>0.41481697110836185</v>
      </c>
      <c r="Y126" s="822">
        <f>(W126/S126-1)*100</f>
        <v>-19.718309859154925</v>
      </c>
      <c r="AA126" s="706">
        <f>AA120+AA121+AA122</f>
        <v>123</v>
      </c>
      <c r="AB126" s="878">
        <f t="shared" si="351"/>
        <v>0.88298636037329514</v>
      </c>
      <c r="AC126" s="822">
        <f t="shared" si="352"/>
        <v>115.78947368421053</v>
      </c>
      <c r="AE126" s="706"/>
      <c r="AF126" s="891"/>
      <c r="AG126" s="888"/>
      <c r="AI126" s="706">
        <f>AI120+AI121+AI122</f>
        <v>177</v>
      </c>
      <c r="AJ126" s="878">
        <f t="shared" si="353"/>
        <v>1.2210264900662251</v>
      </c>
      <c r="AK126" s="822">
        <f t="shared" si="354"/>
        <v>43.90243902439024</v>
      </c>
      <c r="AM126" s="706">
        <f>AM120+AM121+AM122</f>
        <v>355</v>
      </c>
      <c r="AN126" s="878">
        <f t="shared" si="355"/>
        <v>1.7780048281595895</v>
      </c>
      <c r="AO126" s="822">
        <f t="shared" si="356"/>
        <v>100.56497175141241</v>
      </c>
      <c r="AQ126" s="706">
        <f>AQ120+AQ121+AQ122</f>
        <v>350</v>
      </c>
      <c r="AR126" s="878">
        <f t="shared" si="357"/>
        <v>1.7185505253854463</v>
      </c>
      <c r="AS126" s="822">
        <f t="shared" si="358"/>
        <v>-1.4084507042253502</v>
      </c>
      <c r="AU126" s="706">
        <f>AU120+AU121+AU122</f>
        <v>176</v>
      </c>
      <c r="AV126" s="878">
        <f t="shared" si="359"/>
        <v>0.79702925459650387</v>
      </c>
      <c r="AW126" s="822">
        <f t="shared" si="360"/>
        <v>-49.714285714285708</v>
      </c>
      <c r="AY126" s="706">
        <f>AY120+AY121+AY122</f>
        <v>325</v>
      </c>
      <c r="AZ126" s="878">
        <f t="shared" si="361"/>
        <v>1.4591658061329862</v>
      </c>
      <c r="BA126" s="822">
        <f t="shared" si="362"/>
        <v>84.659090909090921</v>
      </c>
      <c r="BC126" s="706">
        <f>BC120+BC121+BC122</f>
        <v>285</v>
      </c>
      <c r="BD126" s="878">
        <f t="shared" si="363"/>
        <v>1.2688095450093493</v>
      </c>
      <c r="BE126" s="822">
        <f t="shared" si="364"/>
        <v>-12.307692307692308</v>
      </c>
      <c r="BG126" s="706">
        <f>BG120+BG121+BG122</f>
        <v>291</v>
      </c>
      <c r="BH126" s="878">
        <f t="shared" si="365"/>
        <v>1.2764277568207738</v>
      </c>
      <c r="BI126" s="822">
        <f t="shared" si="366"/>
        <v>2.1052631578947434</v>
      </c>
      <c r="BK126" s="706">
        <f>BK120+BK121+BK122</f>
        <v>172</v>
      </c>
      <c r="BL126" s="878">
        <f t="shared" si="367"/>
        <v>1.4055732614202827</v>
      </c>
      <c r="BM126" s="822">
        <f t="shared" si="368"/>
        <v>-47.076923076923073</v>
      </c>
      <c r="BO126" s="706">
        <f>BO120+BO121+BO122</f>
        <v>164</v>
      </c>
      <c r="BP126" s="878">
        <f t="shared" si="369"/>
        <v>1.3793124329372408</v>
      </c>
      <c r="BQ126" s="822">
        <f t="shared" si="370"/>
        <v>-4.651162790697672</v>
      </c>
      <c r="BS126" s="706">
        <f>BS120+BS121+BS122</f>
        <v>190</v>
      </c>
      <c r="BT126" s="878">
        <f t="shared" si="371"/>
        <v>1.6500217108119843</v>
      </c>
      <c r="BU126" s="822">
        <f t="shared" si="372"/>
        <v>15.853658536585357</v>
      </c>
      <c r="BW126" s="706">
        <f>BW120+BW121+BW122</f>
        <v>170</v>
      </c>
      <c r="BX126" s="878">
        <f t="shared" si="373"/>
        <v>1.4002141503994729</v>
      </c>
      <c r="BY126" s="822">
        <f t="shared" si="374"/>
        <v>-10.526315789473683</v>
      </c>
      <c r="CA126" s="706">
        <f>CA120+CA121+CA122</f>
        <v>130</v>
      </c>
      <c r="CB126" s="878">
        <f t="shared" si="375"/>
        <v>1.0335506439815552</v>
      </c>
      <c r="CC126" s="822">
        <f t="shared" si="376"/>
        <v>-23.529411764705888</v>
      </c>
      <c r="CE126" s="706">
        <f>CE120+CE121+CE122</f>
        <v>102</v>
      </c>
      <c r="CF126" s="878">
        <f t="shared" si="377"/>
        <v>0.77056222637486438</v>
      </c>
      <c r="CG126" s="822">
        <f t="shared" si="378"/>
        <v>-21.53846153846154</v>
      </c>
      <c r="CI126" s="706">
        <f>CI120+CI121+CI122</f>
        <v>110</v>
      </c>
      <c r="CJ126" s="878">
        <f t="shared" si="379"/>
        <v>0.81681146506274604</v>
      </c>
      <c r="CK126" s="822">
        <f t="shared" si="380"/>
        <v>7.8431372549019551</v>
      </c>
      <c r="CM126" s="706">
        <f>CM120+CM121+CM122</f>
        <v>164</v>
      </c>
      <c r="CN126" s="878">
        <f t="shared" si="381"/>
        <v>1.2885675768400713</v>
      </c>
      <c r="CO126" s="822">
        <f t="shared" si="382"/>
        <v>49.090909090909093</v>
      </c>
      <c r="CQ126" s="706">
        <f>CQ120+CQ121+CQ122</f>
        <v>195</v>
      </c>
      <c r="CR126" s="878">
        <f t="shared" si="383"/>
        <v>1.6237173266781197</v>
      </c>
      <c r="CS126" s="822">
        <f t="shared" si="384"/>
        <v>18.90243902439024</v>
      </c>
      <c r="CU126" s="706">
        <f>CU120+CU121+CU122</f>
        <v>173</v>
      </c>
      <c r="CV126" s="878">
        <f t="shared" si="385"/>
        <v>1.4349701393497014</v>
      </c>
      <c r="CW126" s="822">
        <f t="shared" si="386"/>
        <v>-11.282051282051286</v>
      </c>
      <c r="CY126" s="706">
        <f>CY120+CY121+CY122</f>
        <v>169.6783730736779</v>
      </c>
      <c r="CZ126" s="878">
        <f t="shared" si="387"/>
        <v>1.4336998147332312</v>
      </c>
      <c r="DA126" s="822">
        <f t="shared" si="388"/>
        <v>-1.9200155643480321</v>
      </c>
      <c r="DC126" s="706">
        <f>DC120+DC121+DC122</f>
        <v>169</v>
      </c>
      <c r="DD126" s="878">
        <f t="shared" si="389"/>
        <v>1.8569387979342928</v>
      </c>
      <c r="DE126" s="822">
        <f t="shared" si="390"/>
        <v>-0.39979937418620493</v>
      </c>
      <c r="DG126" s="706">
        <f>DG120+DG121+DG122</f>
        <v>255</v>
      </c>
      <c r="DH126" s="878">
        <f t="shared" si="391"/>
        <v>3.1571127894020057</v>
      </c>
      <c r="DI126" s="822">
        <f t="shared" si="392"/>
        <v>50.887573964497037</v>
      </c>
      <c r="DK126" s="706">
        <f>DK120+DK121+DK122</f>
        <v>306</v>
      </c>
      <c r="DL126" s="878">
        <f t="shared" si="393"/>
        <v>3.6585365853658534</v>
      </c>
      <c r="DM126" s="822">
        <f t="shared" si="394"/>
        <v>19.999999999999996</v>
      </c>
      <c r="DP126" s="706">
        <f>DP120+DP121+DP122</f>
        <v>303</v>
      </c>
      <c r="DQ126" s="878">
        <f t="shared" si="395"/>
        <v>3.5114149959439103</v>
      </c>
      <c r="DR126" s="822">
        <f t="shared" si="396"/>
        <v>-0.98039215686274161</v>
      </c>
      <c r="DU126" s="706">
        <f>DU120+DU121+DU122</f>
        <v>275</v>
      </c>
      <c r="DV126" s="878">
        <f t="shared" si="397"/>
        <v>3.2028884230142092</v>
      </c>
      <c r="DW126" s="822">
        <f t="shared" si="398"/>
        <v>-9.2409240924092408</v>
      </c>
      <c r="DZ126" s="706">
        <f>DZ120+DZ121+DZ122</f>
        <v>244</v>
      </c>
      <c r="EA126" s="878">
        <f t="shared" si="399"/>
        <v>2.8790560471976403</v>
      </c>
      <c r="EB126" s="822">
        <f t="shared" si="400"/>
        <v>-11.272727272727268</v>
      </c>
      <c r="EE126" s="706">
        <f>EE120+EE121+EE122</f>
        <v>227</v>
      </c>
      <c r="EF126" s="878">
        <f t="shared" si="401"/>
        <v>2.7252824088903274</v>
      </c>
      <c r="EG126" s="822">
        <f t="shared" si="402"/>
        <v>-6.9672131147541005</v>
      </c>
      <c r="EJ126" s="427"/>
      <c r="EK126" s="427"/>
      <c r="EL126" s="427"/>
      <c r="EM126" s="427"/>
      <c r="EN126" s="427"/>
      <c r="EO126" s="427"/>
      <c r="EP126" s="831"/>
      <c r="EQ126" s="831"/>
      <c r="ER126" s="822"/>
      <c r="ES126" s="822"/>
      <c r="ET126" s="822"/>
      <c r="EU126" s="822"/>
      <c r="EV126" s="822"/>
      <c r="EW126" s="805"/>
      <c r="EX126" s="805"/>
    </row>
    <row r="127" spans="1:154" outlineLevel="1" collapsed="1">
      <c r="C127" s="706"/>
      <c r="D127" s="687"/>
      <c r="E127" s="687"/>
      <c r="G127" s="706"/>
      <c r="H127" s="687"/>
      <c r="I127" s="687"/>
      <c r="K127" s="706"/>
      <c r="L127" s="687"/>
      <c r="M127" s="687"/>
      <c r="O127" s="706"/>
      <c r="S127" s="706"/>
      <c r="W127" s="706"/>
      <c r="AA127" s="706"/>
      <c r="AE127" s="706"/>
      <c r="AI127" s="706"/>
      <c r="AM127" s="706"/>
      <c r="AQ127" s="706"/>
      <c r="AU127" s="706"/>
      <c r="AY127" s="706"/>
      <c r="BC127" s="706"/>
      <c r="BG127" s="706"/>
      <c r="BK127" s="706"/>
      <c r="BO127" s="706"/>
      <c r="BS127" s="706"/>
      <c r="BW127" s="706"/>
      <c r="CA127" s="706"/>
      <c r="CE127" s="706"/>
      <c r="CI127" s="706"/>
      <c r="CM127" s="706"/>
      <c r="CQ127" s="706"/>
      <c r="CU127" s="706"/>
      <c r="CY127" s="706"/>
      <c r="DC127" s="706"/>
      <c r="DG127" s="706"/>
      <c r="DK127" s="706"/>
      <c r="DP127" s="706"/>
      <c r="DU127" s="706"/>
      <c r="DZ127" s="706"/>
      <c r="EE127" s="706"/>
      <c r="EJ127" s="892"/>
      <c r="EK127" s="892"/>
      <c r="EL127" s="892"/>
      <c r="EM127" s="892"/>
      <c r="EN127" s="892"/>
      <c r="EO127" s="892"/>
      <c r="EP127" s="507"/>
      <c r="EQ127" s="507"/>
      <c r="EW127" s="805"/>
      <c r="EX127" s="805"/>
    </row>
    <row r="128" spans="1:154" outlineLevel="1">
      <c r="A128" s="816" t="s">
        <v>362</v>
      </c>
      <c r="C128" s="706"/>
      <c r="D128" s="687"/>
      <c r="E128" s="687"/>
      <c r="G128" s="706"/>
      <c r="H128" s="687"/>
      <c r="I128" s="687"/>
      <c r="K128" s="706"/>
      <c r="L128" s="687"/>
      <c r="M128" s="687"/>
      <c r="O128" s="706"/>
      <c r="S128" s="706"/>
      <c r="W128" s="706"/>
      <c r="AA128" s="706"/>
      <c r="AE128" s="706"/>
      <c r="AI128" s="706"/>
      <c r="AM128" s="706"/>
      <c r="AQ128" s="706"/>
      <c r="AU128" s="706"/>
      <c r="AY128" s="706"/>
      <c r="BC128" s="706"/>
      <c r="BG128" s="706"/>
      <c r="BK128" s="706"/>
      <c r="BO128" s="706"/>
      <c r="BS128" s="706"/>
      <c r="BW128" s="706"/>
      <c r="CA128" s="706"/>
      <c r="CE128" s="706"/>
      <c r="CI128" s="706"/>
      <c r="CM128" s="706"/>
      <c r="CQ128" s="706"/>
      <c r="CY128" s="706"/>
      <c r="DC128" s="706"/>
      <c r="DG128" s="818" t="s">
        <v>362</v>
      </c>
      <c r="DK128" s="706"/>
      <c r="DP128" s="1585" t="str">
        <f>DG128</f>
        <v xml:space="preserve">11. Other Expense (Income) (% of Sales) </v>
      </c>
      <c r="DQ128" s="1585"/>
      <c r="DR128" s="1585"/>
      <c r="DS128" s="1585"/>
      <c r="DT128" s="1585"/>
      <c r="DU128" s="1585"/>
      <c r="DV128" s="1585"/>
      <c r="DW128" s="1585"/>
      <c r="EJ128" s="507"/>
      <c r="EK128" s="831"/>
      <c r="EL128" s="831"/>
      <c r="EM128" s="831"/>
      <c r="EN128" s="831"/>
      <c r="EO128" s="831"/>
      <c r="EP128" s="507"/>
      <c r="EQ128" s="507"/>
      <c r="EW128" s="805"/>
      <c r="EX128" s="805"/>
    </row>
    <row r="129" spans="1:154" outlineLevel="1">
      <c r="C129" s="706"/>
      <c r="D129" s="687"/>
      <c r="E129" s="687"/>
      <c r="G129" s="706"/>
      <c r="H129" s="687"/>
      <c r="I129" s="687"/>
      <c r="K129" s="706"/>
      <c r="L129" s="687"/>
      <c r="M129" s="687"/>
      <c r="O129" s="706"/>
      <c r="S129" s="706"/>
      <c r="W129" s="706"/>
      <c r="AA129" s="706"/>
      <c r="AE129" s="706"/>
      <c r="AI129" s="706"/>
      <c r="AM129" s="706"/>
      <c r="AQ129" s="706"/>
      <c r="AU129" s="706"/>
      <c r="AY129" s="706"/>
      <c r="BC129" s="706"/>
      <c r="BG129" s="706"/>
      <c r="BK129" s="706"/>
      <c r="BO129" s="706"/>
      <c r="BS129" s="706"/>
      <c r="BW129" s="706"/>
      <c r="CA129" s="706"/>
      <c r="CE129" s="706"/>
      <c r="CI129" s="706"/>
      <c r="CM129" s="706"/>
      <c r="CQ129" s="706"/>
      <c r="CU129" s="706"/>
      <c r="CY129" s="706"/>
      <c r="DC129" s="706"/>
      <c r="DG129" s="706"/>
      <c r="DK129" s="706"/>
      <c r="DP129" s="706"/>
      <c r="DU129" s="706"/>
      <c r="DZ129" s="706"/>
      <c r="EE129" s="706"/>
      <c r="EW129" s="805"/>
      <c r="EX129" s="805"/>
    </row>
    <row r="130" spans="1:154" outlineLevel="1">
      <c r="A130" s="819" t="s">
        <v>140</v>
      </c>
      <c r="C130" s="695">
        <v>8</v>
      </c>
      <c r="D130" s="878">
        <f t="shared" ref="D130:D136" si="403">C130/C10*100</f>
        <v>0.23944926668662078</v>
      </c>
      <c r="E130" s="869"/>
      <c r="G130" s="695">
        <v>-10</v>
      </c>
      <c r="H130" s="878">
        <f t="shared" ref="H130:H136" si="404">G130/G10*100</f>
        <v>-0.28328611898016998</v>
      </c>
      <c r="I130" s="869"/>
      <c r="K130" s="695">
        <v>-11</v>
      </c>
      <c r="L130" s="878">
        <f t="shared" ref="L130:L136" si="405">K130/K10*100</f>
        <v>-0.3204194581998252</v>
      </c>
      <c r="M130" s="869"/>
      <c r="O130" s="695">
        <v>-29</v>
      </c>
      <c r="P130" s="878">
        <f t="shared" ref="P130:P136" si="406">O130/O10*100</f>
        <v>-0.76456630635380962</v>
      </c>
      <c r="Q130" s="869"/>
      <c r="S130" s="695">
        <v>-35</v>
      </c>
      <c r="T130" s="878">
        <f t="shared" ref="T130:T136" si="407">S130/S10*100</f>
        <v>-0.8829465186680121</v>
      </c>
      <c r="U130" s="869"/>
      <c r="W130" s="695">
        <v>-43</v>
      </c>
      <c r="X130" s="878">
        <f t="shared" ref="X130:X136" si="408">W130/W10*100</f>
        <v>-0.98850574712643668</v>
      </c>
      <c r="Y130" s="869"/>
      <c r="AA130" s="695">
        <v>-48</v>
      </c>
      <c r="AB130" s="878">
        <f t="shared" ref="AB130:AB136" si="409">AA130/AA10*100</f>
        <v>-1.0991527364323335</v>
      </c>
      <c r="AC130" s="869"/>
      <c r="AE130" s="695"/>
      <c r="AF130" s="891"/>
      <c r="AG130" s="869"/>
      <c r="AI130" s="695">
        <v>-64</v>
      </c>
      <c r="AJ130" s="878">
        <f t="shared" ref="AJ130:AJ136" si="410">AI130/AI10*100</f>
        <v>-1.4375561545372868</v>
      </c>
      <c r="AK130" s="869"/>
      <c r="AM130" s="695">
        <v>-19</v>
      </c>
      <c r="AN130" s="878">
        <f t="shared" ref="AN130:AN136" si="411">AM130/AM10*100</f>
        <v>-0.29333209825081435</v>
      </c>
      <c r="AO130" s="869"/>
      <c r="AQ130" s="695">
        <v>-15.5</v>
      </c>
      <c r="AR130" s="878">
        <f t="shared" ref="AR130:AR136" si="412">AQ130/AQ10*100</f>
        <v>-0.22945965951147299</v>
      </c>
      <c r="AS130" s="869"/>
      <c r="AU130" s="695">
        <v>42</v>
      </c>
      <c r="AV130" s="878">
        <f t="shared" ref="AV130:AV136" si="413">AU130/AU10*100</f>
        <v>0.57228505245946315</v>
      </c>
      <c r="AW130" s="869"/>
      <c r="AY130" s="695">
        <v>41</v>
      </c>
      <c r="AZ130" s="878">
        <f t="shared" ref="AZ130:AZ136" si="414">AY130/AY10*100</f>
        <v>0.54463336875664192</v>
      </c>
      <c r="BA130" s="869"/>
      <c r="BC130" s="695">
        <v>53</v>
      </c>
      <c r="BD130" s="878">
        <f t="shared" ref="BD130:BD136" si="415">BC130/BC10*100</f>
        <v>0.70459984046796065</v>
      </c>
      <c r="BE130" s="869"/>
      <c r="BG130" s="695">
        <v>33</v>
      </c>
      <c r="BH130" s="878">
        <f t="shared" ref="BH130:BH136" si="416">BG130/BG10*100</f>
        <v>0.42701863354037267</v>
      </c>
      <c r="BI130" s="869"/>
      <c r="BK130" s="695">
        <v>0</v>
      </c>
      <c r="BL130" s="878">
        <f t="shared" ref="BL130:BL136" si="417">BK130/BK10*100</f>
        <v>0</v>
      </c>
      <c r="BM130" s="869"/>
      <c r="BO130" s="695">
        <v>0</v>
      </c>
      <c r="BP130" s="878">
        <f t="shared" ref="BP130:BP136" si="418">BO130/BO10*100</f>
        <v>0</v>
      </c>
      <c r="BQ130" s="869"/>
      <c r="BS130" s="695">
        <v>0</v>
      </c>
      <c r="BT130" s="878">
        <f t="shared" ref="BT130:BT136" si="419">BS130/BS10*100</f>
        <v>0</v>
      </c>
      <c r="BU130" s="869"/>
      <c r="BW130" s="695">
        <v>0</v>
      </c>
      <c r="BX130" s="878">
        <f t="shared" ref="BX130:BX136" si="420">BW130/BW10*100</f>
        <v>0</v>
      </c>
      <c r="BY130" s="888"/>
      <c r="CA130" s="695">
        <v>13</v>
      </c>
      <c r="CB130" s="878">
        <f t="shared" ref="CB130:CB136" si="421">CA130/CA10*100</f>
        <v>0.31568722680913064</v>
      </c>
      <c r="CC130" s="888"/>
      <c r="CE130" s="695">
        <v>0</v>
      </c>
      <c r="CF130" s="878">
        <f t="shared" ref="CF130:CF136" si="422">CE130/CE10*100</f>
        <v>0</v>
      </c>
      <c r="CG130" s="888"/>
      <c r="CI130" s="695">
        <v>0</v>
      </c>
      <c r="CJ130" s="878">
        <f t="shared" ref="CJ130:CJ136" si="423">CI130/CI10*100</f>
        <v>0</v>
      </c>
      <c r="CK130" s="888"/>
      <c r="CM130" s="695">
        <v>0</v>
      </c>
      <c r="CN130" s="878">
        <f t="shared" ref="CN130:CN136" si="424">CM130/CM10*100</f>
        <v>0</v>
      </c>
      <c r="CO130" s="888"/>
      <c r="CQ130" s="695">
        <v>0</v>
      </c>
      <c r="CR130" s="878">
        <f t="shared" ref="CR130:CR136" si="425">CQ130/CQ10*100</f>
        <v>0</v>
      </c>
      <c r="CS130" s="888"/>
      <c r="CU130" s="1342">
        <v>0</v>
      </c>
      <c r="CV130" s="878">
        <f t="shared" ref="CV130:CV136" si="426">CU130/CU10*100</f>
        <v>0</v>
      </c>
      <c r="CW130" s="888"/>
      <c r="CY130" s="1342">
        <v>9</v>
      </c>
      <c r="CZ130" s="878">
        <f t="shared" ref="CZ130:CZ136" si="427">CY130/CY10*100</f>
        <v>0.22825259954349481</v>
      </c>
      <c r="DA130" s="888"/>
      <c r="DC130" s="1342">
        <v>129</v>
      </c>
      <c r="DD130" s="878">
        <f t="shared" ref="DD130:DD136" si="428">DC130/DC10*100</f>
        <v>4.0926395939086291</v>
      </c>
      <c r="DE130" s="888"/>
      <c r="DG130" s="1342">
        <v>72</v>
      </c>
      <c r="DH130" s="878">
        <f t="shared" ref="DH130:DH136" si="429">DG130/DG10*100</f>
        <v>2.7324478178368121</v>
      </c>
      <c r="DI130" s="888"/>
      <c r="DK130" s="1342">
        <v>22</v>
      </c>
      <c r="DL130" s="878">
        <f t="shared" ref="DL130:DL136" si="430">DK130/DK10*100</f>
        <v>0.78543377365226708</v>
      </c>
      <c r="DM130" s="888"/>
      <c r="DP130" s="1342">
        <v>0</v>
      </c>
      <c r="DQ130" s="878">
        <f t="shared" ref="DQ130:DQ136" si="431">DP130/DP10*100</f>
        <v>0</v>
      </c>
      <c r="DR130" s="888"/>
      <c r="DU130" s="1342">
        <v>-4</v>
      </c>
      <c r="DV130" s="878">
        <f t="shared" ref="DV130:DV136" si="432">DU130/DU10*100</f>
        <v>-0.1422981145499822</v>
      </c>
      <c r="DW130" s="888"/>
      <c r="DZ130" s="1342">
        <v>0</v>
      </c>
      <c r="EA130" s="878">
        <f t="shared" ref="EA130:EA136" si="433">DZ130/DZ10*100</f>
        <v>0</v>
      </c>
      <c r="EB130" s="888"/>
      <c r="EE130" s="695">
        <v>0</v>
      </c>
      <c r="EF130" s="878">
        <f t="shared" ref="EF130:EF136" si="434">EE130/EE10*100</f>
        <v>0</v>
      </c>
      <c r="EG130" s="888"/>
      <c r="EP130" s="888"/>
      <c r="EQ130" s="888"/>
      <c r="ER130" s="888"/>
      <c r="ES130" s="888"/>
      <c r="ET130" s="888"/>
      <c r="EU130" s="888"/>
      <c r="EV130" s="888"/>
      <c r="EW130" s="805"/>
      <c r="EX130" s="805"/>
    </row>
    <row r="131" spans="1:154" outlineLevel="1">
      <c r="A131" s="819" t="s">
        <v>141</v>
      </c>
      <c r="C131" s="841">
        <v>-10</v>
      </c>
      <c r="D131" s="878">
        <f t="shared" si="403"/>
        <v>-0.29086678301337987</v>
      </c>
      <c r="E131" s="869"/>
      <c r="G131" s="841">
        <v>-11</v>
      </c>
      <c r="H131" s="878">
        <f t="shared" si="404"/>
        <v>-0.30726256983240219</v>
      </c>
      <c r="I131" s="869"/>
      <c r="K131" s="841">
        <v>-15</v>
      </c>
      <c r="L131" s="878">
        <f t="shared" si="405"/>
        <v>-0.43402777777777779</v>
      </c>
      <c r="M131" s="869"/>
      <c r="O131" s="841">
        <v>-28</v>
      </c>
      <c r="P131" s="878">
        <f t="shared" si="406"/>
        <v>-0.73898126154658228</v>
      </c>
      <c r="Q131" s="869"/>
      <c r="S131" s="841">
        <v>-39</v>
      </c>
      <c r="T131" s="878">
        <f t="shared" si="407"/>
        <v>-0.98410295230885703</v>
      </c>
      <c r="U131" s="869"/>
      <c r="W131" s="841">
        <v>-38</v>
      </c>
      <c r="X131" s="878">
        <f t="shared" si="408"/>
        <v>-0.8958038661008958</v>
      </c>
      <c r="Y131" s="869"/>
      <c r="AA131" s="841">
        <v>-49</v>
      </c>
      <c r="AB131" s="878">
        <f t="shared" si="409"/>
        <v>-1.104847801578354</v>
      </c>
      <c r="AC131" s="869"/>
      <c r="AE131" s="841"/>
      <c r="AF131" s="891"/>
      <c r="AG131" s="869"/>
      <c r="AI131" s="841">
        <v>-60</v>
      </c>
      <c r="AJ131" s="878">
        <f t="shared" si="410"/>
        <v>-1.3312624805857554</v>
      </c>
      <c r="AK131" s="869"/>
      <c r="AM131" s="841">
        <v>-49</v>
      </c>
      <c r="AN131" s="878">
        <f t="shared" si="411"/>
        <v>-0.76735154096717606</v>
      </c>
      <c r="AO131" s="869"/>
      <c r="AQ131" s="841">
        <v>-27</v>
      </c>
      <c r="AR131" s="878">
        <f t="shared" si="412"/>
        <v>-0.41653810552298676</v>
      </c>
      <c r="AS131" s="869"/>
      <c r="AU131" s="841">
        <v>27</v>
      </c>
      <c r="AV131" s="878">
        <f t="shared" si="413"/>
        <v>0.3800675675675676</v>
      </c>
      <c r="AW131" s="869"/>
      <c r="AY131" s="841">
        <v>35</v>
      </c>
      <c r="AZ131" s="878">
        <f t="shared" si="414"/>
        <v>0.48563896212016094</v>
      </c>
      <c r="BA131" s="869"/>
      <c r="BC131" s="841">
        <v>35</v>
      </c>
      <c r="BD131" s="878">
        <f t="shared" si="415"/>
        <v>0.48536957426154492</v>
      </c>
      <c r="BE131" s="869"/>
      <c r="BG131" s="841">
        <v>23</v>
      </c>
      <c r="BH131" s="878">
        <f t="shared" si="416"/>
        <v>0.31953320366768545</v>
      </c>
      <c r="BI131" s="869"/>
      <c r="BK131" s="841">
        <v>0</v>
      </c>
      <c r="BL131" s="878">
        <f t="shared" si="417"/>
        <v>0</v>
      </c>
      <c r="BM131" s="869"/>
      <c r="BO131" s="841">
        <v>0</v>
      </c>
      <c r="BP131" s="878">
        <f t="shared" si="418"/>
        <v>0</v>
      </c>
      <c r="BQ131" s="869"/>
      <c r="BS131" s="841">
        <v>0</v>
      </c>
      <c r="BT131" s="878">
        <f t="shared" si="419"/>
        <v>0</v>
      </c>
      <c r="BU131" s="869"/>
      <c r="BW131" s="841">
        <v>0</v>
      </c>
      <c r="BX131" s="878">
        <f t="shared" si="420"/>
        <v>0</v>
      </c>
      <c r="BY131" s="888"/>
      <c r="CA131" s="841">
        <v>5</v>
      </c>
      <c r="CB131" s="878">
        <f t="shared" si="421"/>
        <v>0.12559658377292138</v>
      </c>
      <c r="CC131" s="888"/>
      <c r="CE131" s="841">
        <v>0</v>
      </c>
      <c r="CF131" s="878">
        <f t="shared" si="422"/>
        <v>0</v>
      </c>
      <c r="CG131" s="888"/>
      <c r="CI131" s="841">
        <v>12</v>
      </c>
      <c r="CJ131" s="878">
        <f t="shared" si="423"/>
        <v>0.27334851936218679</v>
      </c>
      <c r="CK131" s="888"/>
      <c r="CM131" s="841">
        <v>0</v>
      </c>
      <c r="CN131" s="878">
        <f t="shared" si="424"/>
        <v>0</v>
      </c>
      <c r="CO131" s="888"/>
      <c r="CQ131" s="841">
        <v>0</v>
      </c>
      <c r="CR131" s="878">
        <f t="shared" si="425"/>
        <v>0</v>
      </c>
      <c r="CS131" s="888"/>
      <c r="CU131" s="1340">
        <v>20</v>
      </c>
      <c r="CV131" s="878">
        <f t="shared" si="426"/>
        <v>0.50787201625190448</v>
      </c>
      <c r="CW131" s="888"/>
      <c r="CY131" s="1340">
        <v>23</v>
      </c>
      <c r="CZ131" s="878">
        <f t="shared" si="427"/>
        <v>0.58883768561187921</v>
      </c>
      <c r="DA131" s="888"/>
      <c r="DC131" s="1340">
        <f>159+102-200-102</f>
        <v>-41</v>
      </c>
      <c r="DD131" s="878">
        <f t="shared" si="428"/>
        <v>-1.3567174056915949</v>
      </c>
      <c r="DE131" s="888"/>
      <c r="DG131" s="1340">
        <f>47+114</f>
        <v>161</v>
      </c>
      <c r="DH131" s="878">
        <f t="shared" si="429"/>
        <v>6.0458129928651898</v>
      </c>
      <c r="DI131" s="888"/>
      <c r="DK131" s="1340">
        <v>5</v>
      </c>
      <c r="DL131" s="878">
        <f t="shared" si="430"/>
        <v>0.17863522686673813</v>
      </c>
      <c r="DM131" s="888"/>
      <c r="DP131" s="1340">
        <v>0</v>
      </c>
      <c r="DQ131" s="878">
        <f t="shared" si="431"/>
        <v>0</v>
      </c>
      <c r="DR131" s="888"/>
      <c r="DU131" s="1340">
        <v>34</v>
      </c>
      <c r="DV131" s="878">
        <f t="shared" si="432"/>
        <v>1.1651816312542838</v>
      </c>
      <c r="DW131" s="888"/>
      <c r="DZ131" s="1340">
        <v>35</v>
      </c>
      <c r="EA131" s="878">
        <f t="shared" si="433"/>
        <v>1.1816340310600943</v>
      </c>
      <c r="EB131" s="888"/>
      <c r="EE131" s="841">
        <v>0</v>
      </c>
      <c r="EF131" s="878">
        <f t="shared" si="434"/>
        <v>0</v>
      </c>
      <c r="EG131" s="888"/>
      <c r="EP131" s="888"/>
      <c r="EQ131" s="888"/>
      <c r="ER131" s="888"/>
      <c r="ES131" s="888"/>
      <c r="ET131" s="888"/>
      <c r="EU131" s="888"/>
      <c r="EV131" s="888"/>
      <c r="EW131" s="805"/>
      <c r="EX131" s="805"/>
    </row>
    <row r="132" spans="1:154" outlineLevel="1">
      <c r="A132" s="819" t="s">
        <v>142</v>
      </c>
      <c r="C132" s="841">
        <v>-15</v>
      </c>
      <c r="D132" s="878">
        <f t="shared" si="403"/>
        <v>-0.36936715094804234</v>
      </c>
      <c r="E132" s="869"/>
      <c r="G132" s="841">
        <v>2</v>
      </c>
      <c r="H132" s="878">
        <f t="shared" si="404"/>
        <v>5.0062578222778473E-2</v>
      </c>
      <c r="I132" s="869"/>
      <c r="K132" s="841">
        <v>-14</v>
      </c>
      <c r="L132" s="878">
        <f t="shared" si="405"/>
        <v>-0.35560071120142245</v>
      </c>
      <c r="M132" s="869"/>
      <c r="O132" s="841">
        <v>-33</v>
      </c>
      <c r="P132" s="878">
        <f t="shared" si="406"/>
        <v>-0.76001842468908332</v>
      </c>
      <c r="Q132" s="869"/>
      <c r="S132" s="841">
        <v>-38</v>
      </c>
      <c r="T132" s="878">
        <f t="shared" si="407"/>
        <v>-0.80253431890179516</v>
      </c>
      <c r="U132" s="869"/>
      <c r="W132" s="841">
        <v>-38</v>
      </c>
      <c r="X132" s="878">
        <f t="shared" si="408"/>
        <v>-0.73800738007380073</v>
      </c>
      <c r="Y132" s="869"/>
      <c r="AA132" s="841">
        <v>-51</v>
      </c>
      <c r="AB132" s="878">
        <f t="shared" si="409"/>
        <v>-0.99453978159126355</v>
      </c>
      <c r="AC132" s="869"/>
      <c r="AE132" s="841"/>
      <c r="AF132" s="891"/>
      <c r="AG132" s="869"/>
      <c r="AI132" s="841">
        <v>-54</v>
      </c>
      <c r="AJ132" s="878">
        <f t="shared" si="410"/>
        <v>-0.97525735958100057</v>
      </c>
      <c r="AK132" s="869"/>
      <c r="AM132" s="841">
        <v>-35</v>
      </c>
      <c r="AN132" s="878">
        <f t="shared" si="411"/>
        <v>-0.49272873171624454</v>
      </c>
      <c r="AO132" s="869"/>
      <c r="AQ132" s="841">
        <v>-43</v>
      </c>
      <c r="AR132" s="878">
        <f t="shared" si="412"/>
        <v>-0.60317015009117692</v>
      </c>
      <c r="AS132" s="869"/>
      <c r="AU132" s="841">
        <v>31</v>
      </c>
      <c r="AV132" s="878">
        <f t="shared" si="413"/>
        <v>0.40581227909412232</v>
      </c>
      <c r="AW132" s="869"/>
      <c r="AY132" s="841">
        <v>20</v>
      </c>
      <c r="AZ132" s="878">
        <f t="shared" si="414"/>
        <v>0.26532236667551073</v>
      </c>
      <c r="BA132" s="869"/>
      <c r="BC132" s="841">
        <v>27</v>
      </c>
      <c r="BD132" s="878">
        <f t="shared" si="415"/>
        <v>0.34933367835425022</v>
      </c>
      <c r="BE132" s="869"/>
      <c r="BG132" s="841">
        <v>18</v>
      </c>
      <c r="BH132" s="878">
        <f t="shared" si="416"/>
        <v>0.22865853658536583</v>
      </c>
      <c r="BI132" s="869"/>
      <c r="BK132" s="841">
        <v>0</v>
      </c>
      <c r="BL132" s="878">
        <f t="shared" si="417"/>
        <v>0</v>
      </c>
      <c r="BM132" s="869"/>
      <c r="BO132" s="841">
        <v>0</v>
      </c>
      <c r="BP132" s="878">
        <f t="shared" si="418"/>
        <v>0</v>
      </c>
      <c r="BQ132" s="869"/>
      <c r="BS132" s="841">
        <v>0</v>
      </c>
      <c r="BT132" s="878">
        <f t="shared" si="419"/>
        <v>0</v>
      </c>
      <c r="BU132" s="869"/>
      <c r="BW132" s="841">
        <v>47</v>
      </c>
      <c r="BX132" s="878">
        <f t="shared" si="420"/>
        <v>1.0703712138465042</v>
      </c>
      <c r="BY132" s="888"/>
      <c r="CA132" s="841">
        <v>0</v>
      </c>
      <c r="CB132" s="878">
        <f t="shared" si="421"/>
        <v>0</v>
      </c>
      <c r="CC132" s="888"/>
      <c r="CE132" s="841">
        <v>0</v>
      </c>
      <c r="CF132" s="878">
        <f t="shared" si="422"/>
        <v>0</v>
      </c>
      <c r="CG132" s="888"/>
      <c r="CI132" s="841">
        <v>0</v>
      </c>
      <c r="CJ132" s="878">
        <f t="shared" si="423"/>
        <v>0</v>
      </c>
      <c r="CK132" s="888"/>
      <c r="CM132" s="841">
        <v>0</v>
      </c>
      <c r="CN132" s="878">
        <f t="shared" si="424"/>
        <v>0</v>
      </c>
      <c r="CO132" s="888"/>
      <c r="CQ132" s="841">
        <v>0</v>
      </c>
      <c r="CR132" s="878">
        <f t="shared" si="425"/>
        <v>0</v>
      </c>
      <c r="CS132" s="888"/>
      <c r="CU132" s="1340">
        <v>0</v>
      </c>
      <c r="CV132" s="878">
        <f t="shared" si="426"/>
        <v>0</v>
      </c>
      <c r="CW132" s="888"/>
      <c r="CY132" s="1340">
        <v>265</v>
      </c>
      <c r="CZ132" s="878">
        <f t="shared" si="427"/>
        <v>6.6482689412945311</v>
      </c>
      <c r="DA132" s="888"/>
      <c r="DC132" s="1340">
        <f>34-197</f>
        <v>-163</v>
      </c>
      <c r="DD132" s="878">
        <f t="shared" si="428"/>
        <v>-5.5688418175606422</v>
      </c>
      <c r="DE132" s="888"/>
      <c r="DG132" s="1340">
        <v>46</v>
      </c>
      <c r="DH132" s="878">
        <f t="shared" si="429"/>
        <v>1.6552716804605974</v>
      </c>
      <c r="DI132" s="888"/>
      <c r="DK132" s="1340">
        <f>12+34</f>
        <v>46</v>
      </c>
      <c r="DL132" s="878">
        <f t="shared" si="430"/>
        <v>1.6642547033285093</v>
      </c>
      <c r="DM132" s="888"/>
      <c r="DP132" s="1340">
        <v>0</v>
      </c>
      <c r="DQ132" s="878">
        <f t="shared" si="431"/>
        <v>0</v>
      </c>
      <c r="DR132" s="888"/>
      <c r="DU132" s="1340">
        <v>0</v>
      </c>
      <c r="DV132" s="878">
        <f t="shared" si="432"/>
        <v>0</v>
      </c>
      <c r="DW132" s="888"/>
      <c r="DZ132" s="1340">
        <v>0</v>
      </c>
      <c r="EA132" s="878">
        <f t="shared" si="433"/>
        <v>0</v>
      </c>
      <c r="EB132" s="888"/>
      <c r="EE132" s="1543">
        <v>0</v>
      </c>
      <c r="EF132" s="878">
        <f t="shared" si="434"/>
        <v>0</v>
      </c>
      <c r="EG132" s="888"/>
      <c r="EK132" s="888"/>
      <c r="EL132" s="888"/>
      <c r="EM132" s="888"/>
      <c r="EN132" s="888"/>
      <c r="EO132" s="888"/>
      <c r="EP132" s="888"/>
      <c r="EQ132" s="888"/>
      <c r="ER132" s="888"/>
      <c r="ES132" s="888"/>
      <c r="ET132" s="888"/>
      <c r="EU132" s="888"/>
      <c r="EV132" s="888"/>
      <c r="EW132" s="805"/>
      <c r="EX132" s="805"/>
    </row>
    <row r="133" spans="1:154" outlineLevel="1">
      <c r="A133" s="819" t="s">
        <v>143</v>
      </c>
      <c r="C133" s="845">
        <v>-57</v>
      </c>
      <c r="D133" s="878">
        <f t="shared" si="403"/>
        <v>-1.0830324909747291</v>
      </c>
      <c r="E133" s="869"/>
      <c r="G133" s="845">
        <v>-3</v>
      </c>
      <c r="H133" s="878">
        <f t="shared" si="404"/>
        <v>-5.7034220532319393E-2</v>
      </c>
      <c r="I133" s="869"/>
      <c r="K133" s="845">
        <v>-142</v>
      </c>
      <c r="L133" s="878">
        <f t="shared" si="405"/>
        <v>-2.6418604651162791</v>
      </c>
      <c r="M133" s="869"/>
      <c r="O133" s="845">
        <v>-67</v>
      </c>
      <c r="P133" s="878">
        <f t="shared" si="406"/>
        <v>-1.1010682004930157</v>
      </c>
      <c r="Q133" s="869"/>
      <c r="S133" s="845">
        <v>-73</v>
      </c>
      <c r="T133" s="878">
        <f t="shared" si="407"/>
        <v>-1.1548805568739124</v>
      </c>
      <c r="U133" s="869"/>
      <c r="W133" s="845">
        <v>-45</v>
      </c>
      <c r="X133" s="878">
        <f t="shared" si="408"/>
        <v>-0.67781292363307721</v>
      </c>
      <c r="Y133" s="869"/>
      <c r="AA133" s="845">
        <v>-63</v>
      </c>
      <c r="AB133" s="878">
        <f t="shared" si="409"/>
        <v>-0.9499396863691193</v>
      </c>
      <c r="AC133" s="869"/>
      <c r="AE133" s="845"/>
      <c r="AF133" s="891"/>
      <c r="AG133" s="869"/>
      <c r="AI133" s="845">
        <v>-45</v>
      </c>
      <c r="AJ133" s="878">
        <f t="shared" si="410"/>
        <v>-0.55174104953408543</v>
      </c>
      <c r="AK133" s="869"/>
      <c r="AM133" s="845">
        <v>-20</v>
      </c>
      <c r="AN133" s="878">
        <f t="shared" si="411"/>
        <v>-0.21019442984760903</v>
      </c>
      <c r="AO133" s="869"/>
      <c r="AQ133" s="845">
        <v>-48</v>
      </c>
      <c r="AR133" s="878">
        <f t="shared" si="412"/>
        <v>-0.52910052910052907</v>
      </c>
      <c r="AS133" s="869"/>
      <c r="AU133" s="845">
        <v>55</v>
      </c>
      <c r="AV133" s="878">
        <f t="shared" si="413"/>
        <v>0.5692992443846393</v>
      </c>
      <c r="AW133" s="869"/>
      <c r="AY133" s="845">
        <v>67</v>
      </c>
      <c r="AZ133" s="878">
        <f t="shared" si="414"/>
        <v>0.69988509349211325</v>
      </c>
      <c r="BA133" s="869"/>
      <c r="BC133" s="845">
        <v>61</v>
      </c>
      <c r="BD133" s="878">
        <f t="shared" si="415"/>
        <v>0.63927897715363657</v>
      </c>
      <c r="BE133" s="869"/>
      <c r="BG133" s="845">
        <v>84</v>
      </c>
      <c r="BH133" s="878">
        <f t="shared" si="416"/>
        <v>0.87967326421614833</v>
      </c>
      <c r="BI133" s="869"/>
      <c r="BK133" s="845">
        <v>0</v>
      </c>
      <c r="BL133" s="878">
        <f t="shared" si="417"/>
        <v>0</v>
      </c>
      <c r="BM133" s="869"/>
      <c r="BO133" s="845">
        <v>0</v>
      </c>
      <c r="BP133" s="878">
        <f t="shared" si="418"/>
        <v>0</v>
      </c>
      <c r="BQ133" s="869"/>
      <c r="BS133" s="845">
        <v>0</v>
      </c>
      <c r="BT133" s="878">
        <f t="shared" si="419"/>
        <v>0</v>
      </c>
      <c r="BU133" s="869"/>
      <c r="BW133" s="845">
        <v>-18</v>
      </c>
      <c r="BX133" s="878">
        <f t="shared" si="420"/>
        <v>-0.30226700251889166</v>
      </c>
      <c r="BY133" s="888"/>
      <c r="CA133" s="845">
        <v>-1</v>
      </c>
      <c r="CB133" s="878">
        <f t="shared" si="421"/>
        <v>-1.6121013354002622E-2</v>
      </c>
      <c r="CC133" s="888"/>
      <c r="CE133" s="845">
        <v>-16</v>
      </c>
      <c r="CF133" s="878">
        <f t="shared" si="422"/>
        <v>-0.23995200959808036</v>
      </c>
      <c r="CG133" s="888"/>
      <c r="CI133" s="845">
        <v>-7</v>
      </c>
      <c r="CJ133" s="878">
        <f t="shared" si="423"/>
        <v>-0.10954616588419405</v>
      </c>
      <c r="CK133" s="888"/>
      <c r="CM133" s="845">
        <v>1</v>
      </c>
      <c r="CN133" s="878">
        <f t="shared" si="424"/>
        <v>1.7363457265040336E-2</v>
      </c>
      <c r="CO133" s="888"/>
      <c r="CQ133" s="845">
        <v>0</v>
      </c>
      <c r="CR133" s="878">
        <f t="shared" si="425"/>
        <v>0</v>
      </c>
      <c r="CS133" s="888"/>
      <c r="CU133" s="1341">
        <v>0</v>
      </c>
      <c r="CV133" s="878">
        <f t="shared" si="426"/>
        <v>0</v>
      </c>
      <c r="CW133" s="888"/>
      <c r="CY133" s="1341">
        <v>361</v>
      </c>
      <c r="CZ133" s="878">
        <f t="shared" si="427"/>
        <v>6.654377880184331</v>
      </c>
      <c r="DA133" s="888"/>
      <c r="DC133" s="1341">
        <f>29</f>
        <v>29</v>
      </c>
      <c r="DD133" s="878">
        <f t="shared" si="428"/>
        <v>0.74665293511843456</v>
      </c>
      <c r="DE133" s="888"/>
      <c r="DG133" s="1341">
        <v>50</v>
      </c>
      <c r="DH133" s="878">
        <f t="shared" si="429"/>
        <v>1.3220518244315178</v>
      </c>
      <c r="DI133" s="888"/>
      <c r="DK133" s="1341">
        <v>48</v>
      </c>
      <c r="DL133" s="878">
        <f t="shared" si="430"/>
        <v>1.2329822758797844</v>
      </c>
      <c r="DM133" s="888"/>
      <c r="DP133" s="1341">
        <f>10+31</f>
        <v>41</v>
      </c>
      <c r="DQ133" s="878">
        <f t="shared" si="431"/>
        <v>1.0260260260260259</v>
      </c>
      <c r="DR133" s="888"/>
      <c r="DU133" s="1341">
        <v>9</v>
      </c>
      <c r="DV133" s="878">
        <f t="shared" si="432"/>
        <v>0.22721534965917697</v>
      </c>
      <c r="DW133" s="888"/>
      <c r="DZ133" s="1341">
        <f>8-2</f>
        <v>6</v>
      </c>
      <c r="EA133" s="878">
        <f t="shared" si="433"/>
        <v>0.14884644008930786</v>
      </c>
      <c r="EB133" s="888"/>
      <c r="EE133" s="1544">
        <v>0</v>
      </c>
      <c r="EF133" s="878">
        <f t="shared" si="434"/>
        <v>0</v>
      </c>
      <c r="EG133" s="888"/>
      <c r="EK133" s="888"/>
      <c r="EL133" s="888"/>
      <c r="EM133" s="888"/>
      <c r="EN133" s="888"/>
      <c r="EO133" s="888"/>
      <c r="EP133" s="888"/>
      <c r="EQ133" s="888"/>
      <c r="ER133" s="888"/>
      <c r="ES133" s="888"/>
      <c r="ET133" s="888"/>
      <c r="EU133" s="888"/>
      <c r="EV133" s="888"/>
      <c r="EW133" s="805"/>
      <c r="EX133" s="805"/>
    </row>
    <row r="134" spans="1:154" outlineLevel="1">
      <c r="A134" s="819" t="s">
        <v>144</v>
      </c>
      <c r="C134" s="591">
        <f>SUM(C130:C133)</f>
        <v>-74</v>
      </c>
      <c r="D134" s="878">
        <f t="shared" si="403"/>
        <v>-0.45954170030429115</v>
      </c>
      <c r="E134" s="869"/>
      <c r="G134" s="591">
        <f>SUM(G130:G133)</f>
        <v>-22</v>
      </c>
      <c r="H134" s="878">
        <f t="shared" si="404"/>
        <v>-0.1344332416743049</v>
      </c>
      <c r="I134" s="869"/>
      <c r="K134" s="591">
        <f>SUM(K130:K133)</f>
        <v>-182</v>
      </c>
      <c r="L134" s="878">
        <f t="shared" si="405"/>
        <v>-1.123387445219431</v>
      </c>
      <c r="M134" s="869"/>
      <c r="O134" s="591">
        <f>SUM(O130:O133)</f>
        <v>-157</v>
      </c>
      <c r="P134" s="878">
        <f t="shared" si="406"/>
        <v>-0.87178632905769338</v>
      </c>
      <c r="Q134" s="869"/>
      <c r="S134" s="591">
        <f>SUM(S130:S133)</f>
        <v>-185</v>
      </c>
      <c r="T134" s="878">
        <f t="shared" si="407"/>
        <v>-0.97455618184691573</v>
      </c>
      <c r="U134" s="869"/>
      <c r="W134" s="591">
        <f>SUM(W130:W133)</f>
        <v>-164</v>
      </c>
      <c r="X134" s="878">
        <f t="shared" si="408"/>
        <v>-0.80471050049067716</v>
      </c>
      <c r="Y134" s="869"/>
      <c r="AA134" s="591">
        <f>SUM(AA130:AA133)</f>
        <v>-211</v>
      </c>
      <c r="AB134" s="878">
        <f t="shared" si="409"/>
        <v>-1.0261647699640113</v>
      </c>
      <c r="AC134" s="869"/>
      <c r="AE134" s="591"/>
      <c r="AF134" s="891"/>
      <c r="AG134" s="869"/>
      <c r="AI134" s="591">
        <f>SUM(AI130:AI133)</f>
        <v>-223</v>
      </c>
      <c r="AJ134" s="878">
        <f t="shared" si="410"/>
        <v>-0.98446053328624405</v>
      </c>
      <c r="AK134" s="869"/>
      <c r="AM134" s="591">
        <f>SUM(AM130:AM133)</f>
        <v>-123</v>
      </c>
      <c r="AN134" s="878">
        <f t="shared" si="411"/>
        <v>-0.41721503873655075</v>
      </c>
      <c r="AO134" s="869"/>
      <c r="AQ134" s="591">
        <f>SUM(AQ130:AQ133)</f>
        <v>-133.5</v>
      </c>
      <c r="AR134" s="878">
        <f t="shared" si="412"/>
        <v>-0.45349548203002921</v>
      </c>
      <c r="AS134" s="869"/>
      <c r="AU134" s="591">
        <f>SUM(AU130:AU133)</f>
        <v>155</v>
      </c>
      <c r="AV134" s="878">
        <f t="shared" si="413"/>
        <v>0.48829663232838733</v>
      </c>
      <c r="AW134" s="869"/>
      <c r="AY134" s="591">
        <f>SUM(AY130:AY133)</f>
        <v>163</v>
      </c>
      <c r="AZ134" s="878">
        <f t="shared" si="414"/>
        <v>0.51183822144068325</v>
      </c>
      <c r="BA134" s="869"/>
      <c r="BC134" s="591">
        <f>SUM(BC130:BC133)</f>
        <v>176</v>
      </c>
      <c r="BD134" s="878">
        <f t="shared" si="415"/>
        <v>0.549931258592676</v>
      </c>
      <c r="BE134" s="869"/>
      <c r="BG134" s="591">
        <f>SUM(BG130:BG133)</f>
        <v>158</v>
      </c>
      <c r="BH134" s="878">
        <f t="shared" si="416"/>
        <v>0.48845333415772718</v>
      </c>
      <c r="BI134" s="869"/>
      <c r="BK134" s="591">
        <f>SUM(BK130:BK133)</f>
        <v>0</v>
      </c>
      <c r="BL134" s="878">
        <f t="shared" si="417"/>
        <v>0</v>
      </c>
      <c r="BM134" s="869"/>
      <c r="BO134" s="591">
        <f>SUM(BO130:BO133)</f>
        <v>0</v>
      </c>
      <c r="BP134" s="878">
        <f t="shared" si="418"/>
        <v>0</v>
      </c>
      <c r="BQ134" s="869"/>
      <c r="BS134" s="591">
        <f>SUM(BS130:BS133)</f>
        <v>0</v>
      </c>
      <c r="BT134" s="878">
        <f t="shared" si="419"/>
        <v>0</v>
      </c>
      <c r="BU134" s="869"/>
      <c r="BW134" s="591">
        <f>SUM(BW130:BW133)</f>
        <v>29</v>
      </c>
      <c r="BX134" s="878">
        <f t="shared" si="420"/>
        <v>0.16025641025641024</v>
      </c>
      <c r="BY134" s="888"/>
      <c r="CA134" s="591">
        <f>SUM(CA130:CA133)</f>
        <v>17</v>
      </c>
      <c r="CB134" s="878">
        <f t="shared" si="421"/>
        <v>9.0516607028646487E-2</v>
      </c>
      <c r="CC134" s="888"/>
      <c r="CE134" s="591">
        <f>SUM(CE130:CE133)</f>
        <v>-16</v>
      </c>
      <c r="CF134" s="878">
        <f t="shared" si="422"/>
        <v>-8.0381458248262955E-2</v>
      </c>
      <c r="CG134" s="888"/>
      <c r="CI134" s="591">
        <f>SUM(CI130:CI133)</f>
        <v>5</v>
      </c>
      <c r="CJ134" s="878">
        <f t="shared" si="423"/>
        <v>2.5180037266455155E-2</v>
      </c>
      <c r="CK134" s="888"/>
      <c r="CM134" s="591">
        <f>SUM(CM130:CM133)</f>
        <v>1</v>
      </c>
      <c r="CN134" s="878">
        <f t="shared" si="424"/>
        <v>5.4093432673318889E-3</v>
      </c>
      <c r="CO134" s="888"/>
      <c r="CQ134" s="591">
        <f>SUM(CQ130:CQ133)</f>
        <v>0</v>
      </c>
      <c r="CR134" s="878">
        <f t="shared" si="425"/>
        <v>0</v>
      </c>
      <c r="CS134" s="888"/>
      <c r="CU134" s="591">
        <f>SUM(CU130:CU133)</f>
        <v>20</v>
      </c>
      <c r="CV134" s="878">
        <f t="shared" si="426"/>
        <v>0.11261895376991947</v>
      </c>
      <c r="CW134" s="888"/>
      <c r="CY134" s="591">
        <f>SUM(CY130:CY133)</f>
        <v>658</v>
      </c>
      <c r="CZ134" s="878">
        <f t="shared" si="427"/>
        <v>3.812282734646582</v>
      </c>
      <c r="DA134" s="888"/>
      <c r="DC134" s="591">
        <f>SUM(DC130:DC133)</f>
        <v>-46</v>
      </c>
      <c r="DD134" s="878">
        <f t="shared" si="428"/>
        <v>-0.35425490951097421</v>
      </c>
      <c r="DE134" s="888"/>
      <c r="DG134" s="591">
        <f>SUM(DG130:DG133)</f>
        <v>329</v>
      </c>
      <c r="DH134" s="878">
        <f t="shared" si="429"/>
        <v>2.7742642718610337</v>
      </c>
      <c r="DI134" s="888"/>
      <c r="DK134" s="591">
        <f>SUM(DK130:DK133)</f>
        <v>121</v>
      </c>
      <c r="DL134" s="878">
        <f t="shared" si="430"/>
        <v>0.98719099290201529</v>
      </c>
      <c r="DM134" s="888"/>
      <c r="DP134" s="591">
        <f>SUM(DP130:DP133)</f>
        <v>41</v>
      </c>
      <c r="DQ134" s="878">
        <f t="shared" si="431"/>
        <v>0.32475247524752476</v>
      </c>
      <c r="DR134" s="888"/>
      <c r="DU134" s="591">
        <f>SUM(DU130:DU133)</f>
        <v>39</v>
      </c>
      <c r="DV134" s="878">
        <f t="shared" si="432"/>
        <v>0.31083127440822511</v>
      </c>
      <c r="DW134" s="888"/>
      <c r="DZ134" s="591">
        <f>SUM(DZ130:DZ133)</f>
        <v>41</v>
      </c>
      <c r="EA134" s="878">
        <f t="shared" si="433"/>
        <v>0.32784263553494325</v>
      </c>
      <c r="EB134" s="888"/>
      <c r="EE134" s="591">
        <f>SUM(EE130:EE133)</f>
        <v>0</v>
      </c>
      <c r="EF134" s="878">
        <f t="shared" si="434"/>
        <v>0</v>
      </c>
      <c r="EG134" s="888"/>
      <c r="EK134" s="888"/>
      <c r="EL134" s="888"/>
      <c r="EM134" s="888"/>
      <c r="EN134" s="888"/>
      <c r="EO134" s="888"/>
      <c r="EP134" s="888"/>
      <c r="EQ134" s="888"/>
      <c r="ER134" s="888"/>
      <c r="ES134" s="888"/>
      <c r="ET134" s="888"/>
      <c r="EU134" s="888"/>
      <c r="EV134" s="888"/>
      <c r="EW134" s="805"/>
      <c r="EX134" s="805"/>
    </row>
    <row r="135" spans="1:154" hidden="1" outlineLevel="2">
      <c r="A135" s="819" t="s">
        <v>145</v>
      </c>
      <c r="C135" s="706">
        <f>C130+C131</f>
        <v>-2</v>
      </c>
      <c r="D135" s="878">
        <f t="shared" si="403"/>
        <v>-2.9502876530461724E-2</v>
      </c>
      <c r="E135" s="869"/>
      <c r="G135" s="706">
        <f>G130+G131</f>
        <v>-21</v>
      </c>
      <c r="H135" s="878">
        <f t="shared" si="404"/>
        <v>-0.29535864978902954</v>
      </c>
      <c r="I135" s="869"/>
      <c r="K135" s="706">
        <f>K130+K131</f>
        <v>-26</v>
      </c>
      <c r="L135" s="878">
        <f t="shared" si="405"/>
        <v>-0.37741326752794307</v>
      </c>
      <c r="M135" s="869"/>
      <c r="O135" s="706">
        <f>O130+O131</f>
        <v>-57</v>
      </c>
      <c r="P135" s="878">
        <f t="shared" si="406"/>
        <v>-0.75178053284093904</v>
      </c>
      <c r="Q135" s="869"/>
      <c r="S135" s="706">
        <f>S130+S131</f>
        <v>-74</v>
      </c>
      <c r="T135" s="878">
        <f t="shared" si="407"/>
        <v>-0.93351835498927727</v>
      </c>
      <c r="U135" s="869"/>
      <c r="W135" s="706">
        <f>W130+W131</f>
        <v>-81</v>
      </c>
      <c r="X135" s="878">
        <f t="shared" si="408"/>
        <v>-0.94273743016759781</v>
      </c>
      <c r="Y135" s="869"/>
      <c r="AA135" s="706">
        <f>AA130+AA131</f>
        <v>-97</v>
      </c>
      <c r="AB135" s="878">
        <f t="shared" si="409"/>
        <v>-1.1020222676664395</v>
      </c>
      <c r="AC135" s="869"/>
      <c r="AE135" s="706"/>
      <c r="AF135" s="891"/>
      <c r="AG135" s="869"/>
      <c r="AI135" s="706">
        <f>AI130+AI131</f>
        <v>-124</v>
      </c>
      <c r="AJ135" s="878">
        <f t="shared" si="410"/>
        <v>-1.3840830449826991</v>
      </c>
      <c r="AK135" s="869"/>
      <c r="AM135" s="706">
        <f>AM130+AM131</f>
        <v>-68</v>
      </c>
      <c r="AN135" s="878">
        <f t="shared" si="411"/>
        <v>-0.52865217019490152</v>
      </c>
      <c r="AO135" s="869"/>
      <c r="AQ135" s="706">
        <f>AQ130+AQ131</f>
        <v>-42.5</v>
      </c>
      <c r="AR135" s="878">
        <f t="shared" si="412"/>
        <v>-0.32106972879051143</v>
      </c>
      <c r="AS135" s="869"/>
      <c r="AU135" s="706">
        <f>AU130+AU131</f>
        <v>69</v>
      </c>
      <c r="AV135" s="878">
        <f t="shared" si="413"/>
        <v>0.47774008170047777</v>
      </c>
      <c r="AW135" s="869"/>
      <c r="AY135" s="706">
        <f>AY130+AY131</f>
        <v>76</v>
      </c>
      <c r="AZ135" s="878">
        <f t="shared" si="414"/>
        <v>0.51577875805904316</v>
      </c>
      <c r="BA135" s="869"/>
      <c r="BC135" s="706">
        <f>BC130+BC131</f>
        <v>88</v>
      </c>
      <c r="BD135" s="878">
        <f t="shared" si="415"/>
        <v>0.59729858141586911</v>
      </c>
      <c r="BE135" s="869"/>
      <c r="BG135" s="706">
        <f>BG130+BG131</f>
        <v>56</v>
      </c>
      <c r="BH135" s="878">
        <f t="shared" si="416"/>
        <v>0.37518424226182501</v>
      </c>
      <c r="BI135" s="869"/>
      <c r="BK135" s="706">
        <f>BK130+BK131</f>
        <v>0</v>
      </c>
      <c r="BL135" s="878">
        <f t="shared" si="417"/>
        <v>0</v>
      </c>
      <c r="BM135" s="869"/>
      <c r="BO135" s="706">
        <f>BO130+BO131</f>
        <v>0</v>
      </c>
      <c r="BP135" s="878">
        <f t="shared" si="418"/>
        <v>0</v>
      </c>
      <c r="BQ135" s="869"/>
      <c r="BS135" s="706">
        <f>BS130+BS131</f>
        <v>0</v>
      </c>
      <c r="BT135" s="878">
        <f t="shared" si="419"/>
        <v>0</v>
      </c>
      <c r="BU135" s="869"/>
      <c r="BW135" s="706">
        <f>BW130+BW131</f>
        <v>0</v>
      </c>
      <c r="BX135" s="878">
        <f t="shared" si="420"/>
        <v>0</v>
      </c>
      <c r="BY135" s="888"/>
      <c r="CA135" s="706">
        <f>CA130+CA131</f>
        <v>18</v>
      </c>
      <c r="CB135" s="878">
        <f t="shared" si="421"/>
        <v>0.22224966045190764</v>
      </c>
      <c r="CC135" s="888"/>
      <c r="CE135" s="706">
        <f>CE130+CE131</f>
        <v>0</v>
      </c>
      <c r="CF135" s="878">
        <f t="shared" si="422"/>
        <v>0</v>
      </c>
      <c r="CG135" s="888"/>
      <c r="CI135" s="706">
        <f>CI130+CI131</f>
        <v>12</v>
      </c>
      <c r="CJ135" s="878">
        <f t="shared" si="423"/>
        <v>0.13731548232063165</v>
      </c>
      <c r="CK135" s="888"/>
      <c r="CM135" s="706">
        <f>CM130+CM131</f>
        <v>0</v>
      </c>
      <c r="CN135" s="878">
        <f t="shared" si="424"/>
        <v>0</v>
      </c>
      <c r="CO135" s="888"/>
      <c r="CQ135" s="706">
        <f>CQ130+CQ131</f>
        <v>0</v>
      </c>
      <c r="CR135" s="878">
        <f t="shared" si="425"/>
        <v>0</v>
      </c>
      <c r="CS135" s="888"/>
      <c r="CU135" s="706">
        <f>CU130+CU131</f>
        <v>20</v>
      </c>
      <c r="CV135" s="878">
        <f t="shared" si="426"/>
        <v>0.25422651582560063</v>
      </c>
      <c r="CW135" s="888"/>
      <c r="CY135" s="706">
        <f>CY130+CY131</f>
        <v>32</v>
      </c>
      <c r="CZ135" s="878">
        <f t="shared" si="427"/>
        <v>0.40769524780226779</v>
      </c>
      <c r="DA135" s="888"/>
      <c r="DC135" s="706">
        <f>DC130+DC131</f>
        <v>88</v>
      </c>
      <c r="DD135" s="878">
        <f t="shared" si="428"/>
        <v>1.4253320375769354</v>
      </c>
      <c r="DE135" s="888"/>
      <c r="DG135" s="706">
        <f>DG130+DG131</f>
        <v>233</v>
      </c>
      <c r="DH135" s="878">
        <f t="shared" si="429"/>
        <v>4.3978859947149864</v>
      </c>
      <c r="DI135" s="888"/>
      <c r="DK135" s="706">
        <f>DK130+DK131</f>
        <v>27</v>
      </c>
      <c r="DL135" s="878">
        <f t="shared" si="430"/>
        <v>0.4821428571428571</v>
      </c>
      <c r="DM135" s="888"/>
      <c r="DP135" s="706">
        <f>DP130+DP131</f>
        <v>0</v>
      </c>
      <c r="DQ135" s="878">
        <f t="shared" si="431"/>
        <v>0</v>
      </c>
      <c r="DR135" s="888"/>
      <c r="DU135" s="706">
        <f>DU130+DU131</f>
        <v>30</v>
      </c>
      <c r="DV135" s="878">
        <f t="shared" si="432"/>
        <v>0.52365159713737131</v>
      </c>
      <c r="DW135" s="888"/>
      <c r="DZ135" s="706">
        <f>DZ130+DZ131</f>
        <v>35</v>
      </c>
      <c r="EA135" s="878">
        <f t="shared" si="433"/>
        <v>0.61750176429075521</v>
      </c>
      <c r="EB135" s="888"/>
      <c r="EE135" s="706">
        <f>EE130+EE131</f>
        <v>0</v>
      </c>
      <c r="EF135" s="878">
        <f t="shared" si="434"/>
        <v>0</v>
      </c>
      <c r="EG135" s="888"/>
      <c r="EK135" s="888"/>
      <c r="EL135" s="888"/>
      <c r="EM135" s="888"/>
      <c r="EN135" s="888"/>
      <c r="EO135" s="888"/>
      <c r="EP135" s="888"/>
      <c r="EQ135" s="888"/>
      <c r="ER135" s="888"/>
      <c r="ES135" s="888"/>
      <c r="ET135" s="888"/>
      <c r="EU135" s="888"/>
      <c r="EV135" s="888"/>
      <c r="EW135" s="805"/>
      <c r="EX135" s="805"/>
    </row>
    <row r="136" spans="1:154" hidden="1" outlineLevel="2">
      <c r="A136" s="819" t="s">
        <v>146</v>
      </c>
      <c r="C136" s="706">
        <f>C130+C131+C132</f>
        <v>-17</v>
      </c>
      <c r="D136" s="878">
        <f t="shared" si="403"/>
        <v>-0.15682656826568267</v>
      </c>
      <c r="E136" s="869"/>
      <c r="G136" s="706">
        <f>G130+G131+G132</f>
        <v>-19</v>
      </c>
      <c r="H136" s="878">
        <f t="shared" si="404"/>
        <v>-0.17109410175596579</v>
      </c>
      <c r="I136" s="869"/>
      <c r="K136" s="706">
        <f>K130+K131+K132</f>
        <v>-40</v>
      </c>
      <c r="L136" s="878">
        <f t="shared" si="405"/>
        <v>-0.36948087936449286</v>
      </c>
      <c r="M136" s="869"/>
      <c r="O136" s="706">
        <f>O130+O131+O132</f>
        <v>-90</v>
      </c>
      <c r="P136" s="878">
        <f t="shared" si="406"/>
        <v>-0.75478027507547807</v>
      </c>
      <c r="Q136" s="869"/>
      <c r="S136" s="706">
        <f>S130+S131+S132</f>
        <v>-112</v>
      </c>
      <c r="T136" s="878">
        <f t="shared" si="407"/>
        <v>-0.88453640815037116</v>
      </c>
      <c r="U136" s="869"/>
      <c r="W136" s="706">
        <f>W130+W131+W132</f>
        <v>-119</v>
      </c>
      <c r="X136" s="878">
        <f t="shared" si="408"/>
        <v>-0.86602139582272042</v>
      </c>
      <c r="Y136" s="869"/>
      <c r="AA136" s="706">
        <f>AA130+AA131+AA132</f>
        <v>-148</v>
      </c>
      <c r="AB136" s="878">
        <f t="shared" si="409"/>
        <v>-1.0624551328068916</v>
      </c>
      <c r="AC136" s="869"/>
      <c r="AE136" s="706"/>
      <c r="AF136" s="891"/>
      <c r="AG136" s="869"/>
      <c r="AI136" s="706">
        <f>AI130+AI131+AI132</f>
        <v>-178</v>
      </c>
      <c r="AJ136" s="878">
        <f t="shared" si="410"/>
        <v>-1.2279249448123621</v>
      </c>
      <c r="AK136" s="869"/>
      <c r="AM136" s="706">
        <f>AM130+AM131+AM132</f>
        <v>-103</v>
      </c>
      <c r="AN136" s="878">
        <f t="shared" si="411"/>
        <v>-0.51587182338151472</v>
      </c>
      <c r="AO136" s="869"/>
      <c r="AQ136" s="706">
        <f>AQ130+AQ131+AQ132</f>
        <v>-85.5</v>
      </c>
      <c r="AR136" s="878">
        <f t="shared" si="412"/>
        <v>-0.4198173426298733</v>
      </c>
      <c r="AS136" s="869"/>
      <c r="AU136" s="706">
        <f>AU130+AU131+AU132</f>
        <v>100</v>
      </c>
      <c r="AV136" s="878">
        <f t="shared" si="413"/>
        <v>0.45285753102074083</v>
      </c>
      <c r="AW136" s="869"/>
      <c r="AY136" s="706">
        <f>AY130+AY131+AY132</f>
        <v>96</v>
      </c>
      <c r="AZ136" s="878">
        <f t="shared" si="414"/>
        <v>0.43101513042697437</v>
      </c>
      <c r="BA136" s="869"/>
      <c r="BC136" s="706">
        <f>BC130+BC131+BC132</f>
        <v>115</v>
      </c>
      <c r="BD136" s="878">
        <f t="shared" si="415"/>
        <v>0.5119757813195619</v>
      </c>
      <c r="BE136" s="869"/>
      <c r="BG136" s="706">
        <f>BG130+BG131+BG132</f>
        <v>74</v>
      </c>
      <c r="BH136" s="878">
        <f t="shared" si="416"/>
        <v>0.32458987630493902</v>
      </c>
      <c r="BI136" s="869"/>
      <c r="BK136" s="706">
        <f>BK130+BK131+BK132</f>
        <v>0</v>
      </c>
      <c r="BL136" s="878">
        <f t="shared" si="417"/>
        <v>0</v>
      </c>
      <c r="BM136" s="869"/>
      <c r="BO136" s="706">
        <f>BO130+BO131+BO132</f>
        <v>0</v>
      </c>
      <c r="BP136" s="878">
        <f t="shared" si="418"/>
        <v>0</v>
      </c>
      <c r="BQ136" s="869"/>
      <c r="BS136" s="706">
        <f>BS130+BS131+BS132</f>
        <v>0</v>
      </c>
      <c r="BT136" s="878">
        <f t="shared" si="419"/>
        <v>0</v>
      </c>
      <c r="BU136" s="869"/>
      <c r="BW136" s="706">
        <f>BW130+BW131+BW132</f>
        <v>47</v>
      </c>
      <c r="BX136" s="878">
        <f t="shared" si="420"/>
        <v>0.38711802981632487</v>
      </c>
      <c r="BY136" s="888"/>
      <c r="CA136" s="706">
        <f>CA130+CA131+CA132</f>
        <v>18</v>
      </c>
      <c r="CB136" s="878">
        <f t="shared" si="421"/>
        <v>0.14310701224359992</v>
      </c>
      <c r="CC136" s="888"/>
      <c r="CE136" s="706">
        <f>CE130+CE131+CE132</f>
        <v>0</v>
      </c>
      <c r="CF136" s="878">
        <f t="shared" si="422"/>
        <v>0</v>
      </c>
      <c r="CG136" s="888"/>
      <c r="CI136" s="706">
        <f>CI130+CI131+CI132</f>
        <v>12</v>
      </c>
      <c r="CJ136" s="878">
        <f t="shared" si="423"/>
        <v>8.910670527957229E-2</v>
      </c>
      <c r="CK136" s="888"/>
      <c r="CM136" s="706">
        <f>CM130+CM131+CM132</f>
        <v>0</v>
      </c>
      <c r="CN136" s="878">
        <f t="shared" si="424"/>
        <v>0</v>
      </c>
      <c r="CO136" s="888"/>
      <c r="CQ136" s="706">
        <f>CQ130+CQ131+CQ132</f>
        <v>0</v>
      </c>
      <c r="CR136" s="878">
        <f t="shared" si="425"/>
        <v>0</v>
      </c>
      <c r="CS136" s="888"/>
      <c r="CU136" s="706">
        <f>CU130+CU131+CU132</f>
        <v>20</v>
      </c>
      <c r="CV136" s="878">
        <f t="shared" si="426"/>
        <v>0.16589250165892502</v>
      </c>
      <c r="CW136" s="888"/>
      <c r="CY136" s="706">
        <f>CY130+CY131+CY132</f>
        <v>297</v>
      </c>
      <c r="CZ136" s="878">
        <f t="shared" si="427"/>
        <v>2.5095057034220534</v>
      </c>
      <c r="DA136" s="888"/>
      <c r="DC136" s="706">
        <f>DC130+DC131+DC132</f>
        <v>-75</v>
      </c>
      <c r="DD136" s="878">
        <f t="shared" si="428"/>
        <v>-0.82408526535545545</v>
      </c>
      <c r="DE136" s="888"/>
      <c r="DG136" s="706">
        <f>DG130+DG131+DG132</f>
        <v>279</v>
      </c>
      <c r="DH136" s="878">
        <f t="shared" si="429"/>
        <v>3.4542528166398414</v>
      </c>
      <c r="DI136" s="888"/>
      <c r="DK136" s="706">
        <f>DK130+DK131+DK132</f>
        <v>73</v>
      </c>
      <c r="DL136" s="878">
        <f t="shared" si="430"/>
        <v>0.87278813964610236</v>
      </c>
      <c r="DM136" s="888"/>
      <c r="DP136" s="706">
        <f>DP130+DP131+DP132</f>
        <v>0</v>
      </c>
      <c r="DQ136" s="878">
        <f t="shared" si="431"/>
        <v>0</v>
      </c>
      <c r="DR136" s="888"/>
      <c r="DU136" s="706">
        <f>DU130+DU131+DU132</f>
        <v>30</v>
      </c>
      <c r="DV136" s="878">
        <f t="shared" si="432"/>
        <v>0.34940600978336828</v>
      </c>
      <c r="DW136" s="888"/>
      <c r="DZ136" s="706">
        <f>DZ130+DZ131+DZ132</f>
        <v>35</v>
      </c>
      <c r="EA136" s="878">
        <f t="shared" si="433"/>
        <v>0.41297935103244837</v>
      </c>
      <c r="EB136" s="888"/>
      <c r="EE136" s="706">
        <f>EE130+EE131+EE132</f>
        <v>0</v>
      </c>
      <c r="EF136" s="878">
        <f t="shared" si="434"/>
        <v>0</v>
      </c>
      <c r="EG136" s="888"/>
      <c r="EK136" s="888"/>
      <c r="EL136" s="888"/>
      <c r="EM136" s="888"/>
      <c r="EN136" s="888"/>
      <c r="EO136" s="888"/>
      <c r="EP136" s="888"/>
      <c r="EQ136" s="888"/>
      <c r="ER136" s="888"/>
      <c r="ES136" s="888"/>
      <c r="ET136" s="888"/>
      <c r="EU136" s="888"/>
      <c r="EV136" s="888"/>
      <c r="EW136" s="805"/>
      <c r="EX136" s="805"/>
    </row>
    <row r="137" spans="1:154" outlineLevel="1" collapsed="1">
      <c r="C137" s="706"/>
      <c r="D137" s="687"/>
      <c r="E137" s="687"/>
      <c r="G137" s="706"/>
      <c r="H137" s="687"/>
      <c r="I137" s="687"/>
      <c r="K137" s="706"/>
      <c r="L137" s="687"/>
      <c r="M137" s="687"/>
      <c r="O137" s="706"/>
      <c r="S137" s="706"/>
      <c r="W137" s="706"/>
      <c r="AA137" s="706"/>
      <c r="AE137" s="706"/>
      <c r="AI137" s="706"/>
      <c r="AM137" s="706"/>
      <c r="AQ137" s="706"/>
      <c r="AU137" s="706"/>
      <c r="AY137" s="706"/>
      <c r="BC137" s="706"/>
      <c r="BG137" s="706"/>
      <c r="BK137" s="706"/>
      <c r="BO137" s="706"/>
      <c r="BS137" s="706"/>
      <c r="BW137" s="706"/>
      <c r="CA137" s="706"/>
      <c r="CE137" s="706"/>
      <c r="CI137" s="706"/>
      <c r="CM137" s="706"/>
      <c r="CQ137" s="706"/>
      <c r="CU137" s="706"/>
      <c r="CY137" s="706"/>
      <c r="EK137" s="888"/>
      <c r="EL137" s="888"/>
      <c r="EM137" s="888"/>
      <c r="EN137" s="888"/>
      <c r="EO137" s="888"/>
      <c r="EW137" s="805"/>
      <c r="EX137" s="805"/>
    </row>
    <row r="138" spans="1:154" outlineLevel="1">
      <c r="A138" s="816" t="s">
        <v>33</v>
      </c>
      <c r="C138" s="706"/>
      <c r="D138" s="687"/>
      <c r="E138" s="687"/>
      <c r="G138" s="706"/>
      <c r="H138" s="687"/>
      <c r="I138" s="687"/>
      <c r="K138" s="706"/>
      <c r="L138" s="687"/>
      <c r="M138" s="687"/>
      <c r="O138" s="706"/>
      <c r="S138" s="706"/>
      <c r="W138" s="706"/>
      <c r="AA138" s="706"/>
      <c r="AE138" s="706"/>
      <c r="AI138" s="706"/>
      <c r="AM138" s="706"/>
      <c r="AQ138" s="706"/>
      <c r="AU138" s="706"/>
      <c r="AY138" s="706"/>
      <c r="BC138" s="706"/>
      <c r="BG138" s="706"/>
      <c r="BK138" s="706"/>
      <c r="BO138" s="706"/>
      <c r="BS138" s="706"/>
      <c r="BW138" s="706"/>
      <c r="CA138" s="706"/>
      <c r="CE138" s="706"/>
      <c r="CI138" s="706"/>
      <c r="CM138" s="706"/>
      <c r="CQ138" s="706"/>
      <c r="CY138" s="706"/>
      <c r="DG138" s="818" t="s">
        <v>33</v>
      </c>
      <c r="DP138" s="1585" t="str">
        <f>DG138</f>
        <v>12. Pretax Income (Loss) (% Margin / % Change)</v>
      </c>
      <c r="DQ138" s="1585"/>
      <c r="DR138" s="1585"/>
      <c r="DS138" s="1585"/>
      <c r="DT138" s="1585"/>
      <c r="DU138" s="1585"/>
      <c r="DV138" s="1585"/>
      <c r="DW138" s="1585"/>
      <c r="EK138" s="888"/>
      <c r="EL138" s="888"/>
      <c r="EM138" s="888"/>
      <c r="EN138" s="888"/>
      <c r="EO138" s="888"/>
      <c r="EW138" s="805"/>
      <c r="EX138" s="805"/>
    </row>
    <row r="139" spans="1:154" outlineLevel="1">
      <c r="C139" s="706"/>
      <c r="D139" s="687"/>
      <c r="E139" s="687"/>
      <c r="G139" s="706"/>
      <c r="H139" s="687"/>
      <c r="I139" s="687"/>
      <c r="K139" s="706"/>
      <c r="L139" s="687"/>
      <c r="M139" s="687"/>
      <c r="O139" s="706"/>
      <c r="S139" s="706"/>
      <c r="W139" s="706"/>
      <c r="AA139" s="706"/>
      <c r="AE139" s="706"/>
      <c r="AI139" s="706"/>
      <c r="AM139" s="706"/>
      <c r="AQ139" s="706"/>
      <c r="AU139" s="706"/>
      <c r="AY139" s="706"/>
      <c r="BC139" s="706"/>
      <c r="BG139" s="706"/>
      <c r="BK139" s="706"/>
      <c r="BO139" s="706"/>
      <c r="BS139" s="706"/>
      <c r="BW139" s="706"/>
      <c r="CA139" s="706"/>
      <c r="CE139" s="706"/>
      <c r="CI139" s="706"/>
      <c r="CM139" s="706"/>
      <c r="CQ139" s="706"/>
      <c r="CU139" s="706"/>
      <c r="CY139" s="706"/>
      <c r="EW139" s="805"/>
      <c r="EX139" s="805"/>
    </row>
    <row r="140" spans="1:154" outlineLevel="1">
      <c r="A140" s="819" t="s">
        <v>140</v>
      </c>
      <c r="C140" s="591">
        <f>C10-C20-C80-C90-C120-C130</f>
        <v>219</v>
      </c>
      <c r="D140" s="878">
        <f t="shared" ref="D140:D146" si="435">C140/C10*100</f>
        <v>6.5549236755462443</v>
      </c>
      <c r="E140" s="887" t="s">
        <v>24</v>
      </c>
      <c r="G140" s="591">
        <f>G10-G20-G80-G90-G120-G130</f>
        <v>230</v>
      </c>
      <c r="H140" s="878">
        <f t="shared" ref="H140:H146" si="436">G140/G10*100</f>
        <v>6.5155807365439093</v>
      </c>
      <c r="I140" s="822">
        <f t="shared" ref="I140:I146" si="437">(G140/C140-1)*100</f>
        <v>5.0228310502283158</v>
      </c>
      <c r="K140" s="591">
        <f>K10-K20-K80-K90-K120-K130</f>
        <v>127</v>
      </c>
      <c r="L140" s="878">
        <f t="shared" ref="L140:L146" si="438">K140/K10*100</f>
        <v>3.6993882901252553</v>
      </c>
      <c r="M140" s="822">
        <f t="shared" ref="M140:M146" si="439">(K140/G140-1)*100</f>
        <v>-44.782608695652172</v>
      </c>
      <c r="O140" s="591">
        <f>O10-O20-O80-O90-O120-O130</f>
        <v>219</v>
      </c>
      <c r="P140" s="878">
        <f t="shared" ref="P140:P146" si="440">O140/O10*100</f>
        <v>5.7737938307408383</v>
      </c>
      <c r="Q140" s="822">
        <f t="shared" ref="Q140:Q146" si="441">(O140/K140-1)*100</f>
        <v>72.440944881889763</v>
      </c>
      <c r="S140" s="591">
        <f>S10-S20-S80-S90-S120-S130</f>
        <v>276</v>
      </c>
      <c r="T140" s="878">
        <f t="shared" ref="T140:T146" si="442">S140/S10*100</f>
        <v>6.9626639757820383</v>
      </c>
      <c r="U140" s="822">
        <f t="shared" ref="U140:U146" si="443">(S140/O140-1)*100</f>
        <v>26.027397260273965</v>
      </c>
      <c r="W140" s="591">
        <f>W10-W20-W80-W90-W120-W130</f>
        <v>363</v>
      </c>
      <c r="X140" s="878">
        <f t="shared" ref="X140:X146" si="444">W140/W10*100</f>
        <v>8.3448275862068968</v>
      </c>
      <c r="Y140" s="822">
        <f t="shared" ref="Y140:Y146" si="445">(W140/S140-1)*100</f>
        <v>31.521739130434788</v>
      </c>
      <c r="AA140" s="591">
        <f>AA10-AA20-AA80-AA90-AA120-AA130</f>
        <v>253</v>
      </c>
      <c r="AB140" s="878">
        <f t="shared" ref="AB140:AB146" si="446">AA140/AA10*100</f>
        <v>5.7934508816120909</v>
      </c>
      <c r="AC140" s="822">
        <f t="shared" ref="AC140:AC146" si="447">(AA140/W140-1)*100</f>
        <v>-30.303030303030297</v>
      </c>
      <c r="AE140" s="591">
        <f>AE10-AE20-AE80-AE90-AE120-AE130</f>
        <v>269</v>
      </c>
      <c r="AF140" s="878">
        <f t="shared" ref="AF140:AF146" si="448">AE140/AE10*100</f>
        <v>4.4418758256274771</v>
      </c>
      <c r="AG140" s="822">
        <f t="shared" ref="AG140:AG146" si="449">(AE140/AA140-1)*100</f>
        <v>6.3241106719367668</v>
      </c>
      <c r="AI140" s="591">
        <f>AI10-AI20-AI80-AI90-AI120-AI130</f>
        <v>227</v>
      </c>
      <c r="AJ140" s="878">
        <f t="shared" ref="AJ140:AJ146" si="450">AI140/AI10*100</f>
        <v>5.0988319856244386</v>
      </c>
      <c r="AK140" s="822">
        <f t="shared" ref="AK140:AK146" si="451">(AI140/AE140-1)*100</f>
        <v>-15.613382899628247</v>
      </c>
      <c r="AM140" s="591">
        <f>AM10-AM20-AM80-AM90-AM120-AM130</f>
        <v>226</v>
      </c>
      <c r="AN140" s="878">
        <f t="shared" ref="AN140:AN146" si="452">AM140/AM10*100</f>
        <v>3.4891081160360029</v>
      </c>
      <c r="AO140" s="822">
        <f t="shared" ref="AO140:AO146" si="453">(AM140/AI140-1)*100</f>
        <v>-0.4405286343612369</v>
      </c>
      <c r="AQ140" s="591">
        <f>AQ10-AQ20-AQ80-AQ90-AQ120-AQ130</f>
        <v>284.54737665669109</v>
      </c>
      <c r="AR140" s="878">
        <f t="shared" ref="AR140:AR146" si="454">AQ140/AQ10*100</f>
        <v>4.212396397582399</v>
      </c>
      <c r="AS140" s="822">
        <f t="shared" ref="AS140:AS146" si="455">(AQ140/AM140-1)*100</f>
        <v>25.905918874642065</v>
      </c>
      <c r="AU140" s="591">
        <f>AU10-AU20-AU80-AU90-AU120-AU130</f>
        <v>211</v>
      </c>
      <c r="AV140" s="878">
        <f t="shared" ref="AV140:AV146" si="456">AU140/AU10*100</f>
        <v>2.8750510968796839</v>
      </c>
      <c r="AW140" s="822">
        <f t="shared" ref="AW140:AW146" si="457">(AU140/AQ140-1)*100</f>
        <v>-25.847146271682774</v>
      </c>
      <c r="AY140" s="591">
        <f>AY10-AY20-AY80-AY90-AY120-AY130</f>
        <v>73</v>
      </c>
      <c r="AZ140" s="878">
        <f t="shared" ref="AZ140:AZ146" si="458">AY140/AY10*100</f>
        <v>0.96971307120085004</v>
      </c>
      <c r="BA140" s="822">
        <f t="shared" ref="BA140:BA146" si="459">(AY140/AU140-1)*100</f>
        <v>-65.402843601895739</v>
      </c>
      <c r="BC140" s="591">
        <f>BC10-BC20-BC80-BC90-BC120-BC130</f>
        <v>53</v>
      </c>
      <c r="BD140" s="878">
        <f t="shared" ref="BD140:BD146" si="460">BC140/BC10*100</f>
        <v>0.70459984046796065</v>
      </c>
      <c r="BE140" s="822">
        <f t="shared" ref="BE140:BE146" si="461">(BC140/AY140-1)*100</f>
        <v>-27.397260273972602</v>
      </c>
      <c r="BG140" s="591">
        <f>BG10-BG20-BG80-BG90-BG120-BG130</f>
        <v>137</v>
      </c>
      <c r="BH140" s="878">
        <f t="shared" ref="BH140:BH146" si="462">BG140/BG10*100</f>
        <v>1.7727743271221532</v>
      </c>
      <c r="BI140" s="822">
        <f t="shared" ref="BI140:BI146" si="463">(BG140/BC140-1)*100</f>
        <v>158.49056603773585</v>
      </c>
      <c r="BK140" s="591">
        <f>BK10-BK20-BK80-BK90-BK120-BK130</f>
        <v>80</v>
      </c>
      <c r="BL140" s="878">
        <f t="shared" ref="BL140:BL146" si="464">BK140/BK10*100</f>
        <v>1.9757964929612251</v>
      </c>
      <c r="BM140" s="822">
        <f t="shared" ref="BM140:BM146" si="465">(AY140/BG140-1)*100</f>
        <v>-46.715328467153284</v>
      </c>
      <c r="BO140" s="591">
        <f>BO10-BO20-BO80-BO90-BO120-BO130</f>
        <v>95</v>
      </c>
      <c r="BP140" s="878">
        <f t="shared" ref="BP140:BP146" si="466">BO140/BO10*100</f>
        <v>2.3809523809523809</v>
      </c>
      <c r="BQ140" s="822">
        <f>(BO140/BK140-1)*100</f>
        <v>18.75</v>
      </c>
      <c r="BS140" s="591">
        <f>BS10-BS20-BS80-BS90-BS120-BS130</f>
        <v>31</v>
      </c>
      <c r="BT140" s="878">
        <f t="shared" ref="BT140:BT146" si="467">BS140/BS10*100</f>
        <v>0.84491687108203872</v>
      </c>
      <c r="BU140" s="822">
        <f t="shared" ref="BU140:BU146" si="468">(BS140/BO140-1)*100</f>
        <v>-67.368421052631575</v>
      </c>
      <c r="BW140" s="591">
        <f>BW10-BW20-BW80-BW90-BW120-BW130</f>
        <v>178</v>
      </c>
      <c r="BX140" s="878">
        <f t="shared" ref="BX140:BX146" si="469">BW140/BW10*100</f>
        <v>4.4813695871097678</v>
      </c>
      <c r="BY140" s="822">
        <f t="shared" ref="BY140:BY146" si="470">(BW140/BS140-1)*100</f>
        <v>474.19354838709683</v>
      </c>
      <c r="CA140" s="591">
        <f>CA10-CA20-CA80-CA90-CA120-CA130</f>
        <v>268</v>
      </c>
      <c r="CB140" s="878">
        <f t="shared" ref="CB140:CB146" si="471">CA140/CA10*100</f>
        <v>6.5080135988343866</v>
      </c>
      <c r="CC140" s="822">
        <f t="shared" ref="CC140:CC146" si="472">(CA140/BW140-1)*100</f>
        <v>50.561797752808978</v>
      </c>
      <c r="CE140" s="591">
        <f>CE10-CE20-CE80-CE90-CE120-CE130</f>
        <v>347</v>
      </c>
      <c r="CF140" s="878">
        <f t="shared" ref="CF140:CF146" si="473">CE140/CE10*100</f>
        <v>8.2246977956861809</v>
      </c>
      <c r="CG140" s="822">
        <f t="shared" ref="CG140:CG146" si="474">(CE140/CA140-1)*100</f>
        <v>29.477611940298498</v>
      </c>
      <c r="CI140" s="591">
        <f>CI10-CI20-CI80-CI90-CI120-CI130</f>
        <v>386</v>
      </c>
      <c r="CJ140" s="878">
        <f t="shared" ref="CJ140:CJ146" si="475">CI140/CI10*100</f>
        <v>8.8756035870315007</v>
      </c>
      <c r="CK140" s="822">
        <f t="shared" ref="CK140:CK146" si="476">(CI140/CE140-1)*100</f>
        <v>11.239193083573484</v>
      </c>
      <c r="CM140" s="591">
        <f>CM10-CM20-CM80-CM90-CM120-CM130</f>
        <v>195</v>
      </c>
      <c r="CN140" s="878">
        <f t="shared" ref="CN140:CN146" si="477">CM140/CM10*100</f>
        <v>4.7249818269929733</v>
      </c>
      <c r="CO140" s="822">
        <f t="shared" ref="CO140:CO146" si="478">(CM140/CI140-1)*100</f>
        <v>-49.481865284974091</v>
      </c>
      <c r="CQ140" s="591">
        <f>CQ10-CQ20-CQ80-CQ90-CQ120-CQ130</f>
        <v>43</v>
      </c>
      <c r="CR140" s="878">
        <f t="shared" ref="CR140:CR146" si="479">CQ140/CQ10*100</f>
        <v>1.1064123976119149</v>
      </c>
      <c r="CS140" s="822">
        <f t="shared" ref="CS140:CS146" si="480">(CQ140/CM140-1)*100</f>
        <v>-77.948717948717956</v>
      </c>
      <c r="CU140" s="591">
        <f>CU10-CU20-CU80-CU90-CU120-CU130</f>
        <v>96</v>
      </c>
      <c r="CV140" s="878">
        <f t="shared" ref="CV140:CV146" si="481">CU140/CU10*100</f>
        <v>2.4433698142020872</v>
      </c>
      <c r="CW140" s="822">
        <f t="shared" ref="CW140:CW146" si="482">(CU140/CQ140-1)*100</f>
        <v>123.25581395348837</v>
      </c>
      <c r="CY140" s="591">
        <f>CY10-CY20-CY80-CY90-CY120-CY130</f>
        <v>103</v>
      </c>
      <c r="CZ140" s="878">
        <f t="shared" ref="CZ140:CZ146" si="483">CY140/CY10*100</f>
        <v>2.6122241947755516</v>
      </c>
      <c r="DA140" s="822">
        <f t="shared" ref="DA140:DA146" si="484">(CY140/CU140-1)*100</f>
        <v>7.2916666666666741</v>
      </c>
      <c r="DC140" s="591">
        <f>DC10-DC20-DC80-DC90-DC120-DC130</f>
        <v>-282</v>
      </c>
      <c r="DD140" s="878">
        <f t="shared" ref="DD140:DD146" si="485">DC140/DC10*100</f>
        <v>-8.9467005076142136</v>
      </c>
      <c r="DE140" s="822">
        <f t="shared" ref="DE140:DE146" si="486">(DC140/CY140-1)*100</f>
        <v>-373.78640776699029</v>
      </c>
      <c r="DG140" s="591">
        <f>DG10-DG20-DG80-DG90-DG120-DG130</f>
        <v>-547</v>
      </c>
      <c r="DH140" s="878">
        <f t="shared" ref="DH140:DH146" si="487">DG140/DG10*100</f>
        <v>-20.759013282732447</v>
      </c>
      <c r="DI140" s="822">
        <f t="shared" ref="DI140:DI146" si="488">(DG140/DC140-1)*100</f>
        <v>93.971631205673759</v>
      </c>
      <c r="DK140" s="591">
        <f>DK10-DK20-DK80-DK90-DK120-DK130</f>
        <v>-344</v>
      </c>
      <c r="DL140" s="878">
        <f t="shared" ref="DL140:DL146" si="489">DK140/DK10*100</f>
        <v>-12.281328097108176</v>
      </c>
      <c r="DM140" s="822">
        <f t="shared" ref="DM140:DM146" si="490">(DK140/DG140-1)*100</f>
        <v>-37.111517367458866</v>
      </c>
      <c r="DP140" s="591">
        <f>DP10-DP20-DP80-DP90-DP120-DP130</f>
        <v>-146.75</v>
      </c>
      <c r="DQ140" s="878">
        <f t="shared" ref="DQ140:DQ146" si="491">DP140/DP10*100</f>
        <v>-5.1365068253412671</v>
      </c>
      <c r="DR140" s="822">
        <f t="shared" ref="DR140:DR146" si="492">(DP140/DK140-1)*100</f>
        <v>-57.340116279069761</v>
      </c>
      <c r="DU140" s="591">
        <f>DU10-DU20-DU80-DU90-DU120-DU130</f>
        <v>-69</v>
      </c>
      <c r="DV140" s="878">
        <f t="shared" ref="DV140:DV146" si="493">DU140/DU10*100</f>
        <v>-2.454642475987193</v>
      </c>
      <c r="DW140" s="822">
        <f t="shared" ref="DW140:DW146" si="494">(DU140/DP140-1)*100</f>
        <v>-52.981260647359463</v>
      </c>
      <c r="DZ140" s="591">
        <f>DZ10-DZ20-DZ80-DZ90-DZ120-DZ130</f>
        <v>27</v>
      </c>
      <c r="EA140" s="878">
        <f t="shared" ref="EA140:EA146" si="495">DZ140/DZ10*100</f>
        <v>0.99778270509977818</v>
      </c>
      <c r="EB140" s="822">
        <f t="shared" ref="EB140:EB146" si="496">(DZ140/DU140-1)*100</f>
        <v>-139.13043478260869</v>
      </c>
      <c r="EE140" s="591">
        <f>EE10-EE20-EE80-EE90-EE120-EE130</f>
        <v>-55.229263999999944</v>
      </c>
      <c r="EF140" s="878">
        <f t="shared" ref="EF140:EF146" si="497">EE140/EE10*100</f>
        <v>-2.0741796309315621</v>
      </c>
      <c r="EG140" s="822">
        <f t="shared" ref="EG140:EG146" si="498">(EE140/DZ140-1)*100</f>
        <v>-304.5528296296294</v>
      </c>
      <c r="EI140" s="398">
        <f>24+2+5+4</f>
        <v>35</v>
      </c>
      <c r="EP140" s="822"/>
      <c r="EQ140" s="822"/>
      <c r="ER140" s="822"/>
      <c r="ES140" s="822"/>
      <c r="ET140" s="822"/>
      <c r="EU140" s="822"/>
      <c r="EV140" s="822"/>
      <c r="EW140" s="805"/>
      <c r="EX140" s="805"/>
    </row>
    <row r="141" spans="1:154" outlineLevel="1">
      <c r="A141" s="819" t="s">
        <v>141</v>
      </c>
      <c r="C141" s="706">
        <f>C11-C21-C81-C91-C121-C131</f>
        <v>142</v>
      </c>
      <c r="D141" s="878">
        <f t="shared" si="435"/>
        <v>4.1303083187899947</v>
      </c>
      <c r="E141" s="887" t="s">
        <v>24</v>
      </c>
      <c r="G141" s="706">
        <f>G11-G21-G81-G91-G121-G131</f>
        <v>124</v>
      </c>
      <c r="H141" s="878">
        <f t="shared" si="436"/>
        <v>3.4636871508379885</v>
      </c>
      <c r="I141" s="822">
        <f t="shared" si="437"/>
        <v>-12.676056338028175</v>
      </c>
      <c r="K141" s="706">
        <f>K11-K21-K81-K91-K121-K131</f>
        <v>49</v>
      </c>
      <c r="L141" s="878">
        <f t="shared" si="438"/>
        <v>1.4178240740740742</v>
      </c>
      <c r="M141" s="822">
        <f t="shared" si="439"/>
        <v>-60.483870967741936</v>
      </c>
      <c r="O141" s="706">
        <f>O11-O21-O81-O91-O121-O131</f>
        <v>131</v>
      </c>
      <c r="P141" s="878">
        <f t="shared" si="440"/>
        <v>3.4573766165215098</v>
      </c>
      <c r="Q141" s="822">
        <f t="shared" si="441"/>
        <v>167.34693877551021</v>
      </c>
      <c r="S141" s="706">
        <f>S11-S21-S81-S91-S121-S131</f>
        <v>181</v>
      </c>
      <c r="T141" s="878">
        <f t="shared" si="442"/>
        <v>4.5672470350744385</v>
      </c>
      <c r="U141" s="822">
        <f t="shared" si="443"/>
        <v>38.167938931297705</v>
      </c>
      <c r="W141" s="706">
        <f>W11-W21-W81-W91-W121-W131</f>
        <v>215</v>
      </c>
      <c r="X141" s="878">
        <f t="shared" si="444"/>
        <v>5.0683639792550679</v>
      </c>
      <c r="Y141" s="822">
        <f t="shared" si="445"/>
        <v>18.784530386740329</v>
      </c>
      <c r="AA141" s="706">
        <f>AA11-AA21-AA81-AA91-AA121-AA131</f>
        <v>186</v>
      </c>
      <c r="AB141" s="878">
        <f t="shared" si="446"/>
        <v>4.1939120631341602</v>
      </c>
      <c r="AC141" s="822">
        <f t="shared" si="447"/>
        <v>-13.48837209302326</v>
      </c>
      <c r="AE141" s="706">
        <f>AE11-AE21-AE81-AE91-AE121-AE131</f>
        <v>202</v>
      </c>
      <c r="AF141" s="878">
        <f t="shared" si="448"/>
        <v>3.3593879926825214</v>
      </c>
      <c r="AG141" s="822">
        <f t="shared" si="449"/>
        <v>8.602150537634401</v>
      </c>
      <c r="AI141" s="706">
        <f>AI11-AI21-AI81-AI91-AI121-AI131</f>
        <v>150</v>
      </c>
      <c r="AJ141" s="878">
        <f t="shared" si="450"/>
        <v>3.3281562014643882</v>
      </c>
      <c r="AK141" s="822">
        <f t="shared" si="451"/>
        <v>-25.742574257425744</v>
      </c>
      <c r="AM141" s="706">
        <f>AM11-AM21-AM81-AM91-AM121-AM131</f>
        <v>171</v>
      </c>
      <c r="AN141" s="878">
        <f t="shared" si="452"/>
        <v>2.6779002756201451</v>
      </c>
      <c r="AO141" s="822">
        <f t="shared" si="453"/>
        <v>13.999999999999989</v>
      </c>
      <c r="AQ141" s="706">
        <f>AQ11-AQ21-AQ81-AQ91-AQ121-AQ131</f>
        <v>159</v>
      </c>
      <c r="AR141" s="878">
        <f t="shared" si="454"/>
        <v>2.4529466214131443</v>
      </c>
      <c r="AS141" s="822">
        <f t="shared" si="455"/>
        <v>-7.0175438596491224</v>
      </c>
      <c r="AU141" s="706">
        <f>AU11-AU21-AU81-AU91-AU121-AU131</f>
        <v>118</v>
      </c>
      <c r="AV141" s="878">
        <f t="shared" si="456"/>
        <v>1.6610360360360361</v>
      </c>
      <c r="AW141" s="822">
        <f t="shared" si="457"/>
        <v>-25.786163522012583</v>
      </c>
      <c r="AY141" s="706">
        <f>AY11-AY21-AY81-AY91-AY121-AY131</f>
        <v>-48</v>
      </c>
      <c r="AZ141" s="878">
        <f t="shared" si="458"/>
        <v>-0.66601914805050644</v>
      </c>
      <c r="BA141" s="822">
        <f t="shared" si="459"/>
        <v>-140.67796610169492</v>
      </c>
      <c r="BC141" s="706">
        <f>BC11-BC21-BC81-BC91-BC121-BC131</f>
        <v>-74</v>
      </c>
      <c r="BD141" s="878">
        <f t="shared" si="460"/>
        <v>-1.0262099570101233</v>
      </c>
      <c r="BE141" s="822">
        <f t="shared" si="461"/>
        <v>54.166666666666671</v>
      </c>
      <c r="BG141" s="706">
        <f>BG11-BG21-BG81-BG91-BG121-BG131</f>
        <v>-11</v>
      </c>
      <c r="BH141" s="878">
        <f t="shared" si="462"/>
        <v>-0.15282022784106697</v>
      </c>
      <c r="BI141" s="822">
        <f t="shared" si="463"/>
        <v>-85.13513513513513</v>
      </c>
      <c r="BK141" s="706">
        <f>BK11-BK21-BK81-BK91-BK121-BK131</f>
        <v>-62</v>
      </c>
      <c r="BL141" s="878">
        <f t="shared" si="464"/>
        <v>-1.6137428422696511</v>
      </c>
      <c r="BM141" s="822">
        <f t="shared" si="465"/>
        <v>336.36363636363632</v>
      </c>
      <c r="BO141" s="706">
        <f>BO11-BO21-BO81-BO91-BO121-BO131</f>
        <v>-32</v>
      </c>
      <c r="BP141" s="878">
        <f t="shared" si="466"/>
        <v>-0.88741430212352701</v>
      </c>
      <c r="BQ141" s="822">
        <f>(BO141/BK141-1)*100</f>
        <v>-48.387096774193552</v>
      </c>
      <c r="BS141" s="706">
        <f>BS11-BS21-BS81-BS91-BS121-BS131</f>
        <v>-7</v>
      </c>
      <c r="BT141" s="878">
        <f t="shared" si="467"/>
        <v>-0.19564002235885969</v>
      </c>
      <c r="BU141" s="822">
        <f t="shared" si="468"/>
        <v>-78.125</v>
      </c>
      <c r="BW141" s="706">
        <f>BW11-BW21-BW81-BW91-BW121-BW131</f>
        <v>106</v>
      </c>
      <c r="BX141" s="878">
        <f t="shared" si="469"/>
        <v>2.8057173107464268</v>
      </c>
      <c r="BY141" s="822">
        <f t="shared" si="470"/>
        <v>-1614.2857142857142</v>
      </c>
      <c r="CA141" s="706">
        <f>CA11-CA21-CA81-CA91-CA121-CA131</f>
        <v>182</v>
      </c>
      <c r="CB141" s="878">
        <f t="shared" si="471"/>
        <v>4.5717156493343385</v>
      </c>
      <c r="CC141" s="822">
        <f t="shared" si="472"/>
        <v>71.698113207547181</v>
      </c>
      <c r="CE141" s="706">
        <f>CE11-CE21-CE81-CE91-CE121-CE131</f>
        <v>247</v>
      </c>
      <c r="CF141" s="878">
        <f t="shared" si="473"/>
        <v>5.8294753377791544</v>
      </c>
      <c r="CG141" s="822">
        <f t="shared" si="474"/>
        <v>35.714285714285722</v>
      </c>
      <c r="CI141" s="706">
        <f>CI11-CI21-CI81-CI91-CI121-CI131</f>
        <v>279.07000000000016</v>
      </c>
      <c r="CJ141" s="878">
        <f t="shared" si="475"/>
        <v>6.3569476082004597</v>
      </c>
      <c r="CK141" s="822">
        <f t="shared" si="476"/>
        <v>12.983805668016268</v>
      </c>
      <c r="CM141" s="706">
        <f>CM11-CM21-CM81-CM91-CM121-CM131</f>
        <v>188.0595000000003</v>
      </c>
      <c r="CN141" s="878">
        <f t="shared" si="477"/>
        <v>4.391352190484259</v>
      </c>
      <c r="CO141" s="822">
        <f t="shared" si="478"/>
        <v>-32.612068656609381</v>
      </c>
      <c r="CQ141" s="706">
        <f>CQ11-CQ21-CQ81-CQ91-CQ121-CQ131</f>
        <v>-1</v>
      </c>
      <c r="CR141" s="878">
        <f t="shared" si="479"/>
        <v>-2.536364993539561E-2</v>
      </c>
      <c r="CS141" s="822">
        <f t="shared" si="480"/>
        <v>-100.53174660147452</v>
      </c>
      <c r="CU141" s="706">
        <f>CU11-CU21-CU81-CU91-CU121-CU131</f>
        <v>18</v>
      </c>
      <c r="CV141" s="878">
        <f t="shared" si="481"/>
        <v>0.45708481462671408</v>
      </c>
      <c r="CW141" s="822">
        <f t="shared" si="482"/>
        <v>-1900</v>
      </c>
      <c r="CY141" s="706">
        <f>CY11-CY21-CY81-CY91-CY121-CY131</f>
        <v>24.321626926322097</v>
      </c>
      <c r="CZ141" s="878">
        <f t="shared" si="483"/>
        <v>0.62267350041787239</v>
      </c>
      <c r="DA141" s="822">
        <f t="shared" si="484"/>
        <v>35.120149590678309</v>
      </c>
      <c r="DC141" s="706">
        <f>DC11-DC21-DC81-DC91-DC121-DC131</f>
        <v>-241</v>
      </c>
      <c r="DD141" s="878">
        <f t="shared" si="485"/>
        <v>-7.9748510919920577</v>
      </c>
      <c r="DE141" s="822">
        <f t="shared" si="486"/>
        <v>-1090.8876603118092</v>
      </c>
      <c r="DG141" s="706">
        <f>DG11-DG21-DG81-DG91-DG121-DG131</f>
        <v>-604</v>
      </c>
      <c r="DH141" s="878">
        <f t="shared" si="487"/>
        <v>-22.681186631618473</v>
      </c>
      <c r="DI141" s="822">
        <f t="shared" si="488"/>
        <v>150.62240663900414</v>
      </c>
      <c r="DK141" s="706">
        <f>DK11-DK21-DK81-DK91-DK121-DK131</f>
        <v>-176</v>
      </c>
      <c r="DL141" s="878">
        <f t="shared" si="489"/>
        <v>-6.2879599857091826</v>
      </c>
      <c r="DM141" s="822">
        <f t="shared" si="490"/>
        <v>-70.860927152317885</v>
      </c>
      <c r="DP141" s="706">
        <f>DP11-DP21-DP81-DP91-DP121-DP131</f>
        <v>-141</v>
      </c>
      <c r="DQ141" s="878">
        <f t="shared" si="491"/>
        <v>-4.9043478260869566</v>
      </c>
      <c r="DR141" s="822">
        <f t="shared" si="492"/>
        <v>-19.886363636363637</v>
      </c>
      <c r="DU141" s="706">
        <f>DU11-DU21-DU81-DU91-DU121-DU131</f>
        <v>-51</v>
      </c>
      <c r="DV141" s="878">
        <f t="shared" si="493"/>
        <v>-1.7477724468814255</v>
      </c>
      <c r="DW141" s="822">
        <f t="shared" si="494"/>
        <v>-63.829787234042556</v>
      </c>
      <c r="DZ141" s="706">
        <f>DZ11-DZ21-DZ81-DZ91-DZ121-DZ131</f>
        <v>-52.999999999999545</v>
      </c>
      <c r="EA141" s="878">
        <f t="shared" si="495"/>
        <v>-1.7893315327481274</v>
      </c>
      <c r="EB141" s="822">
        <f t="shared" si="496"/>
        <v>3.9215686274500783</v>
      </c>
      <c r="EE141" s="706">
        <f>EE11-EE21-EE81-EE91-EE121-EE131</f>
        <v>36.46926400000018</v>
      </c>
      <c r="EF141" s="878">
        <f t="shared" si="497"/>
        <v>1.2411671494848788</v>
      </c>
      <c r="EG141" s="822">
        <f t="shared" si="498"/>
        <v>-168.8099320754726</v>
      </c>
      <c r="EI141" s="398">
        <f>EI140-6</f>
        <v>29</v>
      </c>
      <c r="EP141" s="822"/>
      <c r="EQ141" s="822"/>
      <c r="ER141" s="822"/>
      <c r="ES141" s="822"/>
      <c r="ET141" s="822"/>
      <c r="EU141" s="822"/>
      <c r="EV141" s="822"/>
      <c r="EW141" s="805"/>
      <c r="EX141" s="805"/>
    </row>
    <row r="142" spans="1:154" outlineLevel="1">
      <c r="A142" s="819" t="s">
        <v>142</v>
      </c>
      <c r="C142" s="706">
        <f>C12-C22-C82-C92-C122-C132</f>
        <v>309</v>
      </c>
      <c r="D142" s="878">
        <f t="shared" si="435"/>
        <v>7.6089633095296723</v>
      </c>
      <c r="E142" s="887" t="s">
        <v>24</v>
      </c>
      <c r="G142" s="706">
        <f>G12-G22-G82-G92-G122-G132</f>
        <v>188</v>
      </c>
      <c r="H142" s="878">
        <f t="shared" si="436"/>
        <v>4.7058823529411766</v>
      </c>
      <c r="I142" s="822">
        <f t="shared" si="437"/>
        <v>-39.158576051779939</v>
      </c>
      <c r="K142" s="706">
        <f>K12-K22-K82-K92-K122-K132</f>
        <v>185</v>
      </c>
      <c r="L142" s="878">
        <f t="shared" si="438"/>
        <v>4.6990093980187959</v>
      </c>
      <c r="M142" s="822">
        <f t="shared" si="439"/>
        <v>-1.5957446808510634</v>
      </c>
      <c r="O142" s="706">
        <f>O12-O22-O82-O92-O122-O132</f>
        <v>303</v>
      </c>
      <c r="P142" s="878">
        <f t="shared" si="440"/>
        <v>6.978350990327038</v>
      </c>
      <c r="Q142" s="822">
        <f t="shared" si="441"/>
        <v>63.783783783783775</v>
      </c>
      <c r="S142" s="706">
        <f>S12-S22-S82-S92-S122-S132</f>
        <v>394</v>
      </c>
      <c r="T142" s="878">
        <f t="shared" si="442"/>
        <v>8.3210137275607181</v>
      </c>
      <c r="U142" s="822">
        <f t="shared" si="443"/>
        <v>30.03300330033003</v>
      </c>
      <c r="W142" s="706">
        <f>W12-W22-W82-W92-W122-W132</f>
        <v>447</v>
      </c>
      <c r="X142" s="878">
        <f t="shared" si="444"/>
        <v>8.6812973392891823</v>
      </c>
      <c r="Y142" s="822">
        <f t="shared" si="445"/>
        <v>13.451776649746193</v>
      </c>
      <c r="AA142" s="706">
        <f>AA12-AA22-AA82-AA92-AA122-AA132</f>
        <v>384</v>
      </c>
      <c r="AB142" s="878">
        <f t="shared" si="446"/>
        <v>7.48829953198128</v>
      </c>
      <c r="AC142" s="822">
        <f t="shared" si="447"/>
        <v>-14.093959731543626</v>
      </c>
      <c r="AE142" s="706">
        <f>AE12-AE22-AE82-AE92-AE122-AE132</f>
        <v>470</v>
      </c>
      <c r="AF142" s="878">
        <f t="shared" si="448"/>
        <v>6.6846821220310044</v>
      </c>
      <c r="AG142" s="822">
        <f t="shared" si="449"/>
        <v>22.395833333333325</v>
      </c>
      <c r="AI142" s="706">
        <f>AI12-AI22-AI82-AI92-AI122-AI132</f>
        <v>411</v>
      </c>
      <c r="AJ142" s="878">
        <f t="shared" si="450"/>
        <v>7.4227921256998366</v>
      </c>
      <c r="AK142" s="822">
        <f t="shared" si="451"/>
        <v>-12.553191489361703</v>
      </c>
      <c r="AM142" s="706">
        <f>AM12-AM22-AM82-AM92-AM122-AM132</f>
        <v>372</v>
      </c>
      <c r="AN142" s="878">
        <f t="shared" si="452"/>
        <v>5.2370025199555137</v>
      </c>
      <c r="AO142" s="822">
        <f t="shared" si="453"/>
        <v>-9.4890510948905096</v>
      </c>
      <c r="AQ142" s="706">
        <f>AQ12-AQ22-AQ82-AQ92-AQ122-AQ132</f>
        <v>304</v>
      </c>
      <c r="AR142" s="878">
        <f t="shared" si="454"/>
        <v>4.2642726890166927</v>
      </c>
      <c r="AS142" s="822">
        <f t="shared" si="455"/>
        <v>-18.279569892473113</v>
      </c>
      <c r="AU142" s="706">
        <f>AU12-AU22-AU82-AU92-AU122-AU132</f>
        <v>148</v>
      </c>
      <c r="AV142" s="878">
        <f t="shared" si="456"/>
        <v>1.9374263647074224</v>
      </c>
      <c r="AW142" s="822">
        <f t="shared" si="457"/>
        <v>-51.315789473684205</v>
      </c>
      <c r="AY142" s="706">
        <f>AY12-AY22-AY82-AY92-AY122-AY132</f>
        <v>-99</v>
      </c>
      <c r="AZ142" s="878">
        <f t="shared" si="458"/>
        <v>-1.3133457150437782</v>
      </c>
      <c r="BA142" s="822">
        <f t="shared" si="459"/>
        <v>-166.89189189189187</v>
      </c>
      <c r="BC142" s="706">
        <f>BC12-BC22-BC82-BC92-BC122-BC132</f>
        <v>70</v>
      </c>
      <c r="BD142" s="878">
        <f t="shared" si="460"/>
        <v>0.9056799068443524</v>
      </c>
      <c r="BE142" s="822">
        <f t="shared" si="461"/>
        <v>-170.70707070707073</v>
      </c>
      <c r="BG142" s="706">
        <f>BG12-BG22-BG82-BG92-BG122-BG132</f>
        <v>140</v>
      </c>
      <c r="BH142" s="878">
        <f t="shared" si="462"/>
        <v>1.7784552845528454</v>
      </c>
      <c r="BI142" s="822">
        <f t="shared" si="463"/>
        <v>100</v>
      </c>
      <c r="BK142" s="706">
        <f>BK12-BK22-BK82-BK92-BK122-BK132</f>
        <v>78</v>
      </c>
      <c r="BL142" s="878">
        <f t="shared" si="464"/>
        <v>1.7947537965945699</v>
      </c>
      <c r="BM142" s="822">
        <f t="shared" si="465"/>
        <v>-170.71428571428572</v>
      </c>
      <c r="BO142" s="706">
        <f>BO12-BO22-BO82-BO92-BO122-BO132</f>
        <v>108</v>
      </c>
      <c r="BP142" s="878">
        <f t="shared" si="466"/>
        <v>2.5151374010246856</v>
      </c>
      <c r="BQ142" s="822">
        <f>(BO142/BK142-1)*100</f>
        <v>38.46153846153846</v>
      </c>
      <c r="BS142" s="706">
        <f>BS12-BS22-BS82-BS92-BS122-BS132</f>
        <v>140</v>
      </c>
      <c r="BT142" s="878">
        <f t="shared" si="467"/>
        <v>3.2802249297094659</v>
      </c>
      <c r="BU142" s="822">
        <f t="shared" si="468"/>
        <v>29.629629629629626</v>
      </c>
      <c r="BW142" s="706">
        <f>BW12-BW22-BW82-BW92-BW122-BW132</f>
        <v>227</v>
      </c>
      <c r="BX142" s="878">
        <f t="shared" si="469"/>
        <v>5.1696652243224772</v>
      </c>
      <c r="BY142" s="822">
        <f t="shared" si="470"/>
        <v>62.142857142857146</v>
      </c>
      <c r="CA142" s="706">
        <f>CA12-CA22-CA82-CA92-CA122-CA132</f>
        <v>365</v>
      </c>
      <c r="CB142" s="878">
        <f t="shared" si="471"/>
        <v>8.1491404331323949</v>
      </c>
      <c r="CC142" s="822">
        <f t="shared" si="472"/>
        <v>60.792951541850229</v>
      </c>
      <c r="CE142" s="706">
        <f>CE12-CE22-CE82-CE92-CE122-CE132</f>
        <v>468</v>
      </c>
      <c r="CF142" s="878">
        <f t="shared" si="473"/>
        <v>9.7887471240326285</v>
      </c>
      <c r="CG142" s="822">
        <f t="shared" si="474"/>
        <v>28.219178082191789</v>
      </c>
      <c r="CI142" s="706">
        <f>CI12-CI22-CI82-CI92-CI122-CI132</f>
        <v>369</v>
      </c>
      <c r="CJ142" s="878">
        <f t="shared" si="475"/>
        <v>7.8045685279187813</v>
      </c>
      <c r="CK142" s="822">
        <f t="shared" si="476"/>
        <v>-21.153846153846157</v>
      </c>
      <c r="CM142" s="706">
        <f>CM12-CM22-CM82-CM92-CM122-CM132</f>
        <v>191.80967741935393</v>
      </c>
      <c r="CN142" s="878">
        <f t="shared" si="477"/>
        <v>4.4422863391433225</v>
      </c>
      <c r="CO142" s="822">
        <f t="shared" si="478"/>
        <v>-48.019057609931181</v>
      </c>
      <c r="CQ142" s="706">
        <f>CQ12-CQ22-CQ82-CQ92-CQ122-CQ132</f>
        <v>43</v>
      </c>
      <c r="CR142" s="878">
        <f t="shared" si="479"/>
        <v>1.0286111317681543</v>
      </c>
      <c r="CS142" s="822">
        <f t="shared" si="480"/>
        <v>-77.581944467802316</v>
      </c>
      <c r="CU142" s="706">
        <f>CU12-CU22-CU82-CU92-CU122-CU132</f>
        <v>67</v>
      </c>
      <c r="CV142" s="878">
        <f t="shared" si="481"/>
        <v>1.599427070899976</v>
      </c>
      <c r="CW142" s="822">
        <f t="shared" si="482"/>
        <v>55.813953488372107</v>
      </c>
      <c r="CY142" s="706">
        <f>CY12-CY22-CY82-CY92-CY122-CY132</f>
        <v>-226</v>
      </c>
      <c r="CZ142" s="878">
        <f t="shared" si="483"/>
        <v>-5.6698444555945811</v>
      </c>
      <c r="DA142" s="822">
        <f t="shared" si="484"/>
        <v>-437.31343283582083</v>
      </c>
      <c r="DC142" s="706">
        <f>DC12-DC22-DC82-DC92-DC122-DC132</f>
        <v>-211</v>
      </c>
      <c r="DD142" s="878">
        <f t="shared" si="485"/>
        <v>-7.2087461564742048</v>
      </c>
      <c r="DE142" s="822">
        <f t="shared" si="486"/>
        <v>-6.6371681415929196</v>
      </c>
      <c r="DG142" s="706">
        <f>DG12-DG22-DG82-DG92-DG122-DG132</f>
        <v>-500</v>
      </c>
      <c r="DH142" s="878">
        <f t="shared" si="487"/>
        <v>-17.992083483267361</v>
      </c>
      <c r="DI142" s="822">
        <f t="shared" si="488"/>
        <v>136.96682464454977</v>
      </c>
      <c r="DK142" s="706">
        <f>DK12-DK22-DK82-DK92-DK122-DK132</f>
        <v>-191</v>
      </c>
      <c r="DL142" s="878">
        <f t="shared" si="489"/>
        <v>-6.910274963820549</v>
      </c>
      <c r="DM142" s="822">
        <f t="shared" si="490"/>
        <v>-61.8</v>
      </c>
      <c r="DP142" s="706">
        <f>DP12-DP22-DP82-DP92-DP122-DP132</f>
        <v>-147</v>
      </c>
      <c r="DQ142" s="878">
        <f t="shared" si="491"/>
        <v>-5.0742147048671038</v>
      </c>
      <c r="DR142" s="822">
        <f t="shared" si="492"/>
        <v>-23.03664921465969</v>
      </c>
      <c r="DU142" s="706">
        <f>DU12-DU22-DU82-DU92-DU122-DU132</f>
        <v>-64</v>
      </c>
      <c r="DV142" s="878">
        <f t="shared" si="493"/>
        <v>-2.2401120056002801</v>
      </c>
      <c r="DW142" s="822">
        <f t="shared" si="494"/>
        <v>-56.4625850340136</v>
      </c>
      <c r="DZ142" s="706">
        <f>DZ12-DZ22-DZ82-DZ92-DZ122-DZ132</f>
        <v>-155</v>
      </c>
      <c r="EA142" s="878">
        <f t="shared" si="495"/>
        <v>-5.5219095119344495</v>
      </c>
      <c r="EB142" s="822">
        <f t="shared" si="496"/>
        <v>142.1875</v>
      </c>
      <c r="EE142" s="706">
        <f>EE12-EE22-EE82-EE92-EE122-EE132</f>
        <v>-43.332539999999995</v>
      </c>
      <c r="EF142" s="878">
        <f t="shared" si="497"/>
        <v>-1.5882010142193017</v>
      </c>
      <c r="EG142" s="822">
        <f t="shared" si="498"/>
        <v>-72.043522580645174</v>
      </c>
      <c r="EI142" s="398">
        <f>68+EI141</f>
        <v>97</v>
      </c>
      <c r="EK142" s="822"/>
      <c r="EL142" s="822"/>
      <c r="EM142" s="822"/>
      <c r="EN142" s="822"/>
      <c r="EO142" s="822"/>
      <c r="EP142" s="822"/>
      <c r="EQ142" s="822"/>
      <c r="ER142" s="822"/>
      <c r="ES142" s="822"/>
      <c r="ET142" s="822"/>
      <c r="EU142" s="822"/>
      <c r="EV142" s="822"/>
      <c r="EW142" s="805"/>
      <c r="EX142" s="805"/>
    </row>
    <row r="143" spans="1:154" outlineLevel="1">
      <c r="A143" s="819" t="s">
        <v>143</v>
      </c>
      <c r="C143" s="769">
        <f>C13-C23-C83-C93-C123-C133</f>
        <v>532</v>
      </c>
      <c r="D143" s="878">
        <f t="shared" si="435"/>
        <v>10.108303249097473</v>
      </c>
      <c r="E143" s="887" t="s">
        <v>24</v>
      </c>
      <c r="G143" s="769">
        <f>G13-G23-G83-G93-G123-G133</f>
        <v>290</v>
      </c>
      <c r="H143" s="878">
        <f t="shared" si="436"/>
        <v>5.5133079847908748</v>
      </c>
      <c r="I143" s="822">
        <f t="shared" si="437"/>
        <v>-45.488721804511279</v>
      </c>
      <c r="K143" s="769">
        <f>K13-K23-K83-K93-K123-K133</f>
        <v>502</v>
      </c>
      <c r="L143" s="878">
        <f t="shared" si="438"/>
        <v>9.3395348837209298</v>
      </c>
      <c r="M143" s="822">
        <f t="shared" si="439"/>
        <v>73.103448275862064</v>
      </c>
      <c r="O143" s="769">
        <f>O13-O23-O83-O93-O123-O133</f>
        <v>606</v>
      </c>
      <c r="P143" s="878">
        <f t="shared" si="440"/>
        <v>9.9589153656532456</v>
      </c>
      <c r="Q143" s="822">
        <f t="shared" si="441"/>
        <v>20.717131474103589</v>
      </c>
      <c r="S143" s="769">
        <f>S13-S23-S83-S93-S123-S133</f>
        <v>703</v>
      </c>
      <c r="T143" s="878">
        <f t="shared" si="442"/>
        <v>11.121657965511785</v>
      </c>
      <c r="U143" s="822">
        <f t="shared" si="443"/>
        <v>16.006600660066006</v>
      </c>
      <c r="W143" s="769">
        <f>W13-W23-W83-W93-W123-W133</f>
        <v>674</v>
      </c>
      <c r="X143" s="878">
        <f t="shared" si="444"/>
        <v>10.152131345082092</v>
      </c>
      <c r="Y143" s="822">
        <f t="shared" si="445"/>
        <v>-4.1251778093883367</v>
      </c>
      <c r="AA143" s="769">
        <f>AA13-AA23-AA83-AA93-AA123-AA133</f>
        <v>518.20000000000005</v>
      </c>
      <c r="AB143" s="878">
        <f t="shared" si="446"/>
        <v>7.8136308805790113</v>
      </c>
      <c r="AC143" s="822">
        <f t="shared" si="447"/>
        <v>-23.115727002967358</v>
      </c>
      <c r="AE143" s="769">
        <f>AE13-AE23-AE83-AE93-AE123-AE133</f>
        <v>546</v>
      </c>
      <c r="AF143" s="878">
        <f t="shared" si="448"/>
        <v>6.1128526645768027</v>
      </c>
      <c r="AG143" s="822">
        <f t="shared" si="449"/>
        <v>5.3647240447703526</v>
      </c>
      <c r="AI143" s="769">
        <f>AI13-AI23-AI83-AI93-AI123-AI133</f>
        <v>475</v>
      </c>
      <c r="AJ143" s="878">
        <f t="shared" si="450"/>
        <v>5.8239333006375675</v>
      </c>
      <c r="AK143" s="822">
        <f t="shared" si="451"/>
        <v>-13.003663003663002</v>
      </c>
      <c r="AM143" s="769">
        <f>AM13-AM23-AM83-AM93-AM123-AM133</f>
        <v>534</v>
      </c>
      <c r="AN143" s="878">
        <f t="shared" si="452"/>
        <v>5.6121912769311608</v>
      </c>
      <c r="AO143" s="822">
        <f t="shared" si="453"/>
        <v>12.421052631578956</v>
      </c>
      <c r="AQ143" s="769">
        <f>AQ13-AQ23-AQ83-AQ93-AQ123-AQ133</f>
        <v>300</v>
      </c>
      <c r="AR143" s="878">
        <f t="shared" si="454"/>
        <v>3.3068783068783065</v>
      </c>
      <c r="AS143" s="822">
        <f t="shared" si="455"/>
        <v>-43.82022471910112</v>
      </c>
      <c r="AU143" s="769">
        <f>AU13-AU23-AU83-AU93-AU123-AU133</f>
        <v>109</v>
      </c>
      <c r="AV143" s="878">
        <f t="shared" si="456"/>
        <v>1.1282475934168306</v>
      </c>
      <c r="AW143" s="822">
        <f t="shared" si="457"/>
        <v>-63.666666666666671</v>
      </c>
      <c r="AY143" s="769">
        <f>AY13-AY23-AY83-AY93-AY123-AY133</f>
        <v>-61</v>
      </c>
      <c r="AZ143" s="878">
        <f t="shared" si="458"/>
        <v>-0.63720881646296879</v>
      </c>
      <c r="BA143" s="822">
        <f t="shared" si="459"/>
        <v>-155.96330275229357</v>
      </c>
      <c r="BC143" s="769">
        <f>BC13-BC23-BC83-BC93-BC123-BC133</f>
        <v>177</v>
      </c>
      <c r="BD143" s="878">
        <f t="shared" si="460"/>
        <v>1.8549570320687487</v>
      </c>
      <c r="BE143" s="822">
        <f t="shared" si="461"/>
        <v>-390.1639344262295</v>
      </c>
      <c r="BG143" s="769">
        <f>BG13-BG23-BG83-BG93-BG123-BG133</f>
        <v>318</v>
      </c>
      <c r="BH143" s="878">
        <f t="shared" si="462"/>
        <v>3.3301916431039897</v>
      </c>
      <c r="BI143" s="822">
        <f t="shared" si="463"/>
        <v>79.661016949152554</v>
      </c>
      <c r="BK143" s="769">
        <f>BK13-BK23-BK83-BK93-BK123-BK133</f>
        <v>178</v>
      </c>
      <c r="BL143" s="878">
        <f t="shared" si="464"/>
        <v>3.0401366353543979</v>
      </c>
      <c r="BM143" s="822">
        <f t="shared" si="465"/>
        <v>-119.18238993710692</v>
      </c>
      <c r="BO143" s="769">
        <f>BO13-BO23-BO83-BO93-BO123-BO133</f>
        <v>244</v>
      </c>
      <c r="BP143" s="878">
        <f t="shared" si="466"/>
        <v>4.2486505310813163</v>
      </c>
      <c r="BQ143" s="822">
        <f>(BO143/BK143-1)*100</f>
        <v>37.078651685393261</v>
      </c>
      <c r="BS143" s="769">
        <f>BS13-BS23-BS83-BS93-BS123-BS133</f>
        <v>375</v>
      </c>
      <c r="BT143" s="878">
        <f t="shared" si="467"/>
        <v>6.2520840280093362</v>
      </c>
      <c r="BU143" s="822">
        <f t="shared" si="468"/>
        <v>53.688524590163937</v>
      </c>
      <c r="BW143" s="769">
        <f>BW13-BW23-BW83-BW93-BW123-BW133</f>
        <v>494</v>
      </c>
      <c r="BX143" s="878">
        <f t="shared" si="469"/>
        <v>8.2955499580184728</v>
      </c>
      <c r="BY143" s="822">
        <f t="shared" si="470"/>
        <v>31.733333333333324</v>
      </c>
      <c r="CA143" s="769">
        <f>CA13-CA23-CA83-CA93-CA123-CA133</f>
        <v>629.08399999999983</v>
      </c>
      <c r="CB143" s="878">
        <f t="shared" si="471"/>
        <v>10.141471564789382</v>
      </c>
      <c r="CC143" s="822">
        <f t="shared" si="472"/>
        <v>27.344939271255029</v>
      </c>
      <c r="CE143" s="769">
        <f>CE13-CE23-CE83-CE93-CE123-CE133</f>
        <v>732</v>
      </c>
      <c r="CF143" s="878">
        <f t="shared" si="473"/>
        <v>10.977804439112179</v>
      </c>
      <c r="CG143" s="822">
        <f t="shared" si="474"/>
        <v>16.359659441346498</v>
      </c>
      <c r="CI143" s="769">
        <f>CI13-CI23-CI83-CI93-CI123-CI133</f>
        <v>686</v>
      </c>
      <c r="CJ143" s="878">
        <f t="shared" si="475"/>
        <v>10.735524256651017</v>
      </c>
      <c r="CK143" s="822">
        <f t="shared" si="476"/>
        <v>-6.2841530054644767</v>
      </c>
      <c r="CM143" s="769">
        <f>CM13-CM23-CM83-CM93-CM123-CM133</f>
        <v>328</v>
      </c>
      <c r="CN143" s="878">
        <f t="shared" si="477"/>
        <v>5.6952139829332307</v>
      </c>
      <c r="CO143" s="822">
        <f t="shared" si="478"/>
        <v>-52.186588921282805</v>
      </c>
      <c r="CQ143" s="769">
        <f>CQ13-CQ23-CQ83-CQ93-CQ123-CQ133</f>
        <v>318</v>
      </c>
      <c r="CR143" s="878">
        <f t="shared" si="479"/>
        <v>5.7297297297297298</v>
      </c>
      <c r="CS143" s="822">
        <f t="shared" si="480"/>
        <v>-3.0487804878048808</v>
      </c>
      <c r="CU143" s="769">
        <f>CU13-CU23-CU83-CU93-CU123-CU133</f>
        <v>432</v>
      </c>
      <c r="CV143" s="878">
        <f t="shared" si="481"/>
        <v>7.5749605470804839</v>
      </c>
      <c r="CW143" s="822">
        <f t="shared" si="482"/>
        <v>35.849056603773576</v>
      </c>
      <c r="CY143" s="769">
        <f>CY13-CY23-CY83-CY93-CY123-CY133</f>
        <v>-130</v>
      </c>
      <c r="CZ143" s="878">
        <f t="shared" si="483"/>
        <v>-2.3963133640552998</v>
      </c>
      <c r="DA143" s="822">
        <f t="shared" si="484"/>
        <v>-130.09259259259261</v>
      </c>
      <c r="DC143" s="769">
        <f>DC13-DC23-DC83-DC93-DC123-DC133</f>
        <v>-802</v>
      </c>
      <c r="DD143" s="878">
        <f t="shared" si="485"/>
        <v>-20.648815653964984</v>
      </c>
      <c r="DE143" s="822">
        <f t="shared" si="486"/>
        <v>516.92307692307691</v>
      </c>
      <c r="DG143" s="769">
        <f>DG13-DG23-DG83-DG93-DG123-DG133</f>
        <v>-235</v>
      </c>
      <c r="DH143" s="878">
        <f t="shared" si="487"/>
        <v>-6.2136435748281329</v>
      </c>
      <c r="DI143" s="822">
        <f t="shared" si="488"/>
        <v>-70.698254364089777</v>
      </c>
      <c r="DK143" s="769">
        <f>DK13-DK23-DK83-DK93-DK123-DK133</f>
        <v>-37</v>
      </c>
      <c r="DL143" s="878">
        <f t="shared" si="489"/>
        <v>-0.95042383765733363</v>
      </c>
      <c r="DM143" s="822">
        <f t="shared" si="490"/>
        <v>-84.255319148936167</v>
      </c>
      <c r="DP143" s="769">
        <f>DP13-DP23-DP83-DP93-DP123-DP133</f>
        <v>-130</v>
      </c>
      <c r="DQ143" s="878">
        <f t="shared" si="491"/>
        <v>-3.2532532532532534</v>
      </c>
      <c r="DR143" s="822">
        <f t="shared" si="492"/>
        <v>251.35135135135135</v>
      </c>
      <c r="DU143" s="769">
        <f>DU13-DU23-DU83-DU93-DU123-DU133</f>
        <v>186</v>
      </c>
      <c r="DV143" s="878">
        <f t="shared" si="493"/>
        <v>4.6957838929563245</v>
      </c>
      <c r="DW143" s="822">
        <f t="shared" si="494"/>
        <v>-243.07692307692309</v>
      </c>
      <c r="DZ143" s="769">
        <f>DZ13-DZ23-DZ83-DZ93-DZ123-DZ133</f>
        <v>168</v>
      </c>
      <c r="EA143" s="878">
        <f t="shared" si="495"/>
        <v>4.1677003225006208</v>
      </c>
      <c r="EB143" s="822">
        <f t="shared" si="496"/>
        <v>-9.6774193548387117</v>
      </c>
      <c r="EE143" s="769">
        <f>EE13-EE23-EE83-EE93-EE123-EE133</f>
        <v>101.41287599999987</v>
      </c>
      <c r="EF143" s="878">
        <f t="shared" si="497"/>
        <v>2.7227535302702717</v>
      </c>
      <c r="EG143" s="822">
        <f t="shared" si="498"/>
        <v>-39.635192857142933</v>
      </c>
      <c r="EK143" s="822"/>
      <c r="EL143" s="822"/>
      <c r="EM143" s="822"/>
      <c r="EN143" s="822"/>
      <c r="EO143" s="822"/>
      <c r="EP143" s="822"/>
      <c r="EQ143" s="822"/>
      <c r="ER143" s="822"/>
      <c r="ES143" s="822"/>
      <c r="ET143" s="822"/>
      <c r="EU143" s="822"/>
      <c r="EV143" s="822"/>
      <c r="EW143" s="805"/>
      <c r="EX143" s="805"/>
    </row>
    <row r="144" spans="1:154" outlineLevel="1">
      <c r="A144" s="819" t="s">
        <v>144</v>
      </c>
      <c r="C144" s="591">
        <f>SUM(C140:C143)</f>
        <v>1202</v>
      </c>
      <c r="D144" s="878">
        <f t="shared" si="435"/>
        <v>7.4644476184561883</v>
      </c>
      <c r="E144" s="887" t="s">
        <v>24</v>
      </c>
      <c r="G144" s="591">
        <f>SUM(G140:G143)</f>
        <v>832</v>
      </c>
      <c r="H144" s="878">
        <f t="shared" si="436"/>
        <v>5.0840207760464402</v>
      </c>
      <c r="I144" s="822">
        <f t="shared" si="437"/>
        <v>-30.782029950083189</v>
      </c>
      <c r="K144" s="591">
        <f>SUM(K140:K143)</f>
        <v>863</v>
      </c>
      <c r="L144" s="878">
        <f t="shared" si="438"/>
        <v>5.3268316770569717</v>
      </c>
      <c r="M144" s="822">
        <f t="shared" si="439"/>
        <v>3.7259615384615419</v>
      </c>
      <c r="O144" s="591">
        <f>O14-O24-O84-O94-O124-O134</f>
        <v>1259</v>
      </c>
      <c r="P144" s="878">
        <f t="shared" si="440"/>
        <v>6.9909489699594651</v>
      </c>
      <c r="Q144" s="822">
        <f t="shared" si="441"/>
        <v>45.886442641946701</v>
      </c>
      <c r="S144" s="591">
        <f>S14-S24-S84-S94-S124-S134</f>
        <v>1554</v>
      </c>
      <c r="T144" s="878">
        <f t="shared" si="442"/>
        <v>8.1862719275140918</v>
      </c>
      <c r="U144" s="822">
        <f t="shared" si="443"/>
        <v>23.431294678316128</v>
      </c>
      <c r="W144" s="591">
        <f>W14-W24-W84-W94-W124-W134</f>
        <v>1699</v>
      </c>
      <c r="X144" s="878">
        <f t="shared" si="444"/>
        <v>8.3366045142296361</v>
      </c>
      <c r="Y144" s="822">
        <f t="shared" si="445"/>
        <v>9.3307593307593315</v>
      </c>
      <c r="AA144" s="591">
        <f>AA14-AA24-AA84-AA94-AA124-AA134</f>
        <v>1341.2</v>
      </c>
      <c r="AB144" s="878">
        <f t="shared" si="446"/>
        <v>6.5227117984631846</v>
      </c>
      <c r="AC144" s="822">
        <f t="shared" si="447"/>
        <v>-21.059446733372567</v>
      </c>
      <c r="AE144" s="591">
        <f>AE14-AE24-AE84-AE94-AE124-AE134</f>
        <v>1487</v>
      </c>
      <c r="AF144" s="878">
        <f t="shared" si="448"/>
        <v>5.3046518264840188</v>
      </c>
      <c r="AG144" s="822">
        <f t="shared" si="449"/>
        <v>10.870861914703255</v>
      </c>
      <c r="AI144" s="591">
        <f>AI14-AI24-AI84-AI94-AI124-AI134</f>
        <v>1263</v>
      </c>
      <c r="AJ144" s="878">
        <f t="shared" si="450"/>
        <v>5.5756666078050499</v>
      </c>
      <c r="AK144" s="822">
        <f t="shared" si="451"/>
        <v>-15.063887020847345</v>
      </c>
      <c r="AM144" s="591">
        <f>AM14-AM24-AM84-AM94-AM124-AM134</f>
        <v>1303</v>
      </c>
      <c r="AN144" s="878">
        <f t="shared" si="452"/>
        <v>4.4197658168595577</v>
      </c>
      <c r="AO144" s="822">
        <f t="shared" si="453"/>
        <v>3.1670625494853555</v>
      </c>
      <c r="AQ144" s="591">
        <f>AQ14-AQ24-AQ84-AQ94-AQ124-AQ134</f>
        <v>1047.5473766566902</v>
      </c>
      <c r="AR144" s="878">
        <f t="shared" si="454"/>
        <v>3.5584869103087509</v>
      </c>
      <c r="AS144" s="822">
        <f t="shared" si="455"/>
        <v>-19.604959581221017</v>
      </c>
      <c r="AU144" s="591">
        <f>AU14-AU24-AU84-AU94-AU124-AU134</f>
        <v>586</v>
      </c>
      <c r="AV144" s="878">
        <f t="shared" si="456"/>
        <v>1.8460763002866774</v>
      </c>
      <c r="AW144" s="822">
        <f t="shared" si="457"/>
        <v>-44.059809316667483</v>
      </c>
      <c r="AY144" s="591">
        <f>AY14-AY24-AY84-AY94-AY124-AY134</f>
        <v>-135</v>
      </c>
      <c r="AZ144" s="878">
        <f t="shared" si="458"/>
        <v>-0.42391509137725303</v>
      </c>
      <c r="BA144" s="822">
        <f t="shared" si="459"/>
        <v>-123.03754266211604</v>
      </c>
      <c r="BC144" s="591">
        <f>BC14-BC24-BC84-BC94-BC124-BC134</f>
        <v>226</v>
      </c>
      <c r="BD144" s="878">
        <f t="shared" si="460"/>
        <v>0.706161729783777</v>
      </c>
      <c r="BE144" s="822">
        <f t="shared" si="461"/>
        <v>-267.40740740740739</v>
      </c>
      <c r="BG144" s="591">
        <f>BG14-BG24-BG84-BG94-BG124-BG134</f>
        <v>584</v>
      </c>
      <c r="BH144" s="878">
        <f t="shared" si="462"/>
        <v>1.8054224503045107</v>
      </c>
      <c r="BI144" s="822">
        <f t="shared" si="463"/>
        <v>158.40707964601771</v>
      </c>
      <c r="BK144" s="591">
        <f>BK14-BK24-BK84-BK94-BK124-BK134</f>
        <v>275</v>
      </c>
      <c r="BL144" s="878">
        <f t="shared" si="464"/>
        <v>1.5414798206278026</v>
      </c>
      <c r="BM144" s="822">
        <f t="shared" si="465"/>
        <v>-123.11643835616439</v>
      </c>
      <c r="BO144" s="591">
        <f>BO14-BO24-BO84-BO94-BO124-BO134</f>
        <v>412</v>
      </c>
      <c r="BP144" s="878">
        <f t="shared" si="466"/>
        <v>2.3699953980671884</v>
      </c>
      <c r="BQ144" s="822" t="s">
        <v>365</v>
      </c>
      <c r="BS144" s="591">
        <f>BS14-BS24-BS84-BS94-BS124-BS134</f>
        <v>539</v>
      </c>
      <c r="BT144" s="878">
        <f t="shared" si="467"/>
        <v>3.0777136983954776</v>
      </c>
      <c r="BU144" s="822">
        <f t="shared" si="468"/>
        <v>30.825242718446599</v>
      </c>
      <c r="BW144" s="591">
        <f>BW14-BW24-BW84-BW94-BW124-BW134</f>
        <v>1005</v>
      </c>
      <c r="BX144" s="878">
        <f t="shared" si="469"/>
        <v>5.5537135278514587</v>
      </c>
      <c r="BY144" s="822">
        <f t="shared" si="470"/>
        <v>86.456400742115022</v>
      </c>
      <c r="CA144" s="591">
        <f>CA14-CA24-CA84-CA94-CA124-CA134</f>
        <v>1444.0839999999989</v>
      </c>
      <c r="CB144" s="878">
        <f t="shared" si="471"/>
        <v>7.6890343496679909</v>
      </c>
      <c r="CC144" s="822">
        <f t="shared" si="472"/>
        <v>43.689950248756105</v>
      </c>
      <c r="CE144" s="591">
        <f>CE14-CE24-CE84-CE94-CE124-CE134</f>
        <v>1794</v>
      </c>
      <c r="CF144" s="878">
        <f t="shared" si="473"/>
        <v>9.012771006086485</v>
      </c>
      <c r="CG144" s="822">
        <f t="shared" si="474"/>
        <v>24.231000412718462</v>
      </c>
      <c r="CI144" s="591">
        <f>SUM(CI140:CI143)</f>
        <v>1720.0700000000002</v>
      </c>
      <c r="CJ144" s="878">
        <f t="shared" si="475"/>
        <v>8.6622853401823043</v>
      </c>
      <c r="CK144" s="822">
        <f t="shared" si="476"/>
        <v>-4.1209587513935215</v>
      </c>
      <c r="CM144" s="591">
        <f>CM14-CM24-CM84-CM94-CM124-CM134</f>
        <v>902.86917741935235</v>
      </c>
      <c r="CN144" s="878">
        <f t="shared" si="477"/>
        <v>4.8839293061548545</v>
      </c>
      <c r="CO144" s="822">
        <f t="shared" si="478"/>
        <v>-47.50974219541343</v>
      </c>
      <c r="CQ144" s="591">
        <f>CQ14-CQ24-CQ84-CQ94-CQ124-CQ134</f>
        <v>403</v>
      </c>
      <c r="CR144" s="878">
        <f t="shared" si="479"/>
        <v>2.2950566346375663</v>
      </c>
      <c r="CS144" s="822">
        <f t="shared" si="480"/>
        <v>-55.364519015713384</v>
      </c>
      <c r="CU144" s="591">
        <f>CU14-CU24-CU84-CU94-CU124-CU134</f>
        <v>613</v>
      </c>
      <c r="CV144" s="878">
        <f t="shared" si="481"/>
        <v>3.4517709330480315</v>
      </c>
      <c r="CW144" s="822">
        <f t="shared" si="482"/>
        <v>52.109181141439208</v>
      </c>
      <c r="CY144" s="591">
        <f>CY14-CY24-CY84-CY94-CY124-CY134</f>
        <v>-228.6783730736779</v>
      </c>
      <c r="CZ144" s="878">
        <f t="shared" si="483"/>
        <v>-1.3249036678660364</v>
      </c>
      <c r="DA144" s="822">
        <f t="shared" si="484"/>
        <v>-137.30479169228025</v>
      </c>
      <c r="DC144" s="591">
        <f>DC14-DC24-DC84-DC94-DC124-DC134</f>
        <v>-1536</v>
      </c>
      <c r="DD144" s="878">
        <f t="shared" si="485"/>
        <v>-11.82903350019253</v>
      </c>
      <c r="DE144" s="822">
        <f t="shared" si="486"/>
        <v>571.68573020462941</v>
      </c>
      <c r="DG144" s="591">
        <f>DG14-DG24-DG84-DG94-DG124-DG134</f>
        <v>-1886</v>
      </c>
      <c r="DH144" s="878">
        <f t="shared" si="487"/>
        <v>-15.903533181549879</v>
      </c>
      <c r="DI144" s="822">
        <f t="shared" si="488"/>
        <v>22.786458333333325</v>
      </c>
      <c r="DK144" s="591">
        <f>DK14-DK24-DK84-DK94-DK124-DK134</f>
        <v>-748</v>
      </c>
      <c r="DL144" s="878">
        <f t="shared" si="489"/>
        <v>-6.102635228848821</v>
      </c>
      <c r="DM144" s="822">
        <f t="shared" si="490"/>
        <v>-60.339342523860019</v>
      </c>
      <c r="DP144" s="591">
        <f>DP14-DP24-DP84-DP94-DP124-DP134</f>
        <v>-564.75</v>
      </c>
      <c r="DQ144" s="878">
        <f t="shared" si="491"/>
        <v>-4.4732673267326728</v>
      </c>
      <c r="DR144" s="822">
        <f t="shared" si="492"/>
        <v>-24.498663101604279</v>
      </c>
      <c r="DU144" s="591">
        <f>DU14-DU24-DU84-DU94-DU124-DU134</f>
        <v>2</v>
      </c>
      <c r="DV144" s="878">
        <f t="shared" si="493"/>
        <v>1.5940065354267952E-2</v>
      </c>
      <c r="DW144" s="822">
        <f t="shared" si="494"/>
        <v>-100.35413899955732</v>
      </c>
      <c r="DZ144" s="591">
        <f>DZ14-DZ24-DZ84-DZ94-DZ124-DZ134</f>
        <v>-13</v>
      </c>
      <c r="EA144" s="878">
        <f t="shared" si="495"/>
        <v>-0.10395010395010396</v>
      </c>
      <c r="EB144" s="822">
        <f t="shared" si="496"/>
        <v>-750</v>
      </c>
      <c r="EE144" s="591">
        <f>EE14-EE24-EE84-EE94-EE124-EE134</f>
        <v>39.320335999998861</v>
      </c>
      <c r="EF144" s="878">
        <f t="shared" si="497"/>
        <v>0.32620004420088028</v>
      </c>
      <c r="EG144" s="822">
        <f t="shared" si="498"/>
        <v>-402.46412307691435</v>
      </c>
      <c r="EK144" s="822"/>
      <c r="EL144" s="822"/>
      <c r="EM144" s="822"/>
      <c r="EN144" s="822"/>
      <c r="EO144" s="822"/>
      <c r="EP144" s="822"/>
      <c r="EQ144" s="822"/>
      <c r="ER144" s="822"/>
      <c r="ES144" s="822"/>
      <c r="ET144" s="822"/>
      <c r="EU144" s="822"/>
      <c r="EV144" s="822"/>
      <c r="EW144" s="805"/>
      <c r="EX144" s="805"/>
    </row>
    <row r="145" spans="1:155" hidden="1" outlineLevel="2">
      <c r="A145" s="819" t="s">
        <v>145</v>
      </c>
      <c r="C145" s="706">
        <f>C140+C141</f>
        <v>361</v>
      </c>
      <c r="D145" s="878">
        <f t="shared" si="435"/>
        <v>5.3252692137483404</v>
      </c>
      <c r="E145" s="887" t="s">
        <v>24</v>
      </c>
      <c r="G145" s="706">
        <f>G140+G141</f>
        <v>354</v>
      </c>
      <c r="H145" s="878">
        <f t="shared" si="436"/>
        <v>4.9789029535864975</v>
      </c>
      <c r="I145" s="822">
        <f t="shared" si="437"/>
        <v>-1.939058171745156</v>
      </c>
      <c r="K145" s="706">
        <f>K140+K141</f>
        <v>176</v>
      </c>
      <c r="L145" s="878">
        <f t="shared" si="438"/>
        <v>2.5547975032660766</v>
      </c>
      <c r="M145" s="822">
        <f t="shared" si="439"/>
        <v>-50.282485875706207</v>
      </c>
      <c r="O145" s="706">
        <f>O140+O141</f>
        <v>350</v>
      </c>
      <c r="P145" s="878">
        <f t="shared" si="440"/>
        <v>4.6161962542864678</v>
      </c>
      <c r="Q145" s="822">
        <f t="shared" si="441"/>
        <v>98.86363636363636</v>
      </c>
      <c r="S145" s="706">
        <f>S140+S141</f>
        <v>457</v>
      </c>
      <c r="T145" s="878">
        <f t="shared" si="442"/>
        <v>5.7651065977040492</v>
      </c>
      <c r="U145" s="822">
        <f t="shared" si="443"/>
        <v>30.571428571428562</v>
      </c>
      <c r="W145" s="706">
        <f>W140+W141</f>
        <v>578</v>
      </c>
      <c r="X145" s="878">
        <f t="shared" si="444"/>
        <v>6.7271880819366858</v>
      </c>
      <c r="Y145" s="822">
        <f t="shared" si="445"/>
        <v>26.477024070021884</v>
      </c>
      <c r="AA145" s="706">
        <f>AA140+AA141</f>
        <v>439</v>
      </c>
      <c r="AB145" s="878">
        <f t="shared" si="446"/>
        <v>4.987502840263577</v>
      </c>
      <c r="AC145" s="822">
        <f t="shared" si="447"/>
        <v>-24.048442906574397</v>
      </c>
      <c r="AE145" s="706">
        <f>AE140+AE141</f>
        <v>471</v>
      </c>
      <c r="AF145" s="878">
        <f t="shared" si="448"/>
        <v>3.9025602783992044</v>
      </c>
      <c r="AG145" s="822">
        <f t="shared" si="449"/>
        <v>7.2892938496583071</v>
      </c>
      <c r="AI145" s="706">
        <f>AI140+AI141</f>
        <v>377</v>
      </c>
      <c r="AJ145" s="878">
        <f t="shared" si="450"/>
        <v>4.2080589351490127</v>
      </c>
      <c r="AK145" s="822">
        <f t="shared" si="451"/>
        <v>-19.957537154989382</v>
      </c>
      <c r="AM145" s="706">
        <f>AM140+AM141</f>
        <v>397</v>
      </c>
      <c r="AN145" s="878">
        <f t="shared" si="452"/>
        <v>3.0863957583437638</v>
      </c>
      <c r="AO145" s="822">
        <f t="shared" si="453"/>
        <v>5.3050397877984157</v>
      </c>
      <c r="AQ145" s="706">
        <f>AQ140+AQ141</f>
        <v>443.54737665669109</v>
      </c>
      <c r="AR145" s="878">
        <f t="shared" si="454"/>
        <v>3.3508149630330974</v>
      </c>
      <c r="AS145" s="822">
        <f t="shared" si="455"/>
        <v>11.724780014279879</v>
      </c>
      <c r="AU145" s="706">
        <f>AU140+AU141</f>
        <v>329</v>
      </c>
      <c r="AV145" s="878">
        <f t="shared" si="456"/>
        <v>2.2779200997022779</v>
      </c>
      <c r="AW145" s="822">
        <f t="shared" si="457"/>
        <v>-25.825285569291413</v>
      </c>
      <c r="AY145" s="706">
        <f>AY140+AY141</f>
        <v>25</v>
      </c>
      <c r="AZ145" s="878">
        <f t="shared" si="458"/>
        <v>0.16966406515100102</v>
      </c>
      <c r="BA145" s="822">
        <f t="shared" si="459"/>
        <v>-92.401215805471125</v>
      </c>
      <c r="BC145" s="706">
        <f>BC140+BC141</f>
        <v>-21</v>
      </c>
      <c r="BD145" s="878">
        <f t="shared" si="460"/>
        <v>-0.1425371614742415</v>
      </c>
      <c r="BE145" s="822">
        <f t="shared" si="461"/>
        <v>-184</v>
      </c>
      <c r="BG145" s="706">
        <f>BG140+BG141</f>
        <v>126</v>
      </c>
      <c r="BH145" s="878">
        <f t="shared" si="462"/>
        <v>0.84416454508910632</v>
      </c>
      <c r="BI145" s="822">
        <f t="shared" si="463"/>
        <v>-700</v>
      </c>
      <c r="BK145" s="706">
        <f>BK140+BK141</f>
        <v>18</v>
      </c>
      <c r="BL145" s="878">
        <f t="shared" si="464"/>
        <v>0.22810797110632366</v>
      </c>
      <c r="BM145" s="822">
        <f t="shared" si="465"/>
        <v>-80.158730158730165</v>
      </c>
      <c r="BO145" s="706">
        <f>BO140+BO141</f>
        <v>63</v>
      </c>
      <c r="BP145" s="878">
        <f t="shared" si="466"/>
        <v>0.82938585162524081</v>
      </c>
      <c r="BQ145" s="822">
        <f>(BO145/BK145-1)*100</f>
        <v>250</v>
      </c>
      <c r="BS145" s="706">
        <f>BS140+BS141</f>
        <v>24</v>
      </c>
      <c r="BT145" s="878">
        <f t="shared" si="467"/>
        <v>0.33117151924934457</v>
      </c>
      <c r="BU145" s="822">
        <f t="shared" si="468"/>
        <v>-61.904761904761905</v>
      </c>
      <c r="BW145" s="706">
        <f>BW140+BW141</f>
        <v>284</v>
      </c>
      <c r="BX145" s="878">
        <f t="shared" si="469"/>
        <v>3.6645161290322581</v>
      </c>
      <c r="BY145" s="822">
        <f t="shared" si="470"/>
        <v>1083.3333333333335</v>
      </c>
      <c r="CA145" s="706">
        <f>CA140+CA141</f>
        <v>450</v>
      </c>
      <c r="CB145" s="878">
        <f t="shared" si="471"/>
        <v>5.5562415112976913</v>
      </c>
      <c r="CC145" s="822">
        <f t="shared" si="472"/>
        <v>58.450704225352126</v>
      </c>
      <c r="CE145" s="706">
        <f>CE140+CE141</f>
        <v>594</v>
      </c>
      <c r="CF145" s="878">
        <f t="shared" si="473"/>
        <v>7.0245248157303948</v>
      </c>
      <c r="CG145" s="822">
        <f t="shared" si="474"/>
        <v>32.000000000000007</v>
      </c>
      <c r="CI145" s="706">
        <f>CI140+CI141</f>
        <v>665.07000000000016</v>
      </c>
      <c r="CJ145" s="878">
        <f t="shared" si="475"/>
        <v>7.610367318915209</v>
      </c>
      <c r="CK145" s="822">
        <f t="shared" si="476"/>
        <v>11.964646464646499</v>
      </c>
      <c r="CM145" s="706">
        <f>CM140+CM141</f>
        <v>383.0595000000003</v>
      </c>
      <c r="CN145" s="878">
        <f t="shared" si="477"/>
        <v>4.5550825070690832</v>
      </c>
      <c r="CO145" s="822">
        <f t="shared" si="478"/>
        <v>-42.403130497541582</v>
      </c>
      <c r="CQ145" s="706">
        <f>CQ140+CQ141</f>
        <v>42</v>
      </c>
      <c r="CR145" s="878">
        <f t="shared" si="479"/>
        <v>0.5364611339905645</v>
      </c>
      <c r="CS145" s="822">
        <f t="shared" si="480"/>
        <v>-89.035645898352612</v>
      </c>
      <c r="CU145" s="706">
        <f>CU140+CU141</f>
        <v>114</v>
      </c>
      <c r="CV145" s="878">
        <f t="shared" si="481"/>
        <v>1.4490911402059234</v>
      </c>
      <c r="CW145" s="822">
        <f t="shared" si="482"/>
        <v>171.42857142857144</v>
      </c>
      <c r="CY145" s="706">
        <f>CY140+CY141</f>
        <v>127.3216269263221</v>
      </c>
      <c r="CZ145" s="878">
        <f t="shared" si="483"/>
        <v>1.6221381950098368</v>
      </c>
      <c r="DA145" s="822">
        <f t="shared" si="484"/>
        <v>11.685637654668501</v>
      </c>
      <c r="DC145" s="706">
        <f>DC140+DC141</f>
        <v>-523</v>
      </c>
      <c r="DD145" s="878">
        <f t="shared" si="485"/>
        <v>-8.4710074505992861</v>
      </c>
      <c r="DE145" s="822">
        <f t="shared" si="486"/>
        <v>-510.77074855683964</v>
      </c>
      <c r="DG145" s="706">
        <f>DG140+DG141</f>
        <v>-1151</v>
      </c>
      <c r="DH145" s="878">
        <f t="shared" si="487"/>
        <v>-21.725179312948281</v>
      </c>
      <c r="DI145" s="822">
        <f t="shared" si="488"/>
        <v>120.07648183556405</v>
      </c>
      <c r="DK145" s="706">
        <f>DK140+DK141</f>
        <v>-520</v>
      </c>
      <c r="DL145" s="878">
        <f t="shared" si="489"/>
        <v>-9.2857142857142865</v>
      </c>
      <c r="DM145" s="822">
        <f t="shared" si="490"/>
        <v>-54.821894005212854</v>
      </c>
      <c r="DP145" s="706">
        <f>DP140+DP141</f>
        <v>-287.75</v>
      </c>
      <c r="DQ145" s="878">
        <f t="shared" si="491"/>
        <v>-5.0200628053035583</v>
      </c>
      <c r="DR145" s="822">
        <f t="shared" si="492"/>
        <v>-44.663461538461533</v>
      </c>
      <c r="DU145" s="706">
        <f>DU140+DU141</f>
        <v>-120</v>
      </c>
      <c r="DV145" s="878">
        <f t="shared" si="493"/>
        <v>-2.0946063885494852</v>
      </c>
      <c r="DW145" s="822">
        <f t="shared" si="494"/>
        <v>-58.297132927888796</v>
      </c>
      <c r="DZ145" s="706">
        <f>DZ140+DZ141</f>
        <v>-25.999999999999545</v>
      </c>
      <c r="EA145" s="878">
        <f t="shared" si="495"/>
        <v>-0.45871559633026721</v>
      </c>
      <c r="EB145" s="822">
        <f t="shared" si="496"/>
        <v>-78.333333333333712</v>
      </c>
      <c r="EE145" s="706">
        <f>EE140+EE141</f>
        <v>-18.759999999999764</v>
      </c>
      <c r="EF145" s="878">
        <f t="shared" si="497"/>
        <v>-0.33493971085204238</v>
      </c>
      <c r="EG145" s="822">
        <f t="shared" si="498"/>
        <v>-27.846153846153499</v>
      </c>
      <c r="EK145" s="822"/>
      <c r="EL145" s="822"/>
      <c r="EM145" s="822"/>
      <c r="EN145" s="822"/>
      <c r="EO145" s="822"/>
      <c r="EP145" s="822"/>
      <c r="EQ145" s="822"/>
      <c r="ER145" s="822"/>
      <c r="ES145" s="822"/>
      <c r="ET145" s="822"/>
      <c r="EU145" s="822"/>
      <c r="EV145" s="822"/>
      <c r="EW145" s="805"/>
      <c r="EX145" s="805"/>
    </row>
    <row r="146" spans="1:155" hidden="1" outlineLevel="2">
      <c r="A146" s="819" t="s">
        <v>146</v>
      </c>
      <c r="C146" s="706">
        <f>C140+C141+C142</f>
        <v>670</v>
      </c>
      <c r="D146" s="878">
        <f t="shared" si="435"/>
        <v>6.1808118081180812</v>
      </c>
      <c r="E146" s="887" t="s">
        <v>24</v>
      </c>
      <c r="G146" s="706">
        <f>G140+G141+G142</f>
        <v>542</v>
      </c>
      <c r="H146" s="878">
        <f t="shared" si="436"/>
        <v>4.8806843764070242</v>
      </c>
      <c r="I146" s="822">
        <f t="shared" si="437"/>
        <v>-19.104477611940297</v>
      </c>
      <c r="K146" s="706">
        <f>K140+K141+K142</f>
        <v>361</v>
      </c>
      <c r="L146" s="878">
        <f t="shared" si="438"/>
        <v>3.334564936264548</v>
      </c>
      <c r="M146" s="822">
        <f t="shared" si="439"/>
        <v>-33.394833948339489</v>
      </c>
      <c r="O146" s="706">
        <f>O140+O141+O142</f>
        <v>653</v>
      </c>
      <c r="P146" s="878">
        <f t="shared" si="440"/>
        <v>5.4763502180476351</v>
      </c>
      <c r="Q146" s="822">
        <f t="shared" si="441"/>
        <v>80.88642659279779</v>
      </c>
      <c r="S146" s="706">
        <f>S140+S141+S142</f>
        <v>851</v>
      </c>
      <c r="T146" s="878">
        <f t="shared" si="442"/>
        <v>6.7208971726425526</v>
      </c>
      <c r="U146" s="822">
        <f t="shared" si="443"/>
        <v>30.321592649310869</v>
      </c>
      <c r="W146" s="706">
        <f>W140+W141+W142</f>
        <v>1025</v>
      </c>
      <c r="X146" s="878">
        <f t="shared" si="444"/>
        <v>7.4594279892293143</v>
      </c>
      <c r="Y146" s="822">
        <f t="shared" si="445"/>
        <v>20.446533490011753</v>
      </c>
      <c r="AA146" s="706">
        <f>AA140+AA141+AA142</f>
        <v>823</v>
      </c>
      <c r="AB146" s="878">
        <f t="shared" si="446"/>
        <v>5.9081119885139985</v>
      </c>
      <c r="AC146" s="822">
        <f t="shared" si="447"/>
        <v>-19.707317073170728</v>
      </c>
      <c r="AE146" s="706">
        <f>AE140+AE141+AE142</f>
        <v>941</v>
      </c>
      <c r="AF146" s="878">
        <f t="shared" si="448"/>
        <v>4.9267015706806285</v>
      </c>
      <c r="AG146" s="822">
        <f t="shared" si="449"/>
        <v>14.337788578371802</v>
      </c>
      <c r="AI146" s="706">
        <f>AI140+AI141+AI142</f>
        <v>788</v>
      </c>
      <c r="AJ146" s="878">
        <f t="shared" si="450"/>
        <v>5.4359823399558502</v>
      </c>
      <c r="AK146" s="822">
        <f t="shared" si="451"/>
        <v>-16.25929861849097</v>
      </c>
      <c r="AM146" s="706">
        <f>AM140+AM141+AM142</f>
        <v>769</v>
      </c>
      <c r="AN146" s="878">
        <f t="shared" si="452"/>
        <v>3.851509050294998</v>
      </c>
      <c r="AO146" s="822">
        <f t="shared" si="453"/>
        <v>-2.4111675126903598</v>
      </c>
      <c r="AQ146" s="706">
        <f>AQ140+AQ141+AQ142</f>
        <v>747.54737665669109</v>
      </c>
      <c r="AR146" s="878">
        <f t="shared" si="454"/>
        <v>3.6705655340110535</v>
      </c>
      <c r="AS146" s="822">
        <f t="shared" si="455"/>
        <v>-2.7896779380115588</v>
      </c>
      <c r="AU146" s="706">
        <f>AU140+AU141+AU142</f>
        <v>477</v>
      </c>
      <c r="AV146" s="878">
        <f t="shared" si="456"/>
        <v>2.1601304229689338</v>
      </c>
      <c r="AW146" s="822">
        <f t="shared" si="457"/>
        <v>-36.191335172183905</v>
      </c>
      <c r="AY146" s="706">
        <f>AY140+AY141+AY142</f>
        <v>-74</v>
      </c>
      <c r="AZ146" s="878">
        <f t="shared" si="458"/>
        <v>-0.33224082970412605</v>
      </c>
      <c r="BA146" s="822">
        <f t="shared" si="459"/>
        <v>-115.51362683438155</v>
      </c>
      <c r="BC146" s="706">
        <f>BC140+BC141+BC142</f>
        <v>49</v>
      </c>
      <c r="BD146" s="878">
        <f t="shared" si="460"/>
        <v>0.21814620247529162</v>
      </c>
      <c r="BE146" s="822">
        <f t="shared" si="461"/>
        <v>-166.21621621621622</v>
      </c>
      <c r="BG146" s="706">
        <f>BG140+BG141+BG142</f>
        <v>266</v>
      </c>
      <c r="BH146" s="878">
        <f t="shared" si="462"/>
        <v>1.1667690148258618</v>
      </c>
      <c r="BI146" s="822">
        <f t="shared" si="463"/>
        <v>442.85714285714289</v>
      </c>
      <c r="BK146" s="706">
        <f>BK140+BK141+BK142</f>
        <v>96</v>
      </c>
      <c r="BL146" s="878">
        <f t="shared" si="464"/>
        <v>0.78450600637411128</v>
      </c>
      <c r="BM146" s="822">
        <f t="shared" si="465"/>
        <v>-127.81954887218046</v>
      </c>
      <c r="BO146" s="706">
        <f>BO140+BO141+BO142</f>
        <v>171</v>
      </c>
      <c r="BP146" s="878">
        <f t="shared" si="466"/>
        <v>1.438185524587001</v>
      </c>
      <c r="BQ146" s="822">
        <f>(BO146/BK146-1)*100</f>
        <v>78.125</v>
      </c>
      <c r="BS146" s="706">
        <f>BS140+BS141+BS142</f>
        <v>164</v>
      </c>
      <c r="BT146" s="878">
        <f t="shared" si="467"/>
        <v>1.4242292661745548</v>
      </c>
      <c r="BU146" s="822">
        <f t="shared" si="468"/>
        <v>-4.0935672514619936</v>
      </c>
      <c r="BW146" s="706">
        <f>BW140+BW141+BW142</f>
        <v>511</v>
      </c>
      <c r="BX146" s="878">
        <f t="shared" si="469"/>
        <v>4.2088790050242979</v>
      </c>
      <c r="BY146" s="822">
        <f t="shared" si="470"/>
        <v>211.58536585365852</v>
      </c>
      <c r="CA146" s="706">
        <f>CA140+CA141+CA142</f>
        <v>815</v>
      </c>
      <c r="CB146" s="878">
        <f t="shared" si="471"/>
        <v>6.479567498807441</v>
      </c>
      <c r="CC146" s="822">
        <f t="shared" si="472"/>
        <v>59.49119373776908</v>
      </c>
      <c r="CE146" s="706">
        <f>CE140+CE141+CE142</f>
        <v>1062</v>
      </c>
      <c r="CF146" s="878">
        <f t="shared" si="473"/>
        <v>8.0229125922559401</v>
      </c>
      <c r="CG146" s="822">
        <f t="shared" si="474"/>
        <v>30.306748466257673</v>
      </c>
      <c r="CI146" s="706">
        <f>CI140+CI141+CI142</f>
        <v>1034.0700000000002</v>
      </c>
      <c r="CJ146" s="878">
        <f t="shared" si="475"/>
        <v>7.6785475607039437</v>
      </c>
      <c r="CK146" s="822">
        <f t="shared" si="476"/>
        <v>-2.6299435028248386</v>
      </c>
      <c r="CM146" s="706">
        <f>CM140+CM141+CM142</f>
        <v>574.86917741935417</v>
      </c>
      <c r="CN146" s="878">
        <f t="shared" si="477"/>
        <v>4.5168157496786723</v>
      </c>
      <c r="CO146" s="822">
        <f t="shared" si="478"/>
        <v>-44.40713129484908</v>
      </c>
      <c r="CQ146" s="706">
        <f>CQ140+CQ141+CQ142</f>
        <v>85</v>
      </c>
      <c r="CR146" s="878">
        <f t="shared" si="479"/>
        <v>0.70777421932123163</v>
      </c>
      <c r="CS146" s="822">
        <f t="shared" si="480"/>
        <v>-85.214027236322949</v>
      </c>
      <c r="CU146" s="706">
        <f>CU140+CU141+CU142</f>
        <v>181</v>
      </c>
      <c r="CV146" s="878">
        <f t="shared" si="481"/>
        <v>1.5013271400132713</v>
      </c>
      <c r="CW146" s="822">
        <f t="shared" si="482"/>
        <v>112.94117647058823</v>
      </c>
      <c r="CY146" s="706">
        <f>CY140+CY141+CY142</f>
        <v>-98.678373073677903</v>
      </c>
      <c r="CZ146" s="878">
        <f t="shared" si="483"/>
        <v>-0.83378430987476049</v>
      </c>
      <c r="DA146" s="822">
        <f t="shared" si="484"/>
        <v>-154.51843816225301</v>
      </c>
      <c r="DC146" s="706">
        <f>DC140+DC141+DC142</f>
        <v>-734</v>
      </c>
      <c r="DD146" s="878">
        <f t="shared" si="485"/>
        <v>-8.0650477969453895</v>
      </c>
      <c r="DE146" s="822">
        <f t="shared" si="486"/>
        <v>643.83066637302693</v>
      </c>
      <c r="DG146" s="706">
        <f>DG140+DG141+DG142</f>
        <v>-1651</v>
      </c>
      <c r="DH146" s="878">
        <f t="shared" si="487"/>
        <v>-20.440757707069459</v>
      </c>
      <c r="DI146" s="822">
        <f t="shared" si="488"/>
        <v>124.93188010899181</v>
      </c>
      <c r="DK146" s="706">
        <f>DK140+DK141+DK142</f>
        <v>-711</v>
      </c>
      <c r="DL146" s="878">
        <f t="shared" si="489"/>
        <v>-8.500717360114777</v>
      </c>
      <c r="DM146" s="822">
        <f t="shared" si="490"/>
        <v>-56.93519079345851</v>
      </c>
      <c r="DP146" s="706">
        <f>DP140+DP141+DP142</f>
        <v>-434.75</v>
      </c>
      <c r="DQ146" s="878">
        <f t="shared" si="491"/>
        <v>-5.0382431336191917</v>
      </c>
      <c r="DR146" s="822">
        <f t="shared" si="492"/>
        <v>-38.85372714486639</v>
      </c>
      <c r="DU146" s="706">
        <f>DU140+DU141+DU142</f>
        <v>-184</v>
      </c>
      <c r="DV146" s="878">
        <f t="shared" si="493"/>
        <v>-2.1430235266713256</v>
      </c>
      <c r="DW146" s="822">
        <f t="shared" si="494"/>
        <v>-57.676825761932136</v>
      </c>
      <c r="DZ146" s="706">
        <f>DZ140+DZ141+DZ142</f>
        <v>-180.99999999999955</v>
      </c>
      <c r="EA146" s="878">
        <f t="shared" si="495"/>
        <v>-2.1356932153392276</v>
      </c>
      <c r="EB146" s="822">
        <f t="shared" si="496"/>
        <v>-1.6304347826089471</v>
      </c>
      <c r="EE146" s="706">
        <f>EE140+EE141+EE142</f>
        <v>-62.092539999999758</v>
      </c>
      <c r="EF146" s="878">
        <f t="shared" si="497"/>
        <v>-0.74546126425250381</v>
      </c>
      <c r="EG146" s="822">
        <f t="shared" si="498"/>
        <v>-65.694729281768005</v>
      </c>
      <c r="EK146" s="822"/>
      <c r="EL146" s="822"/>
      <c r="EM146" s="822"/>
      <c r="EN146" s="822"/>
      <c r="EO146" s="822"/>
      <c r="EP146" s="822"/>
      <c r="EQ146" s="822"/>
      <c r="ER146" s="822"/>
      <c r="ES146" s="822"/>
      <c r="ET146" s="822"/>
      <c r="EU146" s="822"/>
      <c r="EV146" s="822"/>
      <c r="EW146" s="805"/>
      <c r="EX146" s="805"/>
    </row>
    <row r="147" spans="1:155" outlineLevel="1" collapsed="1">
      <c r="C147" s="706"/>
      <c r="D147" s="687"/>
      <c r="E147" s="687"/>
      <c r="G147" s="706"/>
      <c r="H147" s="687"/>
      <c r="I147" s="822"/>
      <c r="K147" s="706"/>
      <c r="L147" s="687"/>
      <c r="M147" s="822"/>
      <c r="O147" s="706"/>
      <c r="P147" s="687"/>
      <c r="Q147" s="822"/>
      <c r="S147" s="706"/>
      <c r="T147" s="687"/>
      <c r="U147" s="822"/>
      <c r="W147" s="706"/>
      <c r="X147" s="687"/>
      <c r="Y147" s="822"/>
      <c r="AA147" s="706"/>
      <c r="AB147" s="687"/>
      <c r="AC147" s="822"/>
      <c r="AE147" s="706"/>
      <c r="AF147" s="687"/>
      <c r="AG147" s="822"/>
      <c r="AI147" s="706"/>
      <c r="AJ147" s="687"/>
      <c r="AK147" s="822"/>
      <c r="AM147" s="706"/>
      <c r="AN147" s="687"/>
      <c r="AO147" s="822"/>
      <c r="AQ147" s="706"/>
      <c r="AR147" s="687"/>
      <c r="AS147" s="822"/>
      <c r="AU147" s="706"/>
      <c r="AV147" s="687"/>
      <c r="AW147" s="822"/>
      <c r="AY147" s="706"/>
      <c r="AZ147" s="687"/>
      <c r="BA147" s="822"/>
      <c r="BC147" s="706"/>
      <c r="BD147" s="687"/>
      <c r="BE147" s="822"/>
      <c r="BG147" s="706"/>
      <c r="BH147" s="687"/>
      <c r="BI147" s="822"/>
      <c r="BK147" s="706"/>
      <c r="BL147" s="687"/>
      <c r="BM147" s="822"/>
      <c r="BO147" s="706"/>
      <c r="BP147" s="687"/>
      <c r="BQ147" s="822"/>
      <c r="BS147" s="706"/>
      <c r="BT147" s="687"/>
      <c r="BU147" s="822"/>
      <c r="BW147" s="706"/>
      <c r="BX147" s="687"/>
      <c r="BY147" s="822"/>
      <c r="CA147" s="706"/>
      <c r="CB147" s="687"/>
      <c r="CC147" s="822"/>
      <c r="CE147" s="706"/>
      <c r="CF147" s="687"/>
      <c r="CG147" s="822"/>
      <c r="CI147" s="706"/>
      <c r="CJ147" s="687"/>
      <c r="CK147" s="822"/>
      <c r="CM147" s="706"/>
      <c r="CN147" s="687"/>
      <c r="CO147" s="822"/>
      <c r="CQ147" s="706"/>
      <c r="CR147" s="687"/>
      <c r="CS147" s="822"/>
      <c r="CU147" s="706"/>
      <c r="CV147" s="687"/>
      <c r="CW147" s="822"/>
      <c r="CY147" s="706"/>
      <c r="CZ147" s="687"/>
      <c r="DA147" s="822"/>
      <c r="DC147" s="706"/>
      <c r="DD147" s="687"/>
      <c r="DE147" s="822"/>
      <c r="DG147" s="706"/>
      <c r="DH147" s="687"/>
      <c r="DI147" s="822"/>
      <c r="DK147" s="706"/>
      <c r="DL147" s="687"/>
      <c r="DM147" s="822"/>
      <c r="DP147" s="706"/>
      <c r="DQ147" s="687"/>
      <c r="DR147" s="822"/>
      <c r="DU147" s="706"/>
      <c r="DV147" s="687"/>
      <c r="DW147" s="822"/>
      <c r="DZ147" s="706"/>
      <c r="EA147" s="687"/>
      <c r="EB147" s="822"/>
      <c r="EE147" s="706"/>
      <c r="EF147" s="687"/>
      <c r="EG147" s="822"/>
      <c r="EK147" s="822"/>
      <c r="EL147" s="822"/>
      <c r="EM147" s="822"/>
      <c r="EN147" s="822"/>
      <c r="EO147" s="822"/>
      <c r="EP147" s="822"/>
      <c r="EQ147" s="822"/>
      <c r="ER147" s="822"/>
      <c r="ES147" s="822"/>
      <c r="ET147" s="822"/>
      <c r="EU147" s="822"/>
      <c r="EV147" s="822"/>
      <c r="EW147" s="805"/>
      <c r="EX147" s="805"/>
    </row>
    <row r="148" spans="1:155" outlineLevel="1">
      <c r="A148" s="816" t="s">
        <v>34</v>
      </c>
      <c r="C148" s="706"/>
      <c r="D148" s="687"/>
      <c r="E148" s="687"/>
      <c r="G148" s="706"/>
      <c r="H148" s="687"/>
      <c r="I148" s="822"/>
      <c r="K148" s="706"/>
      <c r="L148" s="687"/>
      <c r="M148" s="822"/>
      <c r="O148" s="706"/>
      <c r="P148" s="687"/>
      <c r="Q148" s="822"/>
      <c r="S148" s="706"/>
      <c r="T148" s="687"/>
      <c r="U148" s="822"/>
      <c r="W148" s="706"/>
      <c r="X148" s="687"/>
      <c r="Y148" s="822"/>
      <c r="AA148" s="706"/>
      <c r="AB148" s="687"/>
      <c r="AC148" s="822"/>
      <c r="AE148" s="706"/>
      <c r="AF148" s="687"/>
      <c r="AG148" s="822"/>
      <c r="AI148" s="706"/>
      <c r="AJ148" s="687"/>
      <c r="AK148" s="822"/>
      <c r="AM148" s="706"/>
      <c r="AN148" s="687"/>
      <c r="AO148" s="822"/>
      <c r="AQ148" s="706"/>
      <c r="AR148" s="687"/>
      <c r="AS148" s="822"/>
      <c r="AU148" s="706"/>
      <c r="AV148" s="687"/>
      <c r="AW148" s="822"/>
      <c r="AY148" s="706"/>
      <c r="AZ148" s="687"/>
      <c r="BA148" s="822"/>
      <c r="BC148" s="706"/>
      <c r="BD148" s="687"/>
      <c r="BE148" s="822"/>
      <c r="BG148" s="706"/>
      <c r="BH148" s="687"/>
      <c r="BI148" s="822"/>
      <c r="BK148" s="706"/>
      <c r="BL148" s="687"/>
      <c r="BM148" s="822"/>
      <c r="BO148" s="706"/>
      <c r="BP148" s="687"/>
      <c r="BQ148" s="822"/>
      <c r="BS148" s="706"/>
      <c r="BT148" s="687"/>
      <c r="BU148" s="822"/>
      <c r="BW148" s="706"/>
      <c r="BX148" s="687"/>
      <c r="BY148" s="822"/>
      <c r="CA148" s="706"/>
      <c r="CB148" s="687"/>
      <c r="CC148" s="822"/>
      <c r="CE148" s="706"/>
      <c r="CF148" s="687"/>
      <c r="CG148" s="822"/>
      <c r="CI148" s="706"/>
      <c r="CJ148" s="687"/>
      <c r="CK148" s="822"/>
      <c r="CM148" s="706"/>
      <c r="CN148" s="687"/>
      <c r="CO148" s="822"/>
      <c r="CQ148" s="706"/>
      <c r="CR148" s="687"/>
      <c r="CS148" s="822"/>
      <c r="CV148" s="687"/>
      <c r="CW148" s="822"/>
      <c r="CY148" s="706"/>
      <c r="CZ148" s="687"/>
      <c r="DA148" s="822"/>
      <c r="DC148" s="706"/>
      <c r="DD148" s="687"/>
      <c r="DE148" s="822"/>
      <c r="DG148" s="818" t="s">
        <v>34</v>
      </c>
      <c r="DH148" s="687"/>
      <c r="DI148" s="822"/>
      <c r="DK148" s="706"/>
      <c r="DL148" s="687"/>
      <c r="DM148" s="822"/>
      <c r="DP148" s="1585" t="str">
        <f>DG148</f>
        <v>13. Income Taxes/(Credit) (% Tax Rate / % Change)</v>
      </c>
      <c r="DQ148" s="1585"/>
      <c r="DR148" s="1585"/>
      <c r="DS148" s="1585"/>
      <c r="DT148" s="1585"/>
      <c r="DU148" s="1585"/>
      <c r="DV148" s="1585"/>
      <c r="DW148" s="1585"/>
      <c r="EK148" s="822"/>
      <c r="EL148" s="822"/>
      <c r="EM148" s="822"/>
      <c r="EN148" s="822"/>
      <c r="EO148" s="822"/>
      <c r="EP148" s="822"/>
      <c r="EQ148" s="822"/>
      <c r="ER148" s="822"/>
      <c r="ES148" s="822"/>
      <c r="ET148" s="822"/>
      <c r="EU148" s="822"/>
      <c r="EV148" s="822"/>
      <c r="EW148" s="805"/>
      <c r="EX148" s="805"/>
    </row>
    <row r="149" spans="1:155" outlineLevel="1">
      <c r="C149" s="706"/>
      <c r="D149" s="687"/>
      <c r="E149" s="687"/>
      <c r="G149" s="706"/>
      <c r="H149" s="687"/>
      <c r="I149" s="822"/>
      <c r="K149" s="706"/>
      <c r="L149" s="687"/>
      <c r="M149" s="822"/>
      <c r="O149" s="706"/>
      <c r="P149" s="687"/>
      <c r="Q149" s="822"/>
      <c r="S149" s="706"/>
      <c r="T149" s="687"/>
      <c r="U149" s="822"/>
      <c r="W149" s="706"/>
      <c r="X149" s="687"/>
      <c r="Y149" s="822"/>
      <c r="AA149" s="706"/>
      <c r="AB149" s="687"/>
      <c r="AC149" s="822"/>
      <c r="AE149" s="706"/>
      <c r="AF149" s="687"/>
      <c r="AG149" s="822"/>
      <c r="AI149" s="706"/>
      <c r="AJ149" s="687"/>
      <c r="AK149" s="822"/>
      <c r="AM149" s="706"/>
      <c r="AN149" s="687"/>
      <c r="AO149" s="822"/>
      <c r="AQ149" s="706"/>
      <c r="AR149" s="687"/>
      <c r="AS149" s="822"/>
      <c r="AU149" s="706"/>
      <c r="AV149" s="687"/>
      <c r="AW149" s="822"/>
      <c r="AY149" s="706"/>
      <c r="AZ149" s="687"/>
      <c r="BA149" s="822"/>
      <c r="BC149" s="706"/>
      <c r="BD149" s="687"/>
      <c r="BE149" s="822"/>
      <c r="BG149" s="706"/>
      <c r="BH149" s="687"/>
      <c r="BI149" s="822"/>
      <c r="BK149" s="706"/>
      <c r="BL149" s="687"/>
      <c r="BM149" s="822"/>
      <c r="BO149" s="706"/>
      <c r="BP149" s="687"/>
      <c r="BQ149" s="822"/>
      <c r="BS149" s="706"/>
      <c r="BT149" s="687"/>
      <c r="BU149" s="822"/>
      <c r="BW149" s="706"/>
      <c r="BX149" s="687"/>
      <c r="BY149" s="822"/>
      <c r="CA149" s="706"/>
      <c r="CB149" s="687"/>
      <c r="CC149" s="822"/>
      <c r="CE149" s="706"/>
      <c r="CF149" s="687"/>
      <c r="CG149" s="822"/>
      <c r="CI149" s="706"/>
      <c r="CJ149" s="687"/>
      <c r="CK149" s="822"/>
      <c r="CM149" s="706"/>
      <c r="CN149" s="687"/>
      <c r="CO149" s="822"/>
      <c r="CQ149" s="706"/>
      <c r="CR149" s="687"/>
      <c r="CS149" s="822"/>
      <c r="CU149" s="706"/>
      <c r="CV149" s="687"/>
      <c r="CW149" s="822"/>
      <c r="CY149" s="706"/>
      <c r="CZ149" s="687"/>
      <c r="DA149" s="822"/>
      <c r="DD149" s="687"/>
      <c r="DE149" s="822"/>
      <c r="DH149" s="687"/>
      <c r="DI149" s="822"/>
      <c r="DL149" s="687"/>
      <c r="DM149" s="822"/>
      <c r="DQ149" s="687"/>
      <c r="DR149" s="822"/>
      <c r="DV149" s="687"/>
      <c r="DW149" s="822"/>
      <c r="EA149" s="687"/>
      <c r="EB149" s="822"/>
      <c r="EF149" s="687"/>
      <c r="EG149" s="822"/>
      <c r="EK149" s="822"/>
      <c r="EL149" s="822"/>
      <c r="EM149" s="822"/>
      <c r="EN149" s="822"/>
      <c r="EO149" s="822"/>
      <c r="EP149" s="822"/>
      <c r="EQ149" s="822"/>
      <c r="ER149" s="822"/>
      <c r="ES149" s="822"/>
      <c r="ET149" s="822"/>
      <c r="EU149" s="822"/>
      <c r="EV149" s="822"/>
      <c r="EW149" s="805"/>
      <c r="EX149" s="805"/>
    </row>
    <row r="150" spans="1:155" outlineLevel="1">
      <c r="A150" s="819" t="s">
        <v>140</v>
      </c>
      <c r="C150" s="695">
        <v>71</v>
      </c>
      <c r="D150" s="878">
        <f t="shared" ref="D150:D156" si="499">(C150/C140)*100</f>
        <v>32.420091324200911</v>
      </c>
      <c r="E150" s="887" t="s">
        <v>24</v>
      </c>
      <c r="G150" s="695">
        <v>76</v>
      </c>
      <c r="H150" s="878">
        <f t="shared" ref="H150:H156" si="500">(G150/G140)*100</f>
        <v>33.043478260869563</v>
      </c>
      <c r="I150" s="822">
        <f t="shared" ref="I150:I156" si="501">(G150/C150-1)*100</f>
        <v>7.0422535211267512</v>
      </c>
      <c r="K150" s="695">
        <v>47</v>
      </c>
      <c r="L150" s="878">
        <f t="shared" ref="L150:L156" si="502">(K150/K140)*100</f>
        <v>37.00787401574803</v>
      </c>
      <c r="M150" s="822">
        <f t="shared" ref="M150:M156" si="503">(K150/G150-1)*100</f>
        <v>-38.157894736842103</v>
      </c>
      <c r="O150" s="695">
        <v>83</v>
      </c>
      <c r="P150" s="878">
        <f t="shared" ref="P150:P156" si="504">(O150/O140)*100</f>
        <v>37.899543378995432</v>
      </c>
      <c r="Q150" s="822">
        <f t="shared" ref="Q150:Q156" si="505">(O150/K150-1)*100</f>
        <v>76.59574468085107</v>
      </c>
      <c r="S150" s="695">
        <v>104</v>
      </c>
      <c r="T150" s="878">
        <f t="shared" ref="T150:T156" si="506">(S150/S140)*100</f>
        <v>37.681159420289859</v>
      </c>
      <c r="U150" s="822">
        <f t="shared" ref="U150:U156" si="507">(S150/O150-1)*100</f>
        <v>25.30120481927711</v>
      </c>
      <c r="W150" s="695">
        <v>140</v>
      </c>
      <c r="X150" s="878">
        <f t="shared" ref="X150:X156" si="508">(W150/W140)*100</f>
        <v>38.567493112947659</v>
      </c>
      <c r="Y150" s="822">
        <f t="shared" ref="Y150:Y156" si="509">(W150/S150-1)*100</f>
        <v>34.615384615384627</v>
      </c>
      <c r="AA150" s="695">
        <v>97</v>
      </c>
      <c r="AB150" s="878">
        <f t="shared" ref="AB150:AB156" si="510">(AA150/AA140)*100</f>
        <v>38.339920948616601</v>
      </c>
      <c r="AC150" s="822">
        <f t="shared" ref="AC150:AC156" si="511">(AA150/W150-1)*100</f>
        <v>-30.714285714285715</v>
      </c>
      <c r="AE150" s="695"/>
      <c r="AF150" s="878">
        <f t="shared" ref="AF150:AF156" si="512">(AE150/AE140)*100</f>
        <v>0</v>
      </c>
      <c r="AG150" s="822" t="s">
        <v>147</v>
      </c>
      <c r="AI150" s="695">
        <v>85</v>
      </c>
      <c r="AJ150" s="878">
        <f t="shared" ref="AJ150:AJ156" si="513">(AI150/AI140)*100</f>
        <v>37.444933920704848</v>
      </c>
      <c r="AK150" s="822">
        <f t="shared" ref="AK150:AK156" si="514">(AA150/AI150-1)*100</f>
        <v>14.117647058823524</v>
      </c>
      <c r="AM150" s="695">
        <f>AM140*0.39</f>
        <v>88.14</v>
      </c>
      <c r="AN150" s="878">
        <f t="shared" ref="AN150:AN156" si="515">(AM150/AM140)*100</f>
        <v>39</v>
      </c>
      <c r="AO150" s="822">
        <f t="shared" ref="AO150:AO156" si="516">(AM150/AI150-1)*100</f>
        <v>3.6941176470588255</v>
      </c>
      <c r="AQ150" s="695">
        <v>110</v>
      </c>
      <c r="AR150" s="878">
        <f t="shared" ref="AR150:AR156" si="517">(AQ150/AQ140)*100</f>
        <v>38.657885829928404</v>
      </c>
      <c r="AS150" s="822">
        <f t="shared" ref="AS150:AS156" si="518">(AQ150/AM150-1)*100</f>
        <v>24.801452235080546</v>
      </c>
      <c r="AU150" s="695">
        <v>80</v>
      </c>
      <c r="AV150" s="878">
        <f t="shared" ref="AV150:AV156" si="519">(AU150/AU140)*100</f>
        <v>37.914691943127963</v>
      </c>
      <c r="AW150" s="822">
        <f t="shared" ref="AW150:AW156" si="520">(AU150/AQ150-1)*100</f>
        <v>-27.27272727272727</v>
      </c>
      <c r="AY150" s="695">
        <f>AY140*0.397</f>
        <v>28.981000000000002</v>
      </c>
      <c r="AZ150" s="878">
        <f t="shared" ref="AZ150:AZ156" si="521">(AY150/AY140)*100</f>
        <v>39.700000000000003</v>
      </c>
      <c r="BA150" s="822">
        <f t="shared" ref="BA150:BA156" si="522">(AY150/AU150-1)*100</f>
        <v>-63.773749999999993</v>
      </c>
      <c r="BC150" s="695">
        <f>BC140*0.402</f>
        <v>21.306000000000001</v>
      </c>
      <c r="BD150" s="878">
        <f t="shared" ref="BD150:BD156" si="523">(BC150/BC140)*100</f>
        <v>40.200000000000003</v>
      </c>
      <c r="BE150" s="822">
        <f t="shared" ref="BE150:BE156" si="524">(BC150/AY150-1)*100</f>
        <v>-26.482868085987377</v>
      </c>
      <c r="BG150" s="695">
        <f>(BG140-9)*0.365</f>
        <v>46.72</v>
      </c>
      <c r="BH150" s="878">
        <f t="shared" ref="BH150:BH156" si="525">(BG150/BG140)*100</f>
        <v>34.102189781021899</v>
      </c>
      <c r="BI150" s="822">
        <f t="shared" ref="BI150:BI156" si="526">(BG150/BC150-1)*100</f>
        <v>119.28095372195627</v>
      </c>
      <c r="BK150" s="695">
        <v>25</v>
      </c>
      <c r="BL150" s="878">
        <f t="shared" ref="BL150:BL156" si="527">(BK150/BK140)*100</f>
        <v>31.25</v>
      </c>
      <c r="BM150" s="822">
        <f t="shared" ref="BM150:BM156" si="528">(BK150/BG150-1)*100</f>
        <v>-46.489726027397261</v>
      </c>
      <c r="BO150" s="695">
        <v>33</v>
      </c>
      <c r="BP150" s="878">
        <f t="shared" ref="BP150:BP156" si="529">(BO150/BO140)*100</f>
        <v>34.736842105263158</v>
      </c>
      <c r="BQ150" s="822">
        <f t="shared" ref="BQ150:BQ156" si="530">(BO150/BK150-1)*100</f>
        <v>32.000000000000007</v>
      </c>
      <c r="BS150" s="695">
        <v>9</v>
      </c>
      <c r="BT150" s="878">
        <f t="shared" ref="BT150:BT156" si="531">(BS150/BS140)*100</f>
        <v>29.032258064516132</v>
      </c>
      <c r="BU150" s="822">
        <f t="shared" ref="BU150:BU156" si="532">(BS150/BO150-1)*100</f>
        <v>-72.727272727272734</v>
      </c>
      <c r="BW150" s="695">
        <v>61</v>
      </c>
      <c r="BX150" s="878">
        <f t="shared" ref="BX150:BX156" si="533">(BW150/BW140)*100</f>
        <v>34.269662921348313</v>
      </c>
      <c r="BY150" s="822">
        <f t="shared" ref="BY150:BY156" si="534">(BW150/BS150-1)*100</f>
        <v>577.77777777777771</v>
      </c>
      <c r="CA150" s="695">
        <f>(CA140)*(97/269)</f>
        <v>96.639405204460971</v>
      </c>
      <c r="CB150" s="878">
        <f t="shared" ref="CB150:CB156" si="535">(CA150/CA140)*100</f>
        <v>36.059479553903344</v>
      </c>
      <c r="CC150" s="822">
        <f t="shared" ref="CC150:CC156" si="536">(CA150/BW150-1)*100</f>
        <v>58.425254433542584</v>
      </c>
      <c r="CE150" s="695">
        <f>(CE140)*((135)/348)</f>
        <v>134.61206896551724</v>
      </c>
      <c r="CF150" s="878">
        <f t="shared" ref="CF150:CF156" si="537">(CE150/CE140)*100</f>
        <v>38.793103448275865</v>
      </c>
      <c r="CG150" s="822">
        <f t="shared" ref="CG150:CG156" si="538">(CE150/CA150-1)*100</f>
        <v>39.293147221588455</v>
      </c>
      <c r="CI150" s="695">
        <v>149</v>
      </c>
      <c r="CJ150" s="878">
        <f t="shared" ref="CJ150:CJ156" si="539">(CI150/CI140)*100</f>
        <v>38.601036269430047</v>
      </c>
      <c r="CK150" s="822">
        <f>(CI150/CE150-1)*100</f>
        <v>10.688440601985283</v>
      </c>
      <c r="CM150" s="695">
        <v>75</v>
      </c>
      <c r="CN150" s="878">
        <f t="shared" ref="CN150:CN156" si="540">(CM150/CM140)*100</f>
        <v>38.461538461538467</v>
      </c>
      <c r="CO150" s="822">
        <f t="shared" ref="CO150:CO156" si="541">(CM150/CI150-1)*100</f>
        <v>-49.664429530201339</v>
      </c>
      <c r="CQ150" s="695">
        <v>18</v>
      </c>
      <c r="CR150" s="878">
        <f t="shared" ref="CR150:CR156" si="542">(CQ150/CQ140)*100</f>
        <v>41.860465116279073</v>
      </c>
      <c r="CS150" s="822">
        <f t="shared" ref="CS150:CS156" si="543">(CQ150/CM150-1)*100</f>
        <v>-76</v>
      </c>
      <c r="CU150" s="1342">
        <v>36</v>
      </c>
      <c r="CV150" s="878">
        <f t="shared" ref="CV150:CV156" si="544">(CU150/CU140)*100</f>
        <v>37.5</v>
      </c>
      <c r="CW150" s="822">
        <f t="shared" ref="CW150:CW156" si="545">(CU150/CQ150-1)*100</f>
        <v>100</v>
      </c>
      <c r="CY150" s="1342">
        <v>39</v>
      </c>
      <c r="CZ150" s="878">
        <f t="shared" ref="CZ150:CZ156" si="546">(CY150/CY140)*100</f>
        <v>37.864077669902912</v>
      </c>
      <c r="DA150" s="822">
        <f t="shared" ref="DA150:DA156" si="547">(CY150/CU150-1)*100</f>
        <v>8.333333333333325</v>
      </c>
      <c r="DC150" s="1342">
        <f>-119</f>
        <v>-119</v>
      </c>
      <c r="DD150" s="878">
        <f t="shared" ref="DD150:DD156" si="548">(DC150/DC140)*100</f>
        <v>42.198581560283685</v>
      </c>
      <c r="DE150" s="822">
        <f t="shared" ref="DE150:DE156" si="549">(DC150/CY150-1)*100</f>
        <v>-405.12820512820508</v>
      </c>
      <c r="DG150" s="1342">
        <v>-199</v>
      </c>
      <c r="DH150" s="878">
        <f t="shared" ref="DH150:DH156" si="550">(DG150/DG140)*100</f>
        <v>36.380255941499087</v>
      </c>
      <c r="DI150" s="822">
        <f t="shared" ref="DI150:DI156" si="551">(DG150/DC150-1)*100</f>
        <v>67.226890756302524</v>
      </c>
      <c r="DK150" s="1342">
        <v>8</v>
      </c>
      <c r="DL150" s="878">
        <f t="shared" ref="DL150:DL156" si="552">(DK150/DK140)*100</f>
        <v>-2.3255813953488373</v>
      </c>
      <c r="DM150" s="893">
        <f>IF(ISERROR(DK150/DG150),,(DK150/DG150-1)*100)</f>
        <v>-104.02010050251256</v>
      </c>
      <c r="DP150" s="1340">
        <v>-6</v>
      </c>
      <c r="DQ150" s="878">
        <f t="shared" ref="DQ150:DQ156" si="553">(DP150/DP140)*100</f>
        <v>4.0885860306643949</v>
      </c>
      <c r="DR150" s="893">
        <f>IF(ISERROR(DP150/DK150),,(DP150/DK150-1)*100)</f>
        <v>-175</v>
      </c>
      <c r="DU150" s="1340">
        <v>-1</v>
      </c>
      <c r="DV150" s="878">
        <f t="shared" ref="DV150:DV156" si="554">(DU150/DU140)*100</f>
        <v>1.4492753623188406</v>
      </c>
      <c r="DW150" s="893">
        <f>IF(ISERROR(DU150/DP150),,(DU150/DP150-1)*100)</f>
        <v>-83.333333333333343</v>
      </c>
      <c r="DZ150" s="1340">
        <f>16-12+4</f>
        <v>8</v>
      </c>
      <c r="EA150" s="878">
        <f t="shared" ref="EA150:EA153" si="555">(DZ150/DZ140)*100</f>
        <v>29.629629629629626</v>
      </c>
      <c r="EB150" s="893">
        <f t="shared" ref="EB150:EB156" si="556">IF(ISERROR(DZ150/DU150),,(DZ150/DU150-1)*100)</f>
        <v>-900</v>
      </c>
      <c r="EE150" s="841">
        <v>0</v>
      </c>
      <c r="EF150" s="878">
        <f t="shared" ref="EF150:EF153" si="557">(EE150/EE140)*100</f>
        <v>0</v>
      </c>
      <c r="EG150" s="893">
        <f t="shared" ref="EG150:EG156" si="558">IF(ISERROR(EE150/DZ150),,(EE150/DZ150-1)*100)</f>
        <v>-100</v>
      </c>
      <c r="EK150" s="822"/>
      <c r="EL150" s="822"/>
      <c r="EM150" s="822"/>
      <c r="EN150" s="822"/>
      <c r="EO150" s="822"/>
      <c r="EP150" s="822"/>
      <c r="EQ150" s="822"/>
      <c r="ER150" s="822"/>
      <c r="ES150" s="822"/>
      <c r="ET150" s="822"/>
      <c r="EU150" s="822"/>
      <c r="EV150" s="822"/>
      <c r="EW150" s="805"/>
      <c r="EX150" s="805"/>
    </row>
    <row r="151" spans="1:155" outlineLevel="1">
      <c r="A151" s="819" t="s">
        <v>141</v>
      </c>
      <c r="C151" s="841">
        <v>44</v>
      </c>
      <c r="D151" s="878">
        <f t="shared" si="499"/>
        <v>30.985915492957744</v>
      </c>
      <c r="E151" s="887" t="s">
        <v>24</v>
      </c>
      <c r="G151" s="841">
        <v>41</v>
      </c>
      <c r="H151" s="878">
        <f t="shared" si="500"/>
        <v>33.064516129032256</v>
      </c>
      <c r="I151" s="822">
        <f t="shared" si="501"/>
        <v>-6.8181818181818237</v>
      </c>
      <c r="K151" s="841">
        <v>18</v>
      </c>
      <c r="L151" s="878">
        <f t="shared" si="502"/>
        <v>36.734693877551024</v>
      </c>
      <c r="M151" s="822">
        <f t="shared" si="503"/>
        <v>-56.09756097560976</v>
      </c>
      <c r="O151" s="841">
        <v>51</v>
      </c>
      <c r="P151" s="878">
        <f t="shared" si="504"/>
        <v>38.931297709923662</v>
      </c>
      <c r="Q151" s="822">
        <f t="shared" si="505"/>
        <v>183.33333333333334</v>
      </c>
      <c r="S151" s="841">
        <v>69</v>
      </c>
      <c r="T151" s="878">
        <f t="shared" si="506"/>
        <v>38.121546961325969</v>
      </c>
      <c r="U151" s="822">
        <f t="shared" si="507"/>
        <v>35.294117647058833</v>
      </c>
      <c r="W151" s="841">
        <v>83</v>
      </c>
      <c r="X151" s="878">
        <f t="shared" si="508"/>
        <v>38.604651162790695</v>
      </c>
      <c r="Y151" s="822">
        <f t="shared" si="509"/>
        <v>20.289855072463769</v>
      </c>
      <c r="AA151" s="841">
        <v>70</v>
      </c>
      <c r="AB151" s="878">
        <f t="shared" si="510"/>
        <v>37.634408602150536</v>
      </c>
      <c r="AC151" s="822">
        <f t="shared" si="511"/>
        <v>-15.662650602409634</v>
      </c>
      <c r="AE151" s="841"/>
      <c r="AF151" s="878">
        <f t="shared" si="512"/>
        <v>0</v>
      </c>
      <c r="AG151" s="822" t="s">
        <v>147</v>
      </c>
      <c r="AI151" s="841">
        <v>57</v>
      </c>
      <c r="AJ151" s="878">
        <f t="shared" si="513"/>
        <v>38</v>
      </c>
      <c r="AK151" s="822">
        <f t="shared" si="514"/>
        <v>22.807017543859654</v>
      </c>
      <c r="AM151" s="841">
        <f>(AM141*0.405)</f>
        <v>69.25500000000001</v>
      </c>
      <c r="AN151" s="878">
        <f t="shared" si="515"/>
        <v>40.500000000000007</v>
      </c>
      <c r="AO151" s="822">
        <f t="shared" si="516"/>
        <v>21.500000000000007</v>
      </c>
      <c r="AQ151" s="841">
        <v>62.3</v>
      </c>
      <c r="AR151" s="878">
        <f t="shared" si="517"/>
        <v>39.182389937106912</v>
      </c>
      <c r="AS151" s="822">
        <f t="shared" si="518"/>
        <v>-10.042596202440269</v>
      </c>
      <c r="AU151" s="841">
        <f>AU141*0.39</f>
        <v>46.02</v>
      </c>
      <c r="AV151" s="878">
        <f t="shared" si="519"/>
        <v>39</v>
      </c>
      <c r="AW151" s="822">
        <f t="shared" si="520"/>
        <v>-26.131621187800956</v>
      </c>
      <c r="AY151" s="841">
        <f>AY141*0.354</f>
        <v>-16.991999999999997</v>
      </c>
      <c r="AZ151" s="878">
        <f t="shared" si="521"/>
        <v>35.399999999999991</v>
      </c>
      <c r="BA151" s="822">
        <f t="shared" si="522"/>
        <v>-136.92307692307693</v>
      </c>
      <c r="BC151" s="841">
        <f>BC141*0.389</f>
        <v>-28.786000000000001</v>
      </c>
      <c r="BD151" s="878">
        <f t="shared" si="523"/>
        <v>38.9</v>
      </c>
      <c r="BE151" s="822">
        <f t="shared" si="524"/>
        <v>69.409133709981205</v>
      </c>
      <c r="BG151" s="841">
        <f>(BG141)*0.365</f>
        <v>-4.0149999999999997</v>
      </c>
      <c r="BH151" s="878">
        <f t="shared" si="525"/>
        <v>36.5</v>
      </c>
      <c r="BI151" s="822">
        <f t="shared" si="526"/>
        <v>-86.05224762037102</v>
      </c>
      <c r="BK151" s="841">
        <f>-31-1</f>
        <v>-32</v>
      </c>
      <c r="BL151" s="878">
        <f t="shared" si="527"/>
        <v>51.612903225806448</v>
      </c>
      <c r="BM151" s="822">
        <f t="shared" si="528"/>
        <v>697.0112079701122</v>
      </c>
      <c r="BO151" s="841">
        <v>-12</v>
      </c>
      <c r="BP151" s="878">
        <f t="shared" si="529"/>
        <v>37.5</v>
      </c>
      <c r="BQ151" s="822">
        <f t="shared" si="530"/>
        <v>-62.5</v>
      </c>
      <c r="BS151" s="841">
        <v>-3</v>
      </c>
      <c r="BT151" s="878">
        <f t="shared" si="531"/>
        <v>42.857142857142854</v>
      </c>
      <c r="BU151" s="822">
        <f t="shared" si="532"/>
        <v>-75</v>
      </c>
      <c r="BW151" s="841">
        <f>+BW141*0.355</f>
        <v>37.629999999999995</v>
      </c>
      <c r="BX151" s="878">
        <f t="shared" si="533"/>
        <v>35.5</v>
      </c>
      <c r="BY151" s="822">
        <f t="shared" si="534"/>
        <v>-1354.333333333333</v>
      </c>
      <c r="CA151" s="841">
        <f>(CA141)*(60/182)</f>
        <v>60</v>
      </c>
      <c r="CB151" s="878">
        <f t="shared" si="535"/>
        <v>32.967032967032964</v>
      </c>
      <c r="CC151" s="822">
        <f t="shared" si="536"/>
        <v>59.447249534945534</v>
      </c>
      <c r="CE151" s="841">
        <v>70</v>
      </c>
      <c r="CF151" s="878">
        <f t="shared" si="537"/>
        <v>28.340080971659919</v>
      </c>
      <c r="CG151" s="822">
        <f t="shared" si="538"/>
        <v>16.666666666666675</v>
      </c>
      <c r="CI151" s="841">
        <v>105</v>
      </c>
      <c r="CJ151" s="878">
        <f t="shared" si="539"/>
        <v>37.62496864585944</v>
      </c>
      <c r="CK151" s="822">
        <f>(CI151/CE151-1)*100</f>
        <v>50</v>
      </c>
      <c r="CM151" s="841">
        <v>72</v>
      </c>
      <c r="CN151" s="878">
        <f t="shared" si="540"/>
        <v>38.285755306166344</v>
      </c>
      <c r="CO151" s="822">
        <f t="shared" si="541"/>
        <v>-31.428571428571427</v>
      </c>
      <c r="CQ151" s="841">
        <f>CQ141*0.382</f>
        <v>-0.38200000000000001</v>
      </c>
      <c r="CR151" s="878">
        <f t="shared" si="542"/>
        <v>38.200000000000003</v>
      </c>
      <c r="CS151" s="822">
        <f t="shared" si="543"/>
        <v>-100.53055555555555</v>
      </c>
      <c r="CU151" s="1340">
        <v>4</v>
      </c>
      <c r="CV151" s="878">
        <f t="shared" si="544"/>
        <v>22.222222222222221</v>
      </c>
      <c r="CW151" s="822">
        <f t="shared" si="545"/>
        <v>-1147.1204188481674</v>
      </c>
      <c r="CY151" s="1340">
        <v>10</v>
      </c>
      <c r="CZ151" s="878">
        <f t="shared" si="546"/>
        <v>41.115670552357223</v>
      </c>
      <c r="DA151" s="822">
        <f t="shared" si="547"/>
        <v>150</v>
      </c>
      <c r="DC151" s="1340">
        <v>-94</v>
      </c>
      <c r="DD151" s="878">
        <f t="shared" si="548"/>
        <v>39.004149377593365</v>
      </c>
      <c r="DE151" s="822">
        <f t="shared" si="549"/>
        <v>-1040</v>
      </c>
      <c r="DG151" s="1340">
        <v>-18</v>
      </c>
      <c r="DH151" s="878">
        <f t="shared" si="550"/>
        <v>2.9801324503311259</v>
      </c>
      <c r="DI151" s="822">
        <f t="shared" si="551"/>
        <v>-80.851063829787236</v>
      </c>
      <c r="DK151" s="1340">
        <v>-4</v>
      </c>
      <c r="DL151" s="878">
        <f t="shared" si="552"/>
        <v>2.2727272727272729</v>
      </c>
      <c r="DM151" s="893">
        <f>IF(ISERROR(DK151/DG151),,(DK151/DG151-1)*100)</f>
        <v>-77.777777777777786</v>
      </c>
      <c r="DP151" s="1340">
        <v>-3</v>
      </c>
      <c r="DQ151" s="878">
        <f t="shared" si="553"/>
        <v>2.1276595744680851</v>
      </c>
      <c r="DR151" s="893">
        <f t="shared" ref="DR151:DR156" si="559">IF(ISERROR(DP151/DK151),,(DP151/DK151-1)*100)</f>
        <v>-25</v>
      </c>
      <c r="DU151" s="1340">
        <f>5</f>
        <v>5</v>
      </c>
      <c r="DV151" s="878">
        <f t="shared" si="554"/>
        <v>-9.8039215686274517</v>
      </c>
      <c r="DW151" s="893">
        <f t="shared" ref="DW151:DW156" si="560">IF(ISERROR(DU151/DP151),,(DU151/DP151-1)*100)</f>
        <v>-266.66666666666669</v>
      </c>
      <c r="DZ151" s="1340">
        <f>1-(23+35-1-4-19)*(1-0.25)</f>
        <v>-24.5</v>
      </c>
      <c r="EA151" s="878">
        <f t="shared" si="555"/>
        <v>46.22641509434002</v>
      </c>
      <c r="EB151" s="893">
        <f t="shared" si="556"/>
        <v>-590</v>
      </c>
      <c r="EE151" s="841">
        <v>5</v>
      </c>
      <c r="EF151" s="878">
        <f t="shared" si="557"/>
        <v>13.710175231394786</v>
      </c>
      <c r="EG151" s="893">
        <f t="shared" si="558"/>
        <v>-120.40816326530613</v>
      </c>
      <c r="EK151" s="822"/>
      <c r="EL151" s="822"/>
      <c r="EM151" s="822"/>
      <c r="EN151" s="822"/>
      <c r="EO151" s="822"/>
      <c r="EP151" s="893"/>
      <c r="EQ151" s="893"/>
      <c r="ER151" s="893"/>
      <c r="ES151" s="893"/>
      <c r="ET151" s="893"/>
      <c r="EU151" s="893"/>
      <c r="EV151" s="893"/>
      <c r="EW151" s="805"/>
      <c r="EX151" s="805"/>
      <c r="EY151" s="894"/>
    </row>
    <row r="152" spans="1:155" outlineLevel="1">
      <c r="A152" s="819" t="s">
        <v>142</v>
      </c>
      <c r="C152" s="841">
        <v>100</v>
      </c>
      <c r="D152" s="878">
        <f t="shared" si="499"/>
        <v>32.362459546925564</v>
      </c>
      <c r="E152" s="887" t="s">
        <v>24</v>
      </c>
      <c r="G152" s="841">
        <v>54</v>
      </c>
      <c r="H152" s="878">
        <f t="shared" si="500"/>
        <v>28.723404255319153</v>
      </c>
      <c r="I152" s="822">
        <f t="shared" si="501"/>
        <v>-46</v>
      </c>
      <c r="K152" s="841">
        <v>69</v>
      </c>
      <c r="L152" s="878">
        <f t="shared" si="502"/>
        <v>37.297297297297298</v>
      </c>
      <c r="M152" s="822">
        <f t="shared" si="503"/>
        <v>27.777777777777768</v>
      </c>
      <c r="O152" s="841">
        <v>117</v>
      </c>
      <c r="P152" s="878">
        <f t="shared" si="504"/>
        <v>38.613861386138616</v>
      </c>
      <c r="Q152" s="822">
        <f t="shared" si="505"/>
        <v>69.565217391304344</v>
      </c>
      <c r="S152" s="841">
        <v>159</v>
      </c>
      <c r="T152" s="878">
        <f t="shared" si="506"/>
        <v>40.35532994923858</v>
      </c>
      <c r="U152" s="822">
        <f t="shared" si="507"/>
        <v>35.897435897435905</v>
      </c>
      <c r="W152" s="841">
        <v>173</v>
      </c>
      <c r="X152" s="878">
        <f t="shared" si="508"/>
        <v>38.702460850111855</v>
      </c>
      <c r="Y152" s="822">
        <f t="shared" si="509"/>
        <v>8.8050314465408785</v>
      </c>
      <c r="AA152" s="841">
        <v>144</v>
      </c>
      <c r="AB152" s="878">
        <f t="shared" si="510"/>
        <v>37.5</v>
      </c>
      <c r="AC152" s="822">
        <f t="shared" si="511"/>
        <v>-16.763005780346816</v>
      </c>
      <c r="AE152" s="841"/>
      <c r="AF152" s="878">
        <f t="shared" si="512"/>
        <v>0</v>
      </c>
      <c r="AG152" s="822" t="s">
        <v>147</v>
      </c>
      <c r="AI152" s="841">
        <f>141+13</f>
        <v>154</v>
      </c>
      <c r="AJ152" s="878">
        <f t="shared" si="513"/>
        <v>37.469586374695865</v>
      </c>
      <c r="AK152" s="822">
        <f t="shared" si="514"/>
        <v>-6.4935064935064961</v>
      </c>
      <c r="AM152" s="841">
        <f>AM142*0.385</f>
        <v>143.22</v>
      </c>
      <c r="AN152" s="878">
        <f t="shared" si="515"/>
        <v>38.5</v>
      </c>
      <c r="AO152" s="822">
        <f t="shared" si="516"/>
        <v>-7.0000000000000062</v>
      </c>
      <c r="AQ152" s="841">
        <v>118</v>
      </c>
      <c r="AR152" s="878">
        <f t="shared" si="517"/>
        <v>38.815789473684212</v>
      </c>
      <c r="AS152" s="822">
        <f t="shared" si="518"/>
        <v>-17.609272447982129</v>
      </c>
      <c r="AU152" s="841">
        <v>51</v>
      </c>
      <c r="AV152" s="878">
        <f t="shared" si="519"/>
        <v>34.45945945945946</v>
      </c>
      <c r="AW152" s="822">
        <f t="shared" si="520"/>
        <v>-56.779661016949156</v>
      </c>
      <c r="AY152" s="841">
        <f>AY142*0.424</f>
        <v>-41.975999999999999</v>
      </c>
      <c r="AZ152" s="878">
        <f t="shared" si="521"/>
        <v>42.4</v>
      </c>
      <c r="BA152" s="822">
        <f t="shared" si="522"/>
        <v>-182.30588235294118</v>
      </c>
      <c r="BC152" s="841">
        <f>BC142*0.37</f>
        <v>25.9</v>
      </c>
      <c r="BD152" s="878">
        <f t="shared" si="523"/>
        <v>37</v>
      </c>
      <c r="BE152" s="822">
        <f t="shared" si="524"/>
        <v>-161.7019249094721</v>
      </c>
      <c r="BG152" s="841">
        <f>(BG142)*0.364</f>
        <v>50.96</v>
      </c>
      <c r="BH152" s="878">
        <f t="shared" si="525"/>
        <v>36.4</v>
      </c>
      <c r="BI152" s="822">
        <f t="shared" si="526"/>
        <v>96.756756756756772</v>
      </c>
      <c r="BK152" s="841">
        <v>23</v>
      </c>
      <c r="BL152" s="878">
        <f t="shared" si="527"/>
        <v>29.487179487179489</v>
      </c>
      <c r="BM152" s="822">
        <f t="shared" si="528"/>
        <v>-54.866562009419148</v>
      </c>
      <c r="BO152" s="841">
        <v>39</v>
      </c>
      <c r="BP152" s="878">
        <f t="shared" si="529"/>
        <v>36.111111111111107</v>
      </c>
      <c r="BQ152" s="822">
        <f t="shared" si="530"/>
        <v>69.565217391304344</v>
      </c>
      <c r="BS152" s="841">
        <v>47</v>
      </c>
      <c r="BT152" s="878">
        <f t="shared" si="531"/>
        <v>33.571428571428569</v>
      </c>
      <c r="BU152" s="822">
        <f t="shared" si="532"/>
        <v>20.512820512820507</v>
      </c>
      <c r="BW152" s="841">
        <v>79</v>
      </c>
      <c r="BX152" s="878">
        <f t="shared" si="533"/>
        <v>34.801762114537446</v>
      </c>
      <c r="BY152" s="822">
        <f t="shared" si="534"/>
        <v>68.085106382978736</v>
      </c>
      <c r="CA152" s="841">
        <f>(CA142)*(131/365)</f>
        <v>131</v>
      </c>
      <c r="CB152" s="878">
        <f t="shared" si="535"/>
        <v>35.890410958904113</v>
      </c>
      <c r="CC152" s="822">
        <f t="shared" si="536"/>
        <v>65.822784810126578</v>
      </c>
      <c r="CE152" s="841">
        <v>182</v>
      </c>
      <c r="CF152" s="878">
        <f t="shared" si="537"/>
        <v>38.888888888888893</v>
      </c>
      <c r="CG152" s="822">
        <f t="shared" si="538"/>
        <v>38.931297709923676</v>
      </c>
      <c r="CI152" s="841">
        <f>109+32</f>
        <v>141</v>
      </c>
      <c r="CJ152" s="878">
        <f t="shared" si="539"/>
        <v>38.211382113821138</v>
      </c>
      <c r="CK152" s="822"/>
      <c r="CM152" s="841">
        <f>+CM142*0.382</f>
        <v>73.271296774193203</v>
      </c>
      <c r="CN152" s="878">
        <f t="shared" si="540"/>
        <v>38.200000000000003</v>
      </c>
      <c r="CO152" s="822">
        <f t="shared" si="541"/>
        <v>-48.034541294898439</v>
      </c>
      <c r="CQ152" s="841">
        <v>16</v>
      </c>
      <c r="CR152" s="878">
        <f t="shared" si="542"/>
        <v>37.209302325581397</v>
      </c>
      <c r="CS152" s="822">
        <f t="shared" si="543"/>
        <v>-78.163345396617373</v>
      </c>
      <c r="CU152" s="1340">
        <v>23</v>
      </c>
      <c r="CV152" s="878">
        <f t="shared" si="544"/>
        <v>34.328358208955223</v>
      </c>
      <c r="CW152" s="822">
        <f t="shared" si="545"/>
        <v>43.75</v>
      </c>
      <c r="CY152" s="1340">
        <v>-83</v>
      </c>
      <c r="CZ152" s="878">
        <f t="shared" si="546"/>
        <v>36.725663716814161</v>
      </c>
      <c r="DA152" s="822">
        <f t="shared" si="547"/>
        <v>-460.86956521739131</v>
      </c>
      <c r="DC152" s="1340">
        <v>-88</v>
      </c>
      <c r="DD152" s="878">
        <f t="shared" si="548"/>
        <v>41.706161137440759</v>
      </c>
      <c r="DE152" s="822">
        <f t="shared" si="549"/>
        <v>6.024096385542177</v>
      </c>
      <c r="DG152" s="1340">
        <v>-11</v>
      </c>
      <c r="DH152" s="878">
        <f t="shared" si="550"/>
        <v>2.1999999999999997</v>
      </c>
      <c r="DI152" s="822">
        <f t="shared" si="551"/>
        <v>-87.5</v>
      </c>
      <c r="DK152" s="1340">
        <v>-3</v>
      </c>
      <c r="DL152" s="878">
        <f t="shared" si="552"/>
        <v>1.5706806282722512</v>
      </c>
      <c r="DM152" s="893">
        <f>IF(ISERROR(DK152/DG152),,(DK152/DG152-1)*100)</f>
        <v>-72.727272727272734</v>
      </c>
      <c r="DP152" s="1340">
        <v>-10</v>
      </c>
      <c r="DQ152" s="878">
        <f t="shared" si="553"/>
        <v>6.8027210884353746</v>
      </c>
      <c r="DR152" s="893">
        <f t="shared" si="559"/>
        <v>233.33333333333334</v>
      </c>
      <c r="DU152" s="1340">
        <v>3</v>
      </c>
      <c r="DV152" s="878">
        <f t="shared" si="554"/>
        <v>-4.6875</v>
      </c>
      <c r="DW152" s="893">
        <f t="shared" si="560"/>
        <v>-130</v>
      </c>
      <c r="DZ152" s="1340">
        <f>-29+(-52+7-3-30)*0.31</f>
        <v>-53.18</v>
      </c>
      <c r="EA152" s="878">
        <f t="shared" si="555"/>
        <v>34.309677419354841</v>
      </c>
      <c r="EB152" s="893">
        <f t="shared" si="556"/>
        <v>-1872.6666666666667</v>
      </c>
      <c r="EE152" s="1542">
        <v>0</v>
      </c>
      <c r="EF152" s="878">
        <f t="shared" si="557"/>
        <v>0</v>
      </c>
      <c r="EG152" s="893">
        <f t="shared" si="558"/>
        <v>-100</v>
      </c>
      <c r="EK152" s="822"/>
      <c r="EL152" s="822"/>
      <c r="EM152" s="822"/>
      <c r="EN152" s="822"/>
      <c r="EO152" s="822"/>
      <c r="EP152" s="822"/>
      <c r="EQ152" s="822"/>
      <c r="ER152" s="822"/>
      <c r="ES152" s="822"/>
      <c r="ET152" s="822"/>
      <c r="EU152" s="822"/>
      <c r="EV152" s="822"/>
      <c r="EW152" s="805"/>
      <c r="EX152" s="805"/>
      <c r="EY152" s="894"/>
    </row>
    <row r="153" spans="1:155" outlineLevel="1">
      <c r="A153" s="819" t="s">
        <v>143</v>
      </c>
      <c r="C153" s="845">
        <v>165</v>
      </c>
      <c r="D153" s="878">
        <f t="shared" si="499"/>
        <v>31.015037593984964</v>
      </c>
      <c r="E153" s="887" t="s">
        <v>24</v>
      </c>
      <c r="G153" s="845">
        <v>84</v>
      </c>
      <c r="H153" s="878">
        <f t="shared" si="500"/>
        <v>28.965517241379313</v>
      </c>
      <c r="I153" s="822">
        <f t="shared" si="501"/>
        <v>-49.090909090909093</v>
      </c>
      <c r="K153" s="845">
        <v>201</v>
      </c>
      <c r="L153" s="878">
        <f t="shared" si="502"/>
        <v>40.039840637450197</v>
      </c>
      <c r="M153" s="822">
        <f t="shared" si="503"/>
        <v>139.28571428571428</v>
      </c>
      <c r="O153" s="845">
        <v>231</v>
      </c>
      <c r="P153" s="878">
        <f t="shared" si="504"/>
        <v>38.118811881188122</v>
      </c>
      <c r="Q153" s="822">
        <f t="shared" si="505"/>
        <v>14.925373134328357</v>
      </c>
      <c r="S153" s="845">
        <v>264</v>
      </c>
      <c r="T153" s="878">
        <f t="shared" si="506"/>
        <v>37.553342816500709</v>
      </c>
      <c r="U153" s="822">
        <f t="shared" si="507"/>
        <v>14.285714285714279</v>
      </c>
      <c r="W153" s="845">
        <v>246</v>
      </c>
      <c r="X153" s="878">
        <f t="shared" si="508"/>
        <v>36.498516320474778</v>
      </c>
      <c r="Y153" s="822">
        <f t="shared" si="509"/>
        <v>-6.8181818181818237</v>
      </c>
      <c r="AA153" s="845">
        <v>192</v>
      </c>
      <c r="AB153" s="878">
        <f t="shared" si="510"/>
        <v>37.051331532226939</v>
      </c>
      <c r="AC153" s="822">
        <f t="shared" si="511"/>
        <v>-21.95121951219512</v>
      </c>
      <c r="AE153" s="845"/>
      <c r="AF153" s="878">
        <f t="shared" si="512"/>
        <v>0</v>
      </c>
      <c r="AG153" s="822" t="s">
        <v>147</v>
      </c>
      <c r="AI153" s="845">
        <f>61+113</f>
        <v>174</v>
      </c>
      <c r="AJ153" s="878">
        <f t="shared" si="513"/>
        <v>36.631578947368418</v>
      </c>
      <c r="AK153" s="822">
        <f t="shared" si="514"/>
        <v>10.344827586206895</v>
      </c>
      <c r="AM153" s="845">
        <f>AM143*0.387</f>
        <v>206.65800000000002</v>
      </c>
      <c r="AN153" s="878">
        <f t="shared" si="515"/>
        <v>38.700000000000003</v>
      </c>
      <c r="AO153" s="822">
        <f t="shared" si="516"/>
        <v>18.768965517241387</v>
      </c>
      <c r="AQ153" s="845">
        <f>AQ143*0.359</f>
        <v>107.69999999999999</v>
      </c>
      <c r="AR153" s="878">
        <f t="shared" si="517"/>
        <v>35.9</v>
      </c>
      <c r="AS153" s="822">
        <f t="shared" si="518"/>
        <v>-47.884911302732057</v>
      </c>
      <c r="AU153" s="845">
        <f>AU143*0.228</f>
        <v>24.852</v>
      </c>
      <c r="AV153" s="878">
        <f t="shared" si="519"/>
        <v>22.8</v>
      </c>
      <c r="AW153" s="822">
        <f t="shared" si="520"/>
        <v>-76.924791086350979</v>
      </c>
      <c r="AY153" s="845">
        <f>AY143*0.361</f>
        <v>-22.021000000000001</v>
      </c>
      <c r="AZ153" s="878">
        <f t="shared" si="521"/>
        <v>36.1</v>
      </c>
      <c r="BA153" s="822">
        <f t="shared" si="522"/>
        <v>-188.60856269113148</v>
      </c>
      <c r="BC153" s="845">
        <f>BC143*0.385</f>
        <v>68.144999999999996</v>
      </c>
      <c r="BD153" s="878">
        <f t="shared" si="523"/>
        <v>38.499999999999993</v>
      </c>
      <c r="BE153" s="822">
        <f t="shared" si="524"/>
        <v>-409.45461150719763</v>
      </c>
      <c r="BG153" s="845">
        <v>116</v>
      </c>
      <c r="BH153" s="878">
        <f t="shared" si="525"/>
        <v>36.477987421383645</v>
      </c>
      <c r="BI153" s="822">
        <f t="shared" si="526"/>
        <v>70.225254971017705</v>
      </c>
      <c r="BK153" s="845">
        <v>75</v>
      </c>
      <c r="BL153" s="878">
        <f t="shared" si="527"/>
        <v>42.134831460674157</v>
      </c>
      <c r="BM153" s="822">
        <f t="shared" si="528"/>
        <v>-35.344827586206897</v>
      </c>
      <c r="BO153" s="845">
        <v>70</v>
      </c>
      <c r="BP153" s="878">
        <f t="shared" si="529"/>
        <v>28.688524590163933</v>
      </c>
      <c r="BQ153" s="822">
        <f t="shared" si="530"/>
        <v>-6.6666666666666652</v>
      </c>
      <c r="BS153" s="845">
        <v>126</v>
      </c>
      <c r="BT153" s="878">
        <f t="shared" si="531"/>
        <v>33.6</v>
      </c>
      <c r="BU153" s="822">
        <f t="shared" si="532"/>
        <v>80</v>
      </c>
      <c r="BW153" s="845">
        <v>170</v>
      </c>
      <c r="BX153" s="878">
        <f t="shared" si="533"/>
        <v>34.412955465587039</v>
      </c>
      <c r="BY153" s="822">
        <f t="shared" si="534"/>
        <v>34.920634920634932</v>
      </c>
      <c r="CA153" s="845">
        <v>228.32900000000001</v>
      </c>
      <c r="CB153" s="878">
        <f t="shared" si="535"/>
        <v>36.295470875113665</v>
      </c>
      <c r="CC153" s="822">
        <f t="shared" si="536"/>
        <v>34.311176470588236</v>
      </c>
      <c r="CE153" s="845">
        <v>271</v>
      </c>
      <c r="CF153" s="878">
        <f t="shared" si="537"/>
        <v>37.021857923497272</v>
      </c>
      <c r="CG153" s="822">
        <f t="shared" si="538"/>
        <v>18.688383867139091</v>
      </c>
      <c r="CI153" s="845">
        <v>255</v>
      </c>
      <c r="CJ153" s="878">
        <f t="shared" si="539"/>
        <v>37.172011661807581</v>
      </c>
      <c r="CK153" s="822">
        <f>(CI153/CE153-1)*100</f>
        <v>-5.9040590405904041</v>
      </c>
      <c r="CM153" s="845">
        <f>(120/328)*CM143</f>
        <v>120</v>
      </c>
      <c r="CN153" s="878">
        <f t="shared" si="540"/>
        <v>36.585365853658537</v>
      </c>
      <c r="CO153" s="822">
        <f t="shared" si="541"/>
        <v>-52.941176470588239</v>
      </c>
      <c r="CQ153" s="845">
        <f>120-0.2</f>
        <v>119.8</v>
      </c>
      <c r="CR153" s="878">
        <f t="shared" si="542"/>
        <v>37.672955974842765</v>
      </c>
      <c r="CS153" s="822">
        <f t="shared" si="543"/>
        <v>-0.16666666666667052</v>
      </c>
      <c r="CU153" s="1341">
        <f>140+32*0.36</f>
        <v>151.52000000000001</v>
      </c>
      <c r="CV153" s="878">
        <f t="shared" si="544"/>
        <v>35.074074074074076</v>
      </c>
      <c r="CW153" s="822">
        <f t="shared" si="545"/>
        <v>26.477462437395658</v>
      </c>
      <c r="CY153" s="1341">
        <v>-43</v>
      </c>
      <c r="CZ153" s="878">
        <f t="shared" si="546"/>
        <v>33.076923076923073</v>
      </c>
      <c r="DA153" s="822">
        <f t="shared" si="547"/>
        <v>-128.37909186906018</v>
      </c>
      <c r="DC153" s="1341">
        <v>-250</v>
      </c>
      <c r="DD153" s="878">
        <f t="shared" si="548"/>
        <v>31.172069825436409</v>
      </c>
      <c r="DE153" s="822">
        <f t="shared" si="549"/>
        <v>481.39534883720927</v>
      </c>
      <c r="DG153" s="1341">
        <v>-270</v>
      </c>
      <c r="DH153" s="878">
        <f t="shared" si="550"/>
        <v>114.89361702127661</v>
      </c>
      <c r="DI153" s="822">
        <f t="shared" si="551"/>
        <v>8.0000000000000071</v>
      </c>
      <c r="DK153" s="1341">
        <v>22</v>
      </c>
      <c r="DL153" s="878">
        <f t="shared" si="552"/>
        <v>-59.45945945945946</v>
      </c>
      <c r="DM153" s="893">
        <f>IF(ISERROR(DK153/DG153),,(DK153/DG153-1)*100)</f>
        <v>-108.14814814814815</v>
      </c>
      <c r="DP153" s="1341">
        <v>1</v>
      </c>
      <c r="DQ153" s="878">
        <f t="shared" si="553"/>
        <v>-0.76923076923076927</v>
      </c>
      <c r="DR153" s="893">
        <f t="shared" si="559"/>
        <v>-95.454545454545453</v>
      </c>
      <c r="DU153" s="1341">
        <v>-6</v>
      </c>
      <c r="DV153" s="878">
        <f t="shared" si="554"/>
        <v>-3.225806451612903</v>
      </c>
      <c r="DW153" s="893">
        <f t="shared" si="560"/>
        <v>-700</v>
      </c>
      <c r="DZ153" s="1341">
        <f>-86+75</f>
        <v>-11</v>
      </c>
      <c r="EA153" s="878">
        <f t="shared" si="555"/>
        <v>-6.5476190476190483</v>
      </c>
      <c r="EB153" s="893">
        <f t="shared" si="556"/>
        <v>83.333333333333329</v>
      </c>
      <c r="EE153" s="1545">
        <v>12</v>
      </c>
      <c r="EF153" s="878">
        <f t="shared" si="557"/>
        <v>11.832816968922186</v>
      </c>
      <c r="EG153" s="893">
        <f t="shared" si="558"/>
        <v>-209.09090909090909</v>
      </c>
      <c r="EK153" s="893"/>
      <c r="EL153" s="893"/>
      <c r="EM153" s="893"/>
      <c r="EN153" s="893"/>
      <c r="EO153" s="893"/>
      <c r="EP153" s="822"/>
      <c r="EQ153" s="822"/>
      <c r="ER153" s="822"/>
      <c r="ES153" s="822"/>
      <c r="ET153" s="822"/>
      <c r="EU153" s="822"/>
      <c r="EV153" s="822"/>
      <c r="EW153" s="805"/>
      <c r="EX153" s="805"/>
      <c r="EY153" s="894"/>
    </row>
    <row r="154" spans="1:155" outlineLevel="1">
      <c r="A154" s="819" t="s">
        <v>144</v>
      </c>
      <c r="C154" s="591">
        <f>SUM(C150:C153)</f>
        <v>380</v>
      </c>
      <c r="D154" s="878">
        <f t="shared" si="499"/>
        <v>31.613976705490849</v>
      </c>
      <c r="E154" s="887" t="s">
        <v>24</v>
      </c>
      <c r="G154" s="591">
        <f>SUM(G150:G153)</f>
        <v>255</v>
      </c>
      <c r="H154" s="878">
        <f t="shared" si="500"/>
        <v>30.649038461538463</v>
      </c>
      <c r="I154" s="822">
        <f t="shared" si="501"/>
        <v>-32.894736842105267</v>
      </c>
      <c r="K154" s="591">
        <f>SUM(K150:K153)</f>
        <v>335</v>
      </c>
      <c r="L154" s="878">
        <f t="shared" si="502"/>
        <v>38.818076477404404</v>
      </c>
      <c r="M154" s="822">
        <f t="shared" si="503"/>
        <v>31.372549019607842</v>
      </c>
      <c r="O154" s="591">
        <f>SUM(O150:O153)</f>
        <v>482</v>
      </c>
      <c r="P154" s="878">
        <f t="shared" si="504"/>
        <v>38.284352660841932</v>
      </c>
      <c r="Q154" s="822">
        <f t="shared" si="505"/>
        <v>43.880597014925371</v>
      </c>
      <c r="S154" s="591">
        <f>SUM(S150:S153)</f>
        <v>596</v>
      </c>
      <c r="T154" s="878">
        <f t="shared" si="506"/>
        <v>38.352638352638351</v>
      </c>
      <c r="U154" s="822">
        <f t="shared" si="507"/>
        <v>23.651452282157681</v>
      </c>
      <c r="W154" s="591">
        <f>SUM(W150:W153)</f>
        <v>642</v>
      </c>
      <c r="X154" s="878">
        <f t="shared" si="508"/>
        <v>37.786933490288405</v>
      </c>
      <c r="Y154" s="822">
        <f t="shared" si="509"/>
        <v>7.718120805369133</v>
      </c>
      <c r="AA154" s="591">
        <f>SUM(AA150:AA153)</f>
        <v>503</v>
      </c>
      <c r="AB154" s="878">
        <f t="shared" si="510"/>
        <v>37.503728004771844</v>
      </c>
      <c r="AC154" s="822">
        <f t="shared" si="511"/>
        <v>-21.651090342679126</v>
      </c>
      <c r="AE154" s="591"/>
      <c r="AF154" s="878">
        <f t="shared" si="512"/>
        <v>0</v>
      </c>
      <c r="AG154" s="822" t="s">
        <v>147</v>
      </c>
      <c r="AI154" s="591">
        <f>SUM(AI150:AI153)</f>
        <v>470</v>
      </c>
      <c r="AJ154" s="878">
        <f t="shared" si="513"/>
        <v>37.212984956452885</v>
      </c>
      <c r="AK154" s="822">
        <f t="shared" si="514"/>
        <v>7.0212765957446743</v>
      </c>
      <c r="AM154" s="591">
        <f>SUM(AM150:AM153)</f>
        <v>507.27300000000002</v>
      </c>
      <c r="AN154" s="878">
        <f t="shared" si="515"/>
        <v>38.931158864159634</v>
      </c>
      <c r="AO154" s="822">
        <f t="shared" si="516"/>
        <v>7.9304255319148975</v>
      </c>
      <c r="AQ154" s="591">
        <f>SUM(AQ150:AQ153)</f>
        <v>398</v>
      </c>
      <c r="AR154" s="878">
        <f t="shared" si="517"/>
        <v>37.993508348065433</v>
      </c>
      <c r="AS154" s="822">
        <f t="shared" si="518"/>
        <v>-21.541260820110676</v>
      </c>
      <c r="AU154" s="591">
        <f>SUM(AU150:AU153)</f>
        <v>201.87200000000001</v>
      </c>
      <c r="AV154" s="878">
        <f t="shared" si="519"/>
        <v>34.449146757679181</v>
      </c>
      <c r="AW154" s="822">
        <f t="shared" si="520"/>
        <v>-49.278391959798995</v>
      </c>
      <c r="AY154" s="591">
        <f>AY144*0.344</f>
        <v>-46.44</v>
      </c>
      <c r="AZ154" s="878">
        <f t="shared" si="521"/>
        <v>34.4</v>
      </c>
      <c r="BA154" s="822">
        <f t="shared" si="522"/>
        <v>-123.00467623048267</v>
      </c>
      <c r="BC154" s="591">
        <f>SUM(BC150:BC153)</f>
        <v>86.564999999999998</v>
      </c>
      <c r="BD154" s="878">
        <f t="shared" si="523"/>
        <v>38.303097345132741</v>
      </c>
      <c r="BE154" s="822">
        <f t="shared" si="524"/>
        <v>-286.40180878552968</v>
      </c>
      <c r="BG154" s="591">
        <f>SUM(BG150:BG153)</f>
        <v>209.66499999999999</v>
      </c>
      <c r="BH154" s="878">
        <f t="shared" si="525"/>
        <v>35.901541095890408</v>
      </c>
      <c r="BI154" s="822">
        <f t="shared" si="526"/>
        <v>142.20527926991281</v>
      </c>
      <c r="BK154" s="591">
        <f>SUM(BK150:BK153)</f>
        <v>91</v>
      </c>
      <c r="BL154" s="878">
        <f t="shared" si="527"/>
        <v>33.090909090909093</v>
      </c>
      <c r="BM154" s="822">
        <f t="shared" si="528"/>
        <v>-56.597429232346826</v>
      </c>
      <c r="BO154" s="591">
        <f>SUM(BO150:BO153)</f>
        <v>130</v>
      </c>
      <c r="BP154" s="878">
        <f t="shared" si="529"/>
        <v>31.55339805825243</v>
      </c>
      <c r="BQ154" s="822">
        <f t="shared" si="530"/>
        <v>42.857142857142861</v>
      </c>
      <c r="BS154" s="591">
        <f>SUM(BS150:BS153)</f>
        <v>179</v>
      </c>
      <c r="BT154" s="878">
        <f t="shared" si="531"/>
        <v>33.209647495361786</v>
      </c>
      <c r="BU154" s="822">
        <f t="shared" si="532"/>
        <v>37.692307692307693</v>
      </c>
      <c r="BW154" s="591">
        <f>SUM(BW150:BW153)</f>
        <v>347.63</v>
      </c>
      <c r="BX154" s="878">
        <f t="shared" si="533"/>
        <v>34.590049751243782</v>
      </c>
      <c r="BY154" s="822">
        <f t="shared" si="534"/>
        <v>94.206703910614522</v>
      </c>
      <c r="CA154" s="591">
        <f>SUM(CA150:CA153)</f>
        <v>515.96840520446096</v>
      </c>
      <c r="CB154" s="878">
        <f t="shared" si="535"/>
        <v>35.729805551786555</v>
      </c>
      <c r="CC154" s="822">
        <f t="shared" si="536"/>
        <v>48.424590859379514</v>
      </c>
      <c r="CE154" s="591">
        <f>SUM(CE150:CE153)</f>
        <v>657.61206896551721</v>
      </c>
      <c r="CF154" s="878">
        <f t="shared" si="537"/>
        <v>36.656191135201624</v>
      </c>
      <c r="CG154" s="822">
        <f t="shared" si="538"/>
        <v>27.452003326623764</v>
      </c>
      <c r="CI154" s="591">
        <f>SUM(CI150:CI153)</f>
        <v>650</v>
      </c>
      <c r="CJ154" s="878">
        <f t="shared" si="539"/>
        <v>37.789159743498807</v>
      </c>
      <c r="CK154" s="822">
        <f>(CI154/CE154-1)*100</f>
        <v>-1.1575318222933006</v>
      </c>
      <c r="CM154" s="591">
        <f>SUM(CM150:CM153)</f>
        <v>340.27129677419322</v>
      </c>
      <c r="CN154" s="878">
        <f t="shared" si="540"/>
        <v>37.687774185268111</v>
      </c>
      <c r="CO154" s="822">
        <f t="shared" si="541"/>
        <v>-47.650569727047198</v>
      </c>
      <c r="CQ154" s="591">
        <f>SUM(CQ150:CQ153)</f>
        <v>153.41800000000001</v>
      </c>
      <c r="CR154" s="878">
        <f t="shared" si="542"/>
        <v>38.068982630272949</v>
      </c>
      <c r="CS154" s="822">
        <f t="shared" si="543"/>
        <v>-54.913035141541954</v>
      </c>
      <c r="CU154" s="591">
        <f>SUM(CU150:CU153)</f>
        <v>214.52</v>
      </c>
      <c r="CV154" s="878">
        <f t="shared" si="544"/>
        <v>34.995106035889073</v>
      </c>
      <c r="CW154" s="822">
        <f t="shared" si="545"/>
        <v>39.827138927635609</v>
      </c>
      <c r="CY154" s="591">
        <f>SUM(CY150:CY153)</f>
        <v>-77</v>
      </c>
      <c r="CZ154" s="878">
        <f t="shared" si="546"/>
        <v>33.671745589685202</v>
      </c>
      <c r="DA154" s="822">
        <f t="shared" si="547"/>
        <v>-135.89408912921871</v>
      </c>
      <c r="DC154" s="591">
        <f>SUM(DC150:DC153)</f>
        <v>-551</v>
      </c>
      <c r="DD154" s="878">
        <f t="shared" si="548"/>
        <v>35.872395833333329</v>
      </c>
      <c r="DE154" s="822">
        <f t="shared" si="549"/>
        <v>615.58441558441552</v>
      </c>
      <c r="DG154" s="591">
        <f>SUM(DG150:DG153)</f>
        <v>-498</v>
      </c>
      <c r="DH154" s="878">
        <f t="shared" si="550"/>
        <v>26.405090137857901</v>
      </c>
      <c r="DI154" s="822">
        <f t="shared" si="551"/>
        <v>-9.6188747731397406</v>
      </c>
      <c r="DK154" s="591">
        <f>SUM(DK150:DK153)</f>
        <v>23</v>
      </c>
      <c r="DL154" s="878">
        <f t="shared" si="552"/>
        <v>-3.0748663101604281</v>
      </c>
      <c r="DM154" s="893">
        <f>IF(ISERROR(DK154/DG154),NA,(DK154/DG154-1)*100)</f>
        <v>-104.61847389558233</v>
      </c>
      <c r="DP154" s="591">
        <f>SUM(DP150:DP153)</f>
        <v>-18</v>
      </c>
      <c r="DQ154" s="878">
        <f t="shared" si="553"/>
        <v>3.1872509960159361</v>
      </c>
      <c r="DR154" s="893">
        <f t="shared" si="559"/>
        <v>-178.26086956521738</v>
      </c>
      <c r="DU154" s="591">
        <f>SUM(DU150:DU153)</f>
        <v>1</v>
      </c>
      <c r="DV154" s="878">
        <f t="shared" si="554"/>
        <v>50</v>
      </c>
      <c r="DW154" s="893">
        <f t="shared" si="560"/>
        <v>-105.55555555555556</v>
      </c>
      <c r="DZ154" s="591">
        <f>SUM(DZ150:DZ153)</f>
        <v>-80.680000000000007</v>
      </c>
      <c r="EA154" s="878">
        <f>(DZ154/DZ144)*100</f>
        <v>620.61538461538476</v>
      </c>
      <c r="EB154" s="893">
        <f t="shared" si="556"/>
        <v>-8168.0000000000009</v>
      </c>
      <c r="EE154" s="591">
        <f>SUM(EE150:EE153)</f>
        <v>17</v>
      </c>
      <c r="EF154" s="878">
        <f>(EE154/EE144)*100</f>
        <v>43.234625462001375</v>
      </c>
      <c r="EG154" s="893">
        <f t="shared" si="558"/>
        <v>-121.07089737233514</v>
      </c>
      <c r="EK154" s="822"/>
      <c r="EL154" s="822"/>
      <c r="EM154" s="822"/>
      <c r="EN154" s="822"/>
      <c r="EO154" s="822"/>
      <c r="EP154" s="822"/>
      <c r="EQ154" s="822"/>
      <c r="ER154" s="822"/>
      <c r="ES154" s="822"/>
      <c r="ET154" s="822"/>
      <c r="EU154" s="822"/>
      <c r="EV154" s="822"/>
      <c r="EW154" s="805"/>
      <c r="EX154" s="805"/>
      <c r="EY154" s="894"/>
    </row>
    <row r="155" spans="1:155" hidden="1" outlineLevel="2">
      <c r="A155" s="819" t="s">
        <v>145</v>
      </c>
      <c r="C155" s="706">
        <f>C150+C151</f>
        <v>115</v>
      </c>
      <c r="D155" s="878">
        <f t="shared" si="499"/>
        <v>31.855955678670362</v>
      </c>
      <c r="E155" s="887" t="s">
        <v>24</v>
      </c>
      <c r="G155" s="706">
        <f>G150+G151</f>
        <v>117</v>
      </c>
      <c r="H155" s="878">
        <f t="shared" si="500"/>
        <v>33.050847457627121</v>
      </c>
      <c r="I155" s="822">
        <f t="shared" si="501"/>
        <v>1.7391304347825987</v>
      </c>
      <c r="K155" s="706">
        <f>K150+K151</f>
        <v>65</v>
      </c>
      <c r="L155" s="878">
        <f t="shared" si="502"/>
        <v>36.93181818181818</v>
      </c>
      <c r="M155" s="822">
        <f t="shared" si="503"/>
        <v>-44.444444444444443</v>
      </c>
      <c r="O155" s="706">
        <f>O150+O151</f>
        <v>134</v>
      </c>
      <c r="P155" s="878">
        <f t="shared" si="504"/>
        <v>38.285714285714285</v>
      </c>
      <c r="Q155" s="822">
        <f t="shared" si="505"/>
        <v>106.15384615384613</v>
      </c>
      <c r="S155" s="706">
        <f>S150+S151</f>
        <v>173</v>
      </c>
      <c r="T155" s="878">
        <f t="shared" si="506"/>
        <v>37.855579868708972</v>
      </c>
      <c r="U155" s="822">
        <f t="shared" si="507"/>
        <v>29.104477611940304</v>
      </c>
      <c r="W155" s="706">
        <f>W150+W151</f>
        <v>223</v>
      </c>
      <c r="X155" s="878">
        <f t="shared" si="508"/>
        <v>38.581314878892734</v>
      </c>
      <c r="Y155" s="822">
        <f t="shared" si="509"/>
        <v>28.901734104046241</v>
      </c>
      <c r="AA155" s="706">
        <f>AA150+AA151</f>
        <v>167</v>
      </c>
      <c r="AB155" s="878">
        <f t="shared" si="510"/>
        <v>38.041002277904326</v>
      </c>
      <c r="AC155" s="822">
        <f t="shared" si="511"/>
        <v>-25.11210762331838</v>
      </c>
      <c r="AE155" s="706"/>
      <c r="AF155" s="878">
        <f t="shared" si="512"/>
        <v>0</v>
      </c>
      <c r="AG155" s="822" t="s">
        <v>147</v>
      </c>
      <c r="AI155" s="706">
        <f>AI150+AI151</f>
        <v>142</v>
      </c>
      <c r="AJ155" s="878">
        <f t="shared" si="513"/>
        <v>37.665782493368702</v>
      </c>
      <c r="AK155" s="822">
        <f t="shared" si="514"/>
        <v>17.6056338028169</v>
      </c>
      <c r="AM155" s="706">
        <f>AM150+AM151</f>
        <v>157.39500000000001</v>
      </c>
      <c r="AN155" s="878">
        <f t="shared" si="515"/>
        <v>39.646095717884137</v>
      </c>
      <c r="AO155" s="822">
        <f t="shared" si="516"/>
        <v>10.841549295774655</v>
      </c>
      <c r="AQ155" s="706">
        <f>AQ150+AQ151</f>
        <v>172.3</v>
      </c>
      <c r="AR155" s="878">
        <f t="shared" si="517"/>
        <v>38.845906676021549</v>
      </c>
      <c r="AS155" s="822">
        <f t="shared" si="518"/>
        <v>9.4698052670034052</v>
      </c>
      <c r="AU155" s="706">
        <f>AU150+AU151</f>
        <v>126.02000000000001</v>
      </c>
      <c r="AV155" s="878">
        <f t="shared" si="519"/>
        <v>38.30395136778116</v>
      </c>
      <c r="AW155" s="822">
        <f t="shared" si="520"/>
        <v>-26.860127684271617</v>
      </c>
      <c r="AY155" s="706">
        <f>AY150+AY151</f>
        <v>11.989000000000004</v>
      </c>
      <c r="AZ155" s="878">
        <f t="shared" si="521"/>
        <v>47.956000000000017</v>
      </c>
      <c r="BA155" s="822">
        <f t="shared" si="522"/>
        <v>-90.486430725281693</v>
      </c>
      <c r="BC155" s="706">
        <f>BC150+BC151</f>
        <v>-7.48</v>
      </c>
      <c r="BD155" s="878">
        <f t="shared" si="523"/>
        <v>35.61904761904762</v>
      </c>
      <c r="BE155" s="822">
        <f t="shared" si="524"/>
        <v>-162.39052464759359</v>
      </c>
      <c r="BG155" s="706">
        <f>BG150+BG151</f>
        <v>42.704999999999998</v>
      </c>
      <c r="BH155" s="878">
        <f t="shared" si="525"/>
        <v>33.892857142857139</v>
      </c>
      <c r="BI155" s="822">
        <f t="shared" si="526"/>
        <v>-670.92245989304809</v>
      </c>
      <c r="BK155" s="706">
        <f>BK150+BK151</f>
        <v>-7</v>
      </c>
      <c r="BL155" s="878">
        <f t="shared" si="527"/>
        <v>-38.888888888888893</v>
      </c>
      <c r="BM155" s="822">
        <f t="shared" si="528"/>
        <v>-116.3915232408383</v>
      </c>
      <c r="BO155" s="706">
        <f>BO150+BO151</f>
        <v>21</v>
      </c>
      <c r="BP155" s="878">
        <f t="shared" si="529"/>
        <v>33.333333333333329</v>
      </c>
      <c r="BQ155" s="822">
        <f t="shared" si="530"/>
        <v>-400</v>
      </c>
      <c r="BS155" s="706">
        <f>BS150+BS151</f>
        <v>6</v>
      </c>
      <c r="BT155" s="878">
        <f t="shared" si="531"/>
        <v>25</v>
      </c>
      <c r="BU155" s="822">
        <f t="shared" si="532"/>
        <v>-71.428571428571431</v>
      </c>
      <c r="BW155" s="706">
        <f>BW150+BW151</f>
        <v>98.63</v>
      </c>
      <c r="BX155" s="878">
        <f t="shared" si="533"/>
        <v>34.728873239436616</v>
      </c>
      <c r="BY155" s="822">
        <f t="shared" si="534"/>
        <v>1543.8333333333333</v>
      </c>
      <c r="CA155" s="706">
        <f>CA150+CA151</f>
        <v>156.63940520446096</v>
      </c>
      <c r="CB155" s="878">
        <f t="shared" si="535"/>
        <v>34.808756712102436</v>
      </c>
      <c r="CC155" s="822">
        <f t="shared" si="536"/>
        <v>58.815173075596626</v>
      </c>
      <c r="CE155" s="706">
        <f>CE150+CE151</f>
        <v>204.61206896551724</v>
      </c>
      <c r="CF155" s="878">
        <f t="shared" si="537"/>
        <v>34.446476256821086</v>
      </c>
      <c r="CG155" s="822">
        <f t="shared" si="538"/>
        <v>30.626178450076267</v>
      </c>
      <c r="CI155" s="706">
        <f>CI150+CI151</f>
        <v>254</v>
      </c>
      <c r="CJ155" s="878">
        <f t="shared" si="539"/>
        <v>38.191468567218479</v>
      </c>
      <c r="CK155" s="822">
        <f>(CI155/CE155-1)*100</f>
        <v>24.137349905203287</v>
      </c>
      <c r="CM155" s="706">
        <f>CM150+CM151</f>
        <v>147</v>
      </c>
      <c r="CN155" s="878">
        <f t="shared" si="540"/>
        <v>38.375239355765849</v>
      </c>
      <c r="CO155" s="822">
        <f t="shared" si="541"/>
        <v>-42.125984251968504</v>
      </c>
      <c r="CQ155" s="706">
        <f>CQ150+CQ151</f>
        <v>17.617999999999999</v>
      </c>
      <c r="CR155" s="878">
        <f t="shared" si="542"/>
        <v>41.947619047619042</v>
      </c>
      <c r="CS155" s="822">
        <f t="shared" si="543"/>
        <v>-88.014965986394557</v>
      </c>
      <c r="CU155" s="706">
        <f>CU150+CU151</f>
        <v>40</v>
      </c>
      <c r="CV155" s="878">
        <f t="shared" si="544"/>
        <v>35.087719298245609</v>
      </c>
      <c r="CW155" s="822">
        <f t="shared" si="545"/>
        <v>127.04052673402204</v>
      </c>
      <c r="CY155" s="706">
        <f>CY150+CY151</f>
        <v>49</v>
      </c>
      <c r="CZ155" s="878">
        <f t="shared" si="546"/>
        <v>38.485213535918056</v>
      </c>
      <c r="DA155" s="822">
        <f t="shared" si="547"/>
        <v>22.500000000000007</v>
      </c>
      <c r="DC155" s="706">
        <f>DC150+DC151</f>
        <v>-213</v>
      </c>
      <c r="DD155" s="878">
        <f t="shared" si="548"/>
        <v>40.726577437858509</v>
      </c>
      <c r="DE155" s="822">
        <f t="shared" si="549"/>
        <v>-534.69387755102048</v>
      </c>
      <c r="DG155" s="706">
        <f>DG150+DG151</f>
        <v>-217</v>
      </c>
      <c r="DH155" s="878">
        <f t="shared" si="550"/>
        <v>18.853171155516943</v>
      </c>
      <c r="DI155" s="822">
        <f t="shared" si="551"/>
        <v>1.8779342723004744</v>
      </c>
      <c r="DK155" s="706">
        <f>DK150+DK151</f>
        <v>4</v>
      </c>
      <c r="DL155" s="878">
        <f t="shared" si="552"/>
        <v>-0.76923076923076927</v>
      </c>
      <c r="DM155" s="893">
        <f>IF(ISERROR(DK155/DG155),NA,(DK155/DG155-1)*100)</f>
        <v>-101.84331797235022</v>
      </c>
      <c r="DP155" s="706">
        <f>DP150+DP151</f>
        <v>-9</v>
      </c>
      <c r="DQ155" s="878">
        <f t="shared" si="553"/>
        <v>3.127715030408341</v>
      </c>
      <c r="DR155" s="893">
        <f t="shared" si="559"/>
        <v>-325</v>
      </c>
      <c r="DU155" s="706">
        <f>DU150+DU151</f>
        <v>4</v>
      </c>
      <c r="DV155" s="878">
        <f t="shared" si="554"/>
        <v>-3.3333333333333335</v>
      </c>
      <c r="DW155" s="893">
        <f t="shared" si="560"/>
        <v>-144.44444444444443</v>
      </c>
      <c r="DZ155" s="706">
        <f>DZ150+DZ151</f>
        <v>-16.5</v>
      </c>
      <c r="EA155" s="878">
        <f>(DZ155/DZ145)*100</f>
        <v>63.461538461539568</v>
      </c>
      <c r="EB155" s="822">
        <f t="shared" si="556"/>
        <v>-512.5</v>
      </c>
      <c r="EE155" s="706">
        <f>EE150+EE151</f>
        <v>5</v>
      </c>
      <c r="EF155" s="878">
        <f>(EE155/EE145)*100</f>
        <v>-26.652452025586694</v>
      </c>
      <c r="EG155" s="822">
        <f t="shared" si="558"/>
        <v>-130.30303030303031</v>
      </c>
      <c r="EK155" s="822"/>
      <c r="EL155" s="822"/>
      <c r="EM155" s="822"/>
      <c r="EN155" s="822"/>
      <c r="EO155" s="822"/>
      <c r="EP155" s="822"/>
      <c r="EQ155" s="822"/>
      <c r="ER155" s="822"/>
      <c r="ES155" s="822"/>
      <c r="ET155" s="822"/>
      <c r="EU155" s="822"/>
      <c r="EV155" s="822"/>
      <c r="EW155" s="805"/>
      <c r="EX155" s="805"/>
      <c r="EY155" s="894"/>
    </row>
    <row r="156" spans="1:155" hidden="1" outlineLevel="2">
      <c r="A156" s="819" t="s">
        <v>146</v>
      </c>
      <c r="C156" s="706">
        <f>C150+C151+C152</f>
        <v>215</v>
      </c>
      <c r="D156" s="878">
        <f t="shared" si="499"/>
        <v>32.089552238805972</v>
      </c>
      <c r="E156" s="887" t="s">
        <v>24</v>
      </c>
      <c r="G156" s="706">
        <f>G150+G151+G152</f>
        <v>171</v>
      </c>
      <c r="H156" s="878">
        <f t="shared" si="500"/>
        <v>31.549815498154981</v>
      </c>
      <c r="I156" s="822">
        <f t="shared" si="501"/>
        <v>-20.465116279069772</v>
      </c>
      <c r="K156" s="706">
        <f>K150+K151+K152</f>
        <v>134</v>
      </c>
      <c r="L156" s="878">
        <f t="shared" si="502"/>
        <v>37.119113573407205</v>
      </c>
      <c r="M156" s="822">
        <f t="shared" si="503"/>
        <v>-21.637426900584799</v>
      </c>
      <c r="O156" s="706">
        <f>O150+O151+O152</f>
        <v>251</v>
      </c>
      <c r="P156" s="878">
        <f t="shared" si="504"/>
        <v>38.437978560490045</v>
      </c>
      <c r="Q156" s="822">
        <f t="shared" si="505"/>
        <v>87.31343283582089</v>
      </c>
      <c r="S156" s="706">
        <f>S150+S151+S152</f>
        <v>332</v>
      </c>
      <c r="T156" s="878">
        <f t="shared" si="506"/>
        <v>39.012925969447707</v>
      </c>
      <c r="U156" s="822">
        <f t="shared" si="507"/>
        <v>32.270916334661351</v>
      </c>
      <c r="W156" s="706">
        <f>W150+W151+W152</f>
        <v>396</v>
      </c>
      <c r="X156" s="878">
        <f t="shared" si="508"/>
        <v>38.634146341463413</v>
      </c>
      <c r="Y156" s="822">
        <f t="shared" si="509"/>
        <v>19.277108433734934</v>
      </c>
      <c r="AA156" s="706">
        <f>AA150+AA151+AA152</f>
        <v>311</v>
      </c>
      <c r="AB156" s="878">
        <f t="shared" si="510"/>
        <v>37.788578371810452</v>
      </c>
      <c r="AC156" s="822">
        <f t="shared" si="511"/>
        <v>-21.464646464646464</v>
      </c>
      <c r="AE156" s="706"/>
      <c r="AF156" s="878">
        <f t="shared" si="512"/>
        <v>0</v>
      </c>
      <c r="AG156" s="822" t="s">
        <v>147</v>
      </c>
      <c r="AI156" s="706">
        <f>AI150+AI151+AI152</f>
        <v>296</v>
      </c>
      <c r="AJ156" s="878">
        <f t="shared" si="513"/>
        <v>37.56345177664975</v>
      </c>
      <c r="AK156" s="822">
        <f t="shared" si="514"/>
        <v>5.0675675675675658</v>
      </c>
      <c r="AM156" s="706">
        <f>AM150+AM151+AM152</f>
        <v>300.61500000000001</v>
      </c>
      <c r="AN156" s="878">
        <f t="shared" si="515"/>
        <v>39.091677503250978</v>
      </c>
      <c r="AO156" s="822">
        <f t="shared" si="516"/>
        <v>1.5591216216216175</v>
      </c>
      <c r="AQ156" s="706">
        <f>AQ150+AQ151+AQ152</f>
        <v>290.3</v>
      </c>
      <c r="AR156" s="878">
        <f t="shared" si="517"/>
        <v>38.833659118480114</v>
      </c>
      <c r="AS156" s="822">
        <f t="shared" si="518"/>
        <v>-3.4312991700347628</v>
      </c>
      <c r="AU156" s="706">
        <f>AU150+AU151+AU152</f>
        <v>177.02</v>
      </c>
      <c r="AV156" s="878">
        <f t="shared" si="519"/>
        <v>37.111111111111114</v>
      </c>
      <c r="AW156" s="822">
        <f t="shared" si="520"/>
        <v>-39.021701687909058</v>
      </c>
      <c r="AY156" s="706">
        <f>AY150+AY151+AY152</f>
        <v>-29.986999999999995</v>
      </c>
      <c r="AZ156" s="878">
        <f t="shared" si="521"/>
        <v>40.522972972972966</v>
      </c>
      <c r="BA156" s="822">
        <f t="shared" si="522"/>
        <v>-116.93989379731104</v>
      </c>
      <c r="BC156" s="706">
        <f>BC150+BC151+BC152</f>
        <v>18.419999999999998</v>
      </c>
      <c r="BD156" s="878">
        <f t="shared" si="523"/>
        <v>37.591836734693871</v>
      </c>
      <c r="BE156" s="822">
        <f t="shared" si="524"/>
        <v>-161.42661820122052</v>
      </c>
      <c r="BG156" s="706">
        <f>BG150+BG151+BG152</f>
        <v>93.664999999999992</v>
      </c>
      <c r="BH156" s="878">
        <f t="shared" si="525"/>
        <v>35.212406015037587</v>
      </c>
      <c r="BI156" s="822">
        <f t="shared" si="526"/>
        <v>408.49619978284471</v>
      </c>
      <c r="BK156" s="706">
        <f>BK150+BK151+BK152</f>
        <v>16</v>
      </c>
      <c r="BL156" s="878">
        <f t="shared" si="527"/>
        <v>16.666666666666664</v>
      </c>
      <c r="BM156" s="822">
        <f t="shared" si="528"/>
        <v>-82.917845513265348</v>
      </c>
      <c r="BO156" s="706">
        <f>BO150+BO151+BO152</f>
        <v>60</v>
      </c>
      <c r="BP156" s="878">
        <f t="shared" si="529"/>
        <v>35.087719298245609</v>
      </c>
      <c r="BQ156" s="822">
        <f t="shared" si="530"/>
        <v>275</v>
      </c>
      <c r="BS156" s="706">
        <f>BS150+BS151+BS152</f>
        <v>53</v>
      </c>
      <c r="BT156" s="878">
        <f t="shared" si="531"/>
        <v>32.31707317073171</v>
      </c>
      <c r="BU156" s="822">
        <f t="shared" si="532"/>
        <v>-11.66666666666667</v>
      </c>
      <c r="BW156" s="706">
        <f>BW150+BW151+BW152</f>
        <v>177.63</v>
      </c>
      <c r="BX156" s="878">
        <f t="shared" si="533"/>
        <v>34.761252446183953</v>
      </c>
      <c r="BY156" s="822">
        <f t="shared" si="534"/>
        <v>235.15094339622641</v>
      </c>
      <c r="CA156" s="706">
        <f>CA150+CA151+CA152</f>
        <v>287.63940520446096</v>
      </c>
      <c r="CB156" s="878">
        <f t="shared" si="535"/>
        <v>35.293178552694599</v>
      </c>
      <c r="CC156" s="822">
        <f t="shared" si="536"/>
        <v>61.931771212329537</v>
      </c>
      <c r="CE156" s="706">
        <f>CE150+CE151+CE152</f>
        <v>386.61206896551721</v>
      </c>
      <c r="CF156" s="878">
        <f t="shared" si="537"/>
        <v>36.404149620105194</v>
      </c>
      <c r="CG156" s="822">
        <f t="shared" si="538"/>
        <v>34.408590050693547</v>
      </c>
      <c r="CI156" s="706">
        <f>CI150+CI151+CI152</f>
        <v>395</v>
      </c>
      <c r="CJ156" s="878">
        <f t="shared" si="539"/>
        <v>38.198574564584597</v>
      </c>
      <c r="CK156" s="822">
        <f>(CI156/CE156-1)*100</f>
        <v>2.1695988583405823</v>
      </c>
      <c r="CM156" s="706">
        <f>CM150+CM151+CM152</f>
        <v>220.27129677419322</v>
      </c>
      <c r="CN156" s="878">
        <f t="shared" si="540"/>
        <v>38.316769349682886</v>
      </c>
      <c r="CO156" s="822">
        <f t="shared" si="541"/>
        <v>-44.235114740710578</v>
      </c>
      <c r="CQ156" s="706">
        <f>CQ150+CQ151+CQ152</f>
        <v>33.617999999999995</v>
      </c>
      <c r="CR156" s="878">
        <f t="shared" si="542"/>
        <v>39.550588235294107</v>
      </c>
      <c r="CS156" s="822">
        <f t="shared" si="543"/>
        <v>-84.737911615210209</v>
      </c>
      <c r="CU156" s="706">
        <f>CU150+CU151+CU152</f>
        <v>63</v>
      </c>
      <c r="CV156" s="878">
        <f t="shared" si="544"/>
        <v>34.806629834254146</v>
      </c>
      <c r="CW156" s="822">
        <f t="shared" si="545"/>
        <v>87.399607353203663</v>
      </c>
      <c r="CY156" s="706">
        <f>CY150+CY151+CY152</f>
        <v>-34</v>
      </c>
      <c r="CZ156" s="878">
        <f t="shared" si="546"/>
        <v>34.45537146687046</v>
      </c>
      <c r="DA156" s="822">
        <f t="shared" si="547"/>
        <v>-153.96825396825395</v>
      </c>
      <c r="DC156" s="706">
        <f>DC150+DC151+DC152</f>
        <v>-301</v>
      </c>
      <c r="DD156" s="878">
        <f t="shared" si="548"/>
        <v>41.008174386920984</v>
      </c>
      <c r="DE156" s="822">
        <f t="shared" si="549"/>
        <v>785.2941176470589</v>
      </c>
      <c r="DG156" s="706">
        <f>DG150+DG151+DG152</f>
        <v>-228</v>
      </c>
      <c r="DH156" s="878">
        <f t="shared" si="550"/>
        <v>13.809812235009087</v>
      </c>
      <c r="DI156" s="822">
        <f t="shared" si="551"/>
        <v>-24.252491694352162</v>
      </c>
      <c r="DK156" s="706">
        <f>DK150+DK151+DK152</f>
        <v>1</v>
      </c>
      <c r="DL156" s="878">
        <f t="shared" si="552"/>
        <v>-0.14064697609001406</v>
      </c>
      <c r="DM156" s="893">
        <f>IF(ISERROR(DK156/DG156),NA,(DK156/DG156-1)*100)</f>
        <v>-100.43859649122805</v>
      </c>
      <c r="DP156" s="706">
        <f>DP150+DP151+DP152</f>
        <v>-19</v>
      </c>
      <c r="DQ156" s="878">
        <f t="shared" si="553"/>
        <v>4.3703277745830942</v>
      </c>
      <c r="DR156" s="893">
        <f t="shared" si="559"/>
        <v>-2000</v>
      </c>
      <c r="DU156" s="706">
        <f>DU150+DU151+DU152</f>
        <v>7</v>
      </c>
      <c r="DV156" s="878">
        <f t="shared" si="554"/>
        <v>-3.804347826086957</v>
      </c>
      <c r="DW156" s="893">
        <f t="shared" si="560"/>
        <v>-136.84210526315789</v>
      </c>
      <c r="DZ156" s="706">
        <f>DZ150+DZ151+DZ152</f>
        <v>-69.680000000000007</v>
      </c>
      <c r="EA156" s="878">
        <f>(DZ156/DZ146)*100</f>
        <v>38.497237569060871</v>
      </c>
      <c r="EB156" s="822">
        <f t="shared" si="556"/>
        <v>-1095.4285714285716</v>
      </c>
      <c r="EE156" s="706">
        <f>EE150+EE151+EE152</f>
        <v>5</v>
      </c>
      <c r="EF156" s="878">
        <f>(EE156/EE146)*100</f>
        <v>-8.0524971276743056</v>
      </c>
      <c r="EG156" s="822">
        <f t="shared" si="558"/>
        <v>-107.17566016073479</v>
      </c>
      <c r="EK156" s="822"/>
      <c r="EL156" s="822"/>
      <c r="EM156" s="822"/>
      <c r="EN156" s="822"/>
      <c r="EO156" s="822"/>
      <c r="EP156" s="822"/>
      <c r="EQ156" s="822"/>
      <c r="ER156" s="822"/>
      <c r="ES156" s="822"/>
      <c r="ET156" s="822"/>
      <c r="EU156" s="822"/>
      <c r="EV156" s="822"/>
      <c r="EW156" s="805"/>
      <c r="EX156" s="805"/>
    </row>
    <row r="157" spans="1:155" outlineLevel="1" collapsed="1">
      <c r="C157" s="706"/>
      <c r="D157" s="687"/>
      <c r="E157" s="687"/>
      <c r="G157" s="706"/>
      <c r="H157" s="687"/>
      <c r="I157" s="687"/>
      <c r="K157" s="706"/>
      <c r="L157" s="687"/>
      <c r="M157" s="687"/>
      <c r="O157" s="706"/>
      <c r="S157" s="706"/>
      <c r="W157" s="706"/>
      <c r="AA157" s="706"/>
      <c r="AE157" s="706"/>
      <c r="AI157" s="706"/>
      <c r="AM157" s="706"/>
      <c r="AQ157" s="706"/>
      <c r="AU157" s="706"/>
      <c r="AY157" s="706"/>
      <c r="BC157" s="706"/>
      <c r="BG157" s="706"/>
      <c r="BK157" s="706"/>
      <c r="BO157" s="706"/>
      <c r="BS157" s="706"/>
      <c r="BW157" s="706"/>
      <c r="CA157" s="706"/>
      <c r="CE157" s="706"/>
      <c r="CI157" s="706"/>
      <c r="CM157" s="706"/>
      <c r="CQ157" s="706"/>
      <c r="CU157" s="706"/>
      <c r="CY157" s="706"/>
      <c r="EK157" s="822"/>
      <c r="EL157" s="822"/>
      <c r="EM157" s="822"/>
      <c r="EN157" s="822"/>
      <c r="EO157" s="822"/>
      <c r="EW157" s="805"/>
      <c r="EX157" s="805"/>
    </row>
    <row r="158" spans="1:155">
      <c r="A158" s="816" t="s">
        <v>35</v>
      </c>
      <c r="C158" s="706"/>
      <c r="D158" s="687"/>
      <c r="E158" s="687"/>
      <c r="G158" s="706"/>
      <c r="H158" s="687"/>
      <c r="I158" s="687"/>
      <c r="K158" s="706"/>
      <c r="L158" s="687"/>
      <c r="M158" s="687"/>
      <c r="O158" s="706"/>
      <c r="S158" s="706"/>
      <c r="W158" s="706"/>
      <c r="AA158" s="706"/>
      <c r="AE158" s="706"/>
      <c r="AI158" s="706"/>
      <c r="AM158" s="706"/>
      <c r="AQ158" s="706"/>
      <c r="AU158" s="706"/>
      <c r="AY158" s="706"/>
      <c r="BC158" s="706"/>
      <c r="BG158" s="706"/>
      <c r="BK158" s="706"/>
      <c r="BO158" s="706"/>
      <c r="BS158" s="706"/>
      <c r="BW158" s="706"/>
      <c r="CA158" s="706"/>
      <c r="CE158" s="706"/>
      <c r="CI158" s="706"/>
      <c r="CM158" s="706"/>
      <c r="CQ158" s="706"/>
      <c r="CY158" s="706"/>
      <c r="DG158" s="818" t="s">
        <v>35</v>
      </c>
      <c r="DP158" s="1585" t="str">
        <f>DG158</f>
        <v>14. Net Earnings (% Net Margin / % Change)</v>
      </c>
      <c r="DQ158" s="1585"/>
      <c r="DR158" s="1585"/>
      <c r="DS158" s="1585"/>
      <c r="DT158" s="1585"/>
      <c r="DU158" s="1585"/>
      <c r="DV158" s="1585"/>
      <c r="DW158" s="1585"/>
      <c r="EK158" s="822"/>
      <c r="EL158" s="822"/>
      <c r="EM158" s="822"/>
      <c r="EN158" s="822"/>
      <c r="EO158" s="822"/>
      <c r="EW158" s="805"/>
      <c r="EX158" s="805"/>
    </row>
    <row r="159" spans="1:155">
      <c r="C159" s="706"/>
      <c r="D159" s="687"/>
      <c r="E159" s="687"/>
      <c r="G159" s="706"/>
      <c r="H159" s="687"/>
      <c r="I159" s="687"/>
      <c r="K159" s="706"/>
      <c r="L159" s="687"/>
      <c r="M159" s="687"/>
      <c r="O159" s="706"/>
      <c r="S159" s="706"/>
      <c r="W159" s="706"/>
      <c r="AA159" s="706"/>
      <c r="AE159" s="706"/>
      <c r="AI159" s="706"/>
      <c r="AM159" s="706"/>
      <c r="AQ159" s="706"/>
      <c r="AU159" s="706"/>
      <c r="AY159" s="706"/>
      <c r="BC159" s="706"/>
      <c r="BG159" s="706"/>
      <c r="BK159" s="706"/>
      <c r="BO159" s="706"/>
      <c r="BS159" s="706"/>
      <c r="BW159" s="706"/>
      <c r="CA159" s="706"/>
      <c r="CE159" s="706"/>
      <c r="CI159" s="706"/>
      <c r="CM159" s="706"/>
      <c r="CQ159" s="706"/>
      <c r="CU159" s="706"/>
      <c r="CY159" s="706"/>
      <c r="EI159" s="398" t="s">
        <v>684</v>
      </c>
      <c r="EW159" s="805"/>
      <c r="EX159" s="805"/>
    </row>
    <row r="160" spans="1:155">
      <c r="A160" s="819" t="s">
        <v>140</v>
      </c>
      <c r="C160" s="591">
        <f>C140-C150</f>
        <v>148</v>
      </c>
      <c r="D160" s="878">
        <f t="shared" ref="D160:D166" si="561">C160/C10*100</f>
        <v>4.4298114337024845</v>
      </c>
      <c r="E160" s="887" t="s">
        <v>24</v>
      </c>
      <c r="G160" s="591">
        <f>G140-G150</f>
        <v>154</v>
      </c>
      <c r="H160" s="878">
        <f t="shared" ref="H160:H166" si="562">G160/G10*100</f>
        <v>4.3626062322946177</v>
      </c>
      <c r="I160" s="822">
        <f t="shared" ref="I160:I166" si="563">(G160/C160-1)*100</f>
        <v>4.0540540540540571</v>
      </c>
      <c r="K160" s="591">
        <f>K140-K150</f>
        <v>80</v>
      </c>
      <c r="L160" s="878">
        <f t="shared" ref="L160:L166" si="564">K160/K10*100</f>
        <v>2.3303233323623651</v>
      </c>
      <c r="M160" s="822">
        <f t="shared" ref="M160:M166" si="565">(K160/G160-1)*100</f>
        <v>-48.05194805194806</v>
      </c>
      <c r="O160" s="591">
        <f>O140-O150</f>
        <v>136</v>
      </c>
      <c r="P160" s="878">
        <f t="shared" ref="P160:P166" si="566">O160/O10*100</f>
        <v>3.5855523332454524</v>
      </c>
      <c r="Q160" s="822">
        <f t="shared" ref="Q160:Q166" si="567">(O160/K160-1)*100</f>
        <v>70</v>
      </c>
      <c r="S160" s="591">
        <f>S140-S150</f>
        <v>172</v>
      </c>
      <c r="T160" s="878">
        <f t="shared" ref="T160:T166" si="568">S160/S10*100</f>
        <v>4.3390514631685164</v>
      </c>
      <c r="U160" s="822">
        <f t="shared" ref="U160:U166" si="569">(S160/O160-1)*100</f>
        <v>26.470588235294112</v>
      </c>
      <c r="W160" s="591">
        <f>W140-W150</f>
        <v>223</v>
      </c>
      <c r="X160" s="878">
        <f t="shared" ref="X160:X166" si="570">W160/W10*100</f>
        <v>5.126436781609196</v>
      </c>
      <c r="Y160" s="822">
        <f t="shared" ref="Y160:Y166" si="571">(W160/S160-1)*100</f>
        <v>29.651162790697683</v>
      </c>
      <c r="AA160" s="591">
        <f>AA140-AA150</f>
        <v>156</v>
      </c>
      <c r="AB160" s="878">
        <f t="shared" ref="AB160:AB166" si="572">AA160/AA10*100</f>
        <v>3.5722463934050834</v>
      </c>
      <c r="AC160" s="822">
        <f t="shared" ref="AC160:AC166" si="573">(AA160/W160-1)*100</f>
        <v>-30.044843049327351</v>
      </c>
      <c r="AE160" s="591">
        <f>AE140-AE150</f>
        <v>269</v>
      </c>
      <c r="AF160" s="878">
        <f t="shared" ref="AF160:AF166" si="574">AE160/AE10*100</f>
        <v>4.4418758256274771</v>
      </c>
      <c r="AG160" s="822">
        <f t="shared" ref="AG160:AG166" si="575">(AE160/AA160-1)*100</f>
        <v>72.435897435897445</v>
      </c>
      <c r="AI160" s="591">
        <f>AI140-AI150</f>
        <v>142</v>
      </c>
      <c r="AJ160" s="878">
        <f t="shared" ref="AJ160:AJ166" si="576">AI160/AI10*100</f>
        <v>3.1895777178796045</v>
      </c>
      <c r="AK160" s="822">
        <f t="shared" ref="AK160:AK166" si="577">(AI160/AE160-1)*100</f>
        <v>-47.211895910780669</v>
      </c>
      <c r="AM160" s="591">
        <f>AM140-AM150</f>
        <v>137.86000000000001</v>
      </c>
      <c r="AN160" s="878">
        <f t="shared" ref="AN160:AN166" si="578">AM160/AM10*100</f>
        <v>2.1283559507819616</v>
      </c>
      <c r="AO160" s="822">
        <f t="shared" ref="AO160:AO166" si="579">(AM160/AI160-1)*100</f>
        <v>-2.9154929577464683</v>
      </c>
      <c r="AQ160" s="591">
        <f>AQ140-AQ150</f>
        <v>174.54737665669109</v>
      </c>
      <c r="AR160" s="878">
        <f t="shared" ref="AR160:AR166" si="580">AQ160/AQ10*100</f>
        <v>2.5839730075009784</v>
      </c>
      <c r="AS160" s="822">
        <f t="shared" ref="AS160:AS166" si="581">(AQ160/AM160-1)*100</f>
        <v>26.61205328354206</v>
      </c>
      <c r="AU160" s="591">
        <f>AU140-AU150</f>
        <v>131</v>
      </c>
      <c r="AV160" s="878">
        <f t="shared" ref="AV160:AV166" si="582">AU160/AU10*100</f>
        <v>1.7849843302902302</v>
      </c>
      <c r="AW160" s="822">
        <f t="shared" ref="AW160:AW166" si="583">(AU160/AQ160-1)*100</f>
        <v>-24.94874313828408</v>
      </c>
      <c r="AY160" s="591">
        <f>AY140-AY150</f>
        <v>44.018999999999998</v>
      </c>
      <c r="AZ160" s="878">
        <f t="shared" ref="AZ160:AZ166" si="584">AY160/AY10*100</f>
        <v>0.58473698193411261</v>
      </c>
      <c r="BA160" s="822">
        <f t="shared" ref="BA160:BA166" si="585">(AY160/AU160-1)*100</f>
        <v>-66.39770992366411</v>
      </c>
      <c r="BC160" s="591">
        <f>BC140-BC150</f>
        <v>31.693999999999999</v>
      </c>
      <c r="BD160" s="878">
        <f t="shared" ref="BD160:BD166" si="586">BC160/BC10*100</f>
        <v>0.42135070459984048</v>
      </c>
      <c r="BE160" s="822">
        <f t="shared" ref="BE160:BE166" si="587">(BC160/AY160-1)*100</f>
        <v>-27.999273041186758</v>
      </c>
      <c r="BG160" s="591">
        <f>BG140-BG150</f>
        <v>90.28</v>
      </c>
      <c r="BH160" s="878">
        <f t="shared" ref="BH160:BH166" si="588">BG160/BG10*100</f>
        <v>1.1682194616977226</v>
      </c>
      <c r="BI160" s="822">
        <f t="shared" ref="BI160:BI166" si="589">(BG160/BC160-1)*100</f>
        <v>184.84886729349404</v>
      </c>
      <c r="BK160" s="591">
        <f>BK140-BK150</f>
        <v>55</v>
      </c>
      <c r="BL160" s="878">
        <f t="shared" ref="BL160:BL166" si="590">BK160/BK10*100</f>
        <v>1.3583600889108423</v>
      </c>
      <c r="BM160" s="822">
        <f t="shared" ref="BM160:BM166" si="591">(BK160/BG160-1)*100</f>
        <v>-39.078422684980062</v>
      </c>
      <c r="BO160" s="591">
        <f>BO140-BO150</f>
        <v>62</v>
      </c>
      <c r="BP160" s="878">
        <f t="shared" ref="BP160:BP166" si="592">BO160/BO10*100</f>
        <v>1.5538847117794485</v>
      </c>
      <c r="BQ160" s="822">
        <f t="shared" ref="BQ160:BQ166" si="593">(BO160/BK160-1)*100</f>
        <v>12.72727272727272</v>
      </c>
      <c r="BS160" s="591">
        <f>BS140-BS150</f>
        <v>22</v>
      </c>
      <c r="BT160" s="878">
        <f t="shared" ref="BT160:BT166" si="594">BS160/BS10*100</f>
        <v>0.59961842463886617</v>
      </c>
      <c r="BU160" s="822">
        <f t="shared" ref="BU160:BU166" si="595">(BS160/BO160-1)*100</f>
        <v>-64.516129032258064</v>
      </c>
      <c r="BW160" s="591">
        <f>BW140-BW150</f>
        <v>117</v>
      </c>
      <c r="BX160" s="878">
        <f t="shared" ref="BX160:BX166" si="596">BW160/BW10*100</f>
        <v>2.9456193353474323</v>
      </c>
      <c r="BY160" s="822">
        <f t="shared" ref="BY160:BY166" si="597">(BW160/BS160-1)*100</f>
        <v>431.81818181818181</v>
      </c>
      <c r="CA160" s="591">
        <f>CA140-CA150</f>
        <v>171.36059479553904</v>
      </c>
      <c r="CB160" s="878">
        <f t="shared" ref="CB160:CB166" si="598">CA160/CA10*100</f>
        <v>4.1612577657974512</v>
      </c>
      <c r="CC160" s="822">
        <f t="shared" ref="CC160:CC166" si="599">(CA160/BW160-1)*100</f>
        <v>46.462046833794048</v>
      </c>
      <c r="CE160" s="591">
        <f>CE140-CE150</f>
        <v>212.38793103448276</v>
      </c>
      <c r="CF160" s="878">
        <f t="shared" ref="CF160:CF166" si="600">CE160/CE10*100</f>
        <v>5.034082271497577</v>
      </c>
      <c r="CG160" s="822">
        <f t="shared" ref="CG160:CG166" si="601">(CE160/CA160-1)*100</f>
        <v>23.942106578175682</v>
      </c>
      <c r="CI160" s="591">
        <f>CI140-CI150</f>
        <v>237</v>
      </c>
      <c r="CJ160" s="878">
        <f t="shared" ref="CJ160:CJ166" si="602">CI160/CI10*100</f>
        <v>5.4495286272706371</v>
      </c>
      <c r="CK160" s="822">
        <f t="shared" ref="CK160:CK166" si="603">(CI160/CE160-1)*100</f>
        <v>11.588261557819536</v>
      </c>
      <c r="CM160" s="591">
        <f>CM140-CM150</f>
        <v>120</v>
      </c>
      <c r="CN160" s="878">
        <f t="shared" ref="CN160:CN166" si="604">CM160/CM10*100</f>
        <v>2.9076811243033682</v>
      </c>
      <c r="CO160" s="822">
        <f t="shared" ref="CO160:CO166" si="605">(CM160/CI160-1)*100</f>
        <v>-49.367088607594937</v>
      </c>
      <c r="CQ160" s="591">
        <f>CQ140-CQ150</f>
        <v>25</v>
      </c>
      <c r="CR160" s="878">
        <f t="shared" ref="CR160:CR166" si="606">CQ160/CQ10*100</f>
        <v>0.64326302186739248</v>
      </c>
      <c r="CS160" s="822">
        <f t="shared" ref="CS160:CS166" si="607">(CQ160/CM160-1)*100</f>
        <v>-79.166666666666657</v>
      </c>
      <c r="CU160" s="591">
        <f>CU140-CU150</f>
        <v>60</v>
      </c>
      <c r="CV160" s="878">
        <f t="shared" ref="CV160:CV166" si="608">CU160/CU10*100</f>
        <v>1.5271061338763043</v>
      </c>
      <c r="CW160" s="822">
        <f t="shared" ref="CW160:CW166" si="609">(CU160/CQ160-1)*100</f>
        <v>140</v>
      </c>
      <c r="CY160" s="591">
        <f>CY140-CY150</f>
        <v>64</v>
      </c>
      <c r="CZ160" s="878">
        <f t="shared" ref="CZ160:CZ166" si="610">CY160/CY10*100</f>
        <v>1.6231295967537407</v>
      </c>
      <c r="DA160" s="822">
        <f t="shared" ref="DA160:DA166" si="611">(CY160/CU160-1)*100</f>
        <v>6.6666666666666652</v>
      </c>
      <c r="DC160" s="591">
        <f>DC140-DC150</f>
        <v>-163</v>
      </c>
      <c r="DD160" s="878">
        <f t="shared" ref="DD160:DD166" si="612">DC160/DC10*100</f>
        <v>-5.1713197969543145</v>
      </c>
      <c r="DE160" s="822">
        <f t="shared" ref="DE160:DE166" si="613">(DC160/CY160-1)*100</f>
        <v>-354.6875</v>
      </c>
      <c r="DG160" s="591">
        <f>DG140-DG150</f>
        <v>-348</v>
      </c>
      <c r="DH160" s="878">
        <f t="shared" ref="DH160:DH166" si="614">DG160/DG10*100</f>
        <v>-13.206831119544592</v>
      </c>
      <c r="DI160" s="822">
        <f t="shared" ref="DI160:DI166" si="615">(DG160/DC160-1)*100</f>
        <v>113.49693251533743</v>
      </c>
      <c r="DK160" s="591">
        <f>DK140-DK150</f>
        <v>-352</v>
      </c>
      <c r="DL160" s="878">
        <f t="shared" ref="DL160:DL166" si="616">DK160/DK10*100</f>
        <v>-12.566940378436273</v>
      </c>
      <c r="DM160" s="822">
        <f t="shared" ref="DM160:DM166" si="617">(DK160/DG160-1)*100</f>
        <v>1.1494252873563315</v>
      </c>
      <c r="DP160" s="591">
        <f>DP140-DP150</f>
        <v>-140.75</v>
      </c>
      <c r="DQ160" s="878">
        <f t="shared" ref="DQ160:DQ166" si="618">DP160/DP10*100</f>
        <v>-4.9264963248162408</v>
      </c>
      <c r="DR160" s="822">
        <f t="shared" ref="DR160:DR166" si="619">(DP160/DK160-1)*100</f>
        <v>-60.01420454545454</v>
      </c>
      <c r="DU160" s="591">
        <f>DU140-DU150</f>
        <v>-68</v>
      </c>
      <c r="DV160" s="878">
        <f t="shared" ref="DV160:DV166" si="620">DU160/DU10*100</f>
        <v>-2.4190679473496979</v>
      </c>
      <c r="DW160" s="822">
        <f t="shared" ref="DW160:DW166" si="621">(DU160/DP160-1)*100</f>
        <v>-51.687388987566607</v>
      </c>
      <c r="DZ160" s="591">
        <f>DZ140-DZ150</f>
        <v>19</v>
      </c>
      <c r="EA160" s="878">
        <f t="shared" ref="EA160:EA166" si="622">DZ160/DZ10*100</f>
        <v>0.70214338507021434</v>
      </c>
      <c r="EB160" s="822">
        <f t="shared" ref="EB160:EB166" si="623">(DZ160/DU160-1)*100</f>
        <v>-127.94117647058823</v>
      </c>
      <c r="EE160" s="591">
        <f>EE140-EE150</f>
        <v>-55.229263999999944</v>
      </c>
      <c r="EF160" s="878">
        <f t="shared" ref="EF160:EF166" si="624">EE160/EE10*100</f>
        <v>-2.0741796309315621</v>
      </c>
      <c r="EG160" s="822">
        <f t="shared" ref="EG160:EG166" si="625">(EE160/DZ160-1)*100</f>
        <v>-390.68033684210496</v>
      </c>
      <c r="EI160" s="895">
        <f>DU160+DU90-DU130-1</f>
        <v>-97</v>
      </c>
      <c r="EP160" s="822"/>
      <c r="EQ160" s="822"/>
      <c r="ER160" s="822"/>
      <c r="ES160" s="822"/>
      <c r="ET160" s="822"/>
      <c r="EU160" s="822"/>
      <c r="EV160" s="822"/>
      <c r="EW160" s="805"/>
      <c r="EX160" s="805"/>
    </row>
    <row r="161" spans="1:154">
      <c r="A161" s="819" t="s">
        <v>141</v>
      </c>
      <c r="C161" s="706">
        <f>C141-C151</f>
        <v>98</v>
      </c>
      <c r="D161" s="878">
        <f t="shared" si="561"/>
        <v>2.8504944735311226</v>
      </c>
      <c r="E161" s="887" t="s">
        <v>24</v>
      </c>
      <c r="G161" s="706">
        <f>G141-G151</f>
        <v>83</v>
      </c>
      <c r="H161" s="878">
        <f t="shared" si="562"/>
        <v>2.3184357541899443</v>
      </c>
      <c r="I161" s="822">
        <f t="shared" si="563"/>
        <v>-15.306122448979586</v>
      </c>
      <c r="K161" s="706">
        <f>K141-K151</f>
        <v>31</v>
      </c>
      <c r="L161" s="878">
        <f t="shared" si="564"/>
        <v>0.8969907407407407</v>
      </c>
      <c r="M161" s="822">
        <f t="shared" si="565"/>
        <v>-62.650602409638559</v>
      </c>
      <c r="O161" s="706">
        <f>O141-O151</f>
        <v>80</v>
      </c>
      <c r="P161" s="878">
        <f t="shared" si="566"/>
        <v>2.1113750329902348</v>
      </c>
      <c r="Q161" s="822">
        <f t="shared" si="567"/>
        <v>158.06451612903226</v>
      </c>
      <c r="S161" s="706">
        <f>S141-S151</f>
        <v>112</v>
      </c>
      <c r="T161" s="878">
        <f t="shared" si="568"/>
        <v>2.8261418117587684</v>
      </c>
      <c r="U161" s="822">
        <f t="shared" si="569"/>
        <v>39.999999999999993</v>
      </c>
      <c r="W161" s="706">
        <f>W141-W151</f>
        <v>132</v>
      </c>
      <c r="X161" s="878">
        <f t="shared" si="570"/>
        <v>3.1117397454031117</v>
      </c>
      <c r="Y161" s="822">
        <f t="shared" si="571"/>
        <v>17.857142857142861</v>
      </c>
      <c r="AA161" s="706">
        <f>AA141-AA151</f>
        <v>116</v>
      </c>
      <c r="AB161" s="878">
        <f t="shared" si="572"/>
        <v>2.6155580608793687</v>
      </c>
      <c r="AC161" s="822">
        <f t="shared" si="573"/>
        <v>-12.121212121212121</v>
      </c>
      <c r="AE161" s="706">
        <f>AE141-AE151</f>
        <v>202</v>
      </c>
      <c r="AF161" s="878">
        <f t="shared" si="574"/>
        <v>3.3593879926825214</v>
      </c>
      <c r="AG161" s="822">
        <f t="shared" si="575"/>
        <v>74.137931034482762</v>
      </c>
      <c r="AI161" s="706">
        <f>AI141-AI151</f>
        <v>93</v>
      </c>
      <c r="AJ161" s="878">
        <f t="shared" si="576"/>
        <v>2.0634568449079209</v>
      </c>
      <c r="AK161" s="822">
        <f t="shared" si="577"/>
        <v>-53.960396039603964</v>
      </c>
      <c r="AM161" s="706">
        <f>AM141-AM151</f>
        <v>101.74499999999999</v>
      </c>
      <c r="AN161" s="878">
        <f t="shared" si="578"/>
        <v>1.5933506639939861</v>
      </c>
      <c r="AO161" s="822">
        <f t="shared" si="579"/>
        <v>9.4032258064516085</v>
      </c>
      <c r="AQ161" s="706">
        <f>AQ141-AQ151</f>
        <v>96.7</v>
      </c>
      <c r="AR161" s="878">
        <f t="shared" si="580"/>
        <v>1.4918235112619562</v>
      </c>
      <c r="AS161" s="822">
        <f t="shared" si="581"/>
        <v>-4.9584746179173305</v>
      </c>
      <c r="AU161" s="706">
        <f>AU141-AU151</f>
        <v>71.97999999999999</v>
      </c>
      <c r="AV161" s="878">
        <f t="shared" si="582"/>
        <v>1.0132319819819819</v>
      </c>
      <c r="AW161" s="822">
        <f t="shared" si="583"/>
        <v>-25.56359875904861</v>
      </c>
      <c r="AY161" s="706">
        <f>AY141-AY151</f>
        <v>-31.008000000000003</v>
      </c>
      <c r="AZ161" s="878">
        <f t="shared" si="584"/>
        <v>-0.43024836964062724</v>
      </c>
      <c r="BA161" s="822">
        <f t="shared" si="585"/>
        <v>-143.07863295359823</v>
      </c>
      <c r="BC161" s="706">
        <f>BC141-BC151</f>
        <v>-45.213999999999999</v>
      </c>
      <c r="BD161" s="878">
        <f t="shared" si="586"/>
        <v>-0.62701428373318546</v>
      </c>
      <c r="BE161" s="822">
        <f t="shared" si="587"/>
        <v>45.813983488132081</v>
      </c>
      <c r="BG161" s="706">
        <f>BG141-BG151</f>
        <v>-6.9850000000000003</v>
      </c>
      <c r="BH161" s="878">
        <f t="shared" si="588"/>
        <v>-9.7040844679077531E-2</v>
      </c>
      <c r="BI161" s="822">
        <f t="shared" si="589"/>
        <v>-84.551245189543067</v>
      </c>
      <c r="BK161" s="706">
        <f>BK141-BK151</f>
        <v>-30</v>
      </c>
      <c r="BL161" s="878">
        <f t="shared" si="590"/>
        <v>-0.78084331077563762</v>
      </c>
      <c r="BM161" s="822">
        <f t="shared" si="591"/>
        <v>329.49176807444519</v>
      </c>
      <c r="BO161" s="706">
        <f>BO141-BO151</f>
        <v>-20</v>
      </c>
      <c r="BP161" s="878">
        <f t="shared" si="592"/>
        <v>-0.55463393882720435</v>
      </c>
      <c r="BQ161" s="822">
        <f t="shared" si="593"/>
        <v>-33.333333333333336</v>
      </c>
      <c r="BS161" s="706">
        <f>BS141-BS151</f>
        <v>-4</v>
      </c>
      <c r="BT161" s="878">
        <f t="shared" si="594"/>
        <v>-0.11179429849077697</v>
      </c>
      <c r="BU161" s="822">
        <f t="shared" si="595"/>
        <v>-80</v>
      </c>
      <c r="BW161" s="706">
        <f>BW141-BW151</f>
        <v>68.37</v>
      </c>
      <c r="BX161" s="878">
        <f t="shared" si="596"/>
        <v>1.8096876654314455</v>
      </c>
      <c r="BY161" s="822">
        <f t="shared" si="597"/>
        <v>-1809.25</v>
      </c>
      <c r="CA161" s="706">
        <f>CA141-CA151</f>
        <v>122</v>
      </c>
      <c r="CB161" s="878">
        <f t="shared" si="598"/>
        <v>3.0645566440592815</v>
      </c>
      <c r="CC161" s="822">
        <f t="shared" si="599"/>
        <v>78.44083662425038</v>
      </c>
      <c r="CE161" s="706">
        <f>CE141-CE151</f>
        <v>177</v>
      </c>
      <c r="CF161" s="878">
        <f t="shared" si="600"/>
        <v>4.1773973068295964</v>
      </c>
      <c r="CG161" s="822">
        <f t="shared" si="601"/>
        <v>45.081967213114751</v>
      </c>
      <c r="CI161" s="706">
        <f>CI141-CI151</f>
        <v>174.07000000000016</v>
      </c>
      <c r="CJ161" s="878">
        <f t="shared" si="602"/>
        <v>3.9651480637813248</v>
      </c>
      <c r="CK161" s="822">
        <f t="shared" si="603"/>
        <v>-1.6553672316383272</v>
      </c>
      <c r="CM161" s="706">
        <f>CM141-CM151</f>
        <v>116.0595000000003</v>
      </c>
      <c r="CN161" s="878">
        <f t="shared" si="604"/>
        <v>2.7100898362034802</v>
      </c>
      <c r="CO161" s="822">
        <f t="shared" si="605"/>
        <v>-33.325960820359512</v>
      </c>
      <c r="CQ161" s="706">
        <f>CQ141-CQ151</f>
        <v>-0.61799999999999999</v>
      </c>
      <c r="CR161" s="878">
        <f t="shared" si="606"/>
        <v>-1.567473566007449E-2</v>
      </c>
      <c r="CS161" s="822">
        <f t="shared" si="607"/>
        <v>-100.53248549235521</v>
      </c>
      <c r="CU161" s="706">
        <f>CU141-CU151</f>
        <v>14</v>
      </c>
      <c r="CV161" s="878">
        <f t="shared" si="608"/>
        <v>0.35551041137633316</v>
      </c>
      <c r="CW161" s="822">
        <f t="shared" si="609"/>
        <v>-2365.37216828479</v>
      </c>
      <c r="CY161" s="706">
        <f>CY141-CY151</f>
        <v>14.321626926322097</v>
      </c>
      <c r="CZ161" s="878">
        <f t="shared" si="610"/>
        <v>0.36665711536922929</v>
      </c>
      <c r="DA161" s="822">
        <f t="shared" si="611"/>
        <v>2.2973351880149817</v>
      </c>
      <c r="DC161" s="706">
        <f>DC141-DC151</f>
        <v>-147</v>
      </c>
      <c r="DD161" s="878">
        <f t="shared" si="612"/>
        <v>-4.8643282594308408</v>
      </c>
      <c r="DE161" s="822">
        <f t="shared" si="613"/>
        <v>-1126.4196990764003</v>
      </c>
      <c r="DG161" s="706">
        <f>DG141-DG151</f>
        <v>-586</v>
      </c>
      <c r="DH161" s="878">
        <f t="shared" si="614"/>
        <v>-22.005257228689448</v>
      </c>
      <c r="DI161" s="822">
        <f t="shared" si="615"/>
        <v>298.63945578231295</v>
      </c>
      <c r="DK161" s="706">
        <f>DK141-DK151</f>
        <v>-172</v>
      </c>
      <c r="DL161" s="878">
        <f t="shared" si="616"/>
        <v>-6.1450518042157913</v>
      </c>
      <c r="DM161" s="822">
        <f t="shared" si="617"/>
        <v>-70.648464163822538</v>
      </c>
      <c r="DP161" s="706">
        <f>DP141-DP151</f>
        <v>-138</v>
      </c>
      <c r="DQ161" s="878">
        <f t="shared" si="618"/>
        <v>-4.8</v>
      </c>
      <c r="DR161" s="822">
        <f t="shared" si="619"/>
        <v>-19.767441860465119</v>
      </c>
      <c r="DU161" s="706">
        <f>DU141-DU151</f>
        <v>-56</v>
      </c>
      <c r="DV161" s="878">
        <f t="shared" si="620"/>
        <v>-1.9191226867717615</v>
      </c>
      <c r="DW161" s="822">
        <f t="shared" si="621"/>
        <v>-59.420289855072461</v>
      </c>
      <c r="DZ161" s="706">
        <f>DZ141-DZ151</f>
        <v>-28.499999999999545</v>
      </c>
      <c r="EA161" s="878">
        <f t="shared" si="622"/>
        <v>-0.96218771100606149</v>
      </c>
      <c r="EB161" s="822">
        <f t="shared" si="623"/>
        <v>-49.107142857143671</v>
      </c>
      <c r="EE161" s="706">
        <f>EE141-EE151</f>
        <v>31.46926400000018</v>
      </c>
      <c r="EF161" s="878">
        <f t="shared" si="624"/>
        <v>1.0710009583759943</v>
      </c>
      <c r="EG161" s="822">
        <f t="shared" si="625"/>
        <v>-210.41847017544103</v>
      </c>
      <c r="EI161" s="895">
        <f>DU161+DU91-DU131</f>
        <v>-90</v>
      </c>
      <c r="EP161" s="822"/>
      <c r="EQ161" s="822"/>
      <c r="ER161" s="822"/>
      <c r="ES161" s="822"/>
      <c r="ET161" s="822"/>
      <c r="EU161" s="822"/>
      <c r="EV161" s="822"/>
      <c r="EW161" s="805"/>
      <c r="EX161" s="805"/>
    </row>
    <row r="162" spans="1:154">
      <c r="A162" s="819" t="s">
        <v>142</v>
      </c>
      <c r="C162" s="706">
        <f>C142-C152</f>
        <v>209</v>
      </c>
      <c r="D162" s="878">
        <f t="shared" si="561"/>
        <v>5.1465156365427234</v>
      </c>
      <c r="E162" s="887" t="s">
        <v>24</v>
      </c>
      <c r="G162" s="706">
        <f>G142-G152</f>
        <v>134</v>
      </c>
      <c r="H162" s="878">
        <f t="shared" si="562"/>
        <v>3.3541927409261576</v>
      </c>
      <c r="I162" s="822">
        <f t="shared" si="563"/>
        <v>-35.885167464114829</v>
      </c>
      <c r="K162" s="706">
        <f>K142-K152</f>
        <v>116</v>
      </c>
      <c r="L162" s="878">
        <f t="shared" si="564"/>
        <v>2.9464058928117853</v>
      </c>
      <c r="M162" s="822">
        <f t="shared" si="565"/>
        <v>-13.432835820895528</v>
      </c>
      <c r="O162" s="706">
        <f>O142-O152</f>
        <v>186</v>
      </c>
      <c r="P162" s="878">
        <f t="shared" si="566"/>
        <v>4.2837402118839245</v>
      </c>
      <c r="Q162" s="822">
        <f t="shared" si="567"/>
        <v>60.344827586206897</v>
      </c>
      <c r="S162" s="706">
        <f>S142-S152</f>
        <v>235</v>
      </c>
      <c r="T162" s="878">
        <f t="shared" si="568"/>
        <v>4.9630411826821543</v>
      </c>
      <c r="U162" s="822">
        <f t="shared" si="569"/>
        <v>26.344086021505376</v>
      </c>
      <c r="W162" s="706">
        <f>W142-W152</f>
        <v>274</v>
      </c>
      <c r="X162" s="878">
        <f t="shared" si="570"/>
        <v>5.321421635268984</v>
      </c>
      <c r="Y162" s="822">
        <f t="shared" si="571"/>
        <v>16.595744680851055</v>
      </c>
      <c r="AA162" s="706">
        <f>AA142-AA152</f>
        <v>240</v>
      </c>
      <c r="AB162" s="878">
        <f t="shared" si="572"/>
        <v>4.6801872074882995</v>
      </c>
      <c r="AC162" s="822">
        <f t="shared" si="573"/>
        <v>-12.408759124087588</v>
      </c>
      <c r="AE162" s="706">
        <f>AE142-AE152</f>
        <v>470</v>
      </c>
      <c r="AF162" s="878">
        <f t="shared" si="574"/>
        <v>6.6846821220310044</v>
      </c>
      <c r="AG162" s="822">
        <f t="shared" si="575"/>
        <v>95.833333333333329</v>
      </c>
      <c r="AI162" s="706">
        <f>AI142-AI152</f>
        <v>257</v>
      </c>
      <c r="AJ162" s="878">
        <f t="shared" si="576"/>
        <v>4.641502618746614</v>
      </c>
      <c r="AK162" s="822">
        <f t="shared" si="577"/>
        <v>-45.319148936170215</v>
      </c>
      <c r="AM162" s="706">
        <f>AM142-AM152</f>
        <v>228.78</v>
      </c>
      <c r="AN162" s="878">
        <f t="shared" si="578"/>
        <v>3.2207565497726409</v>
      </c>
      <c r="AO162" s="822">
        <f t="shared" si="579"/>
        <v>-10.98054474708171</v>
      </c>
      <c r="AQ162" s="706">
        <f>AQ142-AQ152</f>
        <v>186</v>
      </c>
      <c r="AR162" s="878">
        <f t="shared" si="580"/>
        <v>2.6090615794641603</v>
      </c>
      <c r="AS162" s="822">
        <f t="shared" si="581"/>
        <v>-18.699186991869922</v>
      </c>
      <c r="AU162" s="706">
        <f>AU142-AU152</f>
        <v>97</v>
      </c>
      <c r="AV162" s="878">
        <f t="shared" si="582"/>
        <v>1.2697997120041891</v>
      </c>
      <c r="AW162" s="822">
        <f t="shared" si="583"/>
        <v>-47.8494623655914</v>
      </c>
      <c r="AY162" s="706">
        <f>AY142-AY152</f>
        <v>-57.024000000000001</v>
      </c>
      <c r="AZ162" s="878">
        <f t="shared" si="584"/>
        <v>-0.75648713186521632</v>
      </c>
      <c r="BA162" s="822">
        <f t="shared" si="585"/>
        <v>-158.7876288659794</v>
      </c>
      <c r="BC162" s="706">
        <f>BC142-BC152</f>
        <v>44.1</v>
      </c>
      <c r="BD162" s="878">
        <f t="shared" si="586"/>
        <v>0.57057834131194207</v>
      </c>
      <c r="BE162" s="822">
        <f t="shared" si="587"/>
        <v>-177.33585858585857</v>
      </c>
      <c r="BG162" s="706">
        <f>BG142-BG152</f>
        <v>89.039999999999992</v>
      </c>
      <c r="BH162" s="878">
        <f t="shared" si="588"/>
        <v>1.1310975609756098</v>
      </c>
      <c r="BI162" s="822">
        <f t="shared" si="589"/>
        <v>101.9047619047619</v>
      </c>
      <c r="BK162" s="706">
        <f>BK142-BK152</f>
        <v>55</v>
      </c>
      <c r="BL162" s="878">
        <f t="shared" si="590"/>
        <v>1.2655315232397606</v>
      </c>
      <c r="BM162" s="822">
        <f t="shared" si="591"/>
        <v>-38.230008984725963</v>
      </c>
      <c r="BO162" s="706">
        <f>BO142-BO152</f>
        <v>69</v>
      </c>
      <c r="BP162" s="878">
        <f t="shared" si="592"/>
        <v>1.606893339543549</v>
      </c>
      <c r="BQ162" s="822">
        <f t="shared" si="593"/>
        <v>25.454545454545464</v>
      </c>
      <c r="BS162" s="706">
        <f>BS142-BS152</f>
        <v>93</v>
      </c>
      <c r="BT162" s="878">
        <f t="shared" si="594"/>
        <v>2.1790065604498596</v>
      </c>
      <c r="BU162" s="822">
        <f t="shared" si="595"/>
        <v>34.782608695652172</v>
      </c>
      <c r="BW162" s="706">
        <f>BW142-BW152</f>
        <v>148</v>
      </c>
      <c r="BX162" s="878">
        <f t="shared" si="596"/>
        <v>3.3705306308358005</v>
      </c>
      <c r="BY162" s="822">
        <f t="shared" si="597"/>
        <v>59.139784946236553</v>
      </c>
      <c r="CA162" s="706">
        <f>CA142-CA152</f>
        <v>234</v>
      </c>
      <c r="CB162" s="878">
        <f t="shared" si="598"/>
        <v>5.2243804420629605</v>
      </c>
      <c r="CC162" s="822">
        <f t="shared" si="599"/>
        <v>58.108108108108112</v>
      </c>
      <c r="CE162" s="706">
        <f>CE142-CE152</f>
        <v>286</v>
      </c>
      <c r="CF162" s="878">
        <f t="shared" si="600"/>
        <v>5.9820121313532733</v>
      </c>
      <c r="CG162" s="822">
        <f t="shared" si="601"/>
        <v>22.222222222222232</v>
      </c>
      <c r="CI162" s="706">
        <f>CI142-CI152</f>
        <v>228</v>
      </c>
      <c r="CJ162" s="878">
        <f t="shared" si="602"/>
        <v>4.8223350253807107</v>
      </c>
      <c r="CK162" s="822">
        <f t="shared" si="603"/>
        <v>-20.27972027972028</v>
      </c>
      <c r="CM162" s="706">
        <f>CM142-CM152</f>
        <v>118.53838064516073</v>
      </c>
      <c r="CN162" s="878">
        <f t="shared" si="604"/>
        <v>2.7453329575905729</v>
      </c>
      <c r="CO162" s="822">
        <f t="shared" si="605"/>
        <v>-48.009482173175122</v>
      </c>
      <c r="CQ162" s="706">
        <f>CQ142-CQ152</f>
        <v>27</v>
      </c>
      <c r="CR162" s="878">
        <f t="shared" si="606"/>
        <v>0.64587210599395739</v>
      </c>
      <c r="CS162" s="822">
        <f t="shared" si="607"/>
        <v>-77.222567194651262</v>
      </c>
      <c r="CU162" s="706">
        <f>CU142-CU152</f>
        <v>44</v>
      </c>
      <c r="CV162" s="878">
        <f t="shared" si="608"/>
        <v>1.0503700167104322</v>
      </c>
      <c r="CW162" s="822">
        <f t="shared" si="609"/>
        <v>62.962962962962955</v>
      </c>
      <c r="CY162" s="706">
        <f>CY142-CY152</f>
        <v>-143</v>
      </c>
      <c r="CZ162" s="878">
        <f t="shared" si="610"/>
        <v>-3.5875564475664827</v>
      </c>
      <c r="DA162" s="822">
        <f t="shared" si="611"/>
        <v>-425</v>
      </c>
      <c r="DC162" s="706">
        <f>DC142-DC152</f>
        <v>-123</v>
      </c>
      <c r="DD162" s="878">
        <f t="shared" si="612"/>
        <v>-4.2022548684660066</v>
      </c>
      <c r="DE162" s="822">
        <f t="shared" si="613"/>
        <v>-13.98601398601399</v>
      </c>
      <c r="DG162" s="706">
        <f>DG142-DG152</f>
        <v>-489</v>
      </c>
      <c r="DH162" s="878">
        <f t="shared" si="614"/>
        <v>-17.596257646635479</v>
      </c>
      <c r="DI162" s="822">
        <f t="shared" si="615"/>
        <v>297.5609756097561</v>
      </c>
      <c r="DK162" s="706">
        <f>DK142-DK152</f>
        <v>-188</v>
      </c>
      <c r="DL162" s="878">
        <f t="shared" si="616"/>
        <v>-6.8017366136034738</v>
      </c>
      <c r="DM162" s="822">
        <f t="shared" si="617"/>
        <v>-61.554192229038861</v>
      </c>
      <c r="DP162" s="706">
        <f>DP142-DP152</f>
        <v>-137</v>
      </c>
      <c r="DQ162" s="878">
        <f t="shared" si="618"/>
        <v>-4.7290300310666211</v>
      </c>
      <c r="DR162" s="822">
        <f t="shared" si="619"/>
        <v>-27.127659574468087</v>
      </c>
      <c r="DU162" s="706">
        <f>DU142-DU152</f>
        <v>-67</v>
      </c>
      <c r="DV162" s="878">
        <f t="shared" si="620"/>
        <v>-2.3451172558627933</v>
      </c>
      <c r="DW162" s="822">
        <f t="shared" si="621"/>
        <v>-51.094890510948908</v>
      </c>
      <c r="DZ162" s="706">
        <f>DZ142-DZ152</f>
        <v>-101.82</v>
      </c>
      <c r="EA162" s="878">
        <f t="shared" si="622"/>
        <v>-3.6273601710010683</v>
      </c>
      <c r="EB162" s="822">
        <f t="shared" si="623"/>
        <v>51.970149253731336</v>
      </c>
      <c r="EE162" s="706">
        <f>EE142-EE152</f>
        <v>-43.332539999999995</v>
      </c>
      <c r="EF162" s="878">
        <f t="shared" si="624"/>
        <v>-1.5882010142193017</v>
      </c>
      <c r="EG162" s="822">
        <f t="shared" si="625"/>
        <v>-57.442015321154983</v>
      </c>
      <c r="EI162" s="895">
        <f>DU162+DU92-DU132</f>
        <v>-66</v>
      </c>
      <c r="EK162" s="822"/>
      <c r="EL162" s="822"/>
      <c r="EM162" s="822"/>
      <c r="EN162" s="822"/>
      <c r="EO162" s="822"/>
      <c r="EP162" s="822"/>
      <c r="EQ162" s="822"/>
      <c r="ER162" s="822"/>
      <c r="ES162" s="822"/>
      <c r="ET162" s="822"/>
      <c r="EU162" s="822"/>
      <c r="EV162" s="822"/>
      <c r="EW162" s="805"/>
      <c r="EX162" s="805"/>
    </row>
    <row r="163" spans="1:154">
      <c r="A163" s="819" t="s">
        <v>143</v>
      </c>
      <c r="C163" s="769">
        <f>C143-C153</f>
        <v>367</v>
      </c>
      <c r="D163" s="878">
        <f t="shared" si="561"/>
        <v>6.9732091962758886</v>
      </c>
      <c r="E163" s="887" t="s">
        <v>24</v>
      </c>
      <c r="G163" s="769">
        <f>G143-G153</f>
        <v>206</v>
      </c>
      <c r="H163" s="878">
        <f t="shared" si="562"/>
        <v>3.9163498098859315</v>
      </c>
      <c r="I163" s="822">
        <f t="shared" si="563"/>
        <v>-43.869209809264312</v>
      </c>
      <c r="K163" s="769">
        <f>K143-K153</f>
        <v>301</v>
      </c>
      <c r="L163" s="878">
        <f t="shared" si="564"/>
        <v>5.6000000000000005</v>
      </c>
      <c r="M163" s="822">
        <f t="shared" si="565"/>
        <v>46.116504854368934</v>
      </c>
      <c r="O163" s="769">
        <f>O143-O153</f>
        <v>375</v>
      </c>
      <c r="P163" s="878">
        <f t="shared" si="566"/>
        <v>6.1626951520131472</v>
      </c>
      <c r="Q163" s="822">
        <f t="shared" si="567"/>
        <v>24.584717607973428</v>
      </c>
      <c r="S163" s="769">
        <f>S143-S153</f>
        <v>439</v>
      </c>
      <c r="T163" s="878">
        <f t="shared" si="568"/>
        <v>6.9451036228444867</v>
      </c>
      <c r="U163" s="822">
        <f t="shared" si="569"/>
        <v>17.066666666666674</v>
      </c>
      <c r="W163" s="769">
        <f>W143-W153</f>
        <v>428</v>
      </c>
      <c r="X163" s="878">
        <f t="shared" si="570"/>
        <v>6.4467540292212693</v>
      </c>
      <c r="Y163" s="822">
        <f t="shared" si="571"/>
        <v>-2.5056947608200431</v>
      </c>
      <c r="AA163" s="769">
        <f>AA143-AA153</f>
        <v>326.20000000000005</v>
      </c>
      <c r="AB163" s="878">
        <f t="shared" si="572"/>
        <v>4.9185765983112191</v>
      </c>
      <c r="AC163" s="822">
        <f t="shared" si="573"/>
        <v>-23.785046728971949</v>
      </c>
      <c r="AE163" s="769">
        <f>AE143-AE153</f>
        <v>546</v>
      </c>
      <c r="AF163" s="878">
        <f t="shared" si="574"/>
        <v>6.1128526645768027</v>
      </c>
      <c r="AG163" s="822">
        <f t="shared" si="575"/>
        <v>67.381974248927023</v>
      </c>
      <c r="AI163" s="769">
        <f>AI143-AI153</f>
        <v>301</v>
      </c>
      <c r="AJ163" s="878">
        <f t="shared" si="576"/>
        <v>3.6905345757724377</v>
      </c>
      <c r="AK163" s="822">
        <f t="shared" si="577"/>
        <v>-44.871794871794869</v>
      </c>
      <c r="AM163" s="769">
        <f>AM143-AM153</f>
        <v>327.34199999999998</v>
      </c>
      <c r="AN163" s="878">
        <f t="shared" si="578"/>
        <v>3.4402732527588018</v>
      </c>
      <c r="AO163" s="822">
        <f t="shared" si="579"/>
        <v>8.7514950166112992</v>
      </c>
      <c r="AQ163" s="769">
        <f>AQ143-AQ153</f>
        <v>192.3</v>
      </c>
      <c r="AR163" s="878">
        <f t="shared" si="580"/>
        <v>2.1197089947089949</v>
      </c>
      <c r="AS163" s="822">
        <f t="shared" si="581"/>
        <v>-41.25410121524277</v>
      </c>
      <c r="AU163" s="769">
        <f>AU143-AU153</f>
        <v>84.147999999999996</v>
      </c>
      <c r="AV163" s="878">
        <f t="shared" si="582"/>
        <v>0.87100714211779307</v>
      </c>
      <c r="AW163" s="822">
        <f t="shared" si="583"/>
        <v>-56.241289651586065</v>
      </c>
      <c r="AY163" s="769">
        <f>AY143-AY153</f>
        <v>-38.978999999999999</v>
      </c>
      <c r="AZ163" s="878">
        <f t="shared" si="584"/>
        <v>-0.40717643371983703</v>
      </c>
      <c r="BA163" s="822">
        <f t="shared" si="585"/>
        <v>-146.3219565527404</v>
      </c>
      <c r="BC163" s="769">
        <f>BC143-BC153</f>
        <v>108.855</v>
      </c>
      <c r="BD163" s="878">
        <f t="shared" si="586"/>
        <v>1.1407985747222804</v>
      </c>
      <c r="BE163" s="822">
        <f t="shared" si="587"/>
        <v>-379.26575848533827</v>
      </c>
      <c r="BG163" s="769">
        <f>BG143-BG153</f>
        <v>202</v>
      </c>
      <c r="BH163" s="878">
        <f t="shared" si="588"/>
        <v>2.1154047544245471</v>
      </c>
      <c r="BI163" s="822">
        <f t="shared" si="589"/>
        <v>85.567957374488984</v>
      </c>
      <c r="BK163" s="769">
        <f>BK143-BK153</f>
        <v>103</v>
      </c>
      <c r="BL163" s="878">
        <f t="shared" si="590"/>
        <v>1.7591801878736122</v>
      </c>
      <c r="BM163" s="822">
        <f t="shared" si="591"/>
        <v>-49.009900990099013</v>
      </c>
      <c r="BO163" s="769">
        <f>BO143-BO153</f>
        <v>174</v>
      </c>
      <c r="BP163" s="878">
        <f t="shared" si="592"/>
        <v>3.0297753787219226</v>
      </c>
      <c r="BQ163" s="822">
        <f t="shared" si="593"/>
        <v>68.932038834951442</v>
      </c>
      <c r="BS163" s="769">
        <f>BS143-BS153</f>
        <v>249</v>
      </c>
      <c r="BT163" s="878">
        <f t="shared" si="594"/>
        <v>4.1513837945981988</v>
      </c>
      <c r="BU163" s="822">
        <f t="shared" si="595"/>
        <v>43.103448275862078</v>
      </c>
      <c r="BW163" s="769">
        <f>BW143-BW153</f>
        <v>324</v>
      </c>
      <c r="BX163" s="878">
        <f t="shared" si="596"/>
        <v>5.4408060453400502</v>
      </c>
      <c r="BY163" s="822">
        <f t="shared" si="597"/>
        <v>30.120481927710841</v>
      </c>
      <c r="CA163" s="769">
        <f>CA143-CA153</f>
        <v>400.75499999999982</v>
      </c>
      <c r="CB163" s="878">
        <f t="shared" si="598"/>
        <v>6.4605767066833186</v>
      </c>
      <c r="CC163" s="822">
        <f t="shared" si="599"/>
        <v>23.68981481481476</v>
      </c>
      <c r="CE163" s="769">
        <f>CE143-CE153</f>
        <v>461</v>
      </c>
      <c r="CF163" s="878">
        <f t="shared" si="600"/>
        <v>6.9136172765446906</v>
      </c>
      <c r="CG163" s="822">
        <f t="shared" si="601"/>
        <v>15.032875447592708</v>
      </c>
      <c r="CI163" s="769">
        <f>CI143-CI153</f>
        <v>431</v>
      </c>
      <c r="CJ163" s="878">
        <f t="shared" si="602"/>
        <v>6.7449139280125188</v>
      </c>
      <c r="CK163" s="822">
        <f t="shared" si="603"/>
        <v>-6.5075921908893664</v>
      </c>
      <c r="CM163" s="769">
        <f>CM143-CM153</f>
        <v>208</v>
      </c>
      <c r="CN163" s="878">
        <f t="shared" si="604"/>
        <v>3.61159911112839</v>
      </c>
      <c r="CO163" s="822">
        <f t="shared" si="605"/>
        <v>-51.740139211136892</v>
      </c>
      <c r="CQ163" s="769">
        <f>CQ143-CQ153</f>
        <v>198.2</v>
      </c>
      <c r="CR163" s="878">
        <f t="shared" si="606"/>
        <v>3.5711711711711711</v>
      </c>
      <c r="CS163" s="822">
        <f t="shared" si="607"/>
        <v>-4.711538461538467</v>
      </c>
      <c r="CU163" s="769">
        <f>CU143-CU153</f>
        <v>280.48</v>
      </c>
      <c r="CV163" s="878">
        <f t="shared" si="608"/>
        <v>4.9181132737155888</v>
      </c>
      <c r="CW163" s="822">
        <f t="shared" si="609"/>
        <v>41.513622603430903</v>
      </c>
      <c r="CY163" s="769">
        <f>CY143-CY153</f>
        <v>-87</v>
      </c>
      <c r="CZ163" s="878">
        <f t="shared" si="610"/>
        <v>-1.6036866359447004</v>
      </c>
      <c r="DA163" s="822">
        <f t="shared" si="611"/>
        <v>-131.01825442099258</v>
      </c>
      <c r="DC163" s="769">
        <f>DC143-DC153</f>
        <v>-552</v>
      </c>
      <c r="DD163" s="878">
        <f t="shared" si="612"/>
        <v>-14.212152420185376</v>
      </c>
      <c r="DE163" s="822">
        <f t="shared" si="613"/>
        <v>534.48275862068965</v>
      </c>
      <c r="DG163" s="769">
        <f>DG143-DG153</f>
        <v>35</v>
      </c>
      <c r="DH163" s="878">
        <f t="shared" si="614"/>
        <v>0.92543627710206244</v>
      </c>
      <c r="DI163" s="822">
        <f t="shared" si="615"/>
        <v>-106.34057971014492</v>
      </c>
      <c r="DK163" s="769">
        <f>DK143-DK153</f>
        <v>-59</v>
      </c>
      <c r="DL163" s="878">
        <f t="shared" si="616"/>
        <v>-1.5155407141022348</v>
      </c>
      <c r="DM163" s="822">
        <f t="shared" si="617"/>
        <v>-268.57142857142861</v>
      </c>
      <c r="DP163" s="769">
        <f>DP143-DP153</f>
        <v>-131</v>
      </c>
      <c r="DQ163" s="878">
        <f t="shared" si="618"/>
        <v>-3.278278278278278</v>
      </c>
      <c r="DR163" s="822">
        <f t="shared" si="619"/>
        <v>122.03389830508473</v>
      </c>
      <c r="DU163" s="769">
        <f>DU143-DU153</f>
        <v>192</v>
      </c>
      <c r="DV163" s="878">
        <f t="shared" si="620"/>
        <v>4.8472607927291085</v>
      </c>
      <c r="DW163" s="822">
        <f t="shared" si="621"/>
        <v>-246.56488549618319</v>
      </c>
      <c r="DZ163" s="769">
        <f>DZ143-DZ153</f>
        <v>179</v>
      </c>
      <c r="EA163" s="878">
        <f t="shared" si="622"/>
        <v>4.4405854626643508</v>
      </c>
      <c r="EB163" s="822">
        <f t="shared" si="623"/>
        <v>-6.7708333333333375</v>
      </c>
      <c r="EE163" s="769">
        <f>EE143-EE153</f>
        <v>89.412875999999869</v>
      </c>
      <c r="EF163" s="878">
        <f t="shared" si="624"/>
        <v>2.4005750885185235</v>
      </c>
      <c r="EG163" s="822">
        <f t="shared" si="625"/>
        <v>-50.048672625698401</v>
      </c>
      <c r="EI163" s="895">
        <f>DU163+DU93-DU133</f>
        <v>120</v>
      </c>
      <c r="EK163" s="822"/>
      <c r="EL163" s="822"/>
      <c r="EM163" s="822"/>
      <c r="EN163" s="822"/>
      <c r="EO163" s="822"/>
      <c r="EP163" s="822"/>
      <c r="EQ163" s="822"/>
      <c r="ER163" s="822"/>
      <c r="ES163" s="822"/>
      <c r="ET163" s="822"/>
      <c r="EU163" s="822"/>
      <c r="EV163" s="822"/>
      <c r="EW163" s="805"/>
      <c r="EX163" s="805"/>
    </row>
    <row r="164" spans="1:154">
      <c r="A164" s="819" t="s">
        <v>144</v>
      </c>
      <c r="C164" s="591">
        <f>SUM(C160:C163)</f>
        <v>822</v>
      </c>
      <c r="D164" s="878">
        <f t="shared" si="561"/>
        <v>5.1046388871638824</v>
      </c>
      <c r="E164" s="887" t="s">
        <v>24</v>
      </c>
      <c r="G164" s="591">
        <f>SUM(G160:G163)</f>
        <v>577</v>
      </c>
      <c r="H164" s="878">
        <f t="shared" si="562"/>
        <v>3.5258172930033611</v>
      </c>
      <c r="I164" s="822">
        <f t="shared" si="563"/>
        <v>-29.80535279805353</v>
      </c>
      <c r="K164" s="591">
        <f>SUM(K160:K163)</f>
        <v>528</v>
      </c>
      <c r="L164" s="878">
        <f t="shared" si="564"/>
        <v>3.2590580828343931</v>
      </c>
      <c r="M164" s="822">
        <f t="shared" si="565"/>
        <v>-8.4922010398613459</v>
      </c>
      <c r="O164" s="591">
        <f>SUM(O160:O163)</f>
        <v>777</v>
      </c>
      <c r="P164" s="878">
        <f t="shared" si="566"/>
        <v>4.3145094119606862</v>
      </c>
      <c r="Q164" s="822">
        <f t="shared" si="567"/>
        <v>47.159090909090921</v>
      </c>
      <c r="S164" s="591">
        <f>SUM(S160:S163)</f>
        <v>958</v>
      </c>
      <c r="T164" s="878">
        <f t="shared" si="568"/>
        <v>5.0466206605910546</v>
      </c>
      <c r="U164" s="822">
        <f t="shared" si="569"/>
        <v>23.294723294723283</v>
      </c>
      <c r="W164" s="591">
        <f>SUM(W160:W163)</f>
        <v>1057</v>
      </c>
      <c r="X164" s="878">
        <f t="shared" si="570"/>
        <v>5.1864573110893035</v>
      </c>
      <c r="Y164" s="822">
        <f t="shared" si="571"/>
        <v>10.334029227557417</v>
      </c>
      <c r="AA164" s="591">
        <f>SUM(AA160:AA163)</f>
        <v>838.2</v>
      </c>
      <c r="AB164" s="878">
        <f t="shared" si="572"/>
        <v>4.0764517070323896</v>
      </c>
      <c r="AC164" s="822">
        <f t="shared" si="573"/>
        <v>-20.70009460737937</v>
      </c>
      <c r="AE164" s="591">
        <f>SUM(AE160:AE163)</f>
        <v>1487</v>
      </c>
      <c r="AF164" s="878">
        <f t="shared" si="574"/>
        <v>5.3046518264840188</v>
      </c>
      <c r="AG164" s="822">
        <f t="shared" si="575"/>
        <v>77.40396086852779</v>
      </c>
      <c r="AI164" s="591">
        <f>SUM(AI160:AI163)</f>
        <v>793</v>
      </c>
      <c r="AJ164" s="878">
        <f t="shared" si="576"/>
        <v>3.5007946318205896</v>
      </c>
      <c r="AK164" s="822">
        <f t="shared" si="577"/>
        <v>-46.671149966375246</v>
      </c>
      <c r="AM164" s="591">
        <f>SUM(AM160:AM163)</f>
        <v>795.72699999999998</v>
      </c>
      <c r="AN164" s="878">
        <f t="shared" si="578"/>
        <v>2.6990997652741404</v>
      </c>
      <c r="AO164" s="822">
        <f t="shared" si="579"/>
        <v>0.34388398486759897</v>
      </c>
      <c r="AQ164" s="591">
        <f>SUM(AQ160:AQ163)</f>
        <v>649.54737665669109</v>
      </c>
      <c r="AR164" s="878">
        <f t="shared" si="580"/>
        <v>2.2064928889757836</v>
      </c>
      <c r="AS164" s="822">
        <f t="shared" si="581"/>
        <v>-18.370574750298641</v>
      </c>
      <c r="AU164" s="591">
        <f>SUM(AU160:AU163)</f>
        <v>384.12800000000004</v>
      </c>
      <c r="AV164" s="878">
        <f t="shared" si="582"/>
        <v>1.2101187663421857</v>
      </c>
      <c r="AW164" s="822">
        <f t="shared" si="583"/>
        <v>-40.862204389592151</v>
      </c>
      <c r="AY164" s="591">
        <f>AY144-AY154</f>
        <v>-88.56</v>
      </c>
      <c r="AZ164" s="878">
        <f t="shared" si="584"/>
        <v>-0.278088299943478</v>
      </c>
      <c r="BA164" s="822">
        <f t="shared" si="585"/>
        <v>-123.05481506164612</v>
      </c>
      <c r="BC164" s="591">
        <f>SUM(BC160:BC163)</f>
        <v>139.435</v>
      </c>
      <c r="BD164" s="878">
        <f t="shared" si="586"/>
        <v>0.4356799150106237</v>
      </c>
      <c r="BE164" s="822">
        <f t="shared" si="587"/>
        <v>-257.44692863595304</v>
      </c>
      <c r="BG164" s="591">
        <f>SUM(BG160:BG163)</f>
        <v>374.33499999999998</v>
      </c>
      <c r="BH164" s="878">
        <f t="shared" si="588"/>
        <v>1.157247967354005</v>
      </c>
      <c r="BI164" s="822">
        <f t="shared" si="589"/>
        <v>168.46559328719474</v>
      </c>
      <c r="BK164" s="591">
        <f>BK144-BK154</f>
        <v>184</v>
      </c>
      <c r="BL164" s="878">
        <f t="shared" si="590"/>
        <v>1.0313901345291481</v>
      </c>
      <c r="BM164" s="822">
        <f t="shared" si="591"/>
        <v>-50.846167203173628</v>
      </c>
      <c r="BO164" s="591">
        <f>BO144-BO154</f>
        <v>282</v>
      </c>
      <c r="BP164" s="878">
        <f t="shared" si="592"/>
        <v>1.622181316152784</v>
      </c>
      <c r="BQ164" s="822">
        <f t="shared" si="593"/>
        <v>53.260869565217384</v>
      </c>
      <c r="BS164" s="591">
        <f>SUM(BS160:BS163)</f>
        <v>360</v>
      </c>
      <c r="BT164" s="878">
        <f t="shared" si="594"/>
        <v>2.0556158282418773</v>
      </c>
      <c r="BU164" s="822">
        <f t="shared" si="595"/>
        <v>27.659574468085111</v>
      </c>
      <c r="BW164" s="591">
        <f>SUM(BW160:BW163)</f>
        <v>657.37</v>
      </c>
      <c r="BX164" s="878">
        <f t="shared" si="596"/>
        <v>3.6326812555260832</v>
      </c>
      <c r="BY164" s="822">
        <f t="shared" si="597"/>
        <v>82.602777777777774</v>
      </c>
      <c r="CA164" s="591">
        <f>CA144-CA154</f>
        <v>928.11559479553796</v>
      </c>
      <c r="CB164" s="878">
        <f t="shared" si="598"/>
        <v>4.9417573277215414</v>
      </c>
      <c r="CC164" s="822">
        <f t="shared" si="599"/>
        <v>41.186180506493741</v>
      </c>
      <c r="CE164" s="591">
        <f>SUM(CE160:CE163)</f>
        <v>1136.3879310344828</v>
      </c>
      <c r="CF164" s="878">
        <f t="shared" si="600"/>
        <v>5.7090324395173875</v>
      </c>
      <c r="CG164" s="822">
        <f t="shared" si="601"/>
        <v>22.440344436279712</v>
      </c>
      <c r="CI164" s="591">
        <f>SUM(CI160:CI163)</f>
        <v>1070.0700000000002</v>
      </c>
      <c r="CJ164" s="878">
        <f t="shared" si="602"/>
        <v>5.388880495543134</v>
      </c>
      <c r="CK164" s="822">
        <f t="shared" si="603"/>
        <v>-5.8358531645185447</v>
      </c>
      <c r="CM164" s="591">
        <f>SUM(CM160:CM163)</f>
        <v>562.59788064516101</v>
      </c>
      <c r="CN164" s="878">
        <f t="shared" si="604"/>
        <v>3.0432850578830917</v>
      </c>
      <c r="CO164" s="822">
        <f t="shared" si="605"/>
        <v>-47.424198356634527</v>
      </c>
      <c r="CQ164" s="591">
        <f>SUM(CQ160:CQ163)</f>
        <v>249.58199999999999</v>
      </c>
      <c r="CR164" s="878">
        <f t="shared" si="606"/>
        <v>1.4213519230424643</v>
      </c>
      <c r="CS164" s="822">
        <f t="shared" si="607"/>
        <v>-55.637586171886923</v>
      </c>
      <c r="CU164" s="591">
        <f>SUM(CU160:CU163)</f>
        <v>398.48</v>
      </c>
      <c r="CV164" s="878">
        <f t="shared" si="608"/>
        <v>2.2438200349118755</v>
      </c>
      <c r="CW164" s="822">
        <f t="shared" si="609"/>
        <v>59.658949764005428</v>
      </c>
      <c r="CY164" s="591">
        <f>SUM(CY160:CY163)</f>
        <v>-151.6783730736779</v>
      </c>
      <c r="CZ164" s="878">
        <f t="shared" si="610"/>
        <v>-0.87878547551377695</v>
      </c>
      <c r="DA164" s="822">
        <f t="shared" si="611"/>
        <v>-138.06423737042709</v>
      </c>
      <c r="DC164" s="591">
        <f>DC144-DC154</f>
        <v>-985</v>
      </c>
      <c r="DD164" s="878">
        <f t="shared" si="612"/>
        <v>-7.5856757797458609</v>
      </c>
      <c r="DE164" s="822">
        <f t="shared" si="613"/>
        <v>549.40042541301216</v>
      </c>
      <c r="DG164" s="591">
        <f>DG144-DG154</f>
        <v>-1388</v>
      </c>
      <c r="DH164" s="878">
        <f t="shared" si="614"/>
        <v>-11.704190909857493</v>
      </c>
      <c r="DI164" s="822">
        <f t="shared" si="615"/>
        <v>40.913705583756354</v>
      </c>
      <c r="DK164" s="591">
        <f>DK144-DK154</f>
        <v>-771</v>
      </c>
      <c r="DL164" s="878">
        <f t="shared" si="616"/>
        <v>-6.2902831035326745</v>
      </c>
      <c r="DM164" s="822">
        <f t="shared" si="617"/>
        <v>-44.452449567723342</v>
      </c>
      <c r="DP164" s="591">
        <f>DP144-DP154</f>
        <v>-546.75</v>
      </c>
      <c r="DQ164" s="878">
        <f t="shared" si="618"/>
        <v>-4.3306930693069301</v>
      </c>
      <c r="DR164" s="822">
        <f t="shared" si="619"/>
        <v>-29.085603112840463</v>
      </c>
      <c r="DU164" s="591">
        <f>DU144-DU154</f>
        <v>1</v>
      </c>
      <c r="DV164" s="878">
        <f t="shared" si="620"/>
        <v>7.9700326771339758E-3</v>
      </c>
      <c r="DW164" s="822">
        <f t="shared" si="621"/>
        <v>-100.18289894833106</v>
      </c>
      <c r="DZ164" s="591">
        <f>DZ144-DZ154</f>
        <v>67.680000000000007</v>
      </c>
      <c r="EA164" s="878">
        <f t="shared" si="622"/>
        <v>0.54118023348792588</v>
      </c>
      <c r="EB164" s="822">
        <f t="shared" si="623"/>
        <v>6668.0000000000009</v>
      </c>
      <c r="EE164" s="591">
        <f>EE144-EE154</f>
        <v>22.320335999998861</v>
      </c>
      <c r="EF164" s="878">
        <f t="shared" si="624"/>
        <v>0.18516867683374674</v>
      </c>
      <c r="EG164" s="822">
        <f t="shared" si="625"/>
        <v>-67.020780141845663</v>
      </c>
      <c r="EI164" s="579">
        <v>8</v>
      </c>
      <c r="EK164" s="822"/>
      <c r="EL164" s="822"/>
      <c r="EM164" s="822"/>
      <c r="EN164" s="822"/>
      <c r="EO164" s="822"/>
      <c r="EP164" s="822"/>
      <c r="EQ164" s="822"/>
      <c r="ER164" s="822"/>
      <c r="ES164" s="822"/>
      <c r="ET164" s="822"/>
      <c r="EU164" s="822"/>
      <c r="EV164" s="822"/>
      <c r="EW164" s="805"/>
      <c r="EX164" s="805"/>
    </row>
    <row r="165" spans="1:154" hidden="1" outlineLevel="1">
      <c r="A165" s="819" t="s">
        <v>145</v>
      </c>
      <c r="C165" s="706">
        <f>C160+C161</f>
        <v>246</v>
      </c>
      <c r="D165" s="878">
        <f t="shared" si="561"/>
        <v>3.6288538132467916</v>
      </c>
      <c r="E165" s="887" t="s">
        <v>24</v>
      </c>
      <c r="G165" s="706">
        <f>G160+G161</f>
        <v>237</v>
      </c>
      <c r="H165" s="878">
        <f t="shared" si="562"/>
        <v>3.3333333333333335</v>
      </c>
      <c r="I165" s="822">
        <f t="shared" si="563"/>
        <v>-3.6585365853658569</v>
      </c>
      <c r="K165" s="706">
        <f>K160+K161</f>
        <v>111</v>
      </c>
      <c r="L165" s="878">
        <f t="shared" si="564"/>
        <v>1.6112643344462187</v>
      </c>
      <c r="M165" s="822">
        <f t="shared" si="565"/>
        <v>-53.164556962025308</v>
      </c>
      <c r="O165" s="706">
        <f>O160+O161</f>
        <v>216</v>
      </c>
      <c r="P165" s="878">
        <f t="shared" si="566"/>
        <v>2.8488525455025062</v>
      </c>
      <c r="Q165" s="822">
        <f t="shared" si="567"/>
        <v>94.594594594594611</v>
      </c>
      <c r="S165" s="706">
        <f>S160+S161</f>
        <v>284</v>
      </c>
      <c r="T165" s="878">
        <f t="shared" si="568"/>
        <v>3.5826920650939829</v>
      </c>
      <c r="U165" s="822">
        <f t="shared" si="569"/>
        <v>31.481481481481488</v>
      </c>
      <c r="W165" s="706">
        <f>W160+W161</f>
        <v>355</v>
      </c>
      <c r="X165" s="878">
        <f t="shared" si="570"/>
        <v>4.1317504655493487</v>
      </c>
      <c r="Y165" s="822">
        <f t="shared" si="571"/>
        <v>25</v>
      </c>
      <c r="AA165" s="706">
        <f>AA160+AA161</f>
        <v>272</v>
      </c>
      <c r="AB165" s="878">
        <f t="shared" si="572"/>
        <v>3.0902067711883663</v>
      </c>
      <c r="AC165" s="822">
        <f t="shared" si="573"/>
        <v>-23.380281690140848</v>
      </c>
      <c r="AE165" s="706">
        <f>AE160+AE161</f>
        <v>471</v>
      </c>
      <c r="AF165" s="878">
        <f t="shared" si="574"/>
        <v>3.9025602783992044</v>
      </c>
      <c r="AG165" s="822">
        <f t="shared" si="575"/>
        <v>73.161764705882362</v>
      </c>
      <c r="AI165" s="706">
        <f>AI160+AI161</f>
        <v>235</v>
      </c>
      <c r="AJ165" s="878">
        <f t="shared" si="576"/>
        <v>2.6230606094430184</v>
      </c>
      <c r="AK165" s="822">
        <f t="shared" si="577"/>
        <v>-50.106157112526539</v>
      </c>
      <c r="AM165" s="706">
        <f>AM160+AM161</f>
        <v>239.60500000000002</v>
      </c>
      <c r="AN165" s="878">
        <f t="shared" si="578"/>
        <v>1.8627603417580791</v>
      </c>
      <c r="AO165" s="822">
        <f t="shared" si="579"/>
        <v>1.9595744680851235</v>
      </c>
      <c r="AQ165" s="706">
        <f>AQ160+AQ161</f>
        <v>271.24737665669107</v>
      </c>
      <c r="AR165" s="878">
        <f t="shared" si="580"/>
        <v>2.0491605096070944</v>
      </c>
      <c r="AS165" s="822">
        <f t="shared" si="581"/>
        <v>13.206058578364832</v>
      </c>
      <c r="AU165" s="706">
        <f>AU160+AU161</f>
        <v>202.98</v>
      </c>
      <c r="AV165" s="878">
        <f t="shared" si="582"/>
        <v>1.4053866925154055</v>
      </c>
      <c r="AW165" s="822">
        <f t="shared" si="583"/>
        <v>-25.167939870288535</v>
      </c>
      <c r="AY165" s="706">
        <f>AY160+AY161</f>
        <v>13.010999999999996</v>
      </c>
      <c r="AZ165" s="878">
        <f t="shared" si="584"/>
        <v>8.8299966067186944E-2</v>
      </c>
      <c r="BA165" s="822">
        <f t="shared" si="585"/>
        <v>-93.590008867868761</v>
      </c>
      <c r="BC165" s="706">
        <f>BC160+BC161</f>
        <v>-13.52</v>
      </c>
      <c r="BD165" s="878">
        <f t="shared" si="586"/>
        <v>-9.1766782053892618E-2</v>
      </c>
      <c r="BE165" s="822">
        <f t="shared" si="587"/>
        <v>-203.91207439858584</v>
      </c>
      <c r="BG165" s="706">
        <f>BG160+BG161</f>
        <v>83.295000000000002</v>
      </c>
      <c r="BH165" s="878">
        <f t="shared" si="588"/>
        <v>0.55805306177140568</v>
      </c>
      <c r="BI165" s="822">
        <f t="shared" si="589"/>
        <v>-716.08727810650896</v>
      </c>
      <c r="BK165" s="706">
        <f>BK160+BK161</f>
        <v>25</v>
      </c>
      <c r="BL165" s="878">
        <f t="shared" si="590"/>
        <v>0.31681662653656062</v>
      </c>
      <c r="BM165" s="822">
        <f t="shared" si="591"/>
        <v>-69.986193649078572</v>
      </c>
      <c r="BO165" s="706">
        <f>BO160+BO161</f>
        <v>42</v>
      </c>
      <c r="BP165" s="878">
        <f t="shared" si="592"/>
        <v>0.55292390108349387</v>
      </c>
      <c r="BQ165" s="822">
        <f t="shared" si="593"/>
        <v>68</v>
      </c>
      <c r="BS165" s="706">
        <f>BS160+BS161</f>
        <v>18</v>
      </c>
      <c r="BT165" s="878">
        <f t="shared" si="594"/>
        <v>0.24837863943700844</v>
      </c>
      <c r="BU165" s="822">
        <f t="shared" si="595"/>
        <v>-57.142857142857139</v>
      </c>
      <c r="BW165" s="706">
        <f>BW160+BW161</f>
        <v>185.37</v>
      </c>
      <c r="BX165" s="878">
        <f t="shared" si="596"/>
        <v>2.3918709677419359</v>
      </c>
      <c r="BY165" s="822">
        <f t="shared" si="597"/>
        <v>929.83333333333337</v>
      </c>
      <c r="CA165" s="706">
        <f>CA160+CA161</f>
        <v>293.36059479553904</v>
      </c>
      <c r="CB165" s="878">
        <f t="shared" si="598"/>
        <v>3.6221829212932342</v>
      </c>
      <c r="CC165" s="822">
        <f t="shared" si="599"/>
        <v>58.256780922230703</v>
      </c>
      <c r="CE165" s="706">
        <f>CE160+CE161</f>
        <v>389.38793103448279</v>
      </c>
      <c r="CF165" s="878">
        <f t="shared" si="600"/>
        <v>4.6048235429253195</v>
      </c>
      <c r="CG165" s="822">
        <f t="shared" si="601"/>
        <v>32.73354974817633</v>
      </c>
      <c r="CI165" s="706">
        <f>CI160+CI161</f>
        <v>411.07000000000016</v>
      </c>
      <c r="CJ165" s="878">
        <f t="shared" si="602"/>
        <v>4.7038562764618392</v>
      </c>
      <c r="CK165" s="822">
        <f t="shared" si="603"/>
        <v>5.5682437069672019</v>
      </c>
      <c r="CM165" s="706">
        <f>CM160+CM161</f>
        <v>236.0595000000003</v>
      </c>
      <c r="CN165" s="878">
        <f t="shared" si="604"/>
        <v>2.8070586921287028</v>
      </c>
      <c r="CO165" s="822">
        <f t="shared" si="605"/>
        <v>-42.574379059527523</v>
      </c>
      <c r="CQ165" s="706">
        <f>CQ160+CQ161</f>
        <v>24.382000000000001</v>
      </c>
      <c r="CR165" s="878">
        <f t="shared" si="606"/>
        <v>0.3114284611656653</v>
      </c>
      <c r="CS165" s="822">
        <f t="shared" si="607"/>
        <v>-89.671248138710808</v>
      </c>
      <c r="CU165" s="706">
        <f>CU160+CU161</f>
        <v>74</v>
      </c>
      <c r="CV165" s="878">
        <f t="shared" si="608"/>
        <v>0.94063810855472219</v>
      </c>
      <c r="CW165" s="822">
        <f t="shared" si="609"/>
        <v>203.50258387334915</v>
      </c>
      <c r="CY165" s="706">
        <f>CY160+CY161</f>
        <v>78.321626926322097</v>
      </c>
      <c r="CZ165" s="878">
        <f t="shared" si="610"/>
        <v>0.99785484681261427</v>
      </c>
      <c r="DA165" s="822">
        <f t="shared" si="611"/>
        <v>5.8400363869217431</v>
      </c>
      <c r="DC165" s="706">
        <f>DC160+DC161</f>
        <v>-310</v>
      </c>
      <c r="DD165" s="878">
        <f t="shared" si="612"/>
        <v>-5.0210560414642043</v>
      </c>
      <c r="DE165" s="822">
        <f t="shared" si="613"/>
        <v>-495.80383115843591</v>
      </c>
      <c r="DG165" s="706">
        <f>DG160+DG161</f>
        <v>-934</v>
      </c>
      <c r="DH165" s="878">
        <f t="shared" si="614"/>
        <v>-17.629294073235183</v>
      </c>
      <c r="DI165" s="822">
        <f t="shared" si="615"/>
        <v>201.29032258064515</v>
      </c>
      <c r="DK165" s="706">
        <f>DK160+DK161</f>
        <v>-524</v>
      </c>
      <c r="DL165" s="878">
        <f t="shared" si="616"/>
        <v>-9.3571428571428577</v>
      </c>
      <c r="DM165" s="822">
        <f t="shared" si="617"/>
        <v>-43.897216274089935</v>
      </c>
      <c r="DP165" s="706">
        <f>DP160+DP161</f>
        <v>-278.75</v>
      </c>
      <c r="DQ165" s="878">
        <f t="shared" si="618"/>
        <v>-4.863049546406141</v>
      </c>
      <c r="DR165" s="822">
        <f t="shared" si="619"/>
        <v>-46.80343511450382</v>
      </c>
      <c r="DU165" s="706">
        <f>DU160+DU161</f>
        <v>-124</v>
      </c>
      <c r="DV165" s="878">
        <f t="shared" si="620"/>
        <v>-2.1644266015011344</v>
      </c>
      <c r="DW165" s="822">
        <f t="shared" si="621"/>
        <v>-55.515695067264573</v>
      </c>
      <c r="DZ165" s="706">
        <f>DZ160+DZ161</f>
        <v>-9.4999999999995453</v>
      </c>
      <c r="EA165" s="878">
        <f t="shared" si="622"/>
        <v>-0.16760762173605409</v>
      </c>
      <c r="EB165" s="822">
        <f t="shared" si="623"/>
        <v>-92.338709677419715</v>
      </c>
      <c r="EE165" s="706">
        <f>EE160+EE161</f>
        <v>-23.759999999999764</v>
      </c>
      <c r="EF165" s="878">
        <f t="shared" si="624"/>
        <v>-0.4242093566015217</v>
      </c>
      <c r="EG165" s="822">
        <f t="shared" si="625"/>
        <v>150.1052631579042</v>
      </c>
      <c r="EI165" s="896"/>
      <c r="EK165" s="822"/>
      <c r="EL165" s="822"/>
      <c r="EM165" s="822"/>
      <c r="EN165" s="822"/>
      <c r="EO165" s="822"/>
      <c r="EP165" s="822"/>
      <c r="EQ165" s="822"/>
      <c r="ER165" s="822"/>
      <c r="ES165" s="822"/>
      <c r="ET165" s="822"/>
      <c r="EU165" s="822"/>
      <c r="EV165" s="822"/>
      <c r="EW165" s="805"/>
      <c r="EX165" s="805"/>
    </row>
    <row r="166" spans="1:154" hidden="1" outlineLevel="1">
      <c r="A166" s="819" t="s">
        <v>146</v>
      </c>
      <c r="C166" s="706">
        <f>C160+C161+C162</f>
        <v>455</v>
      </c>
      <c r="D166" s="878">
        <f t="shared" si="561"/>
        <v>4.1974169741697418</v>
      </c>
      <c r="E166" s="887" t="s">
        <v>24</v>
      </c>
      <c r="G166" s="706">
        <f>G160+G161+G162</f>
        <v>371</v>
      </c>
      <c r="H166" s="878">
        <f t="shared" si="562"/>
        <v>3.340837460603332</v>
      </c>
      <c r="I166" s="822">
        <f t="shared" si="563"/>
        <v>-18.461538461538463</v>
      </c>
      <c r="K166" s="706">
        <f>K160+K161+K162</f>
        <v>227</v>
      </c>
      <c r="L166" s="878">
        <f t="shared" si="564"/>
        <v>2.0968039903934974</v>
      </c>
      <c r="M166" s="822">
        <f t="shared" si="565"/>
        <v>-38.81401617250674</v>
      </c>
      <c r="O166" s="706">
        <f>O160+O161+O162</f>
        <v>402</v>
      </c>
      <c r="P166" s="878">
        <f t="shared" si="566"/>
        <v>3.3713518953371353</v>
      </c>
      <c r="Q166" s="822">
        <f t="shared" si="567"/>
        <v>77.092511013215855</v>
      </c>
      <c r="S166" s="706">
        <f>S160+S161+S162</f>
        <v>519</v>
      </c>
      <c r="T166" s="878">
        <f t="shared" si="568"/>
        <v>4.0988785341968095</v>
      </c>
      <c r="U166" s="822">
        <f t="shared" si="569"/>
        <v>29.104477611940304</v>
      </c>
      <c r="W166" s="706">
        <f>W160+W161+W162</f>
        <v>629</v>
      </c>
      <c r="X166" s="878">
        <f t="shared" si="570"/>
        <v>4.5775416636343786</v>
      </c>
      <c r="Y166" s="822">
        <f t="shared" si="571"/>
        <v>21.194605009633904</v>
      </c>
      <c r="AA166" s="706">
        <f>AA160+AA161+AA162</f>
        <v>512</v>
      </c>
      <c r="AB166" s="878">
        <f t="shared" si="572"/>
        <v>3.6755204594400577</v>
      </c>
      <c r="AC166" s="822">
        <f t="shared" si="573"/>
        <v>-18.600953895071537</v>
      </c>
      <c r="AE166" s="706">
        <f>AE160+AE161+AE162</f>
        <v>941</v>
      </c>
      <c r="AF166" s="878">
        <f t="shared" si="574"/>
        <v>4.9267015706806285</v>
      </c>
      <c r="AG166" s="822">
        <f t="shared" si="575"/>
        <v>83.7890625</v>
      </c>
      <c r="AI166" s="706">
        <f>AI160+AI161+AI162</f>
        <v>492</v>
      </c>
      <c r="AJ166" s="878">
        <f t="shared" si="576"/>
        <v>3.3940397350993377</v>
      </c>
      <c r="AK166" s="822">
        <f t="shared" si="577"/>
        <v>-47.715196599362372</v>
      </c>
      <c r="AM166" s="706">
        <f>AM160+AM161+AM162</f>
        <v>468.38499999999999</v>
      </c>
      <c r="AN166" s="878">
        <f t="shared" si="578"/>
        <v>2.3458895533451534</v>
      </c>
      <c r="AO166" s="822">
        <f t="shared" si="579"/>
        <v>-4.799796747967477</v>
      </c>
      <c r="AQ166" s="706">
        <f>AQ160+AQ161+AQ162</f>
        <v>457.24737665669107</v>
      </c>
      <c r="AR166" s="878">
        <f t="shared" si="580"/>
        <v>2.2451506268127814</v>
      </c>
      <c r="AS166" s="822">
        <f t="shared" si="581"/>
        <v>-2.3778778874876227</v>
      </c>
      <c r="AU166" s="706">
        <f>AU160+AU161+AU162</f>
        <v>299.98</v>
      </c>
      <c r="AV166" s="878">
        <f t="shared" si="582"/>
        <v>1.3584820215560185</v>
      </c>
      <c r="AW166" s="822">
        <f t="shared" si="583"/>
        <v>-34.39437483635254</v>
      </c>
      <c r="AY166" s="706">
        <f>AY160+AY161+AY162</f>
        <v>-44.013000000000005</v>
      </c>
      <c r="AZ166" s="878">
        <f t="shared" si="584"/>
        <v>-0.19760696807794192</v>
      </c>
      <c r="BA166" s="822">
        <f t="shared" si="585"/>
        <v>-114.67197813187546</v>
      </c>
      <c r="BC166" s="706">
        <f>BC160+BC161+BC162</f>
        <v>30.580000000000002</v>
      </c>
      <c r="BD166" s="878">
        <f t="shared" si="586"/>
        <v>0.13614103819784526</v>
      </c>
      <c r="BE166" s="822">
        <f t="shared" si="587"/>
        <v>-169.47947197418944</v>
      </c>
      <c r="BG166" s="706">
        <f>BG160+BG161+BG162</f>
        <v>172.33499999999998</v>
      </c>
      <c r="BH166" s="878">
        <f t="shared" si="588"/>
        <v>0.75592157206772514</v>
      </c>
      <c r="BI166" s="822">
        <f t="shared" si="589"/>
        <v>463.55461085676905</v>
      </c>
      <c r="BK166" s="706">
        <f>BK160+BK161+BK162</f>
        <v>80</v>
      </c>
      <c r="BL166" s="878">
        <f t="shared" si="590"/>
        <v>0.65375500531175945</v>
      </c>
      <c r="BM166" s="822">
        <f t="shared" si="591"/>
        <v>-53.57878550497577</v>
      </c>
      <c r="BO166" s="706">
        <f>BO160+BO161+BO162</f>
        <v>111</v>
      </c>
      <c r="BP166" s="878">
        <f t="shared" si="592"/>
        <v>0.93355902473191299</v>
      </c>
      <c r="BQ166" s="822">
        <f t="shared" si="593"/>
        <v>38.749999999999993</v>
      </c>
      <c r="BS166" s="706">
        <f>BS160+BS161+BS162</f>
        <v>111</v>
      </c>
      <c r="BT166" s="878">
        <f t="shared" si="594"/>
        <v>0.96396005210594871</v>
      </c>
      <c r="BU166" s="822">
        <f t="shared" si="595"/>
        <v>0</v>
      </c>
      <c r="BW166" s="706">
        <f>BW160+BW161+BW162</f>
        <v>333.37</v>
      </c>
      <c r="BX166" s="878">
        <f t="shared" si="596"/>
        <v>2.7458199489333661</v>
      </c>
      <c r="BY166" s="822">
        <f t="shared" si="597"/>
        <v>200.33333333333334</v>
      </c>
      <c r="CA166" s="706">
        <f>CA160+CA161+CA162</f>
        <v>527.3605947955391</v>
      </c>
      <c r="CB166" s="878">
        <f t="shared" si="598"/>
        <v>4.1927221720109644</v>
      </c>
      <c r="CC166" s="822">
        <f t="shared" si="599"/>
        <v>58.190777453141877</v>
      </c>
      <c r="CE166" s="706">
        <f>CE160+CE161+CE162</f>
        <v>675.38793103448279</v>
      </c>
      <c r="CF166" s="878">
        <f t="shared" si="600"/>
        <v>5.1022394882808273</v>
      </c>
      <c r="CG166" s="822">
        <f t="shared" si="601"/>
        <v>28.069472330661107</v>
      </c>
      <c r="CI166" s="706">
        <f>CI160+CI161+CI162</f>
        <v>639.07000000000016</v>
      </c>
      <c r="CJ166" s="878">
        <f t="shared" si="602"/>
        <v>4.7454518452513561</v>
      </c>
      <c r="CK166" s="822">
        <f t="shared" si="603"/>
        <v>-5.3773437998595792</v>
      </c>
      <c r="CM166" s="706">
        <f>CM160+CM161+CM162</f>
        <v>354.59788064516101</v>
      </c>
      <c r="CN166" s="878">
        <f t="shared" si="604"/>
        <v>2.7861178769241457</v>
      </c>
      <c r="CO166" s="822">
        <f t="shared" si="605"/>
        <v>-44.513452259508199</v>
      </c>
      <c r="CQ166" s="706">
        <f>CQ160+CQ161+CQ162</f>
        <v>51.382000000000005</v>
      </c>
      <c r="CR166" s="878">
        <f t="shared" si="606"/>
        <v>0.42784535220192393</v>
      </c>
      <c r="CS166" s="822">
        <f t="shared" si="607"/>
        <v>-85.50978367199636</v>
      </c>
      <c r="CU166" s="706">
        <f>CU160+CU161+CU162</f>
        <v>118</v>
      </c>
      <c r="CV166" s="878">
        <f t="shared" si="608"/>
        <v>0.97876575978765767</v>
      </c>
      <c r="CW166" s="822">
        <f t="shared" si="609"/>
        <v>129.65240745786463</v>
      </c>
      <c r="CY166" s="706">
        <f>CY160+CY161+CY162</f>
        <v>-64.678373073677903</v>
      </c>
      <c r="CZ166" s="878">
        <f t="shared" si="610"/>
        <v>-0.54650082867492944</v>
      </c>
      <c r="DA166" s="822">
        <f t="shared" si="611"/>
        <v>-154.81218057091348</v>
      </c>
      <c r="DC166" s="706">
        <f>DC160+DC161+DC162</f>
        <v>-433</v>
      </c>
      <c r="DD166" s="878">
        <f t="shared" si="612"/>
        <v>-4.7577189319854964</v>
      </c>
      <c r="DE166" s="822">
        <f t="shared" si="613"/>
        <v>569.46643742376011</v>
      </c>
      <c r="DG166" s="706">
        <f>DG160+DG161+DG162</f>
        <v>-1423</v>
      </c>
      <c r="DH166" s="878">
        <f t="shared" si="614"/>
        <v>-17.617927448310017</v>
      </c>
      <c r="DI166" s="822">
        <f t="shared" si="615"/>
        <v>228.63741339491918</v>
      </c>
      <c r="DK166" s="706">
        <f>DK160+DK161+DK162</f>
        <v>-712</v>
      </c>
      <c r="DL166" s="878">
        <f t="shared" si="616"/>
        <v>-8.5126733620277388</v>
      </c>
      <c r="DM166" s="822">
        <f t="shared" si="617"/>
        <v>-49.9648629655657</v>
      </c>
      <c r="DP166" s="706">
        <f>DP160+DP161+DP162</f>
        <v>-415.75</v>
      </c>
      <c r="DQ166" s="878">
        <f t="shared" si="618"/>
        <v>-4.8180553945996056</v>
      </c>
      <c r="DR166" s="822">
        <f t="shared" si="619"/>
        <v>-41.608146067415731</v>
      </c>
      <c r="DU166" s="706">
        <f>DU160+DU161+DU162</f>
        <v>-191</v>
      </c>
      <c r="DV166" s="878">
        <f t="shared" si="620"/>
        <v>-2.224551595620778</v>
      </c>
      <c r="DW166" s="822">
        <f t="shared" si="621"/>
        <v>-54.058929645219479</v>
      </c>
      <c r="DZ166" s="706">
        <f>DZ160+DZ161+DZ162</f>
        <v>-111.31999999999954</v>
      </c>
      <c r="EA166" s="878">
        <f t="shared" si="622"/>
        <v>-1.3135103244837705</v>
      </c>
      <c r="EB166" s="822">
        <f t="shared" si="623"/>
        <v>-41.717277486911243</v>
      </c>
      <c r="EE166" s="706">
        <f>EE160+EE161+EE162</f>
        <v>-67.092539999999758</v>
      </c>
      <c r="EF166" s="878">
        <f t="shared" si="624"/>
        <v>-0.80548951114436129</v>
      </c>
      <c r="EG166" s="822">
        <f t="shared" si="625"/>
        <v>-39.730021559468163</v>
      </c>
      <c r="EK166" s="822"/>
      <c r="EL166" s="822"/>
      <c r="EM166" s="822"/>
      <c r="EN166" s="822"/>
      <c r="EO166" s="822"/>
      <c r="EP166" s="822"/>
      <c r="EQ166" s="822"/>
      <c r="ER166" s="822"/>
      <c r="ES166" s="822"/>
      <c r="ET166" s="822"/>
      <c r="EU166" s="822"/>
      <c r="EV166" s="822"/>
      <c r="EW166" s="805"/>
      <c r="EX166" s="805"/>
    </row>
    <row r="167" spans="1:154" collapsed="1">
      <c r="C167" s="706"/>
      <c r="D167" s="687"/>
      <c r="E167" s="687"/>
      <c r="G167" s="706"/>
      <c r="H167" s="687"/>
      <c r="I167" s="687"/>
      <c r="K167" s="706"/>
      <c r="L167" s="687"/>
      <c r="M167" s="687"/>
      <c r="O167" s="706"/>
      <c r="S167" s="706"/>
      <c r="W167" s="706"/>
      <c r="AA167" s="706"/>
      <c r="AE167" s="706"/>
      <c r="AI167" s="706"/>
      <c r="AM167" s="706"/>
      <c r="AQ167" s="706"/>
      <c r="AU167" s="706"/>
      <c r="AY167" s="706"/>
      <c r="BC167" s="706"/>
      <c r="BG167" s="706"/>
      <c r="BK167" s="706"/>
      <c r="BO167" s="706"/>
      <c r="BS167" s="706"/>
      <c r="BW167" s="706"/>
      <c r="CA167" s="706"/>
      <c r="CE167" s="706"/>
      <c r="CI167" s="706"/>
      <c r="CM167" s="706"/>
      <c r="CQ167" s="706"/>
      <c r="CU167" s="706"/>
      <c r="CY167" s="706"/>
      <c r="EK167" s="822"/>
      <c r="EL167" s="822"/>
      <c r="EM167" s="822"/>
      <c r="EN167" s="822"/>
      <c r="EO167" s="822"/>
      <c r="EW167" s="805"/>
      <c r="EX167" s="805"/>
    </row>
    <row r="168" spans="1:154">
      <c r="A168" s="816" t="s">
        <v>36</v>
      </c>
      <c r="C168" s="706"/>
      <c r="D168" s="687"/>
      <c r="E168" s="687"/>
      <c r="G168" s="706"/>
      <c r="H168" s="687"/>
      <c r="I168" s="687"/>
      <c r="K168" s="706"/>
      <c r="L168" s="687"/>
      <c r="M168" s="687"/>
      <c r="O168" s="706"/>
      <c r="S168" s="706"/>
      <c r="W168" s="706"/>
      <c r="AA168" s="706"/>
      <c r="AE168" s="706"/>
      <c r="AI168" s="706"/>
      <c r="AM168" s="706"/>
      <c r="AQ168" s="706"/>
      <c r="AU168" s="706"/>
      <c r="AY168" s="706"/>
      <c r="BC168" s="706"/>
      <c r="BG168" s="706"/>
      <c r="BK168" s="706"/>
      <c r="BO168" s="706"/>
      <c r="BS168" s="706"/>
      <c r="BW168" s="706"/>
      <c r="CA168" s="706"/>
      <c r="CE168" s="706"/>
      <c r="CI168" s="706"/>
      <c r="CM168" s="706"/>
      <c r="CQ168" s="706"/>
      <c r="CY168" s="706"/>
      <c r="DG168" s="818" t="s">
        <v>36</v>
      </c>
      <c r="DP168" s="1585" t="str">
        <f>DG168</f>
        <v>15. Extraordinary/Discontinued Items (after-tax)</v>
      </c>
      <c r="DQ168" s="1585"/>
      <c r="DR168" s="1585"/>
      <c r="DS168" s="1585"/>
      <c r="DT168" s="1585"/>
      <c r="DU168" s="1585"/>
      <c r="DV168" s="1585"/>
      <c r="DW168" s="1585"/>
      <c r="EK168" s="822"/>
      <c r="EL168" s="822"/>
      <c r="EM168" s="822"/>
      <c r="EN168" s="822"/>
      <c r="EO168" s="822"/>
      <c r="EW168" s="805"/>
      <c r="EX168" s="805"/>
    </row>
    <row r="169" spans="1:154">
      <c r="C169" s="706"/>
      <c r="D169" s="687"/>
      <c r="E169" s="687"/>
      <c r="G169" s="706"/>
      <c r="H169" s="687"/>
      <c r="I169" s="687"/>
      <c r="K169" s="706"/>
      <c r="L169" s="687"/>
      <c r="M169" s="687"/>
      <c r="O169" s="706"/>
      <c r="S169" s="706"/>
      <c r="W169" s="706"/>
      <c r="AA169" s="706"/>
      <c r="AE169" s="706"/>
      <c r="AI169" s="706"/>
      <c r="AM169" s="706"/>
      <c r="AQ169" s="706"/>
      <c r="AU169" s="706"/>
      <c r="AY169" s="706"/>
      <c r="BC169" s="706"/>
      <c r="BG169" s="706"/>
      <c r="BK169" s="706"/>
      <c r="BO169" s="706"/>
      <c r="BS169" s="706"/>
      <c r="BW169" s="706"/>
      <c r="CA169" s="706"/>
      <c r="CE169" s="706"/>
      <c r="CI169" s="706"/>
      <c r="CM169" s="706"/>
      <c r="CQ169" s="706"/>
      <c r="CU169" s="706"/>
      <c r="CY169" s="706"/>
      <c r="DW169" s="897"/>
      <c r="EB169" s="897"/>
      <c r="EG169" s="897"/>
      <c r="EW169" s="805"/>
      <c r="EX169" s="805"/>
    </row>
    <row r="170" spans="1:154">
      <c r="A170" s="819" t="s">
        <v>140</v>
      </c>
      <c r="B170" s="898"/>
      <c r="C170" s="695">
        <v>0</v>
      </c>
      <c r="D170" s="899"/>
      <c r="E170" s="900"/>
      <c r="F170" s="898"/>
      <c r="G170" s="695">
        <v>0</v>
      </c>
      <c r="H170" s="899"/>
      <c r="I170" s="900"/>
      <c r="J170" s="898"/>
      <c r="K170" s="695">
        <v>-184</v>
      </c>
      <c r="L170" s="899"/>
      <c r="M170" s="900"/>
      <c r="N170" s="898"/>
      <c r="O170" s="695">
        <v>0</v>
      </c>
      <c r="P170" s="901"/>
      <c r="Q170" s="902"/>
      <c r="R170" s="898"/>
      <c r="S170" s="695">
        <v>34</v>
      </c>
      <c r="T170" s="901"/>
      <c r="U170" s="902"/>
      <c r="V170" s="898"/>
      <c r="W170" s="695">
        <v>0</v>
      </c>
      <c r="X170" s="901"/>
      <c r="Y170" s="902"/>
      <c r="Z170" s="898"/>
      <c r="AA170" s="695">
        <v>0</v>
      </c>
      <c r="AB170" s="901"/>
      <c r="AC170" s="902"/>
      <c r="AD170" s="898"/>
      <c r="AE170" s="695"/>
      <c r="AF170" s="901"/>
      <c r="AG170" s="902"/>
      <c r="AH170" s="898"/>
      <c r="AI170" s="695">
        <v>0</v>
      </c>
      <c r="AJ170" s="901"/>
      <c r="AK170" s="902"/>
      <c r="AL170" s="898"/>
      <c r="AM170" s="695">
        <v>0</v>
      </c>
      <c r="AN170" s="901"/>
      <c r="AO170" s="902"/>
      <c r="AP170" s="898"/>
      <c r="AQ170" s="695">
        <v>0</v>
      </c>
      <c r="AR170" s="901"/>
      <c r="AS170" s="902"/>
      <c r="AT170" s="898"/>
      <c r="AU170" s="695">
        <v>0</v>
      </c>
      <c r="AV170" s="901"/>
      <c r="AW170" s="902"/>
      <c r="AX170" s="898"/>
      <c r="AY170" s="695">
        <v>-202.8</v>
      </c>
      <c r="AZ170" s="901"/>
      <c r="BA170" s="902"/>
      <c r="BB170" s="898"/>
      <c r="BC170" s="695">
        <v>0</v>
      </c>
      <c r="BD170" s="901"/>
      <c r="BE170" s="902"/>
      <c r="BF170" s="898"/>
      <c r="BG170" s="695">
        <v>-2</v>
      </c>
      <c r="BH170" s="901"/>
      <c r="BI170" s="902"/>
      <c r="BJ170" s="898"/>
      <c r="BK170" s="695">
        <v>0</v>
      </c>
      <c r="BL170" s="901"/>
      <c r="BM170" s="902"/>
      <c r="BN170" s="898"/>
      <c r="BO170" s="695">
        <v>0</v>
      </c>
      <c r="BP170" s="901"/>
      <c r="BQ170" s="902"/>
      <c r="BR170" s="898"/>
      <c r="BS170" s="695">
        <v>0</v>
      </c>
      <c r="BT170" s="901"/>
      <c r="BU170" s="902"/>
      <c r="BV170" s="898"/>
      <c r="BW170" s="695">
        <v>-76</v>
      </c>
      <c r="BX170" s="901"/>
      <c r="BY170" s="903"/>
      <c r="BZ170" s="898"/>
      <c r="CA170" s="695">
        <v>1</v>
      </c>
      <c r="CB170" s="901"/>
      <c r="CC170" s="903"/>
      <c r="CD170" s="898"/>
      <c r="CE170" s="695">
        <v>-3</v>
      </c>
      <c r="CF170" s="901"/>
      <c r="CG170" s="902"/>
      <c r="CH170" s="898"/>
      <c r="CI170" s="695">
        <v>0</v>
      </c>
      <c r="CJ170" s="901"/>
      <c r="CK170" s="902"/>
      <c r="CL170" s="898"/>
      <c r="CM170" s="695">
        <v>0</v>
      </c>
      <c r="CN170" s="901"/>
      <c r="CO170" s="902"/>
      <c r="CP170" s="898"/>
      <c r="CQ170" s="695">
        <v>0</v>
      </c>
      <c r="CR170" s="901"/>
      <c r="CS170" s="902"/>
      <c r="CT170" s="898"/>
      <c r="CU170" s="1342">
        <v>0</v>
      </c>
      <c r="CV170" s="901"/>
      <c r="CW170" s="902"/>
      <c r="CX170" s="898"/>
      <c r="CY170" s="1342">
        <v>0</v>
      </c>
      <c r="CZ170" s="891"/>
      <c r="DA170" s="904"/>
      <c r="DB170" s="898"/>
      <c r="DC170" s="1342">
        <v>0</v>
      </c>
      <c r="DD170" s="891"/>
      <c r="DE170" s="904"/>
      <c r="DF170" s="898"/>
      <c r="DG170" s="1342">
        <v>0</v>
      </c>
      <c r="DH170" s="891"/>
      <c r="DI170" s="904"/>
      <c r="DJ170" s="898"/>
      <c r="DK170" s="1342">
        <v>0</v>
      </c>
      <c r="DL170" s="891"/>
      <c r="DM170" s="904"/>
      <c r="DN170" s="898"/>
      <c r="DO170" s="898"/>
      <c r="DP170" s="1342">
        <v>0</v>
      </c>
      <c r="DQ170" s="891"/>
      <c r="DR170" s="904"/>
      <c r="DS170" s="898"/>
      <c r="DT170" s="1342"/>
      <c r="DU170" s="1342">
        <f>6+-4+-5+-24+-2</f>
        <v>-29</v>
      </c>
      <c r="DV170" s="891"/>
      <c r="DW170" s="904"/>
      <c r="DX170" s="898"/>
      <c r="DY170" s="898"/>
      <c r="DZ170" s="1342">
        <f>-220+16+4+1</f>
        <v>-199</v>
      </c>
      <c r="EA170" s="891"/>
      <c r="EB170" s="904"/>
      <c r="EC170" s="898"/>
      <c r="ED170" s="898"/>
      <c r="EE170" s="1277">
        <v>0</v>
      </c>
      <c r="EF170" s="891"/>
      <c r="EG170" s="904"/>
      <c r="EH170" s="898"/>
      <c r="EI170" s="898"/>
      <c r="EP170" s="904"/>
      <c r="EQ170" s="904"/>
      <c r="ER170" s="904"/>
      <c r="ES170" s="904"/>
      <c r="ET170" s="904"/>
      <c r="EU170" s="904"/>
      <c r="EV170" s="904"/>
      <c r="EW170" s="805"/>
      <c r="EX170" s="805"/>
    </row>
    <row r="171" spans="1:154">
      <c r="A171" s="819" t="s">
        <v>141</v>
      </c>
      <c r="B171" s="898"/>
      <c r="C171" s="841">
        <v>0</v>
      </c>
      <c r="D171" s="899"/>
      <c r="E171" s="900"/>
      <c r="F171" s="898"/>
      <c r="G171" s="841">
        <v>0</v>
      </c>
      <c r="H171" s="899"/>
      <c r="I171" s="900"/>
      <c r="J171" s="898"/>
      <c r="K171" s="841">
        <v>0</v>
      </c>
      <c r="L171" s="899"/>
      <c r="M171" s="900"/>
      <c r="N171" s="898"/>
      <c r="O171" s="841">
        <v>0</v>
      </c>
      <c r="P171" s="901"/>
      <c r="Q171" s="902"/>
      <c r="R171" s="898"/>
      <c r="S171" s="841">
        <v>0</v>
      </c>
      <c r="T171" s="901"/>
      <c r="U171" s="902"/>
      <c r="V171" s="898"/>
      <c r="W171" s="841">
        <v>0</v>
      </c>
      <c r="X171" s="901"/>
      <c r="Y171" s="902"/>
      <c r="Z171" s="898"/>
      <c r="AA171" s="841">
        <v>0</v>
      </c>
      <c r="AB171" s="901"/>
      <c r="AC171" s="902"/>
      <c r="AD171" s="898"/>
      <c r="AE171" s="841"/>
      <c r="AF171" s="901"/>
      <c r="AG171" s="902"/>
      <c r="AH171" s="898"/>
      <c r="AI171" s="841">
        <v>0</v>
      </c>
      <c r="AJ171" s="901"/>
      <c r="AK171" s="902"/>
      <c r="AL171" s="898"/>
      <c r="AM171" s="841">
        <v>-14</v>
      </c>
      <c r="AN171" s="901"/>
      <c r="AO171" s="902"/>
      <c r="AP171" s="898"/>
      <c r="AQ171" s="841">
        <v>-70</v>
      </c>
      <c r="AR171" s="901"/>
      <c r="AS171" s="902"/>
      <c r="AT171" s="898"/>
      <c r="AU171" s="841">
        <v>-73</v>
      </c>
      <c r="AV171" s="901"/>
      <c r="AW171" s="902"/>
      <c r="AX171" s="898"/>
      <c r="AY171" s="841">
        <v>12</v>
      </c>
      <c r="AZ171" s="901"/>
      <c r="BA171" s="902"/>
      <c r="BB171" s="898"/>
      <c r="BC171" s="841">
        <v>-7</v>
      </c>
      <c r="BD171" s="901"/>
      <c r="BE171" s="902"/>
      <c r="BF171" s="898"/>
      <c r="BG171" s="841">
        <v>1.27</v>
      </c>
      <c r="BH171" s="901"/>
      <c r="BI171" s="902"/>
      <c r="BJ171" s="898"/>
      <c r="BK171" s="841">
        <v>0</v>
      </c>
      <c r="BL171" s="901"/>
      <c r="BM171" s="902"/>
      <c r="BN171" s="898"/>
      <c r="BO171" s="841">
        <v>0</v>
      </c>
      <c r="BP171" s="901"/>
      <c r="BQ171" s="902"/>
      <c r="BR171" s="898"/>
      <c r="BS171" s="841">
        <v>0</v>
      </c>
      <c r="BT171" s="901"/>
      <c r="BU171" s="902"/>
      <c r="BV171" s="898"/>
      <c r="BW171" s="841">
        <v>-67</v>
      </c>
      <c r="BX171" s="901"/>
      <c r="BY171" s="903"/>
      <c r="BZ171" s="898"/>
      <c r="CA171" s="841">
        <v>9.4</v>
      </c>
      <c r="CB171" s="901"/>
      <c r="CC171" s="903"/>
      <c r="CD171" s="898"/>
      <c r="CE171" s="841">
        <v>1</v>
      </c>
      <c r="CF171" s="901"/>
      <c r="CG171" s="902"/>
      <c r="CH171" s="898"/>
      <c r="CI171" s="841">
        <v>7</v>
      </c>
      <c r="CJ171" s="901"/>
      <c r="CK171" s="902"/>
      <c r="CL171" s="898"/>
      <c r="CM171" s="841">
        <v>1</v>
      </c>
      <c r="CN171" s="901"/>
      <c r="CO171" s="902"/>
      <c r="CP171" s="898"/>
      <c r="CQ171" s="841">
        <v>0</v>
      </c>
      <c r="CR171" s="901"/>
      <c r="CS171" s="902"/>
      <c r="CT171" s="898"/>
      <c r="CU171" s="1340">
        <v>0</v>
      </c>
      <c r="CV171" s="901"/>
      <c r="CW171" s="902"/>
      <c r="CX171" s="898"/>
      <c r="CY171" s="1340">
        <v>0</v>
      </c>
      <c r="CZ171" s="891"/>
      <c r="DA171" s="904"/>
      <c r="DB171" s="898"/>
      <c r="DC171" s="1340">
        <v>0</v>
      </c>
      <c r="DD171" s="891"/>
      <c r="DE171" s="904"/>
      <c r="DF171" s="898"/>
      <c r="DG171" s="1340">
        <v>0</v>
      </c>
      <c r="DH171" s="891"/>
      <c r="DI171" s="904"/>
      <c r="DJ171" s="898"/>
      <c r="DK171" s="1340">
        <v>0</v>
      </c>
      <c r="DL171" s="891"/>
      <c r="DM171" s="904"/>
      <c r="DN171" s="898"/>
      <c r="DO171" s="898"/>
      <c r="DP171" s="1340">
        <v>0</v>
      </c>
      <c r="DQ171" s="891"/>
      <c r="DR171" s="904"/>
      <c r="DS171" s="898"/>
      <c r="DT171" s="1340"/>
      <c r="DU171" s="1340">
        <f>9+34+-5+2</f>
        <v>40</v>
      </c>
      <c r="DV171" s="891"/>
      <c r="DW171" s="904"/>
      <c r="DX171" s="898"/>
      <c r="DY171" s="898"/>
      <c r="DZ171" s="1340">
        <f>-(23+35-1-4-19)</f>
        <v>-34</v>
      </c>
      <c r="EA171" s="891"/>
      <c r="EB171" s="904"/>
      <c r="EC171" s="898"/>
      <c r="ED171" s="898"/>
      <c r="EE171" s="1542">
        <v>0</v>
      </c>
      <c r="EF171" s="891"/>
      <c r="EG171" s="904"/>
      <c r="EH171" s="898"/>
      <c r="EI171" s="898"/>
      <c r="EP171" s="904"/>
      <c r="EQ171" s="904"/>
      <c r="ER171" s="904"/>
      <c r="ES171" s="904"/>
      <c r="ET171" s="904"/>
      <c r="EU171" s="904"/>
      <c r="EV171" s="904"/>
      <c r="EW171" s="805"/>
      <c r="EX171" s="805"/>
    </row>
    <row r="172" spans="1:154">
      <c r="A172" s="819" t="s">
        <v>142</v>
      </c>
      <c r="B172" s="898"/>
      <c r="C172" s="841">
        <v>0</v>
      </c>
      <c r="D172" s="899"/>
      <c r="E172" s="900"/>
      <c r="F172" s="898"/>
      <c r="G172" s="841">
        <v>0</v>
      </c>
      <c r="H172" s="899"/>
      <c r="I172" s="900"/>
      <c r="J172" s="898"/>
      <c r="K172" s="841">
        <v>0</v>
      </c>
      <c r="L172" s="899"/>
      <c r="M172" s="900"/>
      <c r="N172" s="898"/>
      <c r="O172" s="841">
        <v>0</v>
      </c>
      <c r="P172" s="901"/>
      <c r="Q172" s="902"/>
      <c r="R172" s="898"/>
      <c r="S172" s="841">
        <v>-50</v>
      </c>
      <c r="T172" s="901"/>
      <c r="U172" s="902"/>
      <c r="V172" s="898"/>
      <c r="W172" s="841">
        <v>0</v>
      </c>
      <c r="X172" s="901"/>
      <c r="Y172" s="902"/>
      <c r="Z172" s="898"/>
      <c r="AA172" s="841">
        <v>0</v>
      </c>
      <c r="AB172" s="901"/>
      <c r="AC172" s="902"/>
      <c r="AD172" s="898"/>
      <c r="AE172" s="841"/>
      <c r="AF172" s="901"/>
      <c r="AG172" s="902"/>
      <c r="AH172" s="898"/>
      <c r="AI172" s="841">
        <v>-21</v>
      </c>
      <c r="AJ172" s="901"/>
      <c r="AK172" s="902"/>
      <c r="AL172" s="898"/>
      <c r="AM172" s="841">
        <v>-96.6</v>
      </c>
      <c r="AN172" s="901"/>
      <c r="AO172" s="902"/>
      <c r="AP172" s="898"/>
      <c r="AQ172" s="841">
        <v>0</v>
      </c>
      <c r="AR172" s="901"/>
      <c r="AS172" s="902"/>
      <c r="AT172" s="898"/>
      <c r="AU172" s="841">
        <v>0</v>
      </c>
      <c r="AV172" s="901"/>
      <c r="AW172" s="902"/>
      <c r="AX172" s="898"/>
      <c r="AY172" s="841">
        <v>0</v>
      </c>
      <c r="AZ172" s="901"/>
      <c r="BA172" s="902"/>
      <c r="BB172" s="898"/>
      <c r="BC172" s="841">
        <v>0</v>
      </c>
      <c r="BD172" s="901"/>
      <c r="BE172" s="902"/>
      <c r="BF172" s="898"/>
      <c r="BG172" s="841">
        <v>35.911000000000001</v>
      </c>
      <c r="BH172" s="901"/>
      <c r="BI172" s="902"/>
      <c r="BJ172" s="898"/>
      <c r="BK172" s="841">
        <v>0</v>
      </c>
      <c r="BL172" s="901"/>
      <c r="BM172" s="902"/>
      <c r="BN172" s="898"/>
      <c r="BO172" s="841">
        <v>0</v>
      </c>
      <c r="BP172" s="901"/>
      <c r="BQ172" s="902"/>
      <c r="BR172" s="898"/>
      <c r="BS172" s="841">
        <v>0</v>
      </c>
      <c r="BT172" s="901"/>
      <c r="BU172" s="902"/>
      <c r="BV172" s="898"/>
      <c r="BW172" s="841">
        <v>1</v>
      </c>
      <c r="BX172" s="901"/>
      <c r="BY172" s="903"/>
      <c r="BZ172" s="898"/>
      <c r="CA172" s="841">
        <v>0</v>
      </c>
      <c r="CB172" s="901"/>
      <c r="CC172" s="903"/>
      <c r="CD172" s="898"/>
      <c r="CE172" s="841">
        <v>1</v>
      </c>
      <c r="CF172" s="901"/>
      <c r="CG172" s="902"/>
      <c r="CH172" s="898"/>
      <c r="CI172" s="841">
        <v>32</v>
      </c>
      <c r="CJ172" s="901"/>
      <c r="CK172" s="902"/>
      <c r="CL172" s="898"/>
      <c r="CM172" s="841">
        <v>4.4580000000000002</v>
      </c>
      <c r="CN172" s="901"/>
      <c r="CO172" s="902"/>
      <c r="CP172" s="898"/>
      <c r="CQ172" s="841">
        <v>0</v>
      </c>
      <c r="CR172" s="901"/>
      <c r="CS172" s="902"/>
      <c r="CT172" s="898"/>
      <c r="CU172" s="1340">
        <v>0</v>
      </c>
      <c r="CV172" s="901"/>
      <c r="CW172" s="902"/>
      <c r="CX172" s="898"/>
      <c r="CY172" s="1340">
        <v>0</v>
      </c>
      <c r="CZ172" s="891"/>
      <c r="DA172" s="904"/>
      <c r="DB172" s="898"/>
      <c r="DC172" s="1340">
        <v>0</v>
      </c>
      <c r="DD172" s="891"/>
      <c r="DE172" s="904"/>
      <c r="DF172" s="898"/>
      <c r="DG172" s="1340">
        <v>0</v>
      </c>
      <c r="DH172" s="891"/>
      <c r="DI172" s="904"/>
      <c r="DJ172" s="898"/>
      <c r="DK172" s="1340">
        <v>0</v>
      </c>
      <c r="DL172" s="891"/>
      <c r="DM172" s="904"/>
      <c r="DN172" s="898"/>
      <c r="DO172" s="898"/>
      <c r="DP172" s="1340">
        <v>0</v>
      </c>
      <c r="DQ172" s="891"/>
      <c r="DR172" s="904"/>
      <c r="DS172" s="898"/>
      <c r="DT172" s="1340"/>
      <c r="DU172" s="1340">
        <v>2</v>
      </c>
      <c r="DV172" s="891"/>
      <c r="DW172" s="904"/>
      <c r="DX172" s="898"/>
      <c r="DY172" s="898"/>
      <c r="DZ172" s="1340">
        <f>-(52+7-3-30)</f>
        <v>-26</v>
      </c>
      <c r="EA172" s="891"/>
      <c r="EB172" s="904"/>
      <c r="EC172" s="898"/>
      <c r="ED172" s="898"/>
      <c r="EE172" s="841">
        <v>0</v>
      </c>
      <c r="EF172" s="891"/>
      <c r="EG172" s="904"/>
      <c r="EH172" s="898"/>
      <c r="EI172" s="898"/>
      <c r="EK172" s="904"/>
      <c r="EL172" s="904"/>
      <c r="EM172" s="904"/>
      <c r="EN172" s="904"/>
      <c r="EO172" s="904"/>
      <c r="EP172" s="904"/>
      <c r="EQ172" s="904"/>
      <c r="ER172" s="904"/>
      <c r="ES172" s="904"/>
      <c r="ET172" s="904"/>
      <c r="EU172" s="904"/>
      <c r="EV172" s="904"/>
      <c r="EW172" s="805"/>
      <c r="EX172" s="805"/>
    </row>
    <row r="173" spans="1:154">
      <c r="A173" s="819" t="s">
        <v>143</v>
      </c>
      <c r="B173" s="898"/>
      <c r="C173" s="845">
        <v>0</v>
      </c>
      <c r="D173" s="899"/>
      <c r="E173" s="900"/>
      <c r="F173" s="898"/>
      <c r="G173" s="845">
        <v>0</v>
      </c>
      <c r="H173" s="899"/>
      <c r="I173" s="900"/>
      <c r="J173" s="898"/>
      <c r="K173" s="845">
        <v>-264</v>
      </c>
      <c r="L173" s="899"/>
      <c r="M173" s="900"/>
      <c r="N173" s="898"/>
      <c r="O173" s="845">
        <v>0</v>
      </c>
      <c r="P173" s="901"/>
      <c r="Q173" s="902"/>
      <c r="R173" s="898"/>
      <c r="S173" s="845">
        <v>-2</v>
      </c>
      <c r="T173" s="901"/>
      <c r="U173" s="902"/>
      <c r="V173" s="898"/>
      <c r="W173" s="845">
        <v>0</v>
      </c>
      <c r="X173" s="901"/>
      <c r="Y173" s="902"/>
      <c r="Z173" s="898"/>
      <c r="AA173" s="845">
        <v>0</v>
      </c>
      <c r="AB173" s="901"/>
      <c r="AC173" s="902"/>
      <c r="AD173" s="898"/>
      <c r="AE173" s="845"/>
      <c r="AF173" s="901"/>
      <c r="AG173" s="902"/>
      <c r="AH173" s="898"/>
      <c r="AI173" s="845">
        <v>-207</v>
      </c>
      <c r="AJ173" s="901"/>
      <c r="AK173" s="902"/>
      <c r="AL173" s="898"/>
      <c r="AM173" s="845">
        <v>-126.91</v>
      </c>
      <c r="AN173" s="901"/>
      <c r="AO173" s="902"/>
      <c r="AP173" s="898"/>
      <c r="AQ173" s="845">
        <v>14.102</v>
      </c>
      <c r="AR173" s="901"/>
      <c r="AS173" s="902"/>
      <c r="AT173" s="898"/>
      <c r="AU173" s="845">
        <v>-147.6</v>
      </c>
      <c r="AV173" s="901"/>
      <c r="AW173" s="902"/>
      <c r="AX173" s="898"/>
      <c r="AY173" s="845">
        <v>-302.39999999999998</v>
      </c>
      <c r="AZ173" s="901"/>
      <c r="BA173" s="902"/>
      <c r="BB173" s="898"/>
      <c r="BC173" s="845">
        <v>-9.8719999999999999</v>
      </c>
      <c r="BD173" s="901"/>
      <c r="BE173" s="902"/>
      <c r="BF173" s="898"/>
      <c r="BG173" s="845">
        <v>0</v>
      </c>
      <c r="BH173" s="901"/>
      <c r="BI173" s="902"/>
      <c r="BJ173" s="898"/>
      <c r="BK173" s="845">
        <v>0</v>
      </c>
      <c r="BL173" s="901"/>
      <c r="BM173" s="902"/>
      <c r="BN173" s="898"/>
      <c r="BO173" s="845">
        <v>0</v>
      </c>
      <c r="BP173" s="901"/>
      <c r="BQ173" s="902"/>
      <c r="BR173" s="898"/>
      <c r="BS173" s="845">
        <v>-1288</v>
      </c>
      <c r="BT173" s="901"/>
      <c r="BU173" s="902"/>
      <c r="BV173" s="898"/>
      <c r="BW173" s="845">
        <v>9</v>
      </c>
      <c r="BX173" s="901"/>
      <c r="BY173" s="903"/>
      <c r="BZ173" s="898"/>
      <c r="CA173" s="845">
        <v>150.32900000000001</v>
      </c>
      <c r="CB173" s="901"/>
      <c r="CC173" s="903"/>
      <c r="CD173" s="898"/>
      <c r="CE173" s="845">
        <v>20</v>
      </c>
      <c r="CF173" s="901"/>
      <c r="CG173" s="902"/>
      <c r="CH173" s="898"/>
      <c r="CI173" s="845">
        <v>-1</v>
      </c>
      <c r="CJ173" s="901"/>
      <c r="CK173" s="902"/>
      <c r="CL173" s="898"/>
      <c r="CM173" s="845">
        <v>3</v>
      </c>
      <c r="CN173" s="901"/>
      <c r="CO173" s="902"/>
      <c r="CP173" s="898"/>
      <c r="CQ173" s="845">
        <v>2</v>
      </c>
      <c r="CR173" s="901"/>
      <c r="CS173" s="902"/>
      <c r="CT173" s="898"/>
      <c r="CU173" s="1341">
        <v>-9.48</v>
      </c>
      <c r="CV173" s="901"/>
      <c r="CW173" s="902"/>
      <c r="CX173" s="898"/>
      <c r="CY173" s="1341">
        <v>0</v>
      </c>
      <c r="CZ173" s="891"/>
      <c r="DA173" s="904"/>
      <c r="DB173" s="898"/>
      <c r="DC173" s="1341">
        <v>0</v>
      </c>
      <c r="DD173" s="891"/>
      <c r="DE173" s="904"/>
      <c r="DF173" s="898"/>
      <c r="DG173" s="1341">
        <v>0</v>
      </c>
      <c r="DH173" s="891"/>
      <c r="DI173" s="904"/>
      <c r="DJ173" s="898"/>
      <c r="DK173" s="1341">
        <v>0</v>
      </c>
      <c r="DL173" s="891"/>
      <c r="DM173" s="904"/>
      <c r="DN173" s="898"/>
      <c r="DO173" s="898"/>
      <c r="DP173" s="1341">
        <v>0</v>
      </c>
      <c r="DQ173" s="891"/>
      <c r="DR173" s="904"/>
      <c r="DS173" s="898"/>
      <c r="DT173" s="1341"/>
      <c r="DU173" s="1341">
        <f>9+1+11+1-12</f>
        <v>10</v>
      </c>
      <c r="DV173" s="891"/>
      <c r="DW173" s="904"/>
      <c r="DX173" s="898"/>
      <c r="DY173" s="898"/>
      <c r="DZ173" s="1341">
        <v>75</v>
      </c>
      <c r="EA173" s="891"/>
      <c r="EB173" s="904"/>
      <c r="EC173" s="898"/>
      <c r="ED173" s="898"/>
      <c r="EE173" s="845">
        <v>0</v>
      </c>
      <c r="EF173" s="891"/>
      <c r="EG173" s="904"/>
      <c r="EH173" s="898"/>
      <c r="EI173" s="898"/>
      <c r="EK173" s="904"/>
      <c r="EL173" s="904"/>
      <c r="EM173" s="904"/>
      <c r="EN173" s="904"/>
      <c r="EO173" s="904"/>
      <c r="EP173" s="904"/>
      <c r="EQ173" s="904"/>
      <c r="ER173" s="904"/>
      <c r="ES173" s="904"/>
      <c r="ET173" s="904"/>
      <c r="EU173" s="904"/>
      <c r="EV173" s="904"/>
      <c r="EW173" s="805"/>
      <c r="EX173" s="805"/>
    </row>
    <row r="174" spans="1:154">
      <c r="A174" s="819" t="s">
        <v>144</v>
      </c>
      <c r="B174" s="898"/>
      <c r="C174" s="695">
        <v>-20</v>
      </c>
      <c r="D174" s="899"/>
      <c r="E174" s="900"/>
      <c r="F174" s="898"/>
      <c r="G174" s="695">
        <f>SUM(G170:G173)</f>
        <v>0</v>
      </c>
      <c r="H174" s="899"/>
      <c r="I174" s="900"/>
      <c r="J174" s="898"/>
      <c r="K174" s="695">
        <f>SUM(K170:K173)</f>
        <v>-448</v>
      </c>
      <c r="L174" s="899"/>
      <c r="M174" s="900"/>
      <c r="N174" s="898"/>
      <c r="O174" s="695">
        <v>0</v>
      </c>
      <c r="P174" s="901"/>
      <c r="Q174" s="902"/>
      <c r="R174" s="898"/>
      <c r="S174" s="695">
        <f>SUM(S170:S173)</f>
        <v>-18</v>
      </c>
      <c r="T174" s="901"/>
      <c r="U174" s="902"/>
      <c r="V174" s="898"/>
      <c r="W174" s="695">
        <f>SUM(W170:W173)</f>
        <v>0</v>
      </c>
      <c r="X174" s="901"/>
      <c r="Y174" s="902"/>
      <c r="Z174" s="898"/>
      <c r="AA174" s="695">
        <f>SUM(AA170:AA173)</f>
        <v>0</v>
      </c>
      <c r="AB174" s="901"/>
      <c r="AC174" s="902"/>
      <c r="AD174" s="898"/>
      <c r="AE174" s="695"/>
      <c r="AF174" s="901"/>
      <c r="AG174" s="902"/>
      <c r="AH174" s="898"/>
      <c r="AI174" s="695">
        <f>SUM(AI170:AI173)</f>
        <v>-228</v>
      </c>
      <c r="AJ174" s="901"/>
      <c r="AK174" s="902"/>
      <c r="AL174" s="898"/>
      <c r="AM174" s="695">
        <f>SUM(AM170:AM173)</f>
        <v>-237.51</v>
      </c>
      <c r="AN174" s="901"/>
      <c r="AO174" s="902"/>
      <c r="AP174" s="898"/>
      <c r="AQ174" s="695">
        <f>SUM(AQ170:AQ173)</f>
        <v>-55.897999999999996</v>
      </c>
      <c r="AR174" s="901"/>
      <c r="AS174" s="902"/>
      <c r="AT174" s="898"/>
      <c r="AU174" s="695">
        <f>SUM(AU170:AU173)</f>
        <v>-220.6</v>
      </c>
      <c r="AV174" s="901"/>
      <c r="AW174" s="902"/>
      <c r="AX174" s="898"/>
      <c r="AY174" s="695">
        <f>SUM(AY170:AY173)</f>
        <v>-493.2</v>
      </c>
      <c r="AZ174" s="901"/>
      <c r="BA174" s="902"/>
      <c r="BB174" s="898"/>
      <c r="BC174" s="695">
        <f>SUM(BC170:BC173)</f>
        <v>-16.872</v>
      </c>
      <c r="BD174" s="901"/>
      <c r="BE174" s="902"/>
      <c r="BF174" s="898"/>
      <c r="BG174" s="695">
        <f>SUM(BG170:BG173)</f>
        <v>35.181000000000004</v>
      </c>
      <c r="BH174" s="901"/>
      <c r="BI174" s="902"/>
      <c r="BJ174" s="898"/>
      <c r="BK174" s="695">
        <f>SUM(BK170:BK173)</f>
        <v>0</v>
      </c>
      <c r="BL174" s="901"/>
      <c r="BM174" s="902"/>
      <c r="BN174" s="898"/>
      <c r="BO174" s="695">
        <f>SUM(BO170:BO173)</f>
        <v>0</v>
      </c>
      <c r="BP174" s="901"/>
      <c r="BQ174" s="902"/>
      <c r="BR174" s="898"/>
      <c r="BS174" s="695">
        <f>SUM(BS170:BS173)</f>
        <v>-1288</v>
      </c>
      <c r="BT174" s="901"/>
      <c r="BU174" s="902"/>
      <c r="BV174" s="898"/>
      <c r="BW174" s="695">
        <f>SUM(BW170:BW173)</f>
        <v>-133</v>
      </c>
      <c r="BX174" s="901"/>
      <c r="BY174" s="903"/>
      <c r="BZ174" s="898"/>
      <c r="CA174" s="695">
        <f>SUM(CA170:CA173)</f>
        <v>160.72900000000001</v>
      </c>
      <c r="CB174" s="901"/>
      <c r="CC174" s="903"/>
      <c r="CD174" s="898"/>
      <c r="CE174" s="695">
        <f>SUM(CE170:CE173)</f>
        <v>19</v>
      </c>
      <c r="CF174" s="901"/>
      <c r="CG174" s="902"/>
      <c r="CH174" s="898"/>
      <c r="CI174" s="695">
        <f>SUM(CI170:CI173)</f>
        <v>38</v>
      </c>
      <c r="CJ174" s="901"/>
      <c r="CK174" s="902"/>
      <c r="CL174" s="898"/>
      <c r="CM174" s="695">
        <f>SUM(CM170:CM173)</f>
        <v>8.4580000000000002</v>
      </c>
      <c r="CN174" s="901"/>
      <c r="CO174" s="902"/>
      <c r="CP174" s="898"/>
      <c r="CQ174" s="695">
        <f>SUM(CQ170:CQ173)</f>
        <v>2</v>
      </c>
      <c r="CR174" s="901"/>
      <c r="CS174" s="902"/>
      <c r="CT174" s="898"/>
      <c r="CU174" s="1359">
        <f>SUM(CU170:CU173)</f>
        <v>-9.48</v>
      </c>
      <c r="CV174" s="901"/>
      <c r="CW174" s="902"/>
      <c r="CX174" s="898"/>
      <c r="CY174" s="1359">
        <f>SUM(CY170:CY173)</f>
        <v>0</v>
      </c>
      <c r="CZ174" s="891"/>
      <c r="DA174" s="904"/>
      <c r="DB174" s="898"/>
      <c r="DC174" s="1359">
        <f>SUM(DC170:DC173)</f>
        <v>0</v>
      </c>
      <c r="DD174" s="891"/>
      <c r="DE174" s="904"/>
      <c r="DF174" s="898"/>
      <c r="DG174" s="1359">
        <f>SUM(DG170:DG173)</f>
        <v>0</v>
      </c>
      <c r="DH174" s="891"/>
      <c r="DI174" s="904"/>
      <c r="DJ174" s="898"/>
      <c r="DK174" s="1359">
        <f>SUM(DK170:DK173)</f>
        <v>0</v>
      </c>
      <c r="DL174" s="891"/>
      <c r="DM174" s="904"/>
      <c r="DN174" s="898"/>
      <c r="DO174" s="898"/>
      <c r="DP174" s="1359">
        <f>SUM(DP170:DP173)</f>
        <v>0</v>
      </c>
      <c r="DQ174" s="891"/>
      <c r="DR174" s="904"/>
      <c r="DS174" s="898"/>
      <c r="DT174" s="1359"/>
      <c r="DU174" s="1359">
        <f>SUM(DU170:DU173)</f>
        <v>23</v>
      </c>
      <c r="DV174" s="891"/>
      <c r="DW174" s="904"/>
      <c r="DX174" s="898"/>
      <c r="DY174" s="898"/>
      <c r="DZ174" s="1359">
        <f>SUM(DZ170:DZ173)</f>
        <v>-184</v>
      </c>
      <c r="EA174" s="891"/>
      <c r="EB174" s="904"/>
      <c r="EC174" s="898"/>
      <c r="ED174" s="898"/>
      <c r="EE174" s="1359">
        <f>SUM(EE170:EE173)</f>
        <v>0</v>
      </c>
      <c r="EF174" s="891"/>
      <c r="EG174" s="904"/>
      <c r="EH174" s="898"/>
      <c r="EI174" s="898"/>
      <c r="EK174" s="904"/>
      <c r="EL174" s="904"/>
      <c r="EM174" s="904"/>
      <c r="EN174" s="904"/>
      <c r="EO174" s="904"/>
      <c r="EP174" s="904"/>
      <c r="EQ174" s="904"/>
      <c r="ER174" s="904"/>
      <c r="ES174" s="904"/>
      <c r="ET174" s="904"/>
      <c r="EU174" s="904"/>
      <c r="EV174" s="904"/>
      <c r="EW174" s="805"/>
      <c r="EX174" s="805"/>
    </row>
    <row r="175" spans="1:154" hidden="1" outlineLevel="1">
      <c r="A175" s="819" t="s">
        <v>145</v>
      </c>
      <c r="C175" s="706">
        <f>C170+C171</f>
        <v>0</v>
      </c>
      <c r="D175" s="905"/>
      <c r="E175" s="869"/>
      <c r="G175" s="706">
        <f>G170+G171</f>
        <v>0</v>
      </c>
      <c r="H175" s="905"/>
      <c r="I175" s="869"/>
      <c r="K175" s="706">
        <f>K170+K171</f>
        <v>-184</v>
      </c>
      <c r="L175" s="905"/>
      <c r="M175" s="869"/>
      <c r="O175" s="706">
        <f>O170+O171</f>
        <v>0</v>
      </c>
      <c r="P175" s="891"/>
      <c r="Q175" s="904"/>
      <c r="S175" s="706">
        <f>S170+S171</f>
        <v>34</v>
      </c>
      <c r="T175" s="891"/>
      <c r="U175" s="904"/>
      <c r="W175" s="706">
        <f>W170+W171</f>
        <v>0</v>
      </c>
      <c r="X175" s="891"/>
      <c r="Y175" s="904"/>
      <c r="AA175" s="706">
        <f>AA170+AA171</f>
        <v>0</v>
      </c>
      <c r="AB175" s="891"/>
      <c r="AC175" s="904"/>
      <c r="AE175" s="706"/>
      <c r="AF175" s="891"/>
      <c r="AG175" s="904"/>
      <c r="AI175" s="706">
        <f>AI170+AI171</f>
        <v>0</v>
      </c>
      <c r="AJ175" s="891"/>
      <c r="AK175" s="904"/>
      <c r="AM175" s="706">
        <f>AM170+AM171</f>
        <v>-14</v>
      </c>
      <c r="AN175" s="891"/>
      <c r="AO175" s="904"/>
      <c r="AQ175" s="706">
        <f>AQ170+AQ171</f>
        <v>-70</v>
      </c>
      <c r="AR175" s="891"/>
      <c r="AS175" s="904"/>
      <c r="AU175" s="706">
        <f>AU170+AU171</f>
        <v>-73</v>
      </c>
      <c r="AV175" s="891"/>
      <c r="AW175" s="904"/>
      <c r="AY175" s="706">
        <f>AY170+AY171</f>
        <v>-190.8</v>
      </c>
      <c r="AZ175" s="891"/>
      <c r="BA175" s="904"/>
      <c r="BC175" s="706">
        <f>BC170+BC171</f>
        <v>-7</v>
      </c>
      <c r="BD175" s="891"/>
      <c r="BE175" s="904"/>
      <c r="BG175" s="706">
        <f>BG170+BG171</f>
        <v>-0.73</v>
      </c>
      <c r="BH175" s="891"/>
      <c r="BI175" s="904"/>
      <c r="BK175" s="706">
        <f>BK170+BK171</f>
        <v>0</v>
      </c>
      <c r="BL175" s="891"/>
      <c r="BM175" s="904"/>
      <c r="BO175" s="706">
        <f>BO170+BO171</f>
        <v>0</v>
      </c>
      <c r="BP175" s="891"/>
      <c r="BQ175" s="904"/>
      <c r="BS175" s="706">
        <f>BS170+BS171</f>
        <v>0</v>
      </c>
      <c r="BT175" s="891"/>
      <c r="BU175" s="904"/>
      <c r="BW175" s="706">
        <f>BW170+BW171</f>
        <v>-143</v>
      </c>
      <c r="BX175" s="891"/>
      <c r="BY175" s="888"/>
      <c r="CA175" s="706">
        <f>CA170+CA171</f>
        <v>10.4</v>
      </c>
      <c r="CB175" s="891"/>
      <c r="CC175" s="888"/>
      <c r="CE175" s="706">
        <f>CE170+CE171</f>
        <v>-2</v>
      </c>
      <c r="CF175" s="891"/>
      <c r="CG175" s="904"/>
      <c r="CI175" s="706">
        <f>CI170+CI171</f>
        <v>7</v>
      </c>
      <c r="CJ175" s="891"/>
      <c r="CK175" s="904"/>
      <c r="CM175" s="706">
        <f>CM170+CM171</f>
        <v>1</v>
      </c>
      <c r="CN175" s="891"/>
      <c r="CO175" s="904"/>
      <c r="CQ175" s="706">
        <f>CQ170+CQ171</f>
        <v>0</v>
      </c>
      <c r="CR175" s="891"/>
      <c r="CS175" s="904"/>
      <c r="CU175" s="706">
        <f>CU170+CU171</f>
        <v>0</v>
      </c>
      <c r="CV175" s="891"/>
      <c r="CW175" s="904"/>
      <c r="CY175" s="706">
        <f>CY170+CY171</f>
        <v>0</v>
      </c>
      <c r="CZ175" s="891"/>
      <c r="DA175" s="904"/>
      <c r="DC175" s="706">
        <f>DC170+DC171</f>
        <v>0</v>
      </c>
      <c r="DD175" s="891"/>
      <c r="DE175" s="904"/>
      <c r="DG175" s="706">
        <f>DG170+DG171</f>
        <v>0</v>
      </c>
      <c r="DH175" s="891"/>
      <c r="DI175" s="904"/>
      <c r="DK175" s="706">
        <f>DK170+DK171</f>
        <v>0</v>
      </c>
      <c r="DL175" s="891"/>
      <c r="DM175" s="904"/>
      <c r="DP175" s="706">
        <f>DP170+DP171</f>
        <v>0</v>
      </c>
      <c r="DQ175" s="891"/>
      <c r="DR175" s="904"/>
      <c r="DU175" s="706">
        <f>DU170+DU171</f>
        <v>11</v>
      </c>
      <c r="DV175" s="891"/>
      <c r="DW175" s="904"/>
      <c r="DZ175" s="706">
        <f>DZ170+DZ171</f>
        <v>-233</v>
      </c>
      <c r="EA175" s="891"/>
      <c r="EB175" s="904"/>
      <c r="EE175" s="706">
        <f>EE170+EE171</f>
        <v>0</v>
      </c>
      <c r="EF175" s="891"/>
      <c r="EG175" s="904"/>
      <c r="EK175" s="904"/>
      <c r="EL175" s="904"/>
      <c r="EM175" s="904"/>
      <c r="EN175" s="904"/>
      <c r="EO175" s="904"/>
      <c r="EP175" s="904"/>
      <c r="EQ175" s="904"/>
      <c r="ER175" s="904"/>
      <c r="ES175" s="904"/>
      <c r="ET175" s="904"/>
      <c r="EU175" s="904"/>
      <c r="EV175" s="904"/>
      <c r="EW175" s="805"/>
      <c r="EX175" s="805"/>
    </row>
    <row r="176" spans="1:154" hidden="1" outlineLevel="1">
      <c r="A176" s="819" t="s">
        <v>146</v>
      </c>
      <c r="C176" s="706">
        <f>C170+C171+C172</f>
        <v>0</v>
      </c>
      <c r="D176" s="905"/>
      <c r="E176" s="869"/>
      <c r="G176" s="706">
        <f>G170+G171+G172</f>
        <v>0</v>
      </c>
      <c r="H176" s="905"/>
      <c r="I176" s="869"/>
      <c r="K176" s="706">
        <f>K170+K171+K172</f>
        <v>-184</v>
      </c>
      <c r="L176" s="905"/>
      <c r="M176" s="869"/>
      <c r="O176" s="706">
        <f>O170+O171+O172</f>
        <v>0</v>
      </c>
      <c r="P176" s="891"/>
      <c r="Q176" s="904"/>
      <c r="S176" s="706">
        <f>S170+S171+S172</f>
        <v>-16</v>
      </c>
      <c r="T176" s="891"/>
      <c r="U176" s="904"/>
      <c r="W176" s="706">
        <f>W170+W171+W172</f>
        <v>0</v>
      </c>
      <c r="X176" s="891"/>
      <c r="Y176" s="904"/>
      <c r="AA176" s="706">
        <f>AA170+AA171+AA172</f>
        <v>0</v>
      </c>
      <c r="AB176" s="891"/>
      <c r="AC176" s="904"/>
      <c r="AE176" s="706"/>
      <c r="AF176" s="891"/>
      <c r="AG176" s="904"/>
      <c r="AI176" s="706">
        <f>AI170+AI171+AI172</f>
        <v>-21</v>
      </c>
      <c r="AJ176" s="891"/>
      <c r="AK176" s="904"/>
      <c r="AM176" s="706">
        <f>AM170+AM171+AM172</f>
        <v>-110.6</v>
      </c>
      <c r="AN176" s="891"/>
      <c r="AO176" s="904"/>
      <c r="AQ176" s="706">
        <f>AQ170+AQ171+AQ172</f>
        <v>-70</v>
      </c>
      <c r="AR176" s="891"/>
      <c r="AS176" s="904"/>
      <c r="AU176" s="706">
        <f>AU170+AU171+AU172</f>
        <v>-73</v>
      </c>
      <c r="AV176" s="891"/>
      <c r="AW176" s="904"/>
      <c r="AY176" s="706">
        <f>AY170+AY171+AY172</f>
        <v>-190.8</v>
      </c>
      <c r="AZ176" s="891"/>
      <c r="BA176" s="904"/>
      <c r="BC176" s="706">
        <f>BC170+BC171+BC172</f>
        <v>-7</v>
      </c>
      <c r="BD176" s="891"/>
      <c r="BE176" s="904"/>
      <c r="BG176" s="706">
        <f>BG170+BG171+BG172</f>
        <v>35.181000000000004</v>
      </c>
      <c r="BH176" s="891"/>
      <c r="BI176" s="904"/>
      <c r="BK176" s="706">
        <f>BK170+BK171+BK172</f>
        <v>0</v>
      </c>
      <c r="BL176" s="891"/>
      <c r="BM176" s="904"/>
      <c r="BO176" s="706">
        <f>BO170+BO171+BO172</f>
        <v>0</v>
      </c>
      <c r="BP176" s="891"/>
      <c r="BQ176" s="904"/>
      <c r="BS176" s="706">
        <f>BS170+BS171+BS172</f>
        <v>0</v>
      </c>
      <c r="BT176" s="891"/>
      <c r="BU176" s="904"/>
      <c r="BW176" s="706">
        <f>BW170+BW171+BW172</f>
        <v>-142</v>
      </c>
      <c r="BX176" s="891"/>
      <c r="BY176" s="888"/>
      <c r="CA176" s="706">
        <f>CA170+CA171+CA172</f>
        <v>10.4</v>
      </c>
      <c r="CB176" s="891"/>
      <c r="CC176" s="888"/>
      <c r="CE176" s="706">
        <f>CE170+CE171+CE172</f>
        <v>-1</v>
      </c>
      <c r="CF176" s="891"/>
      <c r="CG176" s="904"/>
      <c r="CI176" s="706">
        <f>CI170+CI171+CI172</f>
        <v>39</v>
      </c>
      <c r="CJ176" s="891"/>
      <c r="CK176" s="904"/>
      <c r="CM176" s="706">
        <f>CM170+CM171+CM172</f>
        <v>5.4580000000000002</v>
      </c>
      <c r="CN176" s="891"/>
      <c r="CO176" s="904"/>
      <c r="CQ176" s="706">
        <f>CQ170+CQ171+CQ172</f>
        <v>0</v>
      </c>
      <c r="CR176" s="891"/>
      <c r="CS176" s="904"/>
      <c r="CU176" s="706">
        <f>CU170+CU171+CU172</f>
        <v>0</v>
      </c>
      <c r="CV176" s="891"/>
      <c r="CW176" s="904"/>
      <c r="CY176" s="706">
        <f>CY170+CY171+CY172</f>
        <v>0</v>
      </c>
      <c r="CZ176" s="891"/>
      <c r="DA176" s="904"/>
      <c r="DC176" s="706">
        <f>DC170+DC171+DC172</f>
        <v>0</v>
      </c>
      <c r="DD176" s="891"/>
      <c r="DE176" s="904"/>
      <c r="DG176" s="706">
        <f>DG170+DG171+DG172</f>
        <v>0</v>
      </c>
      <c r="DH176" s="891"/>
      <c r="DI176" s="904"/>
      <c r="DK176" s="706">
        <f>DK170+DK171+DK172</f>
        <v>0</v>
      </c>
      <c r="DL176" s="891"/>
      <c r="DM176" s="904"/>
      <c r="DP176" s="706">
        <f>DP170+DP171+DP172</f>
        <v>0</v>
      </c>
      <c r="DQ176" s="891"/>
      <c r="DR176" s="904"/>
      <c r="DU176" s="706">
        <f>DU170+DU171+DU172</f>
        <v>13</v>
      </c>
      <c r="DV176" s="891"/>
      <c r="DW176" s="904"/>
      <c r="DZ176" s="706">
        <f>DZ170+DZ171+DZ172</f>
        <v>-259</v>
      </c>
      <c r="EA176" s="891"/>
      <c r="EB176" s="904"/>
      <c r="EE176" s="706">
        <f>EE170+EE171+EE172</f>
        <v>0</v>
      </c>
      <c r="EF176" s="891"/>
      <c r="EG176" s="904"/>
      <c r="EK176" s="904"/>
      <c r="EL176" s="904"/>
      <c r="EM176" s="904"/>
      <c r="EN176" s="904"/>
      <c r="EO176" s="904"/>
      <c r="EP176" s="904"/>
      <c r="EQ176" s="904"/>
      <c r="ER176" s="904"/>
      <c r="ES176" s="904"/>
      <c r="ET176" s="904"/>
      <c r="EU176" s="904"/>
      <c r="EV176" s="904"/>
      <c r="EW176" s="805"/>
      <c r="EX176" s="805"/>
    </row>
    <row r="177" spans="1:154" collapsed="1">
      <c r="C177" s="706"/>
      <c r="D177" s="687"/>
      <c r="E177" s="687"/>
      <c r="G177" s="706"/>
      <c r="H177" s="687"/>
      <c r="I177" s="687"/>
      <c r="K177" s="706"/>
      <c r="L177" s="687"/>
      <c r="M177" s="687"/>
      <c r="O177" s="706"/>
      <c r="S177" s="706"/>
      <c r="W177" s="706"/>
      <c r="AA177" s="706"/>
      <c r="AE177" s="706"/>
      <c r="AI177" s="706"/>
      <c r="AM177" s="706"/>
      <c r="AQ177" s="706"/>
      <c r="AU177" s="706"/>
      <c r="AY177" s="706"/>
      <c r="BC177" s="706"/>
      <c r="BG177" s="706"/>
      <c r="BK177" s="706"/>
      <c r="BO177" s="706"/>
      <c r="BS177" s="706"/>
      <c r="BW177" s="706"/>
      <c r="CA177" s="706"/>
      <c r="CE177" s="706"/>
      <c r="CI177" s="706"/>
      <c r="CM177" s="706"/>
      <c r="CQ177" s="706"/>
      <c r="CU177" s="706"/>
      <c r="CY177" s="706"/>
      <c r="EK177" s="904"/>
      <c r="EL177" s="904"/>
      <c r="EM177" s="904"/>
      <c r="EN177" s="904"/>
      <c r="EO177" s="904"/>
      <c r="EW177" s="805"/>
      <c r="EX177" s="805"/>
    </row>
    <row r="178" spans="1:154">
      <c r="A178" s="816" t="s">
        <v>37</v>
      </c>
      <c r="C178" s="706"/>
      <c r="D178" s="687"/>
      <c r="E178" s="687"/>
      <c r="G178" s="706"/>
      <c r="H178" s="687"/>
      <c r="I178" s="687"/>
      <c r="K178" s="706"/>
      <c r="L178" s="687"/>
      <c r="M178" s="687"/>
      <c r="O178" s="706"/>
      <c r="S178" s="706"/>
      <c r="W178" s="706"/>
      <c r="AA178" s="706"/>
      <c r="AE178" s="706"/>
      <c r="AI178" s="706"/>
      <c r="AM178" s="706"/>
      <c r="AQ178" s="706"/>
      <c r="AU178" s="706"/>
      <c r="AY178" s="706"/>
      <c r="BC178" s="706"/>
      <c r="BG178" s="706"/>
      <c r="BK178" s="706"/>
      <c r="BO178" s="706"/>
      <c r="BS178" s="706"/>
      <c r="BW178" s="706"/>
      <c r="CA178" s="706"/>
      <c r="CE178" s="706"/>
      <c r="CI178" s="706"/>
      <c r="CM178" s="706"/>
      <c r="CQ178" s="706"/>
      <c r="CY178" s="706"/>
      <c r="DG178" s="818" t="s">
        <v>37</v>
      </c>
      <c r="DP178" s="1585" t="str">
        <f>DG178</f>
        <v>16. Net Earnings (% Net Margin / % Change)</v>
      </c>
      <c r="DQ178" s="1585"/>
      <c r="DR178" s="1585"/>
      <c r="DS178" s="1585"/>
      <c r="DT178" s="1585"/>
      <c r="DU178" s="1585"/>
      <c r="DV178" s="1585"/>
      <c r="DW178" s="1585"/>
      <c r="EK178" s="904"/>
      <c r="EL178" s="904"/>
      <c r="EM178" s="904"/>
      <c r="EN178" s="904"/>
      <c r="EO178" s="904"/>
      <c r="EW178" s="805"/>
      <c r="EX178" s="805"/>
    </row>
    <row r="179" spans="1:154">
      <c r="C179" s="706"/>
      <c r="D179" s="687"/>
      <c r="E179" s="687"/>
      <c r="G179" s="706"/>
      <c r="H179" s="687"/>
      <c r="I179" s="687"/>
      <c r="K179" s="706"/>
      <c r="L179" s="687"/>
      <c r="M179" s="687"/>
      <c r="O179" s="706"/>
      <c r="S179" s="706"/>
      <c r="W179" s="706"/>
      <c r="AA179" s="706"/>
      <c r="AE179" s="706"/>
      <c r="AI179" s="706"/>
      <c r="AM179" s="706"/>
      <c r="AQ179" s="706"/>
      <c r="AU179" s="706"/>
      <c r="AY179" s="706"/>
      <c r="BC179" s="706"/>
      <c r="BG179" s="706"/>
      <c r="BK179" s="706"/>
      <c r="BO179" s="706"/>
      <c r="BS179" s="706"/>
      <c r="BW179" s="706"/>
      <c r="CA179" s="706"/>
      <c r="CE179" s="706"/>
      <c r="CI179" s="706"/>
      <c r="CM179" s="706"/>
      <c r="CQ179" s="706"/>
      <c r="CU179" s="706"/>
      <c r="CY179" s="706"/>
      <c r="EW179" s="805"/>
      <c r="EX179" s="805"/>
    </row>
    <row r="180" spans="1:154">
      <c r="A180" s="819" t="s">
        <v>140</v>
      </c>
      <c r="C180" s="591">
        <f>C160+C170</f>
        <v>148</v>
      </c>
      <c r="D180" s="878">
        <f t="shared" ref="D180:D186" si="626">C180/C10*100</f>
        <v>4.4298114337024845</v>
      </c>
      <c r="E180" s="887" t="s">
        <v>24</v>
      </c>
      <c r="G180" s="591">
        <f>G160+G170</f>
        <v>154</v>
      </c>
      <c r="H180" s="878">
        <f t="shared" ref="H180:H186" si="627">G180/G10*100</f>
        <v>4.3626062322946177</v>
      </c>
      <c r="I180" s="822">
        <f t="shared" ref="I180:I186" si="628">(G180/C180-1)*100</f>
        <v>4.0540540540540571</v>
      </c>
      <c r="K180" s="591">
        <f>K160+K170</f>
        <v>-104</v>
      </c>
      <c r="L180" s="878">
        <f t="shared" ref="L180:L186" si="629">K180/K10*100</f>
        <v>-3.0294203320710746</v>
      </c>
      <c r="M180" s="822">
        <f t="shared" ref="M180:M186" si="630">(K180/G180-1)*100</f>
        <v>-167.53246753246754</v>
      </c>
      <c r="O180" s="591">
        <f>O160+O170</f>
        <v>136</v>
      </c>
      <c r="P180" s="878">
        <f t="shared" ref="P180:P186" si="631">O180/O10*100</f>
        <v>3.5855523332454524</v>
      </c>
      <c r="Q180" s="822">
        <f t="shared" ref="Q180:Q186" si="632">(O180/K180-1)*100</f>
        <v>-230.76923076923075</v>
      </c>
      <c r="S180" s="591">
        <f>S160+S170</f>
        <v>206</v>
      </c>
      <c r="T180" s="878">
        <f t="shared" ref="T180:T186" si="633">S180/S10*100</f>
        <v>5.1967709384460141</v>
      </c>
      <c r="U180" s="822">
        <f t="shared" ref="U180:U186" si="634">(S180/O180-1)*100</f>
        <v>51.470588235294116</v>
      </c>
      <c r="W180" s="591">
        <f>W160+W170</f>
        <v>223</v>
      </c>
      <c r="X180" s="878">
        <f t="shared" ref="X180:X186" si="635">W180/W10*100</f>
        <v>5.126436781609196</v>
      </c>
      <c r="Y180" s="822">
        <f t="shared" ref="Y180:Y186" si="636">(W180/S180-1)*100</f>
        <v>8.2524271844660149</v>
      </c>
      <c r="AA180" s="591">
        <f>AA160+AA170</f>
        <v>156</v>
      </c>
      <c r="AB180" s="878">
        <f t="shared" ref="AB180:AB186" si="637">AA180/AA10*100</f>
        <v>3.5722463934050834</v>
      </c>
      <c r="AC180" s="822">
        <f t="shared" ref="AC180:AC186" si="638">(AA180/W180-1)*100</f>
        <v>-30.044843049327351</v>
      </c>
      <c r="AE180" s="591"/>
      <c r="AF180" s="891"/>
      <c r="AG180" s="869"/>
      <c r="AI180" s="591">
        <f>AI160+AI170</f>
        <v>142</v>
      </c>
      <c r="AJ180" s="878">
        <f t="shared" ref="AJ180:AJ186" si="639">AI180/AI10*100</f>
        <v>3.1895777178796045</v>
      </c>
      <c r="AK180" s="822">
        <f t="shared" ref="AK180:AK186" si="640">(AI180/AA180-1)*100</f>
        <v>-8.9743589743589762</v>
      </c>
      <c r="AM180" s="591">
        <f>AM160+AM170</f>
        <v>137.86000000000001</v>
      </c>
      <c r="AN180" s="878">
        <f t="shared" ref="AN180:AN186" si="641">AM180/AM10*100</f>
        <v>2.1283559507819616</v>
      </c>
      <c r="AO180" s="822">
        <f t="shared" ref="AO180:AO186" si="642">(AM180/AI180-1)*100</f>
        <v>-2.9154929577464683</v>
      </c>
      <c r="AQ180" s="591">
        <f>AQ160+AQ170</f>
        <v>174.54737665669109</v>
      </c>
      <c r="AR180" s="878">
        <f t="shared" ref="AR180:AR186" si="643">AQ180/AQ10*100</f>
        <v>2.5839730075009784</v>
      </c>
      <c r="AS180" s="822">
        <f t="shared" ref="AS180:AS186" si="644">(AQ180/AM180-1)*100</f>
        <v>26.61205328354206</v>
      </c>
      <c r="AU180" s="591">
        <f>AU160+AU170</f>
        <v>131</v>
      </c>
      <c r="AV180" s="878">
        <f t="shared" ref="AV180:AV186" si="645">AU180/AU10*100</f>
        <v>1.7849843302902302</v>
      </c>
      <c r="AW180" s="822">
        <f t="shared" ref="AW180:AW186" si="646">(AU180/AQ180-1)*100</f>
        <v>-24.94874313828408</v>
      </c>
      <c r="AY180" s="591">
        <f>AY160+AY170</f>
        <v>-158.78100000000001</v>
      </c>
      <c r="AZ180" s="878">
        <f t="shared" ref="AZ180:AZ186" si="647">AY180/AY10*100</f>
        <v>-2.1092056323060575</v>
      </c>
      <c r="BA180" s="822">
        <f t="shared" ref="BA180:BA186" si="648">(AY180/AU180-1)*100</f>
        <v>-221.20687022900762</v>
      </c>
      <c r="BC180" s="591">
        <f>BC160+BC170</f>
        <v>31.693999999999999</v>
      </c>
      <c r="BD180" s="878">
        <f t="shared" ref="BD180:BD186" si="649">BC180/BC10*100</f>
        <v>0.42135070459984048</v>
      </c>
      <c r="BE180" s="822">
        <f t="shared" ref="BE180:BE186" si="650">(BC180/AY180-1)*100</f>
        <v>-119.9608265472569</v>
      </c>
      <c r="BG180" s="591">
        <f>BG160+BG170</f>
        <v>88.28</v>
      </c>
      <c r="BH180" s="878">
        <f t="shared" ref="BH180:BH186" si="651">BG180/BG10*100</f>
        <v>1.1423395445134576</v>
      </c>
      <c r="BI180" s="822">
        <f t="shared" ref="BI180:BI186" si="652">(BG180/BC180-1)*100</f>
        <v>178.53852464188807</v>
      </c>
      <c r="BK180" s="591">
        <f>BK160+BK170</f>
        <v>55</v>
      </c>
      <c r="BL180" s="878">
        <f t="shared" ref="BL180:BL186" si="653">BK180/BK10*100</f>
        <v>1.3583600889108423</v>
      </c>
      <c r="BM180" s="822">
        <f t="shared" ref="BM180:BM186" si="654">(BK180/AY180-1)*100</f>
        <v>-134.63890515867766</v>
      </c>
      <c r="BO180" s="591">
        <f>BO160+BO170</f>
        <v>62</v>
      </c>
      <c r="BP180" s="878">
        <f t="shared" ref="BP180:BP186" si="655">BO180/BO10*100</f>
        <v>1.5538847117794485</v>
      </c>
      <c r="BQ180" s="822">
        <f t="shared" ref="BQ180:BQ186" si="656">(BO180/BK180-1)*100</f>
        <v>12.72727272727272</v>
      </c>
      <c r="BS180" s="591">
        <f>BS160+BS170</f>
        <v>22</v>
      </c>
      <c r="BT180" s="878">
        <f t="shared" ref="BT180:BT186" si="657">BS180/BS10*100</f>
        <v>0.59961842463886617</v>
      </c>
      <c r="BU180" s="822">
        <f t="shared" ref="BU180:BU186" si="658">(BS180/BO180-1)*100</f>
        <v>-64.516129032258064</v>
      </c>
      <c r="BW180" s="591">
        <f>BW160+BW170</f>
        <v>41</v>
      </c>
      <c r="BX180" s="878">
        <f t="shared" ref="BX180:BX186" si="659">BW180/BW10*100</f>
        <v>1.0322255790533736</v>
      </c>
      <c r="BY180" s="822">
        <f t="shared" ref="BY180:BY186" si="660">(BW180/BS180-1)*100</f>
        <v>86.36363636363636</v>
      </c>
      <c r="CA180" s="591">
        <f>CA160+CA170</f>
        <v>172.36059479553904</v>
      </c>
      <c r="CB180" s="878">
        <f t="shared" ref="CB180:CB186" si="661">CA180/CA10*100</f>
        <v>4.1855413986289234</v>
      </c>
      <c r="CC180" s="822">
        <f>(CA180/BW180-1)*100</f>
        <v>320.39169462326595</v>
      </c>
      <c r="CE180" s="591">
        <f>CE160+CE170</f>
        <v>209.38793103448276</v>
      </c>
      <c r="CF180" s="878">
        <f t="shared" ref="CF180:CF186" si="662">CE180/CE10*100</f>
        <v>4.9629753741285318</v>
      </c>
      <c r="CG180" s="822">
        <f t="shared" ref="CG180:CG186" si="663">(CE180/CA180-1)*100</f>
        <v>21.482483442846668</v>
      </c>
      <c r="CI180" s="591">
        <f>CI160+CI170</f>
        <v>237</v>
      </c>
      <c r="CJ180" s="878">
        <f t="shared" ref="CJ180:CJ186" si="664">CI180/CI10*100</f>
        <v>5.4495286272706371</v>
      </c>
      <c r="CK180" s="822">
        <f t="shared" ref="CK180:CK186" si="665">(CI180/CE180-1)*100</f>
        <v>13.187039400551681</v>
      </c>
      <c r="CM180" s="591">
        <f>CM160+CM170</f>
        <v>120</v>
      </c>
      <c r="CN180" s="878">
        <f t="shared" ref="CN180:CN186" si="666">CM180/CM10*100</f>
        <v>2.9076811243033682</v>
      </c>
      <c r="CO180" s="822">
        <f t="shared" ref="CO180:CO186" si="667">(CM180/CI180-1)*100</f>
        <v>-49.367088607594937</v>
      </c>
      <c r="CQ180" s="591">
        <f>CQ160+CQ170</f>
        <v>25</v>
      </c>
      <c r="CR180" s="878">
        <f t="shared" ref="CR180:CR186" si="668">CQ180/CQ10*100</f>
        <v>0.64326302186739248</v>
      </c>
      <c r="CS180" s="822">
        <f t="shared" ref="CS180:CS186" si="669">(CQ180/CM180-1)*100</f>
        <v>-79.166666666666657</v>
      </c>
      <c r="CU180" s="591">
        <f>CU160+CU170</f>
        <v>60</v>
      </c>
      <c r="CV180" s="878">
        <f t="shared" ref="CV180:CV186" si="670">CU180/CU10*100</f>
        <v>1.5271061338763043</v>
      </c>
      <c r="CW180" s="822">
        <f>(CU180/CQ180-1)*100</f>
        <v>140</v>
      </c>
      <c r="CY180" s="591">
        <f>CY160+CY170</f>
        <v>64</v>
      </c>
      <c r="CZ180" s="878">
        <f t="shared" ref="CZ180:CZ186" si="671">CY180/CY10*100</f>
        <v>1.6231295967537407</v>
      </c>
      <c r="DA180" s="822">
        <f t="shared" ref="DA180:DA186" si="672">(CY180/CU180-1)*100</f>
        <v>6.6666666666666652</v>
      </c>
      <c r="DC180" s="591">
        <f>DC160+DC170</f>
        <v>-163</v>
      </c>
      <c r="DD180" s="878">
        <f t="shared" ref="DD180:DD186" si="673">DC180/DC10*100</f>
        <v>-5.1713197969543145</v>
      </c>
      <c r="DE180" s="822">
        <f t="shared" ref="DE180:DE186" si="674">(DC180/CY180-1)*100</f>
        <v>-354.6875</v>
      </c>
      <c r="DG180" s="591">
        <f>DG160+DG170</f>
        <v>-348</v>
      </c>
      <c r="DH180" s="878">
        <f t="shared" ref="DH180:DH186" si="675">DG180/DG10*100</f>
        <v>-13.206831119544592</v>
      </c>
      <c r="DI180" s="822">
        <f t="shared" ref="DI180:DI186" si="676">(DG180/DC180-1)*100</f>
        <v>113.49693251533743</v>
      </c>
      <c r="DK180" s="591">
        <f>DK160+DK170</f>
        <v>-352</v>
      </c>
      <c r="DL180" s="878">
        <f t="shared" ref="DL180:DL186" si="677">DK180/DK10*100</f>
        <v>-12.566940378436273</v>
      </c>
      <c r="DM180" s="822">
        <f t="shared" ref="DM180:DM186" si="678">(DK180/DG180-1)*100</f>
        <v>1.1494252873563315</v>
      </c>
      <c r="DP180" s="591">
        <f>DP160</f>
        <v>-140.75</v>
      </c>
      <c r="DQ180" s="878">
        <f t="shared" ref="DQ180:DQ186" si="679">DP180/DP10*100</f>
        <v>-4.9264963248162408</v>
      </c>
      <c r="DR180" s="822">
        <f t="shared" ref="DR180:DR186" si="680">(DP180/DK180-1)*100</f>
        <v>-60.01420454545454</v>
      </c>
      <c r="DU180" s="591">
        <f>DU160+DU170</f>
        <v>-97</v>
      </c>
      <c r="DV180" s="878">
        <f t="shared" ref="DV180:DV186" si="681">DU180/DU10*100</f>
        <v>-3.4507292778370688</v>
      </c>
      <c r="DW180" s="822">
        <f t="shared" ref="DW180:DW186" si="682">(DU180/DQ180-1)*100</f>
        <v>1868.9449378330373</v>
      </c>
      <c r="DZ180" s="591">
        <f>DZ160+DZ170</f>
        <v>-180</v>
      </c>
      <c r="EA180" s="878">
        <f t="shared" ref="EA180:EA186" si="683">DZ180/DZ10*100</f>
        <v>-6.651884700665188</v>
      </c>
      <c r="EB180" s="822">
        <f t="shared" ref="EB180:EB186" si="684">(DZ180/DV180-1)*100</f>
        <v>5116.2886597938141</v>
      </c>
      <c r="EE180" s="591">
        <f>EE160+EE170</f>
        <v>-55.229263999999944</v>
      </c>
      <c r="EF180" s="878">
        <f t="shared" ref="EF180:EF186" si="685">EE180/EE10*100</f>
        <v>-2.0741796309315621</v>
      </c>
      <c r="EG180" s="822">
        <f t="shared" ref="EG180:EG186" si="686">(EE180/EA180-1)*100</f>
        <v>730.27993546666585</v>
      </c>
      <c r="EP180" s="822"/>
      <c r="EQ180" s="822"/>
      <c r="ER180" s="822"/>
      <c r="ES180" s="822"/>
      <c r="ET180" s="822"/>
      <c r="EU180" s="822"/>
      <c r="EV180" s="822"/>
      <c r="EW180" s="805"/>
      <c r="EX180" s="805"/>
    </row>
    <row r="181" spans="1:154">
      <c r="A181" s="819" t="s">
        <v>141</v>
      </c>
      <c r="C181" s="706">
        <f>C161+C171</f>
        <v>98</v>
      </c>
      <c r="D181" s="878">
        <f t="shared" si="626"/>
        <v>2.8504944735311226</v>
      </c>
      <c r="E181" s="887" t="s">
        <v>24</v>
      </c>
      <c r="G181" s="706">
        <f>G161+G171</f>
        <v>83</v>
      </c>
      <c r="H181" s="878">
        <f t="shared" si="627"/>
        <v>2.3184357541899443</v>
      </c>
      <c r="I181" s="822">
        <f t="shared" si="628"/>
        <v>-15.306122448979586</v>
      </c>
      <c r="K181" s="706">
        <f>K161+K171</f>
        <v>31</v>
      </c>
      <c r="L181" s="878">
        <f t="shared" si="629"/>
        <v>0.8969907407407407</v>
      </c>
      <c r="M181" s="822">
        <f t="shared" si="630"/>
        <v>-62.650602409638559</v>
      </c>
      <c r="O181" s="706">
        <f>O161+O171</f>
        <v>80</v>
      </c>
      <c r="P181" s="878">
        <f t="shared" si="631"/>
        <v>2.1113750329902348</v>
      </c>
      <c r="Q181" s="822">
        <f t="shared" si="632"/>
        <v>158.06451612903226</v>
      </c>
      <c r="S181" s="706">
        <f>S161+S171</f>
        <v>112</v>
      </c>
      <c r="T181" s="878">
        <f t="shared" si="633"/>
        <v>2.8261418117587684</v>
      </c>
      <c r="U181" s="822">
        <f t="shared" si="634"/>
        <v>39.999999999999993</v>
      </c>
      <c r="W181" s="706">
        <f>W161+W171</f>
        <v>132</v>
      </c>
      <c r="X181" s="878">
        <f t="shared" si="635"/>
        <v>3.1117397454031117</v>
      </c>
      <c r="Y181" s="822">
        <f t="shared" si="636"/>
        <v>17.857142857142861</v>
      </c>
      <c r="AA181" s="706">
        <f>AA161+AA171</f>
        <v>116</v>
      </c>
      <c r="AB181" s="878">
        <f t="shared" si="637"/>
        <v>2.6155580608793687</v>
      </c>
      <c r="AC181" s="822">
        <f t="shared" si="638"/>
        <v>-12.121212121212121</v>
      </c>
      <c r="AE181" s="706"/>
      <c r="AF181" s="891"/>
      <c r="AG181" s="869"/>
      <c r="AI181" s="706">
        <f>AI161+AI171</f>
        <v>93</v>
      </c>
      <c r="AJ181" s="878">
        <f t="shared" si="639"/>
        <v>2.0634568449079209</v>
      </c>
      <c r="AK181" s="822">
        <f t="shared" si="640"/>
        <v>-19.827586206896552</v>
      </c>
      <c r="AM181" s="706">
        <f>AM161+AM171</f>
        <v>87.74499999999999</v>
      </c>
      <c r="AN181" s="878">
        <f t="shared" si="641"/>
        <v>1.3741073665747929</v>
      </c>
      <c r="AO181" s="822">
        <f t="shared" si="642"/>
        <v>-5.6505376344086145</v>
      </c>
      <c r="AQ181" s="706">
        <f>AQ161+AQ171</f>
        <v>26.700000000000003</v>
      </c>
      <c r="AR181" s="878">
        <f t="shared" si="643"/>
        <v>0.41190990435050912</v>
      </c>
      <c r="AS181" s="822">
        <f t="shared" si="644"/>
        <v>-69.570915721693538</v>
      </c>
      <c r="AU181" s="706">
        <f>AU161+AU171</f>
        <v>-1.0200000000000102</v>
      </c>
      <c r="AV181" s="878">
        <f t="shared" si="645"/>
        <v>-1.4358108108108251E-2</v>
      </c>
      <c r="AW181" s="822">
        <f t="shared" si="646"/>
        <v>-103.82022471910118</v>
      </c>
      <c r="AY181" s="706">
        <f>AY161+AY171</f>
        <v>-19.008000000000003</v>
      </c>
      <c r="AZ181" s="878">
        <f t="shared" si="647"/>
        <v>-0.26374358262800057</v>
      </c>
      <c r="BA181" s="822">
        <f t="shared" si="648"/>
        <v>1763.5294117646874</v>
      </c>
      <c r="BC181" s="706">
        <f>BC161+BC171</f>
        <v>-52.213999999999999</v>
      </c>
      <c r="BD181" s="878">
        <f t="shared" si="649"/>
        <v>-0.72408819858549434</v>
      </c>
      <c r="BE181" s="822">
        <f t="shared" si="650"/>
        <v>174.69486531986527</v>
      </c>
      <c r="BG181" s="706">
        <f>BG161+BG171</f>
        <v>-5.7149999999999999</v>
      </c>
      <c r="BH181" s="878">
        <f t="shared" si="651"/>
        <v>-7.9397054737427059E-2</v>
      </c>
      <c r="BI181" s="822">
        <f t="shared" si="652"/>
        <v>-89.054659669820353</v>
      </c>
      <c r="BK181" s="706">
        <f>BK161+BK171</f>
        <v>-30</v>
      </c>
      <c r="BL181" s="878">
        <f t="shared" si="653"/>
        <v>-0.78084331077563762</v>
      </c>
      <c r="BM181" s="822">
        <f t="shared" si="654"/>
        <v>57.828282828282809</v>
      </c>
      <c r="BO181" s="706">
        <f>BO161+BO171</f>
        <v>-20</v>
      </c>
      <c r="BP181" s="878">
        <f t="shared" si="655"/>
        <v>-0.55463393882720435</v>
      </c>
      <c r="BQ181" s="822">
        <f t="shared" si="656"/>
        <v>-33.333333333333336</v>
      </c>
      <c r="BS181" s="706">
        <f>BS161+BS171</f>
        <v>-4</v>
      </c>
      <c r="BT181" s="878">
        <f t="shared" si="657"/>
        <v>-0.11179429849077697</v>
      </c>
      <c r="BU181" s="822">
        <f t="shared" si="658"/>
        <v>-80</v>
      </c>
      <c r="BW181" s="706">
        <f>BW161+BW171</f>
        <v>1.3700000000000045</v>
      </c>
      <c r="BX181" s="878">
        <f t="shared" si="659"/>
        <v>3.6262572789836009E-2</v>
      </c>
      <c r="BY181" s="822">
        <f t="shared" si="660"/>
        <v>-134.25000000000011</v>
      </c>
      <c r="CA181" s="706">
        <f>CA161+CA171</f>
        <v>131.4</v>
      </c>
      <c r="CB181" s="878">
        <f t="shared" si="661"/>
        <v>3.3006782215523738</v>
      </c>
      <c r="CC181" s="822" t="s">
        <v>365</v>
      </c>
      <c r="CE181" s="706">
        <f>CE161+CE171</f>
        <v>178</v>
      </c>
      <c r="CF181" s="878">
        <f t="shared" si="662"/>
        <v>4.2009984215574478</v>
      </c>
      <c r="CG181" s="822">
        <f t="shared" si="663"/>
        <v>35.464231354642315</v>
      </c>
      <c r="CI181" s="706">
        <f>CI161+CI171</f>
        <v>181.07000000000016</v>
      </c>
      <c r="CJ181" s="878">
        <f t="shared" si="664"/>
        <v>4.1246013667426009</v>
      </c>
      <c r="CK181" s="822">
        <f t="shared" si="665"/>
        <v>1.724719101123684</v>
      </c>
      <c r="CM181" s="706">
        <f>CM161+CM171</f>
        <v>117.0595000000003</v>
      </c>
      <c r="CN181" s="878">
        <f t="shared" si="666"/>
        <v>2.7334407022351579</v>
      </c>
      <c r="CO181" s="822">
        <f t="shared" si="667"/>
        <v>-35.351245374716854</v>
      </c>
      <c r="CQ181" s="706">
        <f>CQ161+CQ171</f>
        <v>-0.61799999999999999</v>
      </c>
      <c r="CR181" s="878">
        <f t="shared" si="668"/>
        <v>-1.567473566007449E-2</v>
      </c>
      <c r="CS181" s="822">
        <f t="shared" si="669"/>
        <v>-100.52793664760229</v>
      </c>
      <c r="CU181" s="706">
        <f>CU161+CU171</f>
        <v>14</v>
      </c>
      <c r="CV181" s="878">
        <f t="shared" si="670"/>
        <v>0.35551041137633316</v>
      </c>
      <c r="CW181" s="822" t="s">
        <v>365</v>
      </c>
      <c r="CY181" s="706">
        <f>CY161+CY171</f>
        <v>14.321626926322097</v>
      </c>
      <c r="CZ181" s="878">
        <f t="shared" si="671"/>
        <v>0.36665711536922929</v>
      </c>
      <c r="DA181" s="822">
        <f t="shared" si="672"/>
        <v>2.2973351880149817</v>
      </c>
      <c r="DC181" s="706">
        <f>DC161+DC171</f>
        <v>-147</v>
      </c>
      <c r="DD181" s="878">
        <f t="shared" si="673"/>
        <v>-4.8643282594308408</v>
      </c>
      <c r="DE181" s="822">
        <f t="shared" si="674"/>
        <v>-1126.4196990764003</v>
      </c>
      <c r="DG181" s="706">
        <f>DG161+DG171</f>
        <v>-586</v>
      </c>
      <c r="DH181" s="878">
        <f t="shared" si="675"/>
        <v>-22.005257228689448</v>
      </c>
      <c r="DI181" s="822">
        <f t="shared" si="676"/>
        <v>298.63945578231295</v>
      </c>
      <c r="DK181" s="706">
        <f>DK161+DK171</f>
        <v>-172</v>
      </c>
      <c r="DL181" s="878">
        <f t="shared" si="677"/>
        <v>-6.1450518042157913</v>
      </c>
      <c r="DM181" s="822">
        <f t="shared" si="678"/>
        <v>-70.648464163822538</v>
      </c>
      <c r="DP181" s="706">
        <f>DP161</f>
        <v>-138</v>
      </c>
      <c r="DQ181" s="878">
        <f t="shared" si="679"/>
        <v>-4.8</v>
      </c>
      <c r="DR181" s="822">
        <f t="shared" si="680"/>
        <v>-19.767441860465119</v>
      </c>
      <c r="DU181" s="706">
        <f>DU161+DU171</f>
        <v>-16</v>
      </c>
      <c r="DV181" s="878">
        <f t="shared" si="681"/>
        <v>-0.54832076764907478</v>
      </c>
      <c r="DW181" s="822">
        <f t="shared" si="682"/>
        <v>233.33333333333334</v>
      </c>
      <c r="DZ181" s="706">
        <f>DZ161+DZ171</f>
        <v>-62.499999999999545</v>
      </c>
      <c r="EA181" s="878">
        <f t="shared" si="683"/>
        <v>-2.1100607697501532</v>
      </c>
      <c r="EB181" s="822">
        <f t="shared" si="684"/>
        <v>11298.437499999916</v>
      </c>
      <c r="EE181" s="706">
        <f>EE161+EE171</f>
        <v>31.46926400000018</v>
      </c>
      <c r="EF181" s="878">
        <f t="shared" si="685"/>
        <v>1.0710009583759943</v>
      </c>
      <c r="EG181" s="822">
        <f t="shared" si="686"/>
        <v>-1591.3913594880196</v>
      </c>
      <c r="EP181" s="822"/>
      <c r="EQ181" s="822"/>
      <c r="ER181" s="822"/>
      <c r="ES181" s="822"/>
      <c r="ET181" s="822"/>
      <c r="EU181" s="822"/>
      <c r="EV181" s="822"/>
      <c r="EW181" s="805"/>
      <c r="EX181" s="805"/>
    </row>
    <row r="182" spans="1:154">
      <c r="A182" s="819" t="s">
        <v>142</v>
      </c>
      <c r="C182" s="706">
        <f>C162+C172</f>
        <v>209</v>
      </c>
      <c r="D182" s="878">
        <f t="shared" si="626"/>
        <v>5.1465156365427234</v>
      </c>
      <c r="E182" s="887" t="s">
        <v>24</v>
      </c>
      <c r="G182" s="706">
        <f>G162+G172</f>
        <v>134</v>
      </c>
      <c r="H182" s="878">
        <f t="shared" si="627"/>
        <v>3.3541927409261576</v>
      </c>
      <c r="I182" s="822">
        <f t="shared" si="628"/>
        <v>-35.885167464114829</v>
      </c>
      <c r="K182" s="706">
        <f>K162+K172</f>
        <v>116</v>
      </c>
      <c r="L182" s="878">
        <f t="shared" si="629"/>
        <v>2.9464058928117853</v>
      </c>
      <c r="M182" s="822">
        <f t="shared" si="630"/>
        <v>-13.432835820895528</v>
      </c>
      <c r="O182" s="706">
        <f>O162+O172</f>
        <v>186</v>
      </c>
      <c r="P182" s="878">
        <f t="shared" si="631"/>
        <v>4.2837402118839245</v>
      </c>
      <c r="Q182" s="822">
        <f t="shared" si="632"/>
        <v>60.344827586206897</v>
      </c>
      <c r="S182" s="706">
        <f>S162+S172</f>
        <v>185</v>
      </c>
      <c r="T182" s="878">
        <f t="shared" si="633"/>
        <v>3.907074973600845</v>
      </c>
      <c r="U182" s="822">
        <f t="shared" si="634"/>
        <v>-0.53763440860215006</v>
      </c>
      <c r="W182" s="706">
        <f>W162+W172</f>
        <v>274</v>
      </c>
      <c r="X182" s="878">
        <f t="shared" si="635"/>
        <v>5.321421635268984</v>
      </c>
      <c r="Y182" s="822">
        <f t="shared" si="636"/>
        <v>48.108108108108105</v>
      </c>
      <c r="AA182" s="706">
        <f>AA162+AA172</f>
        <v>240</v>
      </c>
      <c r="AB182" s="878">
        <f t="shared" si="637"/>
        <v>4.6801872074882995</v>
      </c>
      <c r="AC182" s="822">
        <f t="shared" si="638"/>
        <v>-12.408759124087588</v>
      </c>
      <c r="AE182" s="706"/>
      <c r="AF182" s="891"/>
      <c r="AG182" s="869"/>
      <c r="AI182" s="706">
        <f>AI162+AI172</f>
        <v>236</v>
      </c>
      <c r="AJ182" s="878">
        <f t="shared" si="639"/>
        <v>4.2622358677984469</v>
      </c>
      <c r="AK182" s="822">
        <f t="shared" si="640"/>
        <v>-1.6666666666666718</v>
      </c>
      <c r="AM182" s="706">
        <f>AM162+AM172</f>
        <v>132.18</v>
      </c>
      <c r="AN182" s="878">
        <f t="shared" si="641"/>
        <v>1.860825250235806</v>
      </c>
      <c r="AO182" s="822">
        <f t="shared" si="642"/>
        <v>-43.991525423728802</v>
      </c>
      <c r="AQ182" s="706">
        <f>AQ162+AQ172</f>
        <v>186</v>
      </c>
      <c r="AR182" s="878">
        <f t="shared" si="643"/>
        <v>2.6090615794641603</v>
      </c>
      <c r="AS182" s="822">
        <f t="shared" si="644"/>
        <v>40.717203812982291</v>
      </c>
      <c r="AU182" s="706">
        <f>AU162+AU172</f>
        <v>97</v>
      </c>
      <c r="AV182" s="878">
        <f t="shared" si="645"/>
        <v>1.2697997120041891</v>
      </c>
      <c r="AW182" s="822">
        <f t="shared" si="646"/>
        <v>-47.8494623655914</v>
      </c>
      <c r="AY182" s="706">
        <f>AY162+AY172</f>
        <v>-57.024000000000001</v>
      </c>
      <c r="AZ182" s="878">
        <f t="shared" si="647"/>
        <v>-0.75648713186521632</v>
      </c>
      <c r="BA182" s="822">
        <f t="shared" si="648"/>
        <v>-158.7876288659794</v>
      </c>
      <c r="BC182" s="706">
        <f>BC162+BC172</f>
        <v>44.1</v>
      </c>
      <c r="BD182" s="878">
        <f t="shared" si="649"/>
        <v>0.57057834131194207</v>
      </c>
      <c r="BE182" s="822">
        <f t="shared" si="650"/>
        <v>-177.33585858585857</v>
      </c>
      <c r="BG182" s="706">
        <f>BG162+BG172</f>
        <v>124.95099999999999</v>
      </c>
      <c r="BH182" s="878">
        <f t="shared" si="651"/>
        <v>1.5872840447154473</v>
      </c>
      <c r="BI182" s="822">
        <f t="shared" si="652"/>
        <v>183.33560090702946</v>
      </c>
      <c r="BK182" s="706">
        <f>BK162+BK172</f>
        <v>55</v>
      </c>
      <c r="BL182" s="878">
        <f t="shared" si="653"/>
        <v>1.2655315232397606</v>
      </c>
      <c r="BM182" s="822">
        <f t="shared" si="654"/>
        <v>-196.45061728395061</v>
      </c>
      <c r="BO182" s="706">
        <f>BO162+BO172</f>
        <v>69</v>
      </c>
      <c r="BP182" s="878">
        <f t="shared" si="655"/>
        <v>1.606893339543549</v>
      </c>
      <c r="BQ182" s="822">
        <f t="shared" si="656"/>
        <v>25.454545454545464</v>
      </c>
      <c r="BS182" s="706">
        <f>BS162+BS172</f>
        <v>93</v>
      </c>
      <c r="BT182" s="878">
        <f t="shared" si="657"/>
        <v>2.1790065604498596</v>
      </c>
      <c r="BU182" s="822">
        <f t="shared" si="658"/>
        <v>34.782608695652172</v>
      </c>
      <c r="BW182" s="706">
        <f>BW162+BW172</f>
        <v>149</v>
      </c>
      <c r="BX182" s="878">
        <f t="shared" si="659"/>
        <v>3.3933044864495563</v>
      </c>
      <c r="BY182" s="822">
        <f t="shared" si="660"/>
        <v>60.215053763440849</v>
      </c>
      <c r="CA182" s="706">
        <f>CA162+CA172</f>
        <v>234</v>
      </c>
      <c r="CB182" s="878">
        <f t="shared" si="661"/>
        <v>5.2243804420629605</v>
      </c>
      <c r="CC182" s="822">
        <f>(CA182/BW182-1)*100</f>
        <v>57.04697986577181</v>
      </c>
      <c r="CE182" s="706">
        <f>CE162+CE172</f>
        <v>287</v>
      </c>
      <c r="CF182" s="878">
        <f t="shared" si="662"/>
        <v>6.0029282576866763</v>
      </c>
      <c r="CG182" s="822">
        <f t="shared" si="663"/>
        <v>22.649572649572658</v>
      </c>
      <c r="CI182" s="706">
        <f>CI162+CI172</f>
        <v>260</v>
      </c>
      <c r="CJ182" s="878">
        <f t="shared" si="664"/>
        <v>5.4991539763113373</v>
      </c>
      <c r="CK182" s="822">
        <f t="shared" si="665"/>
        <v>-9.4076655052264808</v>
      </c>
      <c r="CM182" s="706">
        <f>CM162+CM172</f>
        <v>122.99638064516073</v>
      </c>
      <c r="CN182" s="878">
        <f t="shared" si="666"/>
        <v>2.8485796381874233</v>
      </c>
      <c r="CO182" s="822">
        <f t="shared" si="667"/>
        <v>-52.693699751861267</v>
      </c>
      <c r="CQ182" s="706">
        <f>CQ162+CQ172</f>
        <v>27</v>
      </c>
      <c r="CR182" s="878">
        <f t="shared" si="668"/>
        <v>0.64587210599395739</v>
      </c>
      <c r="CS182" s="822">
        <f t="shared" si="669"/>
        <v>-78.04813453991477</v>
      </c>
      <c r="CU182" s="706">
        <f>CU162+CU172</f>
        <v>44</v>
      </c>
      <c r="CV182" s="878">
        <f t="shared" si="670"/>
        <v>1.0503700167104322</v>
      </c>
      <c r="CW182" s="822">
        <f>(CU182/CQ182-1)*100</f>
        <v>62.962962962962955</v>
      </c>
      <c r="CY182" s="706">
        <f>CY162+CY172</f>
        <v>-143</v>
      </c>
      <c r="CZ182" s="878">
        <f t="shared" si="671"/>
        <v>-3.5875564475664827</v>
      </c>
      <c r="DA182" s="822">
        <f t="shared" si="672"/>
        <v>-425</v>
      </c>
      <c r="DC182" s="706">
        <f>DC162+DC172</f>
        <v>-123</v>
      </c>
      <c r="DD182" s="878">
        <f t="shared" si="673"/>
        <v>-4.2022548684660066</v>
      </c>
      <c r="DE182" s="822">
        <f t="shared" si="674"/>
        <v>-13.98601398601399</v>
      </c>
      <c r="DG182" s="706">
        <f>DG162+DG172</f>
        <v>-489</v>
      </c>
      <c r="DH182" s="878">
        <f t="shared" si="675"/>
        <v>-17.596257646635479</v>
      </c>
      <c r="DI182" s="822">
        <f t="shared" si="676"/>
        <v>297.5609756097561</v>
      </c>
      <c r="DK182" s="706">
        <f>DK162+DK172</f>
        <v>-188</v>
      </c>
      <c r="DL182" s="878">
        <f t="shared" si="677"/>
        <v>-6.8017366136034738</v>
      </c>
      <c r="DM182" s="822">
        <f t="shared" si="678"/>
        <v>-61.554192229038861</v>
      </c>
      <c r="DP182" s="706">
        <f>DP162</f>
        <v>-137</v>
      </c>
      <c r="DQ182" s="878">
        <f t="shared" si="679"/>
        <v>-4.7290300310666211</v>
      </c>
      <c r="DR182" s="822">
        <f t="shared" si="680"/>
        <v>-27.127659574468087</v>
      </c>
      <c r="DU182" s="706">
        <f>DU162+DU172</f>
        <v>-65</v>
      </c>
      <c r="DV182" s="878">
        <f t="shared" si="681"/>
        <v>-2.2751137556877845</v>
      </c>
      <c r="DW182" s="822">
        <f t="shared" si="682"/>
        <v>1274.4890510948903</v>
      </c>
      <c r="DZ182" s="706">
        <f>DZ162+DZ172</f>
        <v>-127.82</v>
      </c>
      <c r="EA182" s="878">
        <f t="shared" si="683"/>
        <v>-4.5536159600997506</v>
      </c>
      <c r="EB182" s="822">
        <f t="shared" si="684"/>
        <v>5518.1806153846146</v>
      </c>
      <c r="EE182" s="706">
        <f>EE162+EE172</f>
        <v>-43.332539999999995</v>
      </c>
      <c r="EF182" s="878">
        <f t="shared" si="685"/>
        <v>-1.5882010142193017</v>
      </c>
      <c r="EG182" s="822">
        <f t="shared" si="686"/>
        <v>851.60725848849927</v>
      </c>
      <c r="EK182" s="822"/>
      <c r="EL182" s="822"/>
      <c r="EM182" s="822"/>
      <c r="EN182" s="822"/>
      <c r="EO182" s="822"/>
      <c r="EP182" s="822"/>
      <c r="EQ182" s="822"/>
      <c r="ER182" s="822"/>
      <c r="ES182" s="822"/>
      <c r="ET182" s="822"/>
      <c r="EU182" s="822"/>
      <c r="EV182" s="822"/>
      <c r="EW182" s="805"/>
      <c r="EX182" s="805"/>
    </row>
    <row r="183" spans="1:154">
      <c r="A183" s="819" t="s">
        <v>143</v>
      </c>
      <c r="C183" s="769">
        <f>C163+C173</f>
        <v>367</v>
      </c>
      <c r="D183" s="878">
        <f t="shared" si="626"/>
        <v>6.9732091962758886</v>
      </c>
      <c r="E183" s="887" t="s">
        <v>24</v>
      </c>
      <c r="G183" s="769">
        <f>G163+G173</f>
        <v>206</v>
      </c>
      <c r="H183" s="878">
        <f t="shared" si="627"/>
        <v>3.9163498098859315</v>
      </c>
      <c r="I183" s="822">
        <f t="shared" si="628"/>
        <v>-43.869209809264312</v>
      </c>
      <c r="K183" s="769">
        <f>K163+K173</f>
        <v>37</v>
      </c>
      <c r="L183" s="878">
        <f t="shared" si="629"/>
        <v>0.68837209302325575</v>
      </c>
      <c r="M183" s="822">
        <f t="shared" si="630"/>
        <v>-82.038834951456309</v>
      </c>
      <c r="O183" s="769">
        <f>O163+O173</f>
        <v>375</v>
      </c>
      <c r="P183" s="878">
        <f t="shared" si="631"/>
        <v>6.1626951520131472</v>
      </c>
      <c r="Q183" s="822">
        <f t="shared" si="632"/>
        <v>913.51351351351354</v>
      </c>
      <c r="S183" s="769">
        <f>S163+S173</f>
        <v>437</v>
      </c>
      <c r="T183" s="878">
        <f t="shared" si="633"/>
        <v>6.9134630596424618</v>
      </c>
      <c r="U183" s="822">
        <f t="shared" si="634"/>
        <v>16.533333333333331</v>
      </c>
      <c r="W183" s="769">
        <f>W163+W173</f>
        <v>428</v>
      </c>
      <c r="X183" s="878">
        <f t="shared" si="635"/>
        <v>6.4467540292212693</v>
      </c>
      <c r="Y183" s="822">
        <f t="shared" si="636"/>
        <v>-2.0594965675057253</v>
      </c>
      <c r="AA183" s="769">
        <f>AA163+AA173</f>
        <v>326.20000000000005</v>
      </c>
      <c r="AB183" s="878">
        <f t="shared" si="637"/>
        <v>4.9185765983112191</v>
      </c>
      <c r="AC183" s="822">
        <f t="shared" si="638"/>
        <v>-23.785046728971949</v>
      </c>
      <c r="AE183" s="769"/>
      <c r="AF183" s="891"/>
      <c r="AG183" s="869"/>
      <c r="AI183" s="769">
        <f>AI163+AI173</f>
        <v>94</v>
      </c>
      <c r="AJ183" s="878">
        <f t="shared" si="639"/>
        <v>1.152525747915645</v>
      </c>
      <c r="AK183" s="822">
        <f t="shared" si="640"/>
        <v>-71.183323114653589</v>
      </c>
      <c r="AM183" s="769">
        <f>AM163+AM173</f>
        <v>200.43199999999999</v>
      </c>
      <c r="AN183" s="878">
        <f t="shared" si="641"/>
        <v>2.1064844981607984</v>
      </c>
      <c r="AO183" s="822">
        <f t="shared" si="642"/>
        <v>113.22553191489359</v>
      </c>
      <c r="AQ183" s="769">
        <f>AQ163+AQ173</f>
        <v>206.40200000000002</v>
      </c>
      <c r="AR183" s="878">
        <f t="shared" si="643"/>
        <v>2.2751543209876548</v>
      </c>
      <c r="AS183" s="822">
        <f t="shared" si="644"/>
        <v>2.9785662967989346</v>
      </c>
      <c r="AU183" s="769">
        <f>AU163+AU173</f>
        <v>-63.451999999999998</v>
      </c>
      <c r="AV183" s="878">
        <f t="shared" si="645"/>
        <v>-0.65678501190352967</v>
      </c>
      <c r="AW183" s="822">
        <f t="shared" si="646"/>
        <v>-130.7419501749014</v>
      </c>
      <c r="AY183" s="769">
        <f>AY163+AY173</f>
        <v>-341.37899999999996</v>
      </c>
      <c r="AZ183" s="878">
        <f t="shared" si="647"/>
        <v>-3.5660607959887178</v>
      </c>
      <c r="BA183" s="822">
        <f t="shared" si="648"/>
        <v>438.01141019983606</v>
      </c>
      <c r="BC183" s="769">
        <f>BC163+BC173</f>
        <v>98.983000000000004</v>
      </c>
      <c r="BD183" s="878">
        <f t="shared" si="649"/>
        <v>1.0373401802557116</v>
      </c>
      <c r="BE183" s="822">
        <f t="shared" si="650"/>
        <v>-128.99504656115343</v>
      </c>
      <c r="BG183" s="769">
        <f>BG163+BG173</f>
        <v>202</v>
      </c>
      <c r="BH183" s="878">
        <f t="shared" si="651"/>
        <v>2.1154047544245471</v>
      </c>
      <c r="BI183" s="822">
        <f t="shared" si="652"/>
        <v>104.07544729903115</v>
      </c>
      <c r="BK183" s="769">
        <f>BK163+BK173</f>
        <v>103</v>
      </c>
      <c r="BL183" s="878">
        <f t="shared" si="653"/>
        <v>1.7591801878736122</v>
      </c>
      <c r="BM183" s="822">
        <f t="shared" si="654"/>
        <v>-130.17174460057589</v>
      </c>
      <c r="BO183" s="769">
        <f>BO163+BO173</f>
        <v>174</v>
      </c>
      <c r="BP183" s="878">
        <f t="shared" si="655"/>
        <v>3.0297753787219226</v>
      </c>
      <c r="BQ183" s="822">
        <f t="shared" si="656"/>
        <v>68.932038834951442</v>
      </c>
      <c r="BS183" s="769">
        <f>BS163+BS173</f>
        <v>-1039</v>
      </c>
      <c r="BT183" s="878">
        <f t="shared" si="657"/>
        <v>-17.322440813604533</v>
      </c>
      <c r="BU183" s="822">
        <f t="shared" si="658"/>
        <v>-697.12643678160919</v>
      </c>
      <c r="BW183" s="769">
        <f>BW163+BW173</f>
        <v>333</v>
      </c>
      <c r="BX183" s="878">
        <f t="shared" si="659"/>
        <v>5.5919395465994963</v>
      </c>
      <c r="BY183" s="822">
        <f t="shared" si="660"/>
        <v>-132.05004812319538</v>
      </c>
      <c r="CA183" s="769">
        <f>CA163+CA173</f>
        <v>551.08399999999983</v>
      </c>
      <c r="CB183" s="878">
        <f t="shared" si="661"/>
        <v>8.8840325231771775</v>
      </c>
      <c r="CC183" s="822">
        <f>(CA183/BW183-1)*100</f>
        <v>65.490690690690641</v>
      </c>
      <c r="CE183" s="769">
        <f>CE163+CE173</f>
        <v>481</v>
      </c>
      <c r="CF183" s="878">
        <f t="shared" si="662"/>
        <v>7.2135572885422912</v>
      </c>
      <c r="CG183" s="822">
        <f t="shared" si="663"/>
        <v>-12.717480456699858</v>
      </c>
      <c r="CI183" s="769">
        <f>CI163+CI173</f>
        <v>430</v>
      </c>
      <c r="CJ183" s="878">
        <f t="shared" si="664"/>
        <v>6.7292644757433493</v>
      </c>
      <c r="CK183" s="822">
        <f t="shared" si="665"/>
        <v>-10.602910602910598</v>
      </c>
      <c r="CM183" s="769">
        <f>CM163+CM173</f>
        <v>211</v>
      </c>
      <c r="CN183" s="878">
        <f t="shared" si="666"/>
        <v>3.6636894829235107</v>
      </c>
      <c r="CO183" s="822">
        <f t="shared" si="667"/>
        <v>-50.930232558139529</v>
      </c>
      <c r="CQ183" s="769">
        <f>CQ163+CQ173</f>
        <v>200.2</v>
      </c>
      <c r="CR183" s="878">
        <f t="shared" si="668"/>
        <v>3.6072072072072068</v>
      </c>
      <c r="CS183" s="822">
        <f t="shared" si="669"/>
        <v>-5.1184834123222833</v>
      </c>
      <c r="CU183" s="769">
        <f>CU163+CU173</f>
        <v>271</v>
      </c>
      <c r="CV183" s="878">
        <f t="shared" si="670"/>
        <v>4.7518849728213217</v>
      </c>
      <c r="CW183" s="822">
        <f>(CU183/CQ183-1)*100</f>
        <v>35.364635364635369</v>
      </c>
      <c r="CY183" s="769">
        <f>CY163+CY173</f>
        <v>-87</v>
      </c>
      <c r="CZ183" s="878">
        <f t="shared" si="671"/>
        <v>-1.6036866359447004</v>
      </c>
      <c r="DA183" s="822">
        <f t="shared" si="672"/>
        <v>-132.10332103321031</v>
      </c>
      <c r="DC183" s="769">
        <f>DC163+DC173</f>
        <v>-552</v>
      </c>
      <c r="DD183" s="878">
        <f t="shared" si="673"/>
        <v>-14.212152420185376</v>
      </c>
      <c r="DE183" s="822">
        <f t="shared" si="674"/>
        <v>534.48275862068965</v>
      </c>
      <c r="DG183" s="769">
        <f>DG163+DG173</f>
        <v>35</v>
      </c>
      <c r="DH183" s="878">
        <f t="shared" si="675"/>
        <v>0.92543627710206244</v>
      </c>
      <c r="DI183" s="822">
        <f t="shared" si="676"/>
        <v>-106.34057971014492</v>
      </c>
      <c r="DK183" s="769">
        <f>DK163+DK173</f>
        <v>-59</v>
      </c>
      <c r="DL183" s="878">
        <f t="shared" si="677"/>
        <v>-1.5155407141022348</v>
      </c>
      <c r="DM183" s="822">
        <f t="shared" si="678"/>
        <v>-268.57142857142861</v>
      </c>
      <c r="DP183" s="769">
        <f>DP163</f>
        <v>-131</v>
      </c>
      <c r="DQ183" s="878">
        <f t="shared" si="679"/>
        <v>-3.278278278278278</v>
      </c>
      <c r="DR183" s="822">
        <f t="shared" si="680"/>
        <v>122.03389830508473</v>
      </c>
      <c r="DU183" s="769">
        <f>DU163</f>
        <v>192</v>
      </c>
      <c r="DV183" s="878">
        <f t="shared" si="681"/>
        <v>4.8472607927291085</v>
      </c>
      <c r="DW183" s="822">
        <f t="shared" si="682"/>
        <v>-5956.7328244274813</v>
      </c>
      <c r="DZ183" s="769">
        <f>DZ163+DZ173</f>
        <v>254</v>
      </c>
      <c r="EA183" s="878">
        <f t="shared" si="683"/>
        <v>6.3011659637806998</v>
      </c>
      <c r="EB183" s="822">
        <f t="shared" si="684"/>
        <v>5140.072916666667</v>
      </c>
      <c r="EE183" s="769">
        <f>EE163</f>
        <v>89.412875999999869</v>
      </c>
      <c r="EF183" s="878">
        <f t="shared" si="685"/>
        <v>2.4005750885185235</v>
      </c>
      <c r="EG183" s="822">
        <f t="shared" si="686"/>
        <v>1318.9893825039348</v>
      </c>
      <c r="EK183" s="822"/>
      <c r="EL183" s="822"/>
      <c r="EM183" s="822"/>
      <c r="EN183" s="822"/>
      <c r="EO183" s="822"/>
      <c r="EP183" s="822"/>
      <c r="EQ183" s="822"/>
      <c r="ER183" s="822"/>
      <c r="ES183" s="822"/>
      <c r="ET183" s="822"/>
      <c r="EU183" s="822"/>
      <c r="EV183" s="822"/>
      <c r="EW183" s="805"/>
      <c r="EX183" s="805"/>
    </row>
    <row r="184" spans="1:154">
      <c r="A184" s="819" t="s">
        <v>144</v>
      </c>
      <c r="C184" s="591">
        <f>C164+C174</f>
        <v>802</v>
      </c>
      <c r="D184" s="878">
        <f t="shared" si="626"/>
        <v>4.9804384276221825</v>
      </c>
      <c r="E184" s="887" t="s">
        <v>24</v>
      </c>
      <c r="G184" s="591">
        <f>G164+G174</f>
        <v>577</v>
      </c>
      <c r="H184" s="878">
        <f t="shared" si="627"/>
        <v>3.5258172930033611</v>
      </c>
      <c r="I184" s="822">
        <f t="shared" si="628"/>
        <v>-28.054862842892771</v>
      </c>
      <c r="K184" s="591">
        <f>K164+K174</f>
        <v>80</v>
      </c>
      <c r="L184" s="878">
        <f t="shared" si="629"/>
        <v>0.49379667921733228</v>
      </c>
      <c r="M184" s="822">
        <f t="shared" si="630"/>
        <v>-86.135181975736572</v>
      </c>
      <c r="O184" s="591">
        <f>O164+O174</f>
        <v>777</v>
      </c>
      <c r="P184" s="878">
        <f t="shared" si="631"/>
        <v>4.3145094119606862</v>
      </c>
      <c r="Q184" s="822">
        <f t="shared" si="632"/>
        <v>871.25</v>
      </c>
      <c r="S184" s="591">
        <f>S164+S174</f>
        <v>940</v>
      </c>
      <c r="T184" s="878">
        <f t="shared" si="633"/>
        <v>4.9517989780329774</v>
      </c>
      <c r="U184" s="822">
        <f t="shared" si="634"/>
        <v>20.978120978120973</v>
      </c>
      <c r="W184" s="591">
        <f>W164+W174</f>
        <v>1057</v>
      </c>
      <c r="X184" s="878">
        <f t="shared" si="635"/>
        <v>5.1864573110893035</v>
      </c>
      <c r="Y184" s="822">
        <f t="shared" si="636"/>
        <v>12.446808510638308</v>
      </c>
      <c r="AA184" s="591">
        <f>AA164+AA174</f>
        <v>838.2</v>
      </c>
      <c r="AB184" s="878">
        <f t="shared" si="637"/>
        <v>4.0764517070323896</v>
      </c>
      <c r="AC184" s="822">
        <f t="shared" si="638"/>
        <v>-20.70009460737937</v>
      </c>
      <c r="AE184" s="591"/>
      <c r="AF184" s="891"/>
      <c r="AG184" s="869"/>
      <c r="AI184" s="591">
        <f>AI164+AI174</f>
        <v>565</v>
      </c>
      <c r="AJ184" s="878">
        <f t="shared" si="639"/>
        <v>2.4942609924068515</v>
      </c>
      <c r="AK184" s="822">
        <f t="shared" si="640"/>
        <v>-32.593653066094021</v>
      </c>
      <c r="AM184" s="591">
        <f>AM164+AM174</f>
        <v>558.21699999999998</v>
      </c>
      <c r="AN184" s="878">
        <f t="shared" si="641"/>
        <v>1.8934677014504158</v>
      </c>
      <c r="AO184" s="822">
        <f t="shared" si="642"/>
        <v>-1.2005309734513303</v>
      </c>
      <c r="AQ184" s="591">
        <f>SUM(AQ180:AQ183)</f>
        <v>593.64937665669106</v>
      </c>
      <c r="AR184" s="878">
        <f t="shared" si="643"/>
        <v>2.0166090653464606</v>
      </c>
      <c r="AS184" s="822">
        <f t="shared" si="644"/>
        <v>6.347419848677327</v>
      </c>
      <c r="AU184" s="591">
        <f>AU164+AU174</f>
        <v>163.52800000000005</v>
      </c>
      <c r="AV184" s="878">
        <f t="shared" si="645"/>
        <v>0.51516239800901009</v>
      </c>
      <c r="AW184" s="822">
        <f t="shared" si="646"/>
        <v>-72.453773821686553</v>
      </c>
      <c r="AY184" s="591">
        <f>AY164+AY174</f>
        <v>-581.76</v>
      </c>
      <c r="AZ184" s="878">
        <f t="shared" si="647"/>
        <v>-1.8267914337750424</v>
      </c>
      <c r="BA184" s="822">
        <f t="shared" si="648"/>
        <v>-455.75558925688551</v>
      </c>
      <c r="BC184" s="591">
        <f>BC164+BC174</f>
        <v>122.563</v>
      </c>
      <c r="BD184" s="878">
        <f t="shared" si="649"/>
        <v>0.3829615048118985</v>
      </c>
      <c r="BE184" s="822">
        <f t="shared" si="650"/>
        <v>-121.06762238723871</v>
      </c>
      <c r="BG184" s="591">
        <f>BG164+BG174</f>
        <v>409.51599999999996</v>
      </c>
      <c r="BH184" s="878">
        <f t="shared" si="651"/>
        <v>1.2660092126008593</v>
      </c>
      <c r="BI184" s="822">
        <f t="shared" si="652"/>
        <v>234.12693879882181</v>
      </c>
      <c r="BK184" s="591">
        <f>BK164+BK174</f>
        <v>184</v>
      </c>
      <c r="BL184" s="878">
        <f t="shared" si="653"/>
        <v>1.0313901345291481</v>
      </c>
      <c r="BM184" s="822">
        <f t="shared" si="654"/>
        <v>-131.62816281628162</v>
      </c>
      <c r="BO184" s="591">
        <f>BO164+BO174</f>
        <v>282</v>
      </c>
      <c r="BP184" s="878">
        <f t="shared" si="655"/>
        <v>1.622181316152784</v>
      </c>
      <c r="BQ184" s="822">
        <f t="shared" si="656"/>
        <v>53.260869565217384</v>
      </c>
      <c r="BS184" s="591">
        <f>BS164+BS174</f>
        <v>-928</v>
      </c>
      <c r="BT184" s="878">
        <f t="shared" si="657"/>
        <v>-5.2989208016901737</v>
      </c>
      <c r="BU184" s="822">
        <f t="shared" si="658"/>
        <v>-429.07801418439709</v>
      </c>
      <c r="BW184" s="591">
        <f>BW164+BW174</f>
        <v>524.37</v>
      </c>
      <c r="BX184" s="878">
        <f t="shared" si="659"/>
        <v>2.8977122015915122</v>
      </c>
      <c r="BY184" s="822">
        <f t="shared" si="660"/>
        <v>-156.50538793103448</v>
      </c>
      <c r="CA184" s="591">
        <f>CA164+CA174</f>
        <v>1088.8445947955379</v>
      </c>
      <c r="CB184" s="878">
        <f t="shared" si="661"/>
        <v>5.7975599001396194</v>
      </c>
      <c r="CC184" s="822">
        <f>(CA184/BW184-1)*100</f>
        <v>107.64814821510345</v>
      </c>
      <c r="CE184" s="591">
        <f>CE164+CE174</f>
        <v>1155.3879310344828</v>
      </c>
      <c r="CF184" s="878">
        <f t="shared" si="662"/>
        <v>5.8044854211872003</v>
      </c>
      <c r="CG184" s="822">
        <f t="shared" si="663"/>
        <v>6.1113713157055605</v>
      </c>
      <c r="CI184" s="591">
        <f>CI164+CI174</f>
        <v>1108.0700000000002</v>
      </c>
      <c r="CJ184" s="878">
        <f t="shared" si="664"/>
        <v>5.5802487787681931</v>
      </c>
      <c r="CK184" s="822">
        <f t="shared" si="665"/>
        <v>-4.0954150345084761</v>
      </c>
      <c r="CM184" s="591">
        <f>CM164+CM174</f>
        <v>571.05588064516098</v>
      </c>
      <c r="CN184" s="878">
        <f t="shared" si="666"/>
        <v>3.0890372832381843</v>
      </c>
      <c r="CO184" s="822">
        <f t="shared" si="667"/>
        <v>-48.46391648134496</v>
      </c>
      <c r="CQ184" s="591">
        <f>CQ164+CQ174</f>
        <v>251.58199999999999</v>
      </c>
      <c r="CR184" s="878">
        <f t="shared" si="668"/>
        <v>1.4327417822714346</v>
      </c>
      <c r="CS184" s="822">
        <f t="shared" si="669"/>
        <v>-55.944416557663224</v>
      </c>
      <c r="CU184" s="591">
        <f>CU164+CU174</f>
        <v>389</v>
      </c>
      <c r="CV184" s="878">
        <f t="shared" si="670"/>
        <v>2.1904386508249338</v>
      </c>
      <c r="CW184" s="822">
        <f>(CU184/CQ184-1)*100</f>
        <v>54.621554801217883</v>
      </c>
      <c r="CY184" s="591">
        <f>CY164+CY174</f>
        <v>-151.6783730736779</v>
      </c>
      <c r="CZ184" s="878">
        <f t="shared" si="671"/>
        <v>-0.87878547551377695</v>
      </c>
      <c r="DA184" s="822">
        <f t="shared" si="672"/>
        <v>-138.9918696847501</v>
      </c>
      <c r="DC184" s="591">
        <f>DC164+DC174</f>
        <v>-985</v>
      </c>
      <c r="DD184" s="878">
        <f t="shared" si="673"/>
        <v>-7.5856757797458609</v>
      </c>
      <c r="DE184" s="822">
        <f t="shared" si="674"/>
        <v>549.40042541301216</v>
      </c>
      <c r="DG184" s="591">
        <f>DG164+DG174</f>
        <v>-1388</v>
      </c>
      <c r="DH184" s="878">
        <f t="shared" si="675"/>
        <v>-11.704190909857493</v>
      </c>
      <c r="DI184" s="822">
        <f t="shared" si="676"/>
        <v>40.913705583756354</v>
      </c>
      <c r="DK184" s="591">
        <f>DK164+DK174</f>
        <v>-771</v>
      </c>
      <c r="DL184" s="878">
        <f t="shared" si="677"/>
        <v>-6.2902831035326745</v>
      </c>
      <c r="DM184" s="822">
        <f t="shared" si="678"/>
        <v>-44.452449567723342</v>
      </c>
      <c r="DP184" s="591">
        <f>DP164+DP174</f>
        <v>-546.75</v>
      </c>
      <c r="DQ184" s="878">
        <f t="shared" si="679"/>
        <v>-4.3306930693069301</v>
      </c>
      <c r="DR184" s="822">
        <f t="shared" si="680"/>
        <v>-29.085603112840463</v>
      </c>
      <c r="DU184" s="591">
        <f>DU164+DU174</f>
        <v>24</v>
      </c>
      <c r="DV184" s="878">
        <f t="shared" si="681"/>
        <v>0.19128078425121542</v>
      </c>
      <c r="DW184" s="822">
        <f t="shared" si="682"/>
        <v>-654.18381344307284</v>
      </c>
      <c r="DZ184" s="591">
        <f>DZ164+DZ174</f>
        <v>-116.32</v>
      </c>
      <c r="EA184" s="878">
        <f t="shared" si="683"/>
        <v>-0.93011354549816083</v>
      </c>
      <c r="EB184" s="822">
        <f t="shared" si="684"/>
        <v>-60911.126666666663</v>
      </c>
      <c r="EE184" s="591">
        <f>EE164+EE174</f>
        <v>22.320335999998861</v>
      </c>
      <c r="EF184" s="878">
        <f t="shared" si="685"/>
        <v>0.18516867683374674</v>
      </c>
      <c r="EG184" s="822">
        <f t="shared" si="686"/>
        <v>-2499.7431397522851</v>
      </c>
      <c r="EK184" s="822"/>
      <c r="EL184" s="822"/>
      <c r="EM184" s="822"/>
      <c r="EN184" s="822"/>
      <c r="EO184" s="822"/>
      <c r="EP184" s="822"/>
      <c r="EQ184" s="822"/>
      <c r="ER184" s="822"/>
      <c r="ES184" s="822"/>
      <c r="ET184" s="822"/>
      <c r="EU184" s="822"/>
      <c r="EV184" s="822"/>
      <c r="EW184" s="805"/>
      <c r="EX184" s="805"/>
    </row>
    <row r="185" spans="1:154" hidden="1" outlineLevel="1">
      <c r="A185" s="819" t="s">
        <v>145</v>
      </c>
      <c r="C185" s="706">
        <f>C180+C181</f>
        <v>246</v>
      </c>
      <c r="D185" s="878">
        <f t="shared" si="626"/>
        <v>3.6288538132467916</v>
      </c>
      <c r="E185" s="887" t="s">
        <v>24</v>
      </c>
      <c r="G185" s="706">
        <f>G180+G181</f>
        <v>237</v>
      </c>
      <c r="H185" s="878">
        <f t="shared" si="627"/>
        <v>3.3333333333333335</v>
      </c>
      <c r="I185" s="822">
        <f t="shared" si="628"/>
        <v>-3.6585365853658569</v>
      </c>
      <c r="K185" s="706">
        <f>K180+K181</f>
        <v>-73</v>
      </c>
      <c r="L185" s="878">
        <f t="shared" si="629"/>
        <v>-1.0596603280592249</v>
      </c>
      <c r="M185" s="822">
        <f t="shared" si="630"/>
        <v>-130.80168776371309</v>
      </c>
      <c r="O185" s="706">
        <f>O180+O181</f>
        <v>216</v>
      </c>
      <c r="P185" s="878">
        <f t="shared" si="631"/>
        <v>2.8488525455025062</v>
      </c>
      <c r="Q185" s="822">
        <f t="shared" si="632"/>
        <v>-395.89041095890411</v>
      </c>
      <c r="S185" s="706">
        <f>S180+S181</f>
        <v>318</v>
      </c>
      <c r="T185" s="878">
        <f t="shared" si="633"/>
        <v>4.01160590387284</v>
      </c>
      <c r="U185" s="822">
        <f t="shared" si="634"/>
        <v>47.222222222222229</v>
      </c>
      <c r="W185" s="706">
        <f>W180+W181</f>
        <v>355</v>
      </c>
      <c r="X185" s="878">
        <f t="shared" si="635"/>
        <v>4.1317504655493487</v>
      </c>
      <c r="Y185" s="822">
        <f t="shared" si="636"/>
        <v>11.635220125786173</v>
      </c>
      <c r="AA185" s="706">
        <f>AA180+AA181</f>
        <v>272</v>
      </c>
      <c r="AB185" s="878">
        <f t="shared" si="637"/>
        <v>3.0902067711883663</v>
      </c>
      <c r="AC185" s="822">
        <f t="shared" si="638"/>
        <v>-23.380281690140848</v>
      </c>
      <c r="AE185" s="706"/>
      <c r="AF185" s="891"/>
      <c r="AG185" s="869"/>
      <c r="AI185" s="706">
        <f>AI180+AI181</f>
        <v>235</v>
      </c>
      <c r="AJ185" s="878">
        <f t="shared" si="639"/>
        <v>2.6230606094430184</v>
      </c>
      <c r="AK185" s="822">
        <f t="shared" si="640"/>
        <v>-13.602941176470583</v>
      </c>
      <c r="AM185" s="706">
        <f>AM180+AM181</f>
        <v>225.60500000000002</v>
      </c>
      <c r="AN185" s="878">
        <f t="shared" si="641"/>
        <v>1.7539201890708938</v>
      </c>
      <c r="AO185" s="822">
        <f t="shared" si="642"/>
        <v>-3.9978723404255234</v>
      </c>
      <c r="AQ185" s="706">
        <f>AQ180+AQ181</f>
        <v>201.24737665669107</v>
      </c>
      <c r="AR185" s="878">
        <f t="shared" si="643"/>
        <v>1.5203397798344871</v>
      </c>
      <c r="AS185" s="822">
        <f t="shared" si="644"/>
        <v>-10.796579571954945</v>
      </c>
      <c r="AU185" s="706">
        <f>AU180+AU181</f>
        <v>129.97999999999999</v>
      </c>
      <c r="AV185" s="878">
        <f t="shared" si="645"/>
        <v>0.89995153361489988</v>
      </c>
      <c r="AW185" s="822">
        <f t="shared" si="646"/>
        <v>-35.412822686512072</v>
      </c>
      <c r="AY185" s="706">
        <f>AY180+AY181</f>
        <v>-177.78900000000002</v>
      </c>
      <c r="AZ185" s="878">
        <f t="shared" si="647"/>
        <v>-1.2065761791652529</v>
      </c>
      <c r="BA185" s="822">
        <f t="shared" si="648"/>
        <v>-236.78181258655178</v>
      </c>
      <c r="BC185" s="706">
        <f>BC180+BC181</f>
        <v>-20.52</v>
      </c>
      <c r="BD185" s="878">
        <f t="shared" si="649"/>
        <v>-0.13927916921197311</v>
      </c>
      <c r="BE185" s="822">
        <f t="shared" si="650"/>
        <v>-88.458228574321254</v>
      </c>
      <c r="BG185" s="706">
        <f>BG180+BG181</f>
        <v>82.564999999999998</v>
      </c>
      <c r="BH185" s="878">
        <f t="shared" si="651"/>
        <v>0.55316226718477823</v>
      </c>
      <c r="BI185" s="822">
        <f t="shared" si="652"/>
        <v>-502.3635477582846</v>
      </c>
      <c r="BK185" s="706">
        <f>BK180+BK181</f>
        <v>25</v>
      </c>
      <c r="BL185" s="878">
        <f t="shared" si="653"/>
        <v>0.31681662653656062</v>
      </c>
      <c r="BM185" s="822">
        <f t="shared" si="654"/>
        <v>-114.06161236071972</v>
      </c>
      <c r="BO185" s="706">
        <f>BO180+BO181</f>
        <v>42</v>
      </c>
      <c r="BP185" s="878">
        <f t="shared" si="655"/>
        <v>0.55292390108349387</v>
      </c>
      <c r="BQ185" s="822">
        <f t="shared" si="656"/>
        <v>68</v>
      </c>
      <c r="BS185" s="706">
        <f>BS180+BS181</f>
        <v>18</v>
      </c>
      <c r="BT185" s="878">
        <f t="shared" si="657"/>
        <v>0.24837863943700844</v>
      </c>
      <c r="BU185" s="822">
        <f t="shared" si="658"/>
        <v>-57.142857142857139</v>
      </c>
      <c r="BW185" s="706">
        <f>BW180+BW181</f>
        <v>42.370000000000005</v>
      </c>
      <c r="BX185" s="878">
        <f t="shared" si="659"/>
        <v>0.54670967741935494</v>
      </c>
      <c r="BY185" s="822">
        <f t="shared" si="660"/>
        <v>135.38888888888891</v>
      </c>
      <c r="CA185" s="706">
        <f>CA180+CA181</f>
        <v>303.76059479553908</v>
      </c>
      <c r="CB185" s="878">
        <f t="shared" si="661"/>
        <v>3.7505938362210034</v>
      </c>
      <c r="CC185" s="822">
        <f>(CA185/BW185-1)*100</f>
        <v>616.92375453278044</v>
      </c>
      <c r="CE185" s="706">
        <f>CE180+CE181</f>
        <v>387.38793103448279</v>
      </c>
      <c r="CF185" s="878">
        <f t="shared" si="662"/>
        <v>4.5811719442191565</v>
      </c>
      <c r="CG185" s="822">
        <f t="shared" si="663"/>
        <v>27.530673060221389</v>
      </c>
      <c r="CI185" s="706">
        <f>CI180+CI181</f>
        <v>418.07000000000016</v>
      </c>
      <c r="CJ185" s="878">
        <f t="shared" si="664"/>
        <v>4.7839569744822077</v>
      </c>
      <c r="CK185" s="822">
        <f t="shared" si="665"/>
        <v>7.9202438970114031</v>
      </c>
      <c r="CM185" s="706">
        <f>CM180+CM181</f>
        <v>237.0595000000003</v>
      </c>
      <c r="CN185" s="878">
        <f t="shared" si="666"/>
        <v>2.818950010597685</v>
      </c>
      <c r="CO185" s="822">
        <f t="shared" si="667"/>
        <v>-43.29669672542871</v>
      </c>
      <c r="CQ185" s="706">
        <f>CQ180+CQ181</f>
        <v>24.382000000000001</v>
      </c>
      <c r="CR185" s="878">
        <f t="shared" si="668"/>
        <v>0.3114284611656653</v>
      </c>
      <c r="CS185" s="822">
        <f t="shared" si="669"/>
        <v>-89.714818431659566</v>
      </c>
      <c r="CU185" s="706">
        <f>CU180+CU181</f>
        <v>74</v>
      </c>
      <c r="CV185" s="878">
        <f t="shared" si="670"/>
        <v>0.94063810855472219</v>
      </c>
      <c r="CW185" s="822">
        <f>(CU185/CQ185-1)*100</f>
        <v>203.50258387334915</v>
      </c>
      <c r="CY185" s="706">
        <f>CY180+CY181</f>
        <v>78.321626926322097</v>
      </c>
      <c r="CZ185" s="878">
        <f t="shared" si="671"/>
        <v>0.99785484681261427</v>
      </c>
      <c r="DA185" s="822">
        <f t="shared" si="672"/>
        <v>5.8400363869217431</v>
      </c>
      <c r="DC185" s="706">
        <f>DC180+DC181</f>
        <v>-310</v>
      </c>
      <c r="DD185" s="878">
        <f t="shared" si="673"/>
        <v>-5.0210560414642043</v>
      </c>
      <c r="DE185" s="822">
        <f t="shared" si="674"/>
        <v>-495.80383115843591</v>
      </c>
      <c r="DG185" s="706">
        <f>DG180+DG181</f>
        <v>-934</v>
      </c>
      <c r="DH185" s="878">
        <f t="shared" si="675"/>
        <v>-17.629294073235183</v>
      </c>
      <c r="DI185" s="822">
        <f t="shared" si="676"/>
        <v>201.29032258064515</v>
      </c>
      <c r="DK185" s="706">
        <f>DK180+DK181</f>
        <v>-524</v>
      </c>
      <c r="DL185" s="878">
        <f t="shared" si="677"/>
        <v>-9.3571428571428577</v>
      </c>
      <c r="DM185" s="822">
        <f t="shared" si="678"/>
        <v>-43.897216274089935</v>
      </c>
      <c r="DP185" s="706">
        <f>DP180+DP181</f>
        <v>-278.75</v>
      </c>
      <c r="DQ185" s="878">
        <f t="shared" si="679"/>
        <v>-4.863049546406141</v>
      </c>
      <c r="DR185" s="822">
        <f t="shared" si="680"/>
        <v>-46.80343511450382</v>
      </c>
      <c r="DU185" s="706">
        <f>DU180+DU181</f>
        <v>-113</v>
      </c>
      <c r="DV185" s="878">
        <f t="shared" si="681"/>
        <v>-1.9724210158840985</v>
      </c>
      <c r="DW185" s="822">
        <f t="shared" si="682"/>
        <v>2223.6448430493274</v>
      </c>
      <c r="DZ185" s="706">
        <f>DZ180+DZ181</f>
        <v>-242.49999999999955</v>
      </c>
      <c r="EA185" s="878">
        <f t="shared" si="683"/>
        <v>-4.2784050811573664</v>
      </c>
      <c r="EB185" s="822">
        <f t="shared" si="684"/>
        <v>12194.535398230066</v>
      </c>
      <c r="EE185" s="706">
        <f>EE180+EE181</f>
        <v>-23.759999999999764</v>
      </c>
      <c r="EF185" s="878">
        <f t="shared" si="685"/>
        <v>-0.4242093566015217</v>
      </c>
      <c r="EG185" s="822">
        <f t="shared" si="686"/>
        <v>455.34713402061413</v>
      </c>
      <c r="EK185" s="822"/>
      <c r="EL185" s="822"/>
      <c r="EM185" s="822"/>
      <c r="EN185" s="822"/>
      <c r="EO185" s="822"/>
      <c r="EP185" s="822"/>
      <c r="EQ185" s="822"/>
      <c r="ER185" s="822"/>
      <c r="ES185" s="822"/>
      <c r="ET185" s="822"/>
      <c r="EU185" s="822"/>
      <c r="EV185" s="822"/>
      <c r="EW185" s="805"/>
      <c r="EX185" s="805"/>
    </row>
    <row r="186" spans="1:154" hidden="1" outlineLevel="1">
      <c r="A186" s="819" t="s">
        <v>146</v>
      </c>
      <c r="C186" s="706">
        <f>C180+C181+C182</f>
        <v>455</v>
      </c>
      <c r="D186" s="878">
        <f t="shared" si="626"/>
        <v>4.1974169741697418</v>
      </c>
      <c r="E186" s="887" t="s">
        <v>24</v>
      </c>
      <c r="G186" s="706">
        <f>G180+G181+G182</f>
        <v>371</v>
      </c>
      <c r="H186" s="878">
        <f t="shared" si="627"/>
        <v>3.340837460603332</v>
      </c>
      <c r="I186" s="822">
        <f t="shared" si="628"/>
        <v>-18.461538461538463</v>
      </c>
      <c r="K186" s="706">
        <f>K180+K181+K182</f>
        <v>43</v>
      </c>
      <c r="L186" s="878">
        <f t="shared" si="629"/>
        <v>0.39719194531682989</v>
      </c>
      <c r="M186" s="822">
        <f t="shared" si="630"/>
        <v>-88.409703504043122</v>
      </c>
      <c r="O186" s="706">
        <f>O180+O181+O182</f>
        <v>402</v>
      </c>
      <c r="P186" s="878">
        <f t="shared" si="631"/>
        <v>3.3713518953371353</v>
      </c>
      <c r="Q186" s="822">
        <f t="shared" si="632"/>
        <v>834.88372093023258</v>
      </c>
      <c r="S186" s="706">
        <f>S180+S181+S182</f>
        <v>503</v>
      </c>
      <c r="T186" s="878">
        <f t="shared" si="633"/>
        <v>3.9725161901753276</v>
      </c>
      <c r="U186" s="822">
        <f t="shared" si="634"/>
        <v>25.124378109452739</v>
      </c>
      <c r="W186" s="706">
        <f>W180+W181+W182</f>
        <v>629</v>
      </c>
      <c r="X186" s="878">
        <f t="shared" si="635"/>
        <v>4.5775416636343786</v>
      </c>
      <c r="Y186" s="822">
        <f t="shared" si="636"/>
        <v>25.049701789264422</v>
      </c>
      <c r="AA186" s="706">
        <f>AA180+AA181+AA182</f>
        <v>512</v>
      </c>
      <c r="AB186" s="878">
        <f t="shared" si="637"/>
        <v>3.6755204594400577</v>
      </c>
      <c r="AC186" s="822">
        <f t="shared" si="638"/>
        <v>-18.600953895071537</v>
      </c>
      <c r="AE186" s="706"/>
      <c r="AF186" s="891"/>
      <c r="AG186" s="869"/>
      <c r="AI186" s="706">
        <f>AI180+AI181+AI182</f>
        <v>471</v>
      </c>
      <c r="AJ186" s="878">
        <f t="shared" si="639"/>
        <v>3.2491721854304636</v>
      </c>
      <c r="AK186" s="822">
        <f t="shared" si="640"/>
        <v>-8.0078125</v>
      </c>
      <c r="AM186" s="706">
        <f>AM180+AM181+AM182</f>
        <v>357.78500000000003</v>
      </c>
      <c r="AN186" s="878">
        <f t="shared" si="641"/>
        <v>1.7919534012481093</v>
      </c>
      <c r="AO186" s="822">
        <f t="shared" si="642"/>
        <v>-24.03715498938428</v>
      </c>
      <c r="AQ186" s="706">
        <f>AQ180+AQ181+AQ182</f>
        <v>387.24737665669107</v>
      </c>
      <c r="AR186" s="878">
        <f t="shared" si="643"/>
        <v>1.9014405217356922</v>
      </c>
      <c r="AS186" s="822">
        <f t="shared" si="644"/>
        <v>8.2346595460097696</v>
      </c>
      <c r="AU186" s="706">
        <f>AU180+AU181+AU182</f>
        <v>226.98</v>
      </c>
      <c r="AV186" s="878">
        <f t="shared" si="645"/>
        <v>1.0278960239108776</v>
      </c>
      <c r="AW186" s="822">
        <f t="shared" si="646"/>
        <v>-41.386304031382494</v>
      </c>
      <c r="AY186" s="706">
        <f>AY180+AY181+AY182</f>
        <v>-234.81300000000002</v>
      </c>
      <c r="AZ186" s="878">
        <f t="shared" si="647"/>
        <v>-1.0542495398015534</v>
      </c>
      <c r="BA186" s="822">
        <f t="shared" si="648"/>
        <v>-203.45096484271741</v>
      </c>
      <c r="BC186" s="706">
        <f>BC180+BC181+BC182</f>
        <v>23.580000000000002</v>
      </c>
      <c r="BD186" s="878">
        <f t="shared" si="649"/>
        <v>0.10497729498708931</v>
      </c>
      <c r="BE186" s="822">
        <f t="shared" si="650"/>
        <v>-110.04203344789258</v>
      </c>
      <c r="BG186" s="706">
        <f>BG180+BG181+BG182</f>
        <v>207.51599999999999</v>
      </c>
      <c r="BH186" s="878">
        <f t="shared" si="651"/>
        <v>0.91023774015264491</v>
      </c>
      <c r="BI186" s="822">
        <f t="shared" si="652"/>
        <v>780.05089058524163</v>
      </c>
      <c r="BK186" s="706">
        <f>BK180+BK181+BK182</f>
        <v>80</v>
      </c>
      <c r="BL186" s="878">
        <f t="shared" si="653"/>
        <v>0.65375500531175945</v>
      </c>
      <c r="BM186" s="822">
        <f t="shared" si="654"/>
        <v>-134.06966394535226</v>
      </c>
      <c r="BO186" s="706">
        <f>BO180+BO181+BO182</f>
        <v>111</v>
      </c>
      <c r="BP186" s="878">
        <f t="shared" si="655"/>
        <v>0.93355902473191299</v>
      </c>
      <c r="BQ186" s="822">
        <f t="shared" si="656"/>
        <v>38.749999999999993</v>
      </c>
      <c r="BS186" s="706">
        <f>BS180+BS181+BS182</f>
        <v>111</v>
      </c>
      <c r="BT186" s="878">
        <f t="shared" si="657"/>
        <v>0.96396005210594871</v>
      </c>
      <c r="BU186" s="822">
        <f t="shared" si="658"/>
        <v>0</v>
      </c>
      <c r="BW186" s="706">
        <f>BW180+BW181+BW182</f>
        <v>191.37</v>
      </c>
      <c r="BX186" s="878">
        <f t="shared" si="659"/>
        <v>1.5762293056585126</v>
      </c>
      <c r="BY186" s="822">
        <f t="shared" si="660"/>
        <v>72.405405405405403</v>
      </c>
      <c r="CA186" s="706">
        <f>CA180+CA181+CA182</f>
        <v>537.76059479553908</v>
      </c>
      <c r="CB186" s="878">
        <f t="shared" si="661"/>
        <v>4.2754062235294885</v>
      </c>
      <c r="CC186" s="822">
        <f>(CA186/BW186-1)*100</f>
        <v>181.00569305300675</v>
      </c>
      <c r="CE186" s="706">
        <f>CE180+CE181+CE182</f>
        <v>674.38793103448279</v>
      </c>
      <c r="CF186" s="878">
        <f t="shared" si="662"/>
        <v>5.0946849566497008</v>
      </c>
      <c r="CG186" s="822">
        <f t="shared" si="663"/>
        <v>25.406721422362779</v>
      </c>
      <c r="CI186" s="706">
        <f>CI180+CI181+CI182</f>
        <v>678.07000000000016</v>
      </c>
      <c r="CJ186" s="878">
        <f t="shared" si="664"/>
        <v>5.0350486374099663</v>
      </c>
      <c r="CK186" s="822">
        <f t="shared" si="665"/>
        <v>0.54598678239530241</v>
      </c>
      <c r="CM186" s="706">
        <f>CM180+CM181+CM182</f>
        <v>360.05588064516104</v>
      </c>
      <c r="CN186" s="878">
        <f t="shared" si="666"/>
        <v>2.8290020344509332</v>
      </c>
      <c r="CO186" s="822">
        <f t="shared" si="667"/>
        <v>-46.899895195899987</v>
      </c>
      <c r="CQ186" s="706">
        <f>CQ180+CQ181+CQ182</f>
        <v>51.382000000000005</v>
      </c>
      <c r="CR186" s="878">
        <f t="shared" si="668"/>
        <v>0.42784535220192393</v>
      </c>
      <c r="CS186" s="822">
        <f t="shared" si="669"/>
        <v>-85.729437356242627</v>
      </c>
      <c r="CU186" s="706">
        <f>CU180+CU181+CU182</f>
        <v>118</v>
      </c>
      <c r="CV186" s="878">
        <f t="shared" si="670"/>
        <v>0.97876575978765767</v>
      </c>
      <c r="CW186" s="822">
        <f>(CU186/CQ186-1)*100</f>
        <v>129.65240745786463</v>
      </c>
      <c r="CY186" s="706">
        <f>CY180+CY181+CY182</f>
        <v>-64.678373073677903</v>
      </c>
      <c r="CZ186" s="878">
        <f t="shared" si="671"/>
        <v>-0.54650082867492944</v>
      </c>
      <c r="DA186" s="822">
        <f t="shared" si="672"/>
        <v>-154.81218057091348</v>
      </c>
      <c r="DC186" s="706">
        <f>DC180+DC181+DC182</f>
        <v>-433</v>
      </c>
      <c r="DD186" s="878">
        <f t="shared" si="673"/>
        <v>-4.7577189319854964</v>
      </c>
      <c r="DE186" s="822">
        <f t="shared" si="674"/>
        <v>569.46643742376011</v>
      </c>
      <c r="DG186" s="706">
        <f>DG180+DG181+DG182</f>
        <v>-1423</v>
      </c>
      <c r="DH186" s="878">
        <f t="shared" si="675"/>
        <v>-17.617927448310017</v>
      </c>
      <c r="DI186" s="822">
        <f t="shared" si="676"/>
        <v>228.63741339491918</v>
      </c>
      <c r="DK186" s="706">
        <f>DK180+DK181+DK182</f>
        <v>-712</v>
      </c>
      <c r="DL186" s="878">
        <f t="shared" si="677"/>
        <v>-8.5126733620277388</v>
      </c>
      <c r="DM186" s="822">
        <f t="shared" si="678"/>
        <v>-49.9648629655657</v>
      </c>
      <c r="DP186" s="706">
        <f>DP180+DP181+DP182</f>
        <v>-415.75</v>
      </c>
      <c r="DQ186" s="878">
        <f t="shared" si="679"/>
        <v>-4.8180553945996056</v>
      </c>
      <c r="DR186" s="822">
        <f t="shared" si="680"/>
        <v>-41.608146067415731</v>
      </c>
      <c r="DU186" s="706">
        <f>DU180+DU181+DU182</f>
        <v>-178</v>
      </c>
      <c r="DV186" s="878">
        <f t="shared" si="681"/>
        <v>-2.0731423247146519</v>
      </c>
      <c r="DW186" s="822">
        <f t="shared" si="682"/>
        <v>3594.4365604329528</v>
      </c>
      <c r="DZ186" s="706">
        <f>DZ180+DZ181+DZ182</f>
        <v>-370.31999999999954</v>
      </c>
      <c r="EA186" s="878">
        <f t="shared" si="683"/>
        <v>-4.3695575221238885</v>
      </c>
      <c r="EB186" s="822">
        <f t="shared" si="684"/>
        <v>17762.738876404474</v>
      </c>
      <c r="EE186" s="706">
        <f>EE180+EE181+EE182</f>
        <v>-67.092539999999758</v>
      </c>
      <c r="EF186" s="878">
        <f t="shared" si="685"/>
        <v>-0.80548951114436129</v>
      </c>
      <c r="EG186" s="822">
        <f t="shared" si="686"/>
        <v>1435.4538682760817</v>
      </c>
      <c r="EK186" s="822"/>
      <c r="EL186" s="822"/>
      <c r="EM186" s="822"/>
      <c r="EN186" s="822"/>
      <c r="EO186" s="822"/>
      <c r="EP186" s="822"/>
      <c r="EQ186" s="822"/>
      <c r="ER186" s="822"/>
      <c r="ES186" s="822"/>
      <c r="ET186" s="822"/>
      <c r="EU186" s="822"/>
      <c r="EV186" s="822"/>
      <c r="EW186" s="805"/>
      <c r="EX186" s="805"/>
    </row>
    <row r="187" spans="1:154" collapsed="1">
      <c r="C187" s="706"/>
      <c r="D187" s="687"/>
      <c r="E187" s="687"/>
      <c r="G187" s="706"/>
      <c r="H187" s="687"/>
      <c r="I187" s="687"/>
      <c r="K187" s="706"/>
      <c r="L187" s="687"/>
      <c r="M187" s="687"/>
      <c r="O187" s="706"/>
      <c r="P187" s="687"/>
      <c r="Q187" s="687"/>
      <c r="S187" s="706"/>
      <c r="T187" s="687"/>
      <c r="U187" s="687"/>
      <c r="W187" s="706"/>
      <c r="X187" s="687"/>
      <c r="Y187" s="687"/>
      <c r="AA187" s="706"/>
      <c r="AB187" s="687"/>
      <c r="AC187" s="687"/>
      <c r="AE187" s="706"/>
      <c r="AI187" s="706"/>
      <c r="AJ187" s="687"/>
      <c r="AK187" s="687"/>
      <c r="AM187" s="706"/>
      <c r="AN187" s="687"/>
      <c r="AO187" s="687"/>
      <c r="AQ187" s="706"/>
      <c r="AR187" s="687"/>
      <c r="AS187" s="687"/>
      <c r="AU187" s="706"/>
      <c r="AV187" s="687"/>
      <c r="AW187" s="687"/>
      <c r="AY187" s="706"/>
      <c r="AZ187" s="687"/>
      <c r="BA187" s="687"/>
      <c r="BC187" s="706"/>
      <c r="BD187" s="687"/>
      <c r="BE187" s="687"/>
      <c r="BG187" s="706"/>
      <c r="BH187" s="687"/>
      <c r="BI187" s="687"/>
      <c r="BK187" s="706"/>
      <c r="BL187" s="687"/>
      <c r="BM187" s="687"/>
      <c r="BO187" s="706"/>
      <c r="BP187" s="687"/>
      <c r="BQ187" s="687"/>
      <c r="BS187" s="706"/>
      <c r="BT187" s="687"/>
      <c r="BU187" s="687"/>
      <c r="BW187" s="706"/>
      <c r="BX187" s="687"/>
      <c r="BY187" s="687"/>
      <c r="CA187" s="706"/>
      <c r="CB187" s="687"/>
      <c r="CC187" s="687"/>
      <c r="CE187" s="706"/>
      <c r="CF187" s="687"/>
      <c r="CG187" s="687"/>
      <c r="CI187" s="706"/>
      <c r="CJ187" s="687"/>
      <c r="CK187" s="687"/>
      <c r="CM187" s="706"/>
      <c r="CN187" s="687"/>
      <c r="CO187" s="687"/>
      <c r="CQ187" s="706"/>
      <c r="CR187" s="687"/>
      <c r="CS187" s="687"/>
      <c r="CU187" s="706"/>
      <c r="CV187" s="687"/>
      <c r="CW187" s="687"/>
      <c r="CY187" s="706"/>
      <c r="CZ187" s="687"/>
      <c r="DA187" s="687"/>
      <c r="DD187" s="687"/>
      <c r="DE187" s="687"/>
      <c r="DH187" s="687"/>
      <c r="DI187" s="687"/>
      <c r="DL187" s="687"/>
      <c r="DM187" s="687"/>
      <c r="DQ187" s="687"/>
      <c r="DR187" s="687"/>
      <c r="DV187" s="687"/>
      <c r="DW187" s="687"/>
      <c r="EA187" s="687"/>
      <c r="EB187" s="687"/>
      <c r="EF187" s="687"/>
      <c r="EG187" s="687"/>
      <c r="EK187" s="822"/>
      <c r="EL187" s="822"/>
      <c r="EM187" s="822"/>
      <c r="EN187" s="822"/>
      <c r="EO187" s="822"/>
      <c r="EP187" s="687"/>
      <c r="EQ187" s="687"/>
      <c r="ER187" s="687"/>
      <c r="ES187" s="687"/>
      <c r="ET187" s="687"/>
      <c r="EU187" s="687"/>
      <c r="EV187" s="687"/>
      <c r="EW187" s="805"/>
      <c r="EX187" s="805"/>
    </row>
    <row r="188" spans="1:154">
      <c r="A188" s="816" t="s">
        <v>38</v>
      </c>
      <c r="C188" s="706"/>
      <c r="D188" s="687"/>
      <c r="E188" s="687"/>
      <c r="G188" s="706"/>
      <c r="H188" s="687"/>
      <c r="I188" s="687"/>
      <c r="K188" s="706"/>
      <c r="L188" s="687"/>
      <c r="M188" s="687"/>
      <c r="O188" s="706"/>
      <c r="P188" s="687"/>
      <c r="Q188" s="687"/>
      <c r="S188" s="706"/>
      <c r="T188" s="687"/>
      <c r="U188" s="687"/>
      <c r="W188" s="706"/>
      <c r="X188" s="687"/>
      <c r="Y188" s="687"/>
      <c r="AA188" s="706"/>
      <c r="AB188" s="687"/>
      <c r="AC188" s="687"/>
      <c r="AE188" s="706"/>
      <c r="AI188" s="706"/>
      <c r="AJ188" s="687"/>
      <c r="AK188" s="687"/>
      <c r="AM188" s="706"/>
      <c r="AN188" s="687"/>
      <c r="AO188" s="687"/>
      <c r="AQ188" s="706"/>
      <c r="AR188" s="687"/>
      <c r="AS188" s="687"/>
      <c r="AU188" s="706"/>
      <c r="AV188" s="687"/>
      <c r="AW188" s="687"/>
      <c r="AY188" s="706"/>
      <c r="AZ188" s="687"/>
      <c r="BA188" s="687"/>
      <c r="BC188" s="706"/>
      <c r="BD188" s="687"/>
      <c r="BE188" s="687"/>
      <c r="BG188" s="706"/>
      <c r="BH188" s="687"/>
      <c r="BI188" s="687"/>
      <c r="BK188" s="706"/>
      <c r="BL188" s="687"/>
      <c r="BM188" s="687"/>
      <c r="BO188" s="706"/>
      <c r="BP188" s="687"/>
      <c r="BQ188" s="687"/>
      <c r="BS188" s="706"/>
      <c r="BT188" s="687"/>
      <c r="BU188" s="687"/>
      <c r="BW188" s="706"/>
      <c r="BX188" s="687"/>
      <c r="BY188" s="687"/>
      <c r="CA188" s="706"/>
      <c r="CB188" s="687"/>
      <c r="CC188" s="687"/>
      <c r="CE188" s="706"/>
      <c r="CF188" s="687"/>
      <c r="CG188" s="687"/>
      <c r="CI188" s="706"/>
      <c r="CJ188" s="687"/>
      <c r="CK188" s="687"/>
      <c r="CM188" s="706"/>
      <c r="CN188" s="687"/>
      <c r="CO188" s="687"/>
      <c r="CQ188" s="706"/>
      <c r="CR188" s="687"/>
      <c r="CS188" s="687"/>
      <c r="CV188" s="687"/>
      <c r="CW188" s="687"/>
      <c r="CY188" s="706"/>
      <c r="CZ188" s="687"/>
      <c r="DA188" s="687"/>
      <c r="DD188" s="687"/>
      <c r="DE188" s="687"/>
      <c r="DG188" s="818" t="s">
        <v>38</v>
      </c>
      <c r="DH188" s="687"/>
      <c r="DI188" s="687"/>
      <c r="DL188" s="687"/>
      <c r="DM188" s="687"/>
      <c r="DP188" s="1585" t="str">
        <f>DG188</f>
        <v>17. EPS Before Extraordinary/Discontinued - Fully Diluted</v>
      </c>
      <c r="DQ188" s="1585"/>
      <c r="DR188" s="1585"/>
      <c r="DS188" s="1585"/>
      <c r="DT188" s="1585"/>
      <c r="DU188" s="1585"/>
      <c r="DV188" s="1585"/>
      <c r="DW188" s="1585"/>
      <c r="EK188" s="822"/>
      <c r="EL188" s="822"/>
      <c r="EM188" s="822"/>
      <c r="EN188" s="822"/>
      <c r="EO188" s="822"/>
      <c r="EP188" s="687"/>
      <c r="EQ188" s="687"/>
      <c r="ER188" s="687"/>
      <c r="ES188" s="687"/>
      <c r="ET188" s="687"/>
      <c r="EU188" s="687"/>
      <c r="EV188" s="687"/>
      <c r="EW188" s="805"/>
      <c r="EX188" s="805"/>
    </row>
    <row r="189" spans="1:154">
      <c r="C189" s="706"/>
      <c r="D189" s="687"/>
      <c r="E189" s="687"/>
      <c r="G189" s="706"/>
      <c r="H189" s="687"/>
      <c r="I189" s="687"/>
      <c r="K189" s="706"/>
      <c r="L189" s="687"/>
      <c r="M189" s="687"/>
      <c r="O189" s="706"/>
      <c r="P189" s="687"/>
      <c r="Q189" s="687"/>
      <c r="S189" s="706"/>
      <c r="T189" s="687"/>
      <c r="U189" s="687"/>
      <c r="W189" s="706"/>
      <c r="X189" s="687"/>
      <c r="Y189" s="687"/>
      <c r="AA189" s="706"/>
      <c r="AB189" s="687"/>
      <c r="AC189" s="687"/>
      <c r="AE189" s="706"/>
      <c r="AI189" s="706"/>
      <c r="AJ189" s="687"/>
      <c r="AK189" s="687"/>
      <c r="AM189" s="706"/>
      <c r="AN189" s="687"/>
      <c r="AO189" s="687"/>
      <c r="AQ189" s="706"/>
      <c r="AR189" s="687"/>
      <c r="AS189" s="687"/>
      <c r="AU189" s="706"/>
      <c r="AV189" s="687"/>
      <c r="AW189" s="687"/>
      <c r="AY189" s="706"/>
      <c r="AZ189" s="687"/>
      <c r="BA189" s="687"/>
      <c r="BC189" s="706"/>
      <c r="BD189" s="687"/>
      <c r="BE189" s="687"/>
      <c r="BG189" s="706"/>
      <c r="BH189" s="687"/>
      <c r="BI189" s="687"/>
      <c r="BK189" s="706"/>
      <c r="BL189" s="687"/>
      <c r="BM189" s="687"/>
      <c r="BO189" s="706"/>
      <c r="BP189" s="687"/>
      <c r="BQ189" s="687"/>
      <c r="BS189" s="706"/>
      <c r="BT189" s="687"/>
      <c r="BU189" s="687"/>
      <c r="BW189" s="706"/>
      <c r="BX189" s="687"/>
      <c r="BY189" s="687"/>
      <c r="CA189" s="706"/>
      <c r="CB189" s="687"/>
      <c r="CC189" s="687"/>
      <c r="CE189" s="706"/>
      <c r="CF189" s="687"/>
      <c r="CG189" s="687"/>
      <c r="CI189" s="706"/>
      <c r="CJ189" s="687"/>
      <c r="CK189" s="687"/>
      <c r="CM189" s="706"/>
      <c r="CN189" s="687"/>
      <c r="CO189" s="687"/>
      <c r="CQ189" s="706"/>
      <c r="CR189" s="687"/>
      <c r="CS189" s="687"/>
      <c r="CU189" s="706"/>
      <c r="CV189" s="687"/>
      <c r="CW189" s="687"/>
      <c r="CY189" s="706"/>
      <c r="CZ189" s="687"/>
      <c r="DA189" s="687"/>
      <c r="DD189" s="687"/>
      <c r="DE189" s="687"/>
      <c r="DH189" s="687"/>
      <c r="DI189" s="687"/>
      <c r="DL189" s="687"/>
      <c r="DM189" s="687"/>
      <c r="DQ189" s="687"/>
      <c r="DR189" s="687"/>
      <c r="DV189" s="687"/>
      <c r="DW189" s="687"/>
      <c r="EA189" s="687"/>
      <c r="EB189" s="687"/>
      <c r="EF189" s="687"/>
      <c r="EG189" s="687"/>
      <c r="EK189" s="687"/>
      <c r="EL189" s="687"/>
      <c r="EM189" s="687"/>
      <c r="EN189" s="687"/>
      <c r="EO189" s="687"/>
      <c r="EP189" s="687"/>
      <c r="EQ189" s="687"/>
      <c r="ER189" s="687"/>
      <c r="ES189" s="687"/>
      <c r="ET189" s="687"/>
      <c r="EU189" s="687"/>
      <c r="EV189" s="687"/>
      <c r="EW189" s="805"/>
      <c r="EX189" s="805"/>
    </row>
    <row r="190" spans="1:154">
      <c r="A190" s="819" t="s">
        <v>140</v>
      </c>
      <c r="C190" s="579">
        <f>ROUND((C160-3)/C220,2)</f>
        <v>0.54</v>
      </c>
      <c r="D190" s="888" t="s">
        <v>147</v>
      </c>
      <c r="E190" s="869"/>
      <c r="G190" s="579">
        <f>ROUND((G160-3)/G220,2)</f>
        <v>0.56999999999999995</v>
      </c>
      <c r="H190" s="878">
        <f>(G190/C190-1)*100</f>
        <v>5.5555555555555358</v>
      </c>
      <c r="I190" s="869"/>
      <c r="K190" s="579">
        <f>ROUND((K160-1)/K220,2)</f>
        <v>0.31</v>
      </c>
      <c r="L190" s="878">
        <f>(K190/G190-1)*100</f>
        <v>-45.614035087719294</v>
      </c>
      <c r="M190" s="869"/>
      <c r="O190" s="579">
        <f>ROUND((O160-3)/O220,2)</f>
        <v>0.52</v>
      </c>
      <c r="P190" s="878">
        <f>(O190/K190-1)*100</f>
        <v>67.741935483870975</v>
      </c>
      <c r="Q190" s="869"/>
      <c r="S190" s="579">
        <f>ROUND((S160-3)/S220,2)</f>
        <v>0.65</v>
      </c>
      <c r="T190" s="878">
        <f>(S190/O190-1)*100</f>
        <v>25</v>
      </c>
      <c r="U190" s="869"/>
      <c r="W190" s="579">
        <f>ROUND((W160-3)/W220,2)</f>
        <v>0.84</v>
      </c>
      <c r="X190" s="878">
        <f>(W190/S190-1)*100</f>
        <v>29.230769230769216</v>
      </c>
      <c r="Y190" s="869"/>
      <c r="AA190" s="579">
        <f>ROUND((AA160-3)/AA220,2)</f>
        <v>0.61</v>
      </c>
      <c r="AB190" s="878">
        <f>(AA190/W190-1)*100</f>
        <v>-27.380952380952383</v>
      </c>
      <c r="AC190" s="869"/>
      <c r="AE190" s="579"/>
      <c r="AI190" s="579">
        <f>ROUND((AI160-2)/AI220,2)</f>
        <v>0.56999999999999995</v>
      </c>
      <c r="AJ190" s="878">
        <f>(AI190/AA190-1)*100</f>
        <v>-6.5573770491803351</v>
      </c>
      <c r="AK190" s="869"/>
      <c r="AM190" s="579">
        <f>ROUND((AM160-0)/AM220,2)</f>
        <v>0.53</v>
      </c>
      <c r="AN190" s="878">
        <f>(AM190/AI190-1)*100</f>
        <v>-7.0175438596491109</v>
      </c>
      <c r="AO190" s="869"/>
      <c r="AQ190" s="579">
        <f>ROUND((AQ160-0)/AQ220,2)</f>
        <v>0.64</v>
      </c>
      <c r="AR190" s="878">
        <f>(AQ190/AM190-1)*100</f>
        <v>20.75471698113207</v>
      </c>
      <c r="AS190" s="869"/>
      <c r="AU190" s="579">
        <f>ROUND((AU160-0)/AU220,2)</f>
        <v>0.48</v>
      </c>
      <c r="AV190" s="878">
        <f>(AU190/AQ190-1)*100</f>
        <v>-25</v>
      </c>
      <c r="AW190" s="869"/>
      <c r="AY190" s="579">
        <f>ROUND((AY160-8)/AY220,2)</f>
        <v>0.13</v>
      </c>
      <c r="AZ190" s="878">
        <f>(AY190/AU190-1)*100</f>
        <v>-72.916666666666657</v>
      </c>
      <c r="BA190" s="869"/>
      <c r="BC190" s="579">
        <f>ROUND((BC160-0)/BC220,2)</f>
        <v>0.11</v>
      </c>
      <c r="BD190" s="878">
        <f>(BC190/AY190-1)*100</f>
        <v>-15.384615384615385</v>
      </c>
      <c r="BE190" s="869"/>
      <c r="BG190" s="579">
        <f>ROUND((BG160-7)/BG220,2)</f>
        <v>0.28999999999999998</v>
      </c>
      <c r="BH190" s="878">
        <f>(BG190/BC190-1)*100</f>
        <v>163.63636363636363</v>
      </c>
      <c r="BI190" s="869"/>
      <c r="BK190" s="579">
        <f>ROUND((BK160-8)/BK220,2)</f>
        <v>0.18</v>
      </c>
      <c r="BL190" s="878">
        <f>(BK190/AY190-1)*100</f>
        <v>38.46153846153846</v>
      </c>
      <c r="BM190" s="869"/>
      <c r="BO190" s="579">
        <f>ROUND((BO160-7)/BO220,2)</f>
        <v>0.2</v>
      </c>
      <c r="BP190" s="878">
        <f>(BO190/BK190-1)*100</f>
        <v>11.111111111111116</v>
      </c>
      <c r="BQ190" s="869"/>
      <c r="BS190" s="579">
        <f>ROUND((BS160-7)/BS220,2)</f>
        <v>0.06</v>
      </c>
      <c r="BT190" s="878">
        <f>(BS190/BO190-1)*100</f>
        <v>-70</v>
      </c>
      <c r="BU190" s="869"/>
      <c r="BW190" s="579">
        <f>ROUND((BW$160-1)/BW$220,2)</f>
        <v>0.38</v>
      </c>
      <c r="BX190" s="878">
        <f>(BW190/BS190-1)*100</f>
        <v>533.33333333333337</v>
      </c>
      <c r="BY190" s="869"/>
      <c r="CA190" s="579">
        <f>CA$160/CA$220</f>
        <v>0.62540363064065341</v>
      </c>
      <c r="CB190" s="878">
        <f>(CA190/BW190-1)*100</f>
        <v>64.579902800171936</v>
      </c>
      <c r="CC190" s="869"/>
      <c r="CE190" s="579">
        <f>CE$160/CE$220</f>
        <v>0.89880630992163668</v>
      </c>
      <c r="CF190" s="878">
        <f>(CE190/CA190-1)*100</f>
        <v>43.716196370800397</v>
      </c>
      <c r="CG190" s="869"/>
      <c r="CI190" s="579">
        <f>CI$160/CI$220</f>
        <v>1.0358391608391608</v>
      </c>
      <c r="CJ190" s="878">
        <f>(CI190/CE190-1)*100</f>
        <v>15.246093558185137</v>
      </c>
      <c r="CK190" s="869"/>
      <c r="CM190" s="579">
        <f>CM$160/CM$220</f>
        <v>0.53811659192825112</v>
      </c>
      <c r="CN190" s="878">
        <f>(CM190/CI190-1)*100</f>
        <v>-48.050178804563771</v>
      </c>
      <c r="CO190" s="869"/>
      <c r="CQ190" s="579">
        <f>CQ$160/CQ$220</f>
        <v>0.1122586439155815</v>
      </c>
      <c r="CR190" s="878">
        <f t="shared" ref="CR190:CR196" si="687">(CQ190/CM190-1)*100</f>
        <v>-79.138602005687758</v>
      </c>
      <c r="CS190" s="869"/>
      <c r="CU190" s="579">
        <f>CU$160/CU$220</f>
        <v>0.25252525252525254</v>
      </c>
      <c r="CV190" s="878">
        <f>(CU190/CQ190-1)*100</f>
        <v>124.94949494949496</v>
      </c>
      <c r="CW190" s="869"/>
      <c r="CY190" s="579">
        <f>CY$160/CY$220+9*(1-0.38)/CY$220</f>
        <v>0.3003021148036254</v>
      </c>
      <c r="CZ190" s="878">
        <f>(CY190/CU190-1)*100</f>
        <v>18.919637462235638</v>
      </c>
      <c r="DA190" s="869"/>
      <c r="DC190" s="579">
        <f>DC$160/DC$220+((76+53)-30-21)/DC220</f>
        <v>-0.3893724232707283</v>
      </c>
      <c r="DD190" s="878">
        <f>(DC190/CY190-1)*100</f>
        <v>-229.66023350363284</v>
      </c>
      <c r="DE190" s="869"/>
      <c r="DG190" s="579">
        <f>DG160/DG220+(DG130-13)/DG220</f>
        <v>-1.3142337426102773</v>
      </c>
      <c r="DH190" s="878">
        <f>(DG190/DC190-1)*100</f>
        <v>237.5261482492042</v>
      </c>
      <c r="DI190" s="906"/>
      <c r="DK190" s="579">
        <f>((DK140+DK40+DK140-DK150-12-6))/DK220</f>
        <v>-2.3573770491803279</v>
      </c>
      <c r="DL190" s="878">
        <f>(DK190/DG190-1)*100</f>
        <v>79.372738101991061</v>
      </c>
      <c r="DM190" s="906"/>
      <c r="DP190" s="579">
        <f>DP160/DP220+(DP130*(1-DQ150%))/DP220</f>
        <v>-0.46072013093289688</v>
      </c>
      <c r="DQ190" s="878">
        <f>(DP190/DK190-1)*100</f>
        <v>-80.456239230245686</v>
      </c>
      <c r="DR190" s="906"/>
      <c r="DU190" s="579">
        <f>DU160/DU220</f>
        <v>-0.22135416666666669</v>
      </c>
      <c r="DV190" s="878">
        <f>(DU190/DP190-1)*100</f>
        <v>-51.954743931320301</v>
      </c>
      <c r="DW190" s="906"/>
      <c r="DZ190" s="579">
        <f>DZ160/DZ220</f>
        <v>6.1369509043927642E-2</v>
      </c>
      <c r="EA190" s="878">
        <f>(DZ190/DU190-1)*100</f>
        <v>-127.72457820337438</v>
      </c>
      <c r="EB190" s="906"/>
      <c r="EE190" s="579">
        <f>EE160/EE220</f>
        <v>-0.17555392244119497</v>
      </c>
      <c r="EF190" s="878">
        <f>(EE190/DZ190-1)*100</f>
        <v>-386.06049677786302</v>
      </c>
      <c r="EG190" s="906"/>
      <c r="EK190" s="687"/>
      <c r="EL190" s="687"/>
      <c r="EM190" s="687"/>
      <c r="EN190" s="687"/>
      <c r="EO190" s="687"/>
      <c r="EP190" s="869"/>
      <c r="EQ190" s="869"/>
      <c r="ER190" s="869"/>
      <c r="ES190" s="869"/>
      <c r="ET190" s="869"/>
      <c r="EU190" s="869"/>
      <c r="EV190" s="869"/>
      <c r="EW190" s="805"/>
      <c r="EX190" s="805"/>
    </row>
    <row r="191" spans="1:154">
      <c r="A191" s="819" t="s">
        <v>141</v>
      </c>
      <c r="C191" s="804">
        <f>ROUND((C161-3)/C221,2)</f>
        <v>0.36</v>
      </c>
      <c r="D191" s="888" t="s">
        <v>147</v>
      </c>
      <c r="E191" s="869"/>
      <c r="G191" s="804">
        <f>ROUND((G161-3)/G221,2)</f>
        <v>0.31</v>
      </c>
      <c r="H191" s="878">
        <f t="shared" ref="H191:H196" si="688">(G191/C191-1)*100</f>
        <v>-13.888888888888884</v>
      </c>
      <c r="I191" s="869"/>
      <c r="K191" s="804">
        <f>ROUND((K161-5)/K221,2)</f>
        <v>0.1</v>
      </c>
      <c r="L191" s="878">
        <f t="shared" ref="L191:L196" si="689">(K191/G191-1)*100</f>
        <v>-67.741935483870961</v>
      </c>
      <c r="M191" s="869"/>
      <c r="O191" s="804">
        <f>ROUND((O161+1)/O221,2)</f>
        <v>0.31</v>
      </c>
      <c r="P191" s="878">
        <f t="shared" ref="P191:P196" si="690">(O191/K191-1)*100</f>
        <v>209.99999999999997</v>
      </c>
      <c r="Q191" s="869"/>
      <c r="S191" s="804">
        <f>ROUND((S161-3)/S221,2)</f>
        <v>0.42</v>
      </c>
      <c r="T191" s="878">
        <f t="shared" ref="T191:T196" si="691">(S191/O191-1)*100</f>
        <v>35.483870967741929</v>
      </c>
      <c r="U191" s="869"/>
      <c r="W191" s="804">
        <f>ROUND((W161-1)/W221,2)</f>
        <v>0.51</v>
      </c>
      <c r="X191" s="878">
        <f t="shared" ref="X191:X196" si="692">(W191/S191-1)*100</f>
        <v>21.428571428571441</v>
      </c>
      <c r="Y191" s="869"/>
      <c r="AA191" s="804">
        <f>ROUND((AA161-1)/AA221,2)</f>
        <v>0.46</v>
      </c>
      <c r="AB191" s="878">
        <f t="shared" ref="AB191:AB196" si="693">(AA191/W191-1)*100</f>
        <v>-9.8039215686274499</v>
      </c>
      <c r="AC191" s="869"/>
      <c r="AE191" s="804"/>
      <c r="AI191" s="804">
        <f>ROUND((AI161-2)/AI221,2)</f>
        <v>0.37</v>
      </c>
      <c r="AJ191" s="878">
        <f t="shared" ref="AJ191:AJ196" si="694">(AI191/AA191-1)*100</f>
        <v>-19.565217391304358</v>
      </c>
      <c r="AK191" s="869"/>
      <c r="AM191" s="804">
        <f>ROUND((AM161-0)/AM221,2)</f>
        <v>0.38</v>
      </c>
      <c r="AN191" s="878">
        <f t="shared" ref="AN191:AN196" si="695">(AM191/AI191-1)*100</f>
        <v>2.7027027027026973</v>
      </c>
      <c r="AO191" s="869"/>
      <c r="AQ191" s="804">
        <f>ROUND((AQ161-0)/AQ221,2)</f>
        <v>0.35</v>
      </c>
      <c r="AR191" s="878">
        <f t="shared" ref="AR191:AR196" si="696">(AQ191/AM191-1)*100</f>
        <v>-7.8947368421052655</v>
      </c>
      <c r="AS191" s="869"/>
      <c r="AU191" s="804">
        <f>ROUND((AU161-6)/AU221,2)</f>
        <v>0.24</v>
      </c>
      <c r="AV191" s="878">
        <f t="shared" ref="AV191:AV196" si="697">(AU191/AQ191-1)*100</f>
        <v>-31.428571428571427</v>
      </c>
      <c r="AW191" s="869"/>
      <c r="AY191" s="804">
        <f>ROUND((AY161-8)/AY221,2)</f>
        <v>-0.14000000000000001</v>
      </c>
      <c r="AZ191" s="878">
        <f t="shared" ref="AZ191:AZ196" si="698">(AY191/AU191-1)*100</f>
        <v>-158.33333333333334</v>
      </c>
      <c r="BA191" s="869"/>
      <c r="BC191" s="804">
        <f>ROUND((BC161-8)/BC221,2)</f>
        <v>-0.19</v>
      </c>
      <c r="BD191" s="878">
        <f t="shared" ref="BD191:BD196" si="699">(BC191/AY191-1)*100</f>
        <v>35.714285714285701</v>
      </c>
      <c r="BE191" s="869"/>
      <c r="BG191" s="804">
        <f>ROUND((BG161-7)/BG221,2)</f>
        <v>-0.05</v>
      </c>
      <c r="BH191" s="878">
        <f t="shared" ref="BH191:BH196" si="700">(BG191/BC191-1)*100</f>
        <v>-73.684210526315795</v>
      </c>
      <c r="BI191" s="869"/>
      <c r="BK191" s="804">
        <f>ROUND((BK161-7)/BK221,2)</f>
        <v>-0.14000000000000001</v>
      </c>
      <c r="BL191" s="878">
        <f t="shared" ref="BL191:BL196" si="701">(BK191/AY191-1)*100</f>
        <v>0</v>
      </c>
      <c r="BM191" s="869"/>
      <c r="BO191" s="804">
        <f>ROUND((BO161-7)/BO221,2)</f>
        <v>-0.1</v>
      </c>
      <c r="BP191" s="878">
        <f t="shared" ref="BP191:BP196" si="702">(BO191/BK191-1)*100</f>
        <v>-28.571428571428569</v>
      </c>
      <c r="BQ191" s="869"/>
      <c r="BS191" s="804">
        <f>ROUND((BS161-6)/BS221,2)</f>
        <v>-0.04</v>
      </c>
      <c r="BT191" s="878">
        <f t="shared" ref="BT191:BT196" si="703">(BS191/BO191-1)*100</f>
        <v>-60.000000000000007</v>
      </c>
      <c r="BU191" s="869"/>
      <c r="BW191" s="804">
        <f>ROUND((BW$161-5)/BW$221,2)</f>
        <v>0.22</v>
      </c>
      <c r="BX191" s="878">
        <f t="shared" ref="BX191:BX196" si="704">(BW191/BS191-1)*100</f>
        <v>-650</v>
      </c>
      <c r="BY191" s="869"/>
      <c r="CA191" s="804">
        <f>CA$161/CA$221</f>
        <v>0.46124763705103972</v>
      </c>
      <c r="CB191" s="878">
        <f t="shared" ref="CB191:CB196" si="705">(CA191/BW191-1)*100</f>
        <v>109.65801684138169</v>
      </c>
      <c r="CC191" s="869"/>
      <c r="CE191" s="804">
        <f>CE$161/CE$221-0.002</f>
        <v>0.74991163976210706</v>
      </c>
      <c r="CF191" s="878">
        <f t="shared" ref="CF191:CF196" si="706">(CE191/CA191-1)*100</f>
        <v>62.583302227112547</v>
      </c>
      <c r="CG191" s="869"/>
      <c r="CI191" s="804">
        <f>CI$161/CI$221</f>
        <v>0.7726142920550384</v>
      </c>
      <c r="CJ191" s="878">
        <f t="shared" ref="CJ191:CJ196" si="707">(CI191/CE191-1)*100</f>
        <v>3.0273769720567723</v>
      </c>
      <c r="CK191" s="869"/>
      <c r="CM191" s="804">
        <f>CM$161/CM$221</f>
        <v>0.52044618834080847</v>
      </c>
      <c r="CN191" s="878">
        <f t="shared" ref="CN191:CN196" si="708">(CM191/CI191-1)*100</f>
        <v>-32.638291357968605</v>
      </c>
      <c r="CO191" s="869"/>
      <c r="CQ191" s="804">
        <f>CQ$161/CQ$221</f>
        <v>-2.6432848588537209E-3</v>
      </c>
      <c r="CR191" s="878">
        <f t="shared" si="687"/>
        <v>-100.50788821554839</v>
      </c>
      <c r="CS191" s="869"/>
      <c r="CU191" s="804">
        <f>CU$161/CU$221</f>
        <v>5.8922558922558925E-2</v>
      </c>
      <c r="CV191" s="878">
        <f>(CU191/CQ191-1)*100</f>
        <v>-2329.1414686236694</v>
      </c>
      <c r="CW191" s="869"/>
      <c r="CY191" s="804">
        <f>CY$161/CY$221+23*(1-0.38)/CY$220</f>
        <v>0.1277569688598639</v>
      </c>
      <c r="CZ191" s="878">
        <f>(CY191/CU191-1)*100</f>
        <v>116.82182715074046</v>
      </c>
      <c r="DA191" s="869"/>
      <c r="DC191" s="804">
        <f>DC161/DC221+(DC131*(1-DD151%))/DC221</f>
        <v>-0.78614396140396114</v>
      </c>
      <c r="DD191" s="878">
        <f>(DC191/CY191-1)*100</f>
        <v>-715.34331036475919</v>
      </c>
      <c r="DG191" s="804">
        <f>DG161/DG221+(DG131+9-61)/DG221</f>
        <v>-2.164246823956443</v>
      </c>
      <c r="DH191" s="878">
        <f>(DG191/DC191-1)*100</f>
        <v>175.29904574873939</v>
      </c>
      <c r="DI191" s="869"/>
      <c r="DK191" s="804">
        <f>DK161/DK221+(DK131-4-9-43-5)/DK221</f>
        <v>-0.74803149606299213</v>
      </c>
      <c r="DL191" s="878">
        <f>(DK191/DG191-1)*100</f>
        <v>-65.436867561366157</v>
      </c>
      <c r="DM191" s="869"/>
      <c r="DP191" s="804">
        <f>DP161/DP221+(DP131*(1-DQ151%))/DP221</f>
        <v>-0.45112781954887221</v>
      </c>
      <c r="DQ191" s="878">
        <f>(DP191/DK191-1)*100</f>
        <v>-39.691333597150766</v>
      </c>
      <c r="DR191" s="869"/>
      <c r="DU191" s="804">
        <f>DU161/DU221</f>
        <v>-0.18181818181818182</v>
      </c>
      <c r="DV191" s="878">
        <f>(DU191/DP191-1)*100</f>
        <v>-59.696969696969695</v>
      </c>
      <c r="DW191" s="869"/>
      <c r="DZ191" s="804">
        <f>DZ161/DZ221</f>
        <v>-9.1698841698840239E-2</v>
      </c>
      <c r="EA191" s="878">
        <f>(DZ191/DU191-1)*100</f>
        <v>-49.565637065637866</v>
      </c>
      <c r="EB191" s="869"/>
      <c r="EE191" s="804">
        <f>EE161/EE221</f>
        <v>0.10002944691672021</v>
      </c>
      <c r="EF191" s="878">
        <f>(EE191/DZ191-1)*100</f>
        <v>-209.08474421655131</v>
      </c>
      <c r="EG191" s="869"/>
      <c r="EK191" s="687"/>
      <c r="EL191" s="687"/>
      <c r="EM191" s="687"/>
      <c r="EN191" s="687"/>
      <c r="EO191" s="687"/>
      <c r="EP191" s="869"/>
      <c r="EQ191" s="869"/>
      <c r="ER191" s="869"/>
      <c r="ES191" s="869"/>
      <c r="ET191" s="869"/>
      <c r="EU191" s="869"/>
      <c r="EV191" s="869"/>
      <c r="EW191" s="805"/>
      <c r="EX191" s="805"/>
    </row>
    <row r="192" spans="1:154">
      <c r="A192" s="819" t="s">
        <v>142</v>
      </c>
      <c r="C192" s="804">
        <f>ROUND((C162-5)/C222,2)</f>
        <v>0.76</v>
      </c>
      <c r="D192" s="888" t="s">
        <v>147</v>
      </c>
      <c r="E192" s="869"/>
      <c r="G192" s="804">
        <f>ROUND((G162-3)/G222,2)</f>
        <v>0.51</v>
      </c>
      <c r="H192" s="878">
        <f t="shared" si="688"/>
        <v>-32.894736842105267</v>
      </c>
      <c r="I192" s="869"/>
      <c r="K192" s="804">
        <f>ROUND((K162+1)/K222,2)</f>
        <v>0.46</v>
      </c>
      <c r="L192" s="878">
        <f t="shared" si="689"/>
        <v>-9.8039215686274499</v>
      </c>
      <c r="M192" s="869"/>
      <c r="O192" s="804">
        <f>ROUND((O162-4)/O222,2)</f>
        <v>0.7</v>
      </c>
      <c r="P192" s="878">
        <f t="shared" si="690"/>
        <v>52.173913043478251</v>
      </c>
      <c r="Q192" s="869"/>
      <c r="S192" s="804">
        <f>ROUND((S162-4)/S222,2)</f>
        <v>0.88</v>
      </c>
      <c r="T192" s="878">
        <f t="shared" si="691"/>
        <v>25.714285714285733</v>
      </c>
      <c r="U192" s="869"/>
      <c r="W192" s="804">
        <f>ROUND((W162-5)/W222,2)</f>
        <v>1.04</v>
      </c>
      <c r="X192" s="878">
        <f t="shared" si="692"/>
        <v>18.181818181818187</v>
      </c>
      <c r="Y192" s="869"/>
      <c r="AA192" s="804">
        <f>ROUND((AA162-3)/AA222,2)</f>
        <v>0.95</v>
      </c>
      <c r="AB192" s="878">
        <f t="shared" si="693"/>
        <v>-8.6538461538461569</v>
      </c>
      <c r="AC192" s="869"/>
      <c r="AE192" s="804"/>
      <c r="AI192" s="804">
        <f>ROUND((AI162-0)/AI222,2)</f>
        <v>1.03</v>
      </c>
      <c r="AJ192" s="878">
        <f t="shared" si="694"/>
        <v>8.4210526315789522</v>
      </c>
      <c r="AK192" s="869"/>
      <c r="AM192" s="804">
        <f>ROUND((AM162-0)/AM222,2)</f>
        <v>0.85</v>
      </c>
      <c r="AN192" s="878">
        <f t="shared" si="695"/>
        <v>-17.475728155339809</v>
      </c>
      <c r="AO192" s="869"/>
      <c r="AQ192" s="804">
        <f>ROUND((AQ162-0)/AQ222,2)</f>
        <v>0.68</v>
      </c>
      <c r="AR192" s="878">
        <f t="shared" si="696"/>
        <v>-19.999999999999996</v>
      </c>
      <c r="AS192" s="869"/>
      <c r="AU192" s="804">
        <f>ROUND((AU162-4)/AU222,2)</f>
        <v>0.34</v>
      </c>
      <c r="AV192" s="878">
        <f t="shared" si="697"/>
        <v>-50</v>
      </c>
      <c r="AW192" s="869"/>
      <c r="AY192" s="804">
        <f>ROUND((AY162-6)/AY222,2)</f>
        <v>-0.23</v>
      </c>
      <c r="AZ192" s="878">
        <f t="shared" si="698"/>
        <v>-167.64705882352939</v>
      </c>
      <c r="BA192" s="869"/>
      <c r="BC192" s="804">
        <f>ROUND((BC162-8)/BC222,2)</f>
        <v>0.13</v>
      </c>
      <c r="BD192" s="878">
        <f t="shared" si="699"/>
        <v>-156.52173913043475</v>
      </c>
      <c r="BE192" s="869"/>
      <c r="BG192" s="804">
        <f>ROUND((BG162-0)/BG222,2)</f>
        <v>0.3</v>
      </c>
      <c r="BH192" s="878">
        <f t="shared" si="700"/>
        <v>130.76923076923075</v>
      </c>
      <c r="BI192" s="869"/>
      <c r="BK192" s="804">
        <f>ROUND((BK162-8)/BK222,2)</f>
        <v>0.18</v>
      </c>
      <c r="BL192" s="878">
        <f t="shared" si="701"/>
        <v>-178.26086956521738</v>
      </c>
      <c r="BM192" s="869"/>
      <c r="BO192" s="804">
        <v>0.23</v>
      </c>
      <c r="BP192" s="878">
        <f t="shared" si="702"/>
        <v>27.777777777777789</v>
      </c>
      <c r="BQ192" s="869"/>
      <c r="BS192" s="804">
        <f>ROUND((BS162+2)/BS222,2)</f>
        <v>0.32</v>
      </c>
      <c r="BT192" s="878">
        <f t="shared" si="703"/>
        <v>39.130434782608688</v>
      </c>
      <c r="BU192" s="869"/>
      <c r="BW192" s="804">
        <f>ROUND((BW$162+7)/BW$222,2)</f>
        <v>0.5</v>
      </c>
      <c r="BX192" s="878">
        <f t="shared" si="704"/>
        <v>56.25</v>
      </c>
      <c r="BY192" s="869"/>
      <c r="CA192" s="804">
        <f>CA$162/CA$222</f>
        <v>0.94127111826226872</v>
      </c>
      <c r="CB192" s="878">
        <f t="shared" si="705"/>
        <v>88.254223652453746</v>
      </c>
      <c r="CC192" s="869"/>
      <c r="CE192" s="804">
        <f>CE$162/CE$222</f>
        <v>1.2565905096660808</v>
      </c>
      <c r="CF192" s="878">
        <f t="shared" si="706"/>
        <v>33.499316539738324</v>
      </c>
      <c r="CG192" s="869"/>
      <c r="CI192" s="804">
        <f>CI$162/CI$222+0.002</f>
        <v>1.0212221725525257</v>
      </c>
      <c r="CJ192" s="878">
        <f t="shared" si="707"/>
        <v>-18.73071102344236</v>
      </c>
      <c r="CK192" s="869"/>
      <c r="CM192" s="804">
        <f>CM$162/CM$222</f>
        <v>0.53180072070507278</v>
      </c>
      <c r="CN192" s="878">
        <f t="shared" si="708"/>
        <v>-47.925071057177803</v>
      </c>
      <c r="CO192" s="869"/>
      <c r="CQ192" s="804">
        <f>CQ$162/CQ$222</f>
        <v>0.11363636363636363</v>
      </c>
      <c r="CR192" s="878">
        <f t="shared" si="687"/>
        <v>-78.631777052557936</v>
      </c>
      <c r="CS192" s="869"/>
      <c r="CU192" s="804">
        <f>CU$162/CU$222</f>
        <v>0.18502943650126155</v>
      </c>
      <c r="CV192" s="878">
        <f>(CU192/CQ192-1)*100</f>
        <v>62.825904121110177</v>
      </c>
      <c r="CW192" s="869"/>
      <c r="CY192" s="804">
        <f>CY$162/213.3+(265-98)/213.3</f>
        <v>0.11251758087201125</v>
      </c>
      <c r="CZ192" s="878">
        <f>(CY192/CU192-1)*100</f>
        <v>-39.189361974172101</v>
      </c>
      <c r="DA192" s="869"/>
      <c r="DC192" s="804">
        <f>DC162/DC222+(DC132*(1-DD152%))/DC222</f>
        <v>-0.99370536620770988</v>
      </c>
      <c r="DD192" s="878">
        <f>(DC192/CY192-1)*100</f>
        <v>-983.15564421710224</v>
      </c>
      <c r="DE192" s="869"/>
      <c r="DG192" s="804">
        <f>DG162/DG222+(DG132+10-24)/DG222</f>
        <v>-1.8149324861000795</v>
      </c>
      <c r="DH192" s="878">
        <f>(DG192/DC192-1)*100</f>
        <v>82.642918899233564</v>
      </c>
      <c r="DI192" s="869"/>
      <c r="DK192" s="804">
        <f>DK162/DK222+(DK132+1-2-86-6)/DK222</f>
        <v>-0.76973468719292493</v>
      </c>
      <c r="DL192" s="878">
        <f>(DK192/DG192-1)*100</f>
        <v>-57.588797760354815</v>
      </c>
      <c r="DM192" s="869"/>
      <c r="DP192" s="804">
        <f>DP162/DP222+(DP132*(1-DQ152%))/DP222</f>
        <v>-0.44771241830065361</v>
      </c>
      <c r="DQ192" s="878">
        <f>(DP192/DK192-1)*100</f>
        <v>-41.835488805451249</v>
      </c>
      <c r="DR192" s="869"/>
      <c r="DU192" s="804">
        <f>DU162/DU222</f>
        <v>-0.2173207914369121</v>
      </c>
      <c r="DV192" s="878">
        <f>(DU192/DP192-1)*100</f>
        <v>-51.459735635259051</v>
      </c>
      <c r="DW192" s="869"/>
      <c r="DZ192" s="804">
        <f>DZ162/DZ222</f>
        <v>-0.32676508344030802</v>
      </c>
      <c r="EA192" s="878">
        <f>(DZ192/DU192-1)*100</f>
        <v>50.36070929051786</v>
      </c>
      <c r="EB192" s="869"/>
      <c r="EE192" s="804">
        <f>EE162/EE222</f>
        <v>-0.13773852511125237</v>
      </c>
      <c r="EF192" s="878">
        <f>(EE192/DZ192-1)*100</f>
        <v>-57.847844799974226</v>
      </c>
      <c r="EG192" s="869"/>
      <c r="EK192" s="869"/>
      <c r="EL192" s="869"/>
      <c r="EM192" s="869"/>
      <c r="EN192" s="869"/>
      <c r="EO192" s="869"/>
      <c r="EP192" s="869"/>
      <c r="EQ192" s="869"/>
      <c r="ER192" s="869"/>
      <c r="ES192" s="869"/>
      <c r="ET192" s="869"/>
      <c r="EU192" s="869"/>
      <c r="EV192" s="869"/>
      <c r="EW192" s="805"/>
      <c r="EX192" s="805"/>
    </row>
    <row r="193" spans="1:158">
      <c r="A193" s="819" t="s">
        <v>143</v>
      </c>
      <c r="C193" s="908">
        <f>ROUND((C163-10)/C223,2)</f>
        <v>1.34</v>
      </c>
      <c r="D193" s="888" t="s">
        <v>147</v>
      </c>
      <c r="E193" s="869"/>
      <c r="G193" s="908">
        <f>ROUND((G163-8)/G223,2)</f>
        <v>0.77</v>
      </c>
      <c r="H193" s="878">
        <f t="shared" si="688"/>
        <v>-42.537313432835823</v>
      </c>
      <c r="I193" s="869"/>
      <c r="K193" s="908">
        <f>ROUND((K163-6)/K223,2)</f>
        <v>1.1499999999999999</v>
      </c>
      <c r="L193" s="878">
        <f t="shared" si="689"/>
        <v>49.350649350649348</v>
      </c>
      <c r="M193" s="869"/>
      <c r="O193" s="908">
        <f>ROUND((O163-7)/O223,2)</f>
        <v>1.42</v>
      </c>
      <c r="P193" s="878">
        <f t="shared" si="690"/>
        <v>23.478260869565215</v>
      </c>
      <c r="Q193" s="869"/>
      <c r="S193" s="908">
        <f>ROUND((S163-7)/S223,2)</f>
        <v>1.65</v>
      </c>
      <c r="T193" s="878">
        <f t="shared" si="691"/>
        <v>16.197183098591552</v>
      </c>
      <c r="U193" s="869"/>
      <c r="W193" s="908">
        <f>ROUND((W163-5)/W223,2)</f>
        <v>1.66</v>
      </c>
      <c r="X193" s="878">
        <f t="shared" si="692"/>
        <v>0.60606060606060996</v>
      </c>
      <c r="Y193" s="869"/>
      <c r="AA193" s="908">
        <f>ROUND((AA163-3)/AA223,2)</f>
        <v>1.31</v>
      </c>
      <c r="AB193" s="878">
        <f t="shared" si="693"/>
        <v>-21.084337349397586</v>
      </c>
      <c r="AC193" s="869"/>
      <c r="AE193" s="908"/>
      <c r="AI193" s="908">
        <f>ROUND((AI163-0)/AI223,2)</f>
        <v>1.2</v>
      </c>
      <c r="AJ193" s="878">
        <f t="shared" si="694"/>
        <v>-8.3969465648855</v>
      </c>
      <c r="AK193" s="869"/>
      <c r="AM193" s="908">
        <f>ROUND((AM163-0)/AM223,2)</f>
        <v>1.21</v>
      </c>
      <c r="AN193" s="878">
        <f t="shared" si="695"/>
        <v>0.83333333333333037</v>
      </c>
      <c r="AO193" s="869"/>
      <c r="AQ193" s="908">
        <f>ROUND((AQ163-0)/AQ223,2)</f>
        <v>0.72</v>
      </c>
      <c r="AR193" s="878">
        <f t="shared" si="696"/>
        <v>-40.495867768595041</v>
      </c>
      <c r="AS193" s="869"/>
      <c r="AU193" s="908">
        <f>ROUND((AU163-0)/AU223,2)</f>
        <v>0.3</v>
      </c>
      <c r="AV193" s="878">
        <f t="shared" si="697"/>
        <v>-58.333333333333329</v>
      </c>
      <c r="AW193" s="869"/>
      <c r="AY193" s="908">
        <f>ROUND((AY163-8)/AY223,2)</f>
        <v>-0.17</v>
      </c>
      <c r="AZ193" s="878">
        <f t="shared" si="698"/>
        <v>-156.66666666666669</v>
      </c>
      <c r="BA193" s="869"/>
      <c r="BC193" s="908">
        <f>ROUND((BC163-8)/BC223,2)</f>
        <v>0.35</v>
      </c>
      <c r="BD193" s="878">
        <f t="shared" si="699"/>
        <v>-305.88235294117646</v>
      </c>
      <c r="BE193" s="869"/>
      <c r="BG193" s="908">
        <f>ROUND((BG163+7)/BG223,2)</f>
        <v>0.68</v>
      </c>
      <c r="BH193" s="878">
        <f t="shared" si="700"/>
        <v>94.285714285714306</v>
      </c>
      <c r="BI193" s="869"/>
      <c r="BK193" s="908">
        <f>ROUND((BK163-5)/BK223,2)</f>
        <v>0.34</v>
      </c>
      <c r="BL193" s="878">
        <f t="shared" si="701"/>
        <v>-300</v>
      </c>
      <c r="BM193" s="869"/>
      <c r="BO193" s="908">
        <v>0.57999999999999996</v>
      </c>
      <c r="BP193" s="878">
        <f t="shared" si="702"/>
        <v>70.588235294117624</v>
      </c>
      <c r="BQ193" s="869"/>
      <c r="BS193" s="908">
        <f>ROUND((BS163+4)/BS223,2)</f>
        <v>0.81</v>
      </c>
      <c r="BT193" s="878">
        <f t="shared" si="703"/>
        <v>39.655172413793125</v>
      </c>
      <c r="BU193" s="869"/>
      <c r="BW193" s="908">
        <f>ROUND((BW$163+0)/BW$223,2)</f>
        <v>1.1399999999999999</v>
      </c>
      <c r="BX193" s="878">
        <f t="shared" si="704"/>
        <v>40.740740740740719</v>
      </c>
      <c r="BY193" s="869"/>
      <c r="CA193" s="908">
        <f>CA$163/CA$223</f>
        <v>1.7060664112388242</v>
      </c>
      <c r="CB193" s="878">
        <f t="shared" si="705"/>
        <v>49.654948354282837</v>
      </c>
      <c r="CC193" s="869"/>
      <c r="CE193" s="908">
        <f>CE$163/CE$223</f>
        <v>2.0183887915936953</v>
      </c>
      <c r="CF193" s="878">
        <f t="shared" si="706"/>
        <v>18.306578120138049</v>
      </c>
      <c r="CG193" s="869"/>
      <c r="CI193" s="908">
        <f>CI$163/CI$223</f>
        <v>1.933602512337371</v>
      </c>
      <c r="CJ193" s="878">
        <f t="shared" si="707"/>
        <v>-4.2006911458014056</v>
      </c>
      <c r="CK193" s="869"/>
      <c r="CM193" s="908">
        <f>CM$163/CM$223</f>
        <v>0.93441150044923638</v>
      </c>
      <c r="CN193" s="878">
        <f t="shared" si="708"/>
        <v>-51.675098967486122</v>
      </c>
      <c r="CO193" s="869"/>
      <c r="CQ193" s="908">
        <f>CQ$163/CQ$223</f>
        <v>0.83522966708807411</v>
      </c>
      <c r="CR193" s="878">
        <f t="shared" si="687"/>
        <v>-10.614363512593616</v>
      </c>
      <c r="CS193" s="869"/>
      <c r="CU193" s="908">
        <f>CU$163/CU$223</f>
        <v>1.1735564853556486</v>
      </c>
      <c r="CV193" s="878">
        <f>(CU193/CQ193-1)*100</f>
        <v>40.507040350603148</v>
      </c>
      <c r="CW193" s="869"/>
      <c r="CY193" s="908">
        <f>CY$163/CY$223+(119+207*(1-0.39))/CY223</f>
        <v>0.74061768834815145</v>
      </c>
      <c r="CZ193" s="878">
        <f>(CY193/CU193-1)*100</f>
        <v>-36.891176727321671</v>
      </c>
      <c r="DA193" s="869"/>
      <c r="DC193" s="908">
        <f>DC163/DC223+(DC133-12)/DC223</f>
        <v>-2.4373576309794989</v>
      </c>
      <c r="DD193" s="878">
        <f>(DC193/CY193-1)*100</f>
        <v>-429.09795017395533</v>
      </c>
      <c r="DE193" s="869"/>
      <c r="DG193" s="908">
        <f>DG163/DG223+(DG133+25-46-270)/DG223</f>
        <v>-0.67563135454247303</v>
      </c>
      <c r="DH193" s="878">
        <f>(DG193/DC193-1)*100</f>
        <v>-72.280171528584532</v>
      </c>
      <c r="DI193" s="869"/>
      <c r="DK193" s="908">
        <f>((DK143+DK43+DK143-DK153-12-6))/DK223</f>
        <v>-0.39305601048149358</v>
      </c>
      <c r="DL193" s="878">
        <f>(DK193/DG193-1)*100</f>
        <v>-41.823894370967295</v>
      </c>
      <c r="DM193" s="869"/>
      <c r="DP193" s="908">
        <f>DP163/DP223+(DP133*(1-DQ153%))/DP223</f>
        <v>-0.29270435830488051</v>
      </c>
      <c r="DQ193" s="878">
        <f>(DP193/DK193-1)*100</f>
        <v>-25.531132841266647</v>
      </c>
      <c r="DR193" s="869"/>
      <c r="DU193" s="908">
        <f>DU163/DU223</f>
        <v>0.6118546845124283</v>
      </c>
      <c r="DV193" s="878">
        <f>(DU193/DP193-1)*100</f>
        <v>-309.03504411612522</v>
      </c>
      <c r="DW193" s="579"/>
      <c r="DZ193" s="712">
        <f>DZ163/DZ223</f>
        <v>0.56897647806738716</v>
      </c>
      <c r="EA193" s="878">
        <f>(DZ193/DU193-1)*100</f>
        <v>-7.007906865861413</v>
      </c>
      <c r="EB193" s="579"/>
      <c r="EE193" s="712">
        <f>EE163/EE223</f>
        <v>0.28421130324221189</v>
      </c>
      <c r="EF193" s="878">
        <f>(EE193/DZ193-1)*100</f>
        <v>-50.048672625698408</v>
      </c>
      <c r="EG193" s="579"/>
      <c r="EK193" s="869"/>
      <c r="EL193" s="869"/>
      <c r="EM193" s="869"/>
      <c r="EN193" s="869"/>
      <c r="EO193" s="869"/>
      <c r="EP193" s="869"/>
      <c r="EQ193" s="869"/>
      <c r="ER193" s="869"/>
      <c r="ES193" s="869"/>
      <c r="ET193" s="869"/>
      <c r="EU193" s="869"/>
      <c r="EV193" s="869"/>
      <c r="EW193" s="805"/>
      <c r="EX193" s="805"/>
    </row>
    <row r="194" spans="1:158">
      <c r="A194" s="819" t="s">
        <v>144</v>
      </c>
      <c r="C194" s="579">
        <f>ROUND((C$164-21)/C$224,2)</f>
        <v>3</v>
      </c>
      <c r="D194" s="888" t="s">
        <v>147</v>
      </c>
      <c r="E194" s="869"/>
      <c r="G194" s="579">
        <f>ROUND((G$164-16)/G$224,2)</f>
        <v>2.16</v>
      </c>
      <c r="H194" s="878">
        <f t="shared" si="688"/>
        <v>-27.999999999999993</v>
      </c>
      <c r="I194" s="869"/>
      <c r="K194" s="579">
        <f>ROUND((K$164-10)/K$224,2)</f>
        <v>2.02</v>
      </c>
      <c r="L194" s="878">
        <f t="shared" si="689"/>
        <v>-6.4814814814814881</v>
      </c>
      <c r="M194" s="869"/>
      <c r="O194" s="579">
        <f>ROUND((O$164-13)/O$224,2)</f>
        <v>2.95</v>
      </c>
      <c r="P194" s="878">
        <f t="shared" si="690"/>
        <v>46.039603960396036</v>
      </c>
      <c r="Q194" s="869"/>
      <c r="S194" s="579">
        <f>ROUND((S$164-17)/S$224,2)</f>
        <v>3.6</v>
      </c>
      <c r="T194" s="878">
        <f t="shared" si="691"/>
        <v>22.033898305084733</v>
      </c>
      <c r="U194" s="869"/>
      <c r="W194" s="579">
        <f>ROUND((W$164-10)/W$224,2)</f>
        <v>4.05</v>
      </c>
      <c r="X194" s="878">
        <f t="shared" si="692"/>
        <v>12.5</v>
      </c>
      <c r="Y194" s="869"/>
      <c r="AA194" s="579">
        <f>ROUND((AA$164-8.5)/AA$224,2)</f>
        <v>3.33</v>
      </c>
      <c r="AB194" s="878">
        <f t="shared" si="693"/>
        <v>-17.777777777777771</v>
      </c>
      <c r="AC194" s="869"/>
      <c r="AE194" s="579"/>
      <c r="AI194" s="579">
        <f>ROUND((AI$164-5)/AI$224,2)</f>
        <v>3.17</v>
      </c>
      <c r="AJ194" s="878">
        <f t="shared" si="694"/>
        <v>-4.8048048048048075</v>
      </c>
      <c r="AK194" s="869"/>
      <c r="AM194" s="579">
        <f>ROUND((AM$164-0)/AM$224,2)</f>
        <v>2.97</v>
      </c>
      <c r="AN194" s="878">
        <f t="shared" si="695"/>
        <v>-6.3091482649842217</v>
      </c>
      <c r="AO194" s="869"/>
      <c r="AQ194" s="579">
        <f>ROUND((AQ$164-0)/AQ$224,2)</f>
        <v>2.39</v>
      </c>
      <c r="AR194" s="878">
        <f t="shared" si="696"/>
        <v>-19.528619528619529</v>
      </c>
      <c r="AS194" s="869"/>
      <c r="AU194" s="579">
        <f>ROUND((AU$164-10)/AU$224,2)</f>
        <v>1.36</v>
      </c>
      <c r="AV194" s="878">
        <f t="shared" si="697"/>
        <v>-43.096234309623426</v>
      </c>
      <c r="AW194" s="869"/>
      <c r="AY194" s="579">
        <f>ROUND((AY$164-34)/AY$224,2)</f>
        <v>-0.44</v>
      </c>
      <c r="AZ194" s="878">
        <f t="shared" si="698"/>
        <v>-132.35294117647058</v>
      </c>
      <c r="BA194" s="869"/>
      <c r="BC194" s="579">
        <f>ROUND((BC$164-36)/BC$224,2)</f>
        <v>0.39</v>
      </c>
      <c r="BD194" s="878">
        <f t="shared" si="699"/>
        <v>-188.63636363636363</v>
      </c>
      <c r="BE194" s="869"/>
      <c r="BG194" s="579">
        <f>ROUND((BG$164-14)/BG$224,2)</f>
        <v>1.22</v>
      </c>
      <c r="BH194" s="878">
        <f t="shared" si="700"/>
        <v>212.82051282051282</v>
      </c>
      <c r="BI194" s="869"/>
      <c r="BK194" s="579">
        <f>ROUND((BK$164-30)/BK$224,2)</f>
        <v>0.57999999999999996</v>
      </c>
      <c r="BL194" s="878">
        <f t="shared" si="701"/>
        <v>-231.81818181818184</v>
      </c>
      <c r="BM194" s="869"/>
      <c r="BO194" s="579">
        <f>ROUND((BO$164-8)/BO$224,2)</f>
        <v>0.94</v>
      </c>
      <c r="BP194" s="878">
        <f t="shared" si="702"/>
        <v>62.068965517241395</v>
      </c>
      <c r="BQ194" s="869"/>
      <c r="BS194" s="579">
        <f>ROUND((BS$164+22-25.3)/BS$224,2)</f>
        <v>1.2</v>
      </c>
      <c r="BT194" s="878">
        <f t="shared" si="703"/>
        <v>27.659574468085111</v>
      </c>
      <c r="BU194" s="869"/>
      <c r="BW194" s="579">
        <f>ROUND((BW$164+26)/BW$224,2)</f>
        <v>2.2599999999999998</v>
      </c>
      <c r="BX194" s="878">
        <f t="shared" si="704"/>
        <v>88.333333333333329</v>
      </c>
      <c r="BY194" s="869"/>
      <c r="CA194" s="579">
        <f>CA$164/CA$224</f>
        <v>3.6339686562080575</v>
      </c>
      <c r="CB194" s="878">
        <f t="shared" si="705"/>
        <v>60.795073283542386</v>
      </c>
      <c r="CC194" s="869"/>
      <c r="CE194" s="579">
        <f>CE$164/CE$224</f>
        <v>4.894004870949539</v>
      </c>
      <c r="CF194" s="878">
        <f t="shared" si="706"/>
        <v>34.673832769275826</v>
      </c>
      <c r="CG194" s="869"/>
      <c r="CI194" s="579">
        <f>CI$164/CI$224</f>
        <v>4.752170534029089</v>
      </c>
      <c r="CJ194" s="878">
        <f t="shared" si="707"/>
        <v>-2.8981241470021457</v>
      </c>
      <c r="CK194" s="869"/>
      <c r="CM194" s="579">
        <f>CM$164/CM$224</f>
        <v>2.5242754039042556</v>
      </c>
      <c r="CN194" s="878">
        <f t="shared" si="708"/>
        <v>-46.881632596545955</v>
      </c>
      <c r="CO194" s="869"/>
      <c r="CQ194" s="579">
        <f>CQ$164/CQ$224</f>
        <v>1.0718574189392314</v>
      </c>
      <c r="CR194" s="878">
        <f t="shared" si="687"/>
        <v>-57.538015967615621</v>
      </c>
      <c r="CS194" s="869"/>
      <c r="CU194" s="579">
        <f>CU$164/CU$224</f>
        <v>1.6742857142857144</v>
      </c>
      <c r="CV194" s="878">
        <f>(CU194/CQ194-1)*100</f>
        <v>56.204144758607825</v>
      </c>
      <c r="CW194" s="869"/>
      <c r="CY194" s="579">
        <f>CY$164/CY$224+(9*(1-0.38)+23*(1-0.38)+(265-98)+(119+207*(1-0.39)))/CY224</f>
        <v>1.2899338865056216</v>
      </c>
      <c r="CZ194" s="878">
        <f>(CY194/CU194-1)*100</f>
        <v>-22.956167188230804</v>
      </c>
      <c r="DA194" s="869"/>
      <c r="DC194" s="579">
        <f>(DC184+DC134-60-116+146)/DC224</f>
        <v>-4.8403284671532854</v>
      </c>
      <c r="DD194" s="878">
        <f>(DC194/CY194-1)*100</f>
        <v>-475.23849228161123</v>
      </c>
      <c r="DE194" s="869"/>
      <c r="DG194" s="1276">
        <f>DG164/DG224+(187+90+114-131-303)/DG224</f>
        <v>-5.740072202166064</v>
      </c>
      <c r="DH194" s="878">
        <f>(DG194/DC194-1)*100</f>
        <v>18.5884850815081</v>
      </c>
      <c r="DI194" s="869"/>
      <c r="DK194" s="1276">
        <f>DK164/DK224+(DK134*(1-DL154%))/DK224</f>
        <v>-2.117560326883047</v>
      </c>
      <c r="DL194" s="878">
        <f>(DK194/DG194-1)*100</f>
        <v>-63.10916914801232</v>
      </c>
      <c r="DM194" s="869"/>
      <c r="DP194" s="1276">
        <f>DP164/DP224+(DP134*(1-DQ154%))/DP224</f>
        <v>-1.6575899735481092</v>
      </c>
      <c r="DQ194" s="878">
        <f>(DP194/DK194-1)*100</f>
        <v>-21.721711891532902</v>
      </c>
      <c r="DR194" s="869"/>
      <c r="DU194" s="1276">
        <f>DU164/DU224</f>
        <v>3.1948881789137379E-3</v>
      </c>
      <c r="DV194" s="878">
        <f>(DU194/DP194-1)*100</f>
        <v>-100.1927429720195</v>
      </c>
      <c r="DW194" s="869"/>
      <c r="DX194" s="896"/>
      <c r="DZ194" s="579">
        <f>DZ164/DZ224</f>
        <v>0.21755062680810031</v>
      </c>
      <c r="EA194" s="878">
        <f>(DZ194/DU194-1)*100</f>
        <v>6709.334619093539</v>
      </c>
      <c r="EB194" s="869"/>
      <c r="EC194" s="896"/>
      <c r="EE194" s="579">
        <f>EE164/EE224</f>
        <v>7.0948302606480801E-2</v>
      </c>
      <c r="EF194" s="878">
        <f>(EE194/DZ194-1)*100</f>
        <v>-67.38768182494654</v>
      </c>
      <c r="EG194" s="869"/>
      <c r="EH194" s="896"/>
      <c r="EK194" s="869"/>
      <c r="EL194" s="869"/>
      <c r="EM194" s="869"/>
      <c r="EN194" s="869"/>
      <c r="EO194" s="869"/>
      <c r="EP194" s="869"/>
      <c r="EQ194" s="869"/>
      <c r="ER194" s="869"/>
      <c r="ES194" s="869"/>
      <c r="ET194" s="869"/>
      <c r="EU194" s="869"/>
      <c r="EV194" s="869"/>
      <c r="EW194" s="805"/>
      <c r="EX194" s="805"/>
    </row>
    <row r="195" spans="1:158" hidden="1" outlineLevel="1">
      <c r="A195" s="819" t="s">
        <v>145</v>
      </c>
      <c r="C195" s="804">
        <f>C190+C191</f>
        <v>0.9</v>
      </c>
      <c r="D195" s="888" t="s">
        <v>147</v>
      </c>
      <c r="E195" s="869"/>
      <c r="G195" s="804">
        <f>G190+G191</f>
        <v>0.87999999999999989</v>
      </c>
      <c r="H195" s="878">
        <f t="shared" si="688"/>
        <v>-2.2222222222222365</v>
      </c>
      <c r="I195" s="869"/>
      <c r="K195" s="804">
        <f>K190+K191</f>
        <v>0.41000000000000003</v>
      </c>
      <c r="L195" s="878">
        <f t="shared" si="689"/>
        <v>-53.409090909090892</v>
      </c>
      <c r="M195" s="869"/>
      <c r="O195" s="804">
        <f>O190+O191</f>
        <v>0.83000000000000007</v>
      </c>
      <c r="P195" s="878">
        <f t="shared" si="690"/>
        <v>102.4390243902439</v>
      </c>
      <c r="Q195" s="869"/>
      <c r="S195" s="804">
        <f>S190+S191</f>
        <v>1.07</v>
      </c>
      <c r="T195" s="878">
        <f t="shared" si="691"/>
        <v>28.915662650602414</v>
      </c>
      <c r="U195" s="869"/>
      <c r="W195" s="804">
        <f>W190+W191</f>
        <v>1.35</v>
      </c>
      <c r="X195" s="878">
        <f t="shared" si="692"/>
        <v>26.168224299065422</v>
      </c>
      <c r="Y195" s="869"/>
      <c r="AA195" s="804">
        <f>AA190+AA191</f>
        <v>1.07</v>
      </c>
      <c r="AB195" s="878">
        <f t="shared" si="693"/>
        <v>-20.740740740740737</v>
      </c>
      <c r="AC195" s="869"/>
      <c r="AE195" s="804"/>
      <c r="AI195" s="804">
        <f>AI190+AI191</f>
        <v>0.94</v>
      </c>
      <c r="AJ195" s="878">
        <f t="shared" si="694"/>
        <v>-12.149532710280386</v>
      </c>
      <c r="AK195" s="869"/>
      <c r="AM195" s="804">
        <f>AM190+AM191</f>
        <v>0.91</v>
      </c>
      <c r="AN195" s="878">
        <f t="shared" si="695"/>
        <v>-3.1914893617021156</v>
      </c>
      <c r="AO195" s="869"/>
      <c r="AQ195" s="804">
        <f>AQ190+AQ191</f>
        <v>0.99</v>
      </c>
      <c r="AR195" s="878">
        <f t="shared" si="696"/>
        <v>8.7912087912087813</v>
      </c>
      <c r="AS195" s="869"/>
      <c r="AU195" s="804">
        <f>AU190+AU191</f>
        <v>0.72</v>
      </c>
      <c r="AV195" s="878">
        <f t="shared" si="697"/>
        <v>-27.27272727272727</v>
      </c>
      <c r="AW195" s="869"/>
      <c r="AY195" s="804">
        <f>AY190+AY191</f>
        <v>-1.0000000000000009E-2</v>
      </c>
      <c r="AZ195" s="878">
        <f t="shared" si="698"/>
        <v>-101.38888888888889</v>
      </c>
      <c r="BA195" s="869"/>
      <c r="BC195" s="804">
        <f>BC190+BC191</f>
        <v>-0.08</v>
      </c>
      <c r="BD195" s="878" t="s">
        <v>366</v>
      </c>
      <c r="BE195" s="869"/>
      <c r="BG195" s="804">
        <f>BG190+BG191</f>
        <v>0.24</v>
      </c>
      <c r="BH195" s="878">
        <f t="shared" si="700"/>
        <v>-400</v>
      </c>
      <c r="BI195" s="869"/>
      <c r="BK195" s="804">
        <f>BK190+BK191</f>
        <v>3.999999999999998E-2</v>
      </c>
      <c r="BL195" s="878" t="s">
        <v>366</v>
      </c>
      <c r="BM195" s="869"/>
      <c r="BO195" s="804">
        <f>BO190+BO191</f>
        <v>0.1</v>
      </c>
      <c r="BP195" s="878">
        <f t="shared" si="702"/>
        <v>150.00000000000014</v>
      </c>
      <c r="BQ195" s="869"/>
      <c r="BS195" s="804">
        <f>BS190+BS191</f>
        <v>1.9999999999999997E-2</v>
      </c>
      <c r="BT195" s="878">
        <f t="shared" si="703"/>
        <v>-80</v>
      </c>
      <c r="BU195" s="869"/>
      <c r="BW195" s="804">
        <f>BW190+BW191</f>
        <v>0.6</v>
      </c>
      <c r="BX195" s="878">
        <f t="shared" si="704"/>
        <v>2900.0000000000005</v>
      </c>
      <c r="BY195" s="869"/>
      <c r="CA195" s="804">
        <f>CA190+CA191</f>
        <v>1.0866512676916931</v>
      </c>
      <c r="CB195" s="878">
        <f t="shared" si="705"/>
        <v>81.108544615282185</v>
      </c>
      <c r="CC195" s="869"/>
      <c r="CE195" s="804">
        <f>CE190+CE191</f>
        <v>1.6487179496837436</v>
      </c>
      <c r="CF195" s="878">
        <f t="shared" si="706"/>
        <v>51.724660772357488</v>
      </c>
      <c r="CG195" s="869"/>
      <c r="CI195" s="804">
        <f>CI190+CI191</f>
        <v>1.8084534528941991</v>
      </c>
      <c r="CJ195" s="878">
        <f t="shared" si="707"/>
        <v>9.688467529639988</v>
      </c>
      <c r="CK195" s="869"/>
      <c r="CM195" s="804">
        <f>CM190+CM191</f>
        <v>1.0585627802690596</v>
      </c>
      <c r="CN195" s="878">
        <f t="shared" si="708"/>
        <v>-41.465854231693669</v>
      </c>
      <c r="CO195" s="869"/>
      <c r="CQ195" s="804">
        <f>CQ190+CQ191</f>
        <v>0.10961535905672778</v>
      </c>
      <c r="CR195" s="878">
        <f t="shared" si="687"/>
        <v>-89.644888229598791</v>
      </c>
      <c r="CS195" s="869"/>
      <c r="CU195" s="804">
        <f>CU190+CU191</f>
        <v>0.31144781144781147</v>
      </c>
      <c r="CV195" s="878">
        <f>(CU195/CR195-1)*100</f>
        <v>-100.3474239497629</v>
      </c>
      <c r="CW195" s="869"/>
      <c r="CY195" s="804">
        <f>CY190+CY191</f>
        <v>0.42805908366348933</v>
      </c>
      <c r="CZ195" s="878">
        <f>(CY195/CV195-1)*100</f>
        <v>-100.42657705281781</v>
      </c>
      <c r="DA195" s="869"/>
      <c r="DC195" s="804">
        <f>DC190+DC191</f>
        <v>-1.1755163846746894</v>
      </c>
      <c r="DD195" s="878">
        <f>(DC195/CQ195-1)*100</f>
        <v>-1172.4011623830381</v>
      </c>
      <c r="DE195" s="869"/>
      <c r="DG195" s="804">
        <f>DG190+DG191</f>
        <v>-3.47848056656672</v>
      </c>
      <c r="DH195" s="878">
        <f>(DG195/CU195-1)*100</f>
        <v>-1216.8743008327738</v>
      </c>
      <c r="DI195" s="869"/>
      <c r="DK195" s="804">
        <f>DK190+DK191</f>
        <v>-3.10540854524332</v>
      </c>
      <c r="DL195" s="878">
        <f>(DK195/CY195-1)*100</f>
        <v>-825.46259704760269</v>
      </c>
      <c r="DM195" s="869"/>
      <c r="DP195" s="804">
        <f>DP190+DP191</f>
        <v>-0.91184795048176914</v>
      </c>
      <c r="DQ195" s="878">
        <f>(DP195/DC195-1)*100</f>
        <v>-22.430009281911246</v>
      </c>
      <c r="DR195" s="869"/>
      <c r="DU195" s="804">
        <f>DU190+DU191</f>
        <v>-0.40317234848484851</v>
      </c>
      <c r="DV195" s="878">
        <f>(DU195/DH195-1)*100</f>
        <v>-99.966868200913694</v>
      </c>
      <c r="DW195" s="869"/>
      <c r="DZ195" s="804">
        <f>DZ190+DZ191</f>
        <v>-3.0329332654912597E-2</v>
      </c>
      <c r="EA195" s="878" t="e">
        <f>(DZ195/DM195-1)*100</f>
        <v>#DIV/0!</v>
      </c>
      <c r="EB195" s="869"/>
      <c r="EE195" s="804">
        <f>EE190+EE191</f>
        <v>-7.5524475524474763E-2</v>
      </c>
      <c r="EF195" s="878" t="e">
        <f>(EE195/DR195-1)*100</f>
        <v>#DIV/0!</v>
      </c>
      <c r="EG195" s="869"/>
      <c r="EK195" s="869"/>
      <c r="EL195" s="869"/>
      <c r="EM195" s="869"/>
      <c r="EN195" s="869"/>
      <c r="EO195" s="869"/>
      <c r="EP195" s="869"/>
      <c r="EQ195" s="869"/>
      <c r="ER195" s="869"/>
      <c r="ES195" s="869"/>
      <c r="ET195" s="869"/>
      <c r="EU195" s="869"/>
      <c r="EV195" s="869"/>
      <c r="EW195" s="805"/>
      <c r="EX195" s="805"/>
    </row>
    <row r="196" spans="1:158" hidden="1" outlineLevel="1">
      <c r="A196" s="819" t="s">
        <v>146</v>
      </c>
      <c r="C196" s="804">
        <f>C190+C191+C192</f>
        <v>1.6600000000000001</v>
      </c>
      <c r="D196" s="888" t="s">
        <v>147</v>
      </c>
      <c r="E196" s="869"/>
      <c r="G196" s="804">
        <f>G190+G191+G192</f>
        <v>1.39</v>
      </c>
      <c r="H196" s="878">
        <f t="shared" si="688"/>
        <v>-16.265060240963869</v>
      </c>
      <c r="I196" s="869"/>
      <c r="K196" s="804">
        <f>K190+K191+K192</f>
        <v>0.87000000000000011</v>
      </c>
      <c r="L196" s="878">
        <f t="shared" si="689"/>
        <v>-37.410071942446031</v>
      </c>
      <c r="M196" s="869"/>
      <c r="O196" s="804">
        <f>O190+O191+O192</f>
        <v>1.53</v>
      </c>
      <c r="P196" s="878">
        <f t="shared" si="690"/>
        <v>75.86206896551721</v>
      </c>
      <c r="Q196" s="869"/>
      <c r="S196" s="804">
        <f>S190+S191+S192</f>
        <v>1.9500000000000002</v>
      </c>
      <c r="T196" s="878">
        <f t="shared" si="691"/>
        <v>27.450980392156875</v>
      </c>
      <c r="U196" s="869"/>
      <c r="W196" s="804">
        <f>W190+W191+W192</f>
        <v>2.39</v>
      </c>
      <c r="X196" s="878">
        <f t="shared" si="692"/>
        <v>22.564102564102551</v>
      </c>
      <c r="Y196" s="869"/>
      <c r="AA196" s="804">
        <f>AA190+AA191+AA192</f>
        <v>2.02</v>
      </c>
      <c r="AB196" s="878">
        <f t="shared" si="693"/>
        <v>-15.481171548117157</v>
      </c>
      <c r="AC196" s="869"/>
      <c r="AE196" s="804"/>
      <c r="AI196" s="804">
        <f>AI190+AI191+AI192</f>
        <v>1.97</v>
      </c>
      <c r="AJ196" s="878">
        <f t="shared" si="694"/>
        <v>-2.4752475247524774</v>
      </c>
      <c r="AK196" s="869"/>
      <c r="AM196" s="804">
        <f>AM190+AM191+AM192</f>
        <v>1.76</v>
      </c>
      <c r="AN196" s="878">
        <f t="shared" si="695"/>
        <v>-10.659898477157359</v>
      </c>
      <c r="AO196" s="869"/>
      <c r="AQ196" s="804">
        <f>AQ190+AQ191+AQ192</f>
        <v>1.67</v>
      </c>
      <c r="AR196" s="878">
        <f t="shared" si="696"/>
        <v>-5.1136363636363651</v>
      </c>
      <c r="AS196" s="869"/>
      <c r="AU196" s="804">
        <f>AU190+AU191+AU192</f>
        <v>1.06</v>
      </c>
      <c r="AV196" s="878">
        <f t="shared" si="697"/>
        <v>-36.526946107784433</v>
      </c>
      <c r="AW196" s="869"/>
      <c r="AY196" s="804">
        <f>AY190+AY191+AY192</f>
        <v>-0.24000000000000002</v>
      </c>
      <c r="AZ196" s="878">
        <f t="shared" si="698"/>
        <v>-122.64150943396226</v>
      </c>
      <c r="BA196" s="869"/>
      <c r="BC196" s="804">
        <f>BC190+BC191+BC192</f>
        <v>0.05</v>
      </c>
      <c r="BD196" s="878">
        <f t="shared" si="699"/>
        <v>-120.83333333333333</v>
      </c>
      <c r="BE196" s="869"/>
      <c r="BG196" s="804">
        <f>BG190+BG191+BG192</f>
        <v>0.54</v>
      </c>
      <c r="BH196" s="878">
        <f t="shared" si="700"/>
        <v>980.00000000000011</v>
      </c>
      <c r="BI196" s="869"/>
      <c r="BK196" s="804">
        <f>BK190+BK191+BK192</f>
        <v>0.21999999999999997</v>
      </c>
      <c r="BL196" s="878">
        <f t="shared" si="701"/>
        <v>-191.66666666666666</v>
      </c>
      <c r="BM196" s="869"/>
      <c r="BO196" s="804">
        <f>BO190+BO191+BO192</f>
        <v>0.33</v>
      </c>
      <c r="BP196" s="878">
        <f t="shared" si="702"/>
        <v>50.000000000000021</v>
      </c>
      <c r="BQ196" s="869"/>
      <c r="BS196" s="804">
        <f>BS190+BS191+BS192</f>
        <v>0.34</v>
      </c>
      <c r="BT196" s="878">
        <f t="shared" si="703"/>
        <v>3.0303030303030276</v>
      </c>
      <c r="BU196" s="869"/>
      <c r="BW196" s="804">
        <f>BW190+BW191+BW192</f>
        <v>1.1000000000000001</v>
      </c>
      <c r="BX196" s="878">
        <f t="shared" si="704"/>
        <v>223.52941176470588</v>
      </c>
      <c r="BY196" s="869"/>
      <c r="CA196" s="804">
        <f>CA190+CA191+CA192</f>
        <v>2.0279223859539619</v>
      </c>
      <c r="CB196" s="878">
        <f t="shared" si="705"/>
        <v>84.356580541269238</v>
      </c>
      <c r="CC196" s="869"/>
      <c r="CE196" s="804">
        <f>CE190+CE191+CE192</f>
        <v>2.9053084593498246</v>
      </c>
      <c r="CF196" s="878">
        <f t="shared" si="706"/>
        <v>43.265268901458896</v>
      </c>
      <c r="CG196" s="869"/>
      <c r="CI196" s="804">
        <f>CI190+CI191+CI192</f>
        <v>2.8296756254467246</v>
      </c>
      <c r="CJ196" s="878">
        <f t="shared" si="707"/>
        <v>-2.6032634730986826</v>
      </c>
      <c r="CK196" s="869"/>
      <c r="CM196" s="804">
        <f>CM190+CM191+CM192</f>
        <v>1.5903635009741324</v>
      </c>
      <c r="CN196" s="878">
        <f t="shared" si="708"/>
        <v>-43.796967868956372</v>
      </c>
      <c r="CO196" s="869"/>
      <c r="CQ196" s="804">
        <f>CQ190+CQ191+CQ192</f>
        <v>0.2232517226930914</v>
      </c>
      <c r="CR196" s="878">
        <f t="shared" si="687"/>
        <v>-85.962220425937545</v>
      </c>
      <c r="CS196" s="869"/>
      <c r="CU196" s="804">
        <f>CU190+CU191+CU192</f>
        <v>0.496477247949073</v>
      </c>
      <c r="CV196" s="878">
        <f>(CU196/CR196-1)*100</f>
        <v>-100.57755284296877</v>
      </c>
      <c r="CW196" s="869"/>
      <c r="CY196" s="804">
        <f>CY190+CY191+CY192</f>
        <v>0.54057666453550057</v>
      </c>
      <c r="CZ196" s="878">
        <f>(CY196/CV196-1)*100</f>
        <v>-100.53747247696461</v>
      </c>
      <c r="DA196" s="869"/>
      <c r="DC196" s="804">
        <f>DC190+DC191+DC192</f>
        <v>-2.1692217508823992</v>
      </c>
      <c r="DD196" s="878">
        <f>(DC196/CQ196-1)*100</f>
        <v>-1071.6483817974706</v>
      </c>
      <c r="DE196" s="869"/>
      <c r="DG196" s="804">
        <f>DG190+DG191+DG192</f>
        <v>-5.2934130526668</v>
      </c>
      <c r="DH196" s="878">
        <f>(DG196/CU196-1)*100</f>
        <v>-1166.1944881731581</v>
      </c>
      <c r="DI196" s="869"/>
      <c r="DK196" s="804">
        <f>DK190+DK191+DK192</f>
        <v>-3.8751432324362449</v>
      </c>
      <c r="DL196" s="878">
        <f>(DK196/CY196-1)*100</f>
        <v>-816.85359111200739</v>
      </c>
      <c r="DM196" s="869"/>
      <c r="DP196" s="804">
        <f>DP190+DP191+DP192</f>
        <v>-1.3595603687824227</v>
      </c>
      <c r="DQ196" s="878">
        <f>(DP196/DC196-1)*100</f>
        <v>-37.324970661511273</v>
      </c>
      <c r="DR196" s="869"/>
      <c r="DU196" s="804">
        <f>DU190+DU191+DU192</f>
        <v>-0.62049313992176058</v>
      </c>
      <c r="DV196" s="878">
        <f>(DU196/DH196-1)*100</f>
        <v>-99.946793339686096</v>
      </c>
      <c r="DW196" s="869"/>
      <c r="DZ196" s="804">
        <f>DZ190+DZ191+DZ192</f>
        <v>-0.35709441609522063</v>
      </c>
      <c r="EA196" s="878" t="e">
        <f>(DZ196/DM196-1)*100</f>
        <v>#DIV/0!</v>
      </c>
      <c r="EB196" s="869"/>
      <c r="EE196" s="804">
        <f>EE190+EE191+EE192</f>
        <v>-0.21326300063572712</v>
      </c>
      <c r="EF196" s="878" t="e">
        <f>(EE196/DR196-1)*100</f>
        <v>#DIV/0!</v>
      </c>
      <c r="EG196" s="869"/>
      <c r="EK196" s="869"/>
      <c r="EL196" s="869"/>
      <c r="EM196" s="869"/>
      <c r="EN196" s="869"/>
      <c r="EO196" s="869"/>
      <c r="EP196" s="869"/>
      <c r="EQ196" s="869"/>
      <c r="ER196" s="869"/>
      <c r="ES196" s="869"/>
      <c r="ET196" s="869"/>
      <c r="EU196" s="869"/>
      <c r="EV196" s="869"/>
      <c r="EW196" s="805"/>
      <c r="EX196" s="805"/>
    </row>
    <row r="197" spans="1:158" collapsed="1">
      <c r="C197" s="706"/>
      <c r="D197" s="687"/>
      <c r="E197" s="687"/>
      <c r="G197" s="706"/>
      <c r="H197" s="687"/>
      <c r="I197" s="687"/>
      <c r="K197" s="706"/>
      <c r="L197" s="687"/>
      <c r="M197" s="687"/>
      <c r="O197" s="706"/>
      <c r="S197" s="706"/>
      <c r="W197" s="706"/>
      <c r="AA197" s="706"/>
      <c r="AE197" s="706"/>
      <c r="AI197" s="706"/>
      <c r="AM197" s="706"/>
      <c r="AQ197" s="706"/>
      <c r="AU197" s="706"/>
      <c r="AY197" s="706"/>
      <c r="BC197" s="706"/>
      <c r="BG197" s="706"/>
      <c r="BK197" s="706"/>
      <c r="BO197" s="706"/>
      <c r="BS197" s="706"/>
      <c r="BW197" s="706"/>
      <c r="CA197" s="706"/>
      <c r="CE197" s="706"/>
      <c r="CI197" s="706"/>
      <c r="CM197" s="706"/>
      <c r="CQ197" s="706"/>
      <c r="CU197" s="706"/>
      <c r="CY197" s="706"/>
      <c r="DC197" s="804"/>
      <c r="EK197" s="869"/>
      <c r="EL197" s="869"/>
      <c r="EM197" s="869"/>
      <c r="EN197" s="869"/>
      <c r="EO197" s="869"/>
      <c r="EW197" s="805"/>
      <c r="EX197" s="805"/>
    </row>
    <row r="198" spans="1:158">
      <c r="A198" s="816" t="s">
        <v>39</v>
      </c>
      <c r="C198" s="706"/>
      <c r="D198" s="687"/>
      <c r="E198" s="687"/>
      <c r="G198" s="706"/>
      <c r="H198" s="687"/>
      <c r="I198" s="687"/>
      <c r="K198" s="706"/>
      <c r="L198" s="687"/>
      <c r="M198" s="687"/>
      <c r="O198" s="706"/>
      <c r="S198" s="706"/>
      <c r="W198" s="706"/>
      <c r="AA198" s="706"/>
      <c r="AE198" s="706"/>
      <c r="AI198" s="706"/>
      <c r="AM198" s="706"/>
      <c r="AQ198" s="706"/>
      <c r="AU198" s="706"/>
      <c r="AY198" s="706"/>
      <c r="BC198" s="706"/>
      <c r="BG198" s="706"/>
      <c r="BK198" s="706"/>
      <c r="BO198" s="706"/>
      <c r="BS198" s="706"/>
      <c r="BW198" s="706"/>
      <c r="CA198" s="706"/>
      <c r="CE198" s="706"/>
      <c r="CI198" s="706"/>
      <c r="CM198" s="706"/>
      <c r="CQ198" s="706"/>
      <c r="CY198" s="706"/>
      <c r="DC198" s="591"/>
      <c r="DG198" s="818" t="s">
        <v>39</v>
      </c>
      <c r="DP198" s="1585" t="s">
        <v>689</v>
      </c>
      <c r="DQ198" s="1585"/>
      <c r="DR198" s="1585"/>
      <c r="DS198" s="1585"/>
      <c r="DT198" s="1585"/>
      <c r="DU198" s="1585"/>
      <c r="DV198" s="1585"/>
      <c r="DW198" s="1585"/>
      <c r="EK198" s="869"/>
      <c r="EL198" s="869"/>
      <c r="EM198" s="869"/>
      <c r="EN198" s="869"/>
      <c r="EO198" s="869"/>
      <c r="EW198" s="805"/>
      <c r="EX198" s="805"/>
    </row>
    <row r="199" spans="1:158">
      <c r="C199" s="706"/>
      <c r="D199" s="687"/>
      <c r="E199" s="687"/>
      <c r="G199" s="706"/>
      <c r="H199" s="687"/>
      <c r="I199" s="687"/>
      <c r="K199" s="706"/>
      <c r="L199" s="687"/>
      <c r="M199" s="687"/>
      <c r="O199" s="706"/>
      <c r="S199" s="706"/>
      <c r="W199" s="706"/>
      <c r="AA199" s="706"/>
      <c r="AE199" s="706"/>
      <c r="AI199" s="706"/>
      <c r="AM199" s="706"/>
      <c r="AQ199" s="706"/>
      <c r="AU199" s="706"/>
      <c r="AY199" s="706"/>
      <c r="BC199" s="706"/>
      <c r="BG199" s="706"/>
      <c r="BK199" s="706"/>
      <c r="BO199" s="706"/>
      <c r="BS199" s="706"/>
      <c r="BW199" s="706"/>
      <c r="CA199" s="706"/>
      <c r="CE199" s="706"/>
      <c r="CI199" s="706"/>
      <c r="CM199" s="706"/>
      <c r="CQ199" s="706"/>
      <c r="CU199" s="706"/>
      <c r="CY199" s="706"/>
      <c r="EW199" s="805"/>
      <c r="EX199" s="805"/>
    </row>
    <row r="200" spans="1:158">
      <c r="A200" s="819" t="s">
        <v>140</v>
      </c>
      <c r="C200" s="829"/>
      <c r="D200" s="909"/>
      <c r="E200" s="867"/>
      <c r="F200" s="867"/>
      <c r="G200" s="829"/>
      <c r="H200" s="909"/>
      <c r="I200" s="867"/>
      <c r="J200" s="867"/>
      <c r="K200" s="829"/>
      <c r="L200" s="909"/>
      <c r="M200" s="867"/>
      <c r="N200" s="867"/>
      <c r="O200" s="829"/>
      <c r="P200" s="867"/>
      <c r="Q200" s="867"/>
      <c r="R200" s="867"/>
      <c r="S200" s="829"/>
      <c r="T200" s="867"/>
      <c r="U200" s="867"/>
      <c r="V200" s="867"/>
      <c r="W200" s="829"/>
      <c r="X200" s="867"/>
      <c r="Y200" s="867"/>
      <c r="Z200" s="867"/>
      <c r="AA200" s="829"/>
      <c r="AB200" s="867"/>
      <c r="AC200" s="867"/>
      <c r="AD200" s="867"/>
      <c r="AE200" s="829"/>
      <c r="AF200" s="867"/>
      <c r="AG200" s="867"/>
      <c r="AH200" s="867"/>
      <c r="AI200" s="829"/>
      <c r="AJ200" s="867"/>
      <c r="AK200" s="867"/>
      <c r="AL200" s="867"/>
      <c r="AM200" s="829"/>
      <c r="AN200" s="867"/>
      <c r="AO200" s="867"/>
      <c r="AP200" s="867"/>
      <c r="AQ200" s="829"/>
      <c r="AR200" s="867"/>
      <c r="AS200" s="867"/>
      <c r="AT200" s="867"/>
      <c r="AU200" s="829"/>
      <c r="AV200" s="867"/>
      <c r="AW200" s="867"/>
      <c r="AX200" s="867"/>
      <c r="AY200" s="829"/>
      <c r="AZ200" s="867"/>
      <c r="BA200" s="867"/>
      <c r="BB200" s="867"/>
      <c r="BC200" s="829"/>
      <c r="BD200" s="867"/>
      <c r="BE200" s="867"/>
      <c r="BF200" s="867"/>
      <c r="BG200" s="829"/>
      <c r="BH200" s="867"/>
      <c r="BI200" s="867"/>
      <c r="BJ200" s="867"/>
      <c r="BK200" s="829"/>
      <c r="BL200" s="867"/>
      <c r="BM200" s="867"/>
      <c r="BN200" s="867"/>
      <c r="BO200" s="829"/>
      <c r="BP200" s="867"/>
      <c r="BQ200" s="867"/>
      <c r="BR200" s="867"/>
      <c r="BS200" s="829"/>
      <c r="BT200" s="867"/>
      <c r="BU200" s="867"/>
      <c r="BV200" s="867"/>
      <c r="BW200" s="579">
        <f>((BW140+BW40)*(1-BX150%))/BW220</f>
        <v>0.42666683813317063</v>
      </c>
      <c r="BX200" s="888" t="s">
        <v>147</v>
      </c>
      <c r="BY200" s="888"/>
      <c r="CA200" s="579">
        <f>((CA140+CA40)*(1-CB150%))/CA220</f>
        <v>0.66565815537405371</v>
      </c>
      <c r="CB200" s="878">
        <f>(CA200/BW200-1)*100</f>
        <v>56.013567467900891</v>
      </c>
      <c r="CC200" s="888"/>
      <c r="CE200" s="579">
        <f>((CE140+CE40)*(1-CF150%))/CE220</f>
        <v>0.90916718957491205</v>
      </c>
      <c r="CF200" s="878">
        <f>(CE200/CA200-1)*100</f>
        <v>36.581694708453341</v>
      </c>
      <c r="CG200" s="888"/>
      <c r="CI200" s="579">
        <f>((CI140+CI40)*(1-CJ150%))/CI220</f>
        <v>0.97143465342947211</v>
      </c>
      <c r="CJ200" s="878">
        <f>(CI200/CE200-1)*100</f>
        <v>6.8488463473559413</v>
      </c>
      <c r="CK200" s="888"/>
      <c r="CM200" s="579">
        <f>((CM140+CM40)*(1-CN150%))/CM220</f>
        <v>0.44705070714039319</v>
      </c>
      <c r="CN200" s="878">
        <f>(CM200/CI200-1)*100</f>
        <v>-53.980362388539206</v>
      </c>
      <c r="CO200" s="888"/>
      <c r="CQ200" s="579">
        <f>((CQ140+CQ40)*(1-CR150%))/CQ220</f>
        <v>0.32372260105888617</v>
      </c>
      <c r="CR200" s="878">
        <f>(CQ200/CM200-1)*100</f>
        <v>-27.587050889682786</v>
      </c>
      <c r="CS200" s="888"/>
      <c r="CU200" s="579">
        <f>((CU140+CU40)*(1-CV150%))/CU220</f>
        <v>0.39720117845117847</v>
      </c>
      <c r="CV200" s="878">
        <f t="shared" ref="CV200:CV206" si="709">(CU200/CR200-1)*100</f>
        <v>-101.4398102212503</v>
      </c>
      <c r="CW200" s="888"/>
      <c r="CY200" s="579">
        <f>(CY180+(22-8)+9*(1-0.38))/CY220</f>
        <v>0.36072507552870092</v>
      </c>
      <c r="CZ200" s="878">
        <f>(CY200/CU200-1)*100</f>
        <v>-9.1832816470258649</v>
      </c>
      <c r="DA200" s="888"/>
      <c r="DC200" s="579">
        <f>(DC$160+((76+53)-30-21)+30)/DC$220</f>
        <v>-0.25194686211635364</v>
      </c>
      <c r="DD200" s="878">
        <f>(DC200/CY200-1)*100</f>
        <v>-169.84456562857039</v>
      </c>
      <c r="DG200" s="579">
        <f>((DG140+DG40+DG130-DG150-28-10))/DG220</f>
        <v>-1.3142337426102773</v>
      </c>
      <c r="DH200" s="878">
        <f>(DG200/DC200-1)*100</f>
        <v>421.63132002149729</v>
      </c>
      <c r="DK200" s="579">
        <f>((DK140+DK40+DK130-DK150-12-6))/DK220</f>
        <v>-1.1573770491803279</v>
      </c>
      <c r="DL200" s="878">
        <f t="shared" ref="DL200:DL206" si="710">(DK200/DG200-1)*100</f>
        <v>-11.935220375517597</v>
      </c>
      <c r="DP200" s="579">
        <f>((DP140+DP40+DP130-14)*(1-DQ150%))/DP220</f>
        <v>-0.57060227459662016</v>
      </c>
      <c r="DQ200" s="878">
        <f t="shared" ref="DQ200:DQ206" si="711">(DP200/DK200-1)*100</f>
        <v>-50.698670325221208</v>
      </c>
      <c r="DU200" s="579">
        <f>(DU160+DU170)/DU220</f>
        <v>-0.31575520833333337</v>
      </c>
      <c r="DV200" s="878">
        <f>(DU200/DP200-1)*100</f>
        <v>-44.662819902610373</v>
      </c>
      <c r="DZ200" s="579">
        <f>(DZ160)/DZ220</f>
        <v>6.1369509043927642E-2</v>
      </c>
      <c r="EA200" s="878">
        <f>(DZ200/DU200-1)*100</f>
        <v>-119.43578678174698</v>
      </c>
      <c r="EE200" s="579">
        <f>(EE160+EE170)/EE220</f>
        <v>-0.17555392244119497</v>
      </c>
      <c r="EF200" s="878">
        <f>(EE200/DZ200-1)*100</f>
        <v>-386.06049677786302</v>
      </c>
      <c r="EI200" s="579"/>
      <c r="EW200" s="805"/>
      <c r="EX200" s="805"/>
    </row>
    <row r="201" spans="1:158">
      <c r="A201" s="819" t="s">
        <v>141</v>
      </c>
      <c r="C201" s="829"/>
      <c r="D201" s="909"/>
      <c r="E201" s="867"/>
      <c r="F201" s="867"/>
      <c r="G201" s="829"/>
      <c r="H201" s="909"/>
      <c r="I201" s="867"/>
      <c r="J201" s="867"/>
      <c r="K201" s="829"/>
      <c r="L201" s="909"/>
      <c r="M201" s="867"/>
      <c r="N201" s="867"/>
      <c r="O201" s="829"/>
      <c r="P201" s="867"/>
      <c r="Q201" s="867"/>
      <c r="R201" s="867"/>
      <c r="S201" s="829"/>
      <c r="T201" s="867"/>
      <c r="U201" s="867"/>
      <c r="V201" s="867"/>
      <c r="W201" s="829"/>
      <c r="X201" s="867"/>
      <c r="Y201" s="867"/>
      <c r="Z201" s="867"/>
      <c r="AA201" s="829"/>
      <c r="AB201" s="867"/>
      <c r="AC201" s="867"/>
      <c r="AD201" s="867"/>
      <c r="AE201" s="829"/>
      <c r="AF201" s="867"/>
      <c r="AG201" s="867"/>
      <c r="AH201" s="867"/>
      <c r="AI201" s="829"/>
      <c r="AJ201" s="867"/>
      <c r="AK201" s="867"/>
      <c r="AL201" s="867"/>
      <c r="AM201" s="829"/>
      <c r="AN201" s="867"/>
      <c r="AO201" s="867"/>
      <c r="AP201" s="867"/>
      <c r="AQ201" s="829"/>
      <c r="AR201" s="867"/>
      <c r="AS201" s="867"/>
      <c r="AT201" s="867"/>
      <c r="AU201" s="829"/>
      <c r="AV201" s="867"/>
      <c r="AW201" s="867"/>
      <c r="AX201" s="867"/>
      <c r="AY201" s="829"/>
      <c r="AZ201" s="867"/>
      <c r="BA201" s="867"/>
      <c r="BB201" s="867"/>
      <c r="BC201" s="829"/>
      <c r="BD201" s="867"/>
      <c r="BE201" s="867"/>
      <c r="BF201" s="867"/>
      <c r="BG201" s="829"/>
      <c r="BH201" s="867"/>
      <c r="BI201" s="867"/>
      <c r="BJ201" s="867"/>
      <c r="BK201" s="829"/>
      <c r="BL201" s="867"/>
      <c r="BM201" s="867"/>
      <c r="BN201" s="867"/>
      <c r="BO201" s="829"/>
      <c r="BP201" s="867"/>
      <c r="BQ201" s="867"/>
      <c r="BR201" s="867"/>
      <c r="BS201" s="829"/>
      <c r="BT201" s="867"/>
      <c r="BU201" s="867"/>
      <c r="BV201" s="867"/>
      <c r="BW201" s="804">
        <f>((BW141+BW41)*(1-BX151%))/BW221</f>
        <v>0.28389874739039667</v>
      </c>
      <c r="BX201" s="888" t="s">
        <v>147</v>
      </c>
      <c r="BY201" s="888"/>
      <c r="CA201" s="804">
        <f>((CA141+CA41)*(1-CB151%))/CA221</f>
        <v>0.50496478946384438</v>
      </c>
      <c r="CB201" s="878">
        <f t="shared" ref="CB201:CB206" si="712">(CA201/BW201-1)*100</f>
        <v>77.867917384451843</v>
      </c>
      <c r="CC201" s="888"/>
      <c r="CE201" s="804">
        <f>((CE141+CE41)*(1-CF151%))/CE221</f>
        <v>0.75495581644130583</v>
      </c>
      <c r="CF201" s="878">
        <f t="shared" ref="CF201:CF206" si="713">(CE201/CA201-1)*100</f>
        <v>49.506625450636662</v>
      </c>
      <c r="CG201" s="888"/>
      <c r="CI201" s="804">
        <f>((CI141+CI41)*(1-CJ151%))/CI221</f>
        <v>0.70616951830894992</v>
      </c>
      <c r="CJ201" s="878">
        <f t="shared" ref="CJ201:CJ206" si="714">(CI201/CE201-1)*100</f>
        <v>-6.462139514643872</v>
      </c>
      <c r="CK201" s="888"/>
      <c r="CM201" s="804">
        <f>((CM141+CM41)*(1-CN151%))/CM221</f>
        <v>0.42912017601361069</v>
      </c>
      <c r="CN201" s="878">
        <f t="shared" ref="CN201:CN206" si="715">(CM201/CI201-1)*100</f>
        <v>-39.232696273662981</v>
      </c>
      <c r="CO201" s="888"/>
      <c r="CQ201" s="804">
        <f>((CQ141+CQ41)*(1-CR151%))/CQ221</f>
        <v>0.19031650983746792</v>
      </c>
      <c r="CR201" s="878">
        <f t="shared" ref="CR201:CR206" si="716">(CQ201/CM201-1)*100</f>
        <v>-55.649601096492951</v>
      </c>
      <c r="CS201" s="888"/>
      <c r="CU201" s="804">
        <f>((CU141+CU41)*(1-CV151%))/CU221</f>
        <v>0.23896371118593343</v>
      </c>
      <c r="CV201" s="878">
        <f t="shared" si="709"/>
        <v>-100.42940777018615</v>
      </c>
      <c r="CW201" s="888"/>
      <c r="CY201" s="804">
        <f>((CY181+CY41-8+23*(1-0.38))/CY221)</f>
        <v>0.19224053132834995</v>
      </c>
      <c r="CZ201" s="878">
        <f t="shared" ref="CZ201:CZ206" si="717">(CY201/CU201-1)*100</f>
        <v>-19.552416400676421</v>
      </c>
      <c r="DA201" s="888"/>
      <c r="DC201" s="804">
        <f>(DC161+(DC41+DC131+102)*(1-DD151%))/DC221</f>
        <v>-0.36798227980610954</v>
      </c>
      <c r="DD201" s="878">
        <f t="shared" ref="DD201:DD206" si="718">(DC201/CY201-1)*100</f>
        <v>-291.41763563771565</v>
      </c>
      <c r="DG201" s="804">
        <f>((DG141-DG151+47+9+114-61+218))/DG221</f>
        <v>-1.1751361161524501</v>
      </c>
      <c r="DH201" s="878">
        <f t="shared" ref="DH201:DH206" si="719">(DG201/DC201-1)*100</f>
        <v>219.34584371063499</v>
      </c>
      <c r="DK201" s="804">
        <f>((DK141-DK151+DK41+DK131-9-43-5)/DK221)</f>
        <v>-0.74803149606299213</v>
      </c>
      <c r="DL201" s="878">
        <f t="shared" si="710"/>
        <v>-36.345119022284379</v>
      </c>
      <c r="DP201" s="804">
        <f>((DP141+DP41+DP131+5)*(1-DQ151%))/DP221</f>
        <v>-0.40953447448408259</v>
      </c>
      <c r="DQ201" s="878">
        <f t="shared" si="711"/>
        <v>-45.251707095285795</v>
      </c>
      <c r="DU201" s="804">
        <f>(DU161+DU171)/DU221</f>
        <v>-5.1948051948051951E-2</v>
      </c>
      <c r="DV201" s="878">
        <f>(DU201/DP201-1)*100</f>
        <v>-87.315340909090907</v>
      </c>
      <c r="DZ201" s="804">
        <f>(DZ161)/DZ221</f>
        <v>-9.1698841698840239E-2</v>
      </c>
      <c r="EA201" s="878">
        <f>(DZ201/DU201-1)*100</f>
        <v>76.520270270267446</v>
      </c>
      <c r="EE201" s="804">
        <f>(EE161+EE171)/EE221</f>
        <v>0.10002944691672021</v>
      </c>
      <c r="EF201" s="878">
        <f>(EE201/DZ201-1)*100</f>
        <v>-209.08474421655131</v>
      </c>
      <c r="EI201" s="579"/>
      <c r="EW201" s="805"/>
      <c r="EX201" s="805"/>
    </row>
    <row r="202" spans="1:158">
      <c r="A202" s="819" t="s">
        <v>142</v>
      </c>
      <c r="C202" s="829"/>
      <c r="D202" s="909"/>
      <c r="E202" s="867"/>
      <c r="F202" s="867"/>
      <c r="G202" s="829"/>
      <c r="H202" s="909"/>
      <c r="I202" s="867"/>
      <c r="J202" s="867"/>
      <c r="K202" s="829"/>
      <c r="L202" s="909"/>
      <c r="M202" s="867"/>
      <c r="N202" s="867"/>
      <c r="O202" s="829"/>
      <c r="P202" s="867"/>
      <c r="Q202" s="867"/>
      <c r="R202" s="867"/>
      <c r="S202" s="829"/>
      <c r="T202" s="867"/>
      <c r="U202" s="867"/>
      <c r="V202" s="867"/>
      <c r="W202" s="829"/>
      <c r="X202" s="867"/>
      <c r="Y202" s="867"/>
      <c r="Z202" s="867"/>
      <c r="AA202" s="829"/>
      <c r="AB202" s="867"/>
      <c r="AC202" s="867"/>
      <c r="AD202" s="867"/>
      <c r="AE202" s="829"/>
      <c r="AF202" s="867"/>
      <c r="AG202" s="867"/>
      <c r="AH202" s="867"/>
      <c r="AI202" s="829"/>
      <c r="AJ202" s="867"/>
      <c r="AK202" s="867"/>
      <c r="AL202" s="867"/>
      <c r="AM202" s="829"/>
      <c r="AN202" s="867"/>
      <c r="AO202" s="867"/>
      <c r="AP202" s="867"/>
      <c r="AQ202" s="829"/>
      <c r="AR202" s="867"/>
      <c r="AS202" s="867"/>
      <c r="AT202" s="867"/>
      <c r="AU202" s="829"/>
      <c r="AV202" s="867"/>
      <c r="AW202" s="867"/>
      <c r="AX202" s="867"/>
      <c r="AY202" s="829"/>
      <c r="AZ202" s="867"/>
      <c r="BA202" s="867"/>
      <c r="BB202" s="867"/>
      <c r="BC202" s="829"/>
      <c r="BD202" s="867"/>
      <c r="BE202" s="867"/>
      <c r="BF202" s="867"/>
      <c r="BG202" s="829"/>
      <c r="BH202" s="867"/>
      <c r="BI202" s="867"/>
      <c r="BJ202" s="867"/>
      <c r="BK202" s="829"/>
      <c r="BL202" s="867"/>
      <c r="BM202" s="867"/>
      <c r="BN202" s="867"/>
      <c r="BO202" s="829"/>
      <c r="BP202" s="867"/>
      <c r="BQ202" s="867"/>
      <c r="BR202" s="867"/>
      <c r="BS202" s="829"/>
      <c r="BT202" s="867"/>
      <c r="BU202" s="867"/>
      <c r="BV202" s="867"/>
      <c r="BW202" s="804">
        <f>((BW142+BW42)*(1-BX152%))/BW222</f>
        <v>0.52221889568453017</v>
      </c>
      <c r="BX202" s="888" t="s">
        <v>147</v>
      </c>
      <c r="BY202" s="888"/>
      <c r="CA202" s="804">
        <f>((CA142+CA42)*(1-CB152%))/CA222</f>
        <v>0.98575584919384185</v>
      </c>
      <c r="CB202" s="878">
        <f t="shared" si="712"/>
        <v>88.76296076987073</v>
      </c>
      <c r="CC202" s="888"/>
      <c r="CE202" s="804">
        <f>((CE142+CE42)*(1-CF152%))/CE222</f>
        <v>1.2619605545791837</v>
      </c>
      <c r="CF202" s="878">
        <f t="shared" si="713"/>
        <v>28.019585743389097</v>
      </c>
      <c r="CG202" s="888"/>
      <c r="CI202" s="804">
        <f>((CI142+CI42)*(1-CJ152%))/CI222</f>
        <v>0.95016917983216498</v>
      </c>
      <c r="CJ202" s="878">
        <f t="shared" si="714"/>
        <v>-24.706903366800503</v>
      </c>
      <c r="CK202" s="888"/>
      <c r="CM202" s="804">
        <f>((CM142+CM42)*(1-CN152%))/CM222</f>
        <v>0.44030677723266359</v>
      </c>
      <c r="CN202" s="878">
        <f t="shared" si="715"/>
        <v>-53.660170569788626</v>
      </c>
      <c r="CO202" s="888"/>
      <c r="CQ202" s="804">
        <f>((CQ142+CQ42)*(1-CR152%))/CQ222</f>
        <v>0.30655391120507397</v>
      </c>
      <c r="CR202" s="878">
        <f t="shared" si="716"/>
        <v>-30.377199022061141</v>
      </c>
      <c r="CS202" s="888"/>
      <c r="CU202" s="804">
        <f>((CU142+CU42)*(1-CV152%))/CU222</f>
        <v>0.33968090581574883</v>
      </c>
      <c r="CV202" s="878">
        <f t="shared" si="709"/>
        <v>-101.11821009425212</v>
      </c>
      <c r="CW202" s="888"/>
      <c r="CY202" s="804">
        <f>((CY182+CY42-8++(265-98))/CY222)</f>
        <v>0.17633410672853828</v>
      </c>
      <c r="CZ202" s="878">
        <f t="shared" si="717"/>
        <v>-48.088307670674254</v>
      </c>
      <c r="DA202" s="888"/>
      <c r="DC202" s="804">
        <f>(((DC142+DC42+DC132))+(88-13-16+70))/DC222</f>
        <v>-0.92525068368277119</v>
      </c>
      <c r="DD202" s="878">
        <f t="shared" si="718"/>
        <v>-624.71453245693999</v>
      </c>
      <c r="DE202" s="582"/>
      <c r="DG202" s="804">
        <f>((DG142-DG152+46+10-24))/DG222</f>
        <v>-1.8149324861000793</v>
      </c>
      <c r="DH202" s="878">
        <f t="shared" si="719"/>
        <v>96.155757364708066</v>
      </c>
      <c r="DI202" s="582"/>
      <c r="DK202" s="804">
        <f>((DK142-DK152+DK132+1-2-86-6)/DK222)</f>
        <v>-0.76973468719292493</v>
      </c>
      <c r="DL202" s="878">
        <f t="shared" si="710"/>
        <v>-57.588797760354815</v>
      </c>
      <c r="DM202" s="582"/>
      <c r="DP202" s="804">
        <f>((DP142+DP42+DP132-1-19+7)*(1-DQ152%))/DP222</f>
        <v>-0.46598639455782315</v>
      </c>
      <c r="DQ202" s="878">
        <f t="shared" si="711"/>
        <v>-39.461427124041094</v>
      </c>
      <c r="DR202" s="582"/>
      <c r="DU202" s="804">
        <f>(DU162+DU172)/DU222</f>
        <v>-0.21083360363282516</v>
      </c>
      <c r="DV202" s="878">
        <f>(DU202/DP202-1)*100</f>
        <v>-54.755416446678396</v>
      </c>
      <c r="DW202" s="582"/>
      <c r="DZ202" s="804">
        <f>(DZ162)/DZ222</f>
        <v>-0.32676508344030802</v>
      </c>
      <c r="EA202" s="878">
        <f>(DZ202/DU202-1)*100</f>
        <v>54.987192653303026</v>
      </c>
      <c r="EB202" s="582"/>
      <c r="EE202" s="804">
        <f>(EE162+EE172)/EE222</f>
        <v>-0.13773852511125237</v>
      </c>
      <c r="EF202" s="878">
        <f>(EE202/DZ202-1)*100</f>
        <v>-57.847844799974226</v>
      </c>
      <c r="EG202" s="582"/>
      <c r="EI202" s="579"/>
      <c r="EW202" s="805"/>
      <c r="EX202" s="805"/>
    </row>
    <row r="203" spans="1:158">
      <c r="A203" s="819" t="s">
        <v>143</v>
      </c>
      <c r="C203" s="829"/>
      <c r="D203" s="909"/>
      <c r="E203" s="867"/>
      <c r="F203" s="867"/>
      <c r="G203" s="829"/>
      <c r="H203" s="909"/>
      <c r="I203" s="867"/>
      <c r="J203" s="867"/>
      <c r="K203" s="829"/>
      <c r="L203" s="909"/>
      <c r="M203" s="867"/>
      <c r="N203" s="867"/>
      <c r="O203" s="829"/>
      <c r="P203" s="867"/>
      <c r="Q203" s="867"/>
      <c r="R203" s="867"/>
      <c r="S203" s="829"/>
      <c r="T203" s="867"/>
      <c r="U203" s="867"/>
      <c r="V203" s="867"/>
      <c r="W203" s="829"/>
      <c r="X203" s="867"/>
      <c r="Y203" s="867"/>
      <c r="Z203" s="867"/>
      <c r="AA203" s="829"/>
      <c r="AB203" s="867"/>
      <c r="AC203" s="867"/>
      <c r="AD203" s="867"/>
      <c r="AE203" s="829"/>
      <c r="AF203" s="867"/>
      <c r="AG203" s="867"/>
      <c r="AH203" s="867"/>
      <c r="AI203" s="829"/>
      <c r="AJ203" s="867"/>
      <c r="AK203" s="867"/>
      <c r="AL203" s="867"/>
      <c r="AM203" s="829"/>
      <c r="AN203" s="867"/>
      <c r="AO203" s="867"/>
      <c r="AP203" s="867"/>
      <c r="AQ203" s="829"/>
      <c r="AR203" s="867"/>
      <c r="AS203" s="867"/>
      <c r="AT203" s="867"/>
      <c r="AU203" s="829"/>
      <c r="AV203" s="867"/>
      <c r="AW203" s="867"/>
      <c r="AX203" s="867"/>
      <c r="AY203" s="829"/>
      <c r="AZ203" s="867"/>
      <c r="BA203" s="867"/>
      <c r="BB203" s="867"/>
      <c r="BC203" s="829"/>
      <c r="BD203" s="867"/>
      <c r="BE203" s="867"/>
      <c r="BF203" s="867"/>
      <c r="BG203" s="829"/>
      <c r="BH203" s="867"/>
      <c r="BI203" s="867"/>
      <c r="BJ203" s="867"/>
      <c r="BK203" s="829"/>
      <c r="BL203" s="867"/>
      <c r="BM203" s="867"/>
      <c r="BN203" s="867"/>
      <c r="BO203" s="829"/>
      <c r="BP203" s="867"/>
      <c r="BQ203" s="867"/>
      <c r="BR203" s="867"/>
      <c r="BS203" s="829"/>
      <c r="BT203" s="867"/>
      <c r="BU203" s="867"/>
      <c r="BV203" s="867"/>
      <c r="BW203" s="908">
        <f>((BW143+BW43)*(1-BX153%))/BW223</f>
        <v>1.1844343423290793</v>
      </c>
      <c r="BX203" s="888" t="s">
        <v>147</v>
      </c>
      <c r="BY203" s="888"/>
      <c r="CA203" s="908">
        <f>((CA143+CA43)*(1-CB153%))/CA223</f>
        <v>1.7528481535719147</v>
      </c>
      <c r="CB203" s="878">
        <f t="shared" si="712"/>
        <v>47.990318325716807</v>
      </c>
      <c r="CC203" s="888"/>
      <c r="CE203" s="908">
        <f>((CE143+CE43)*(1-CF153%))/CE223</f>
        <v>2.0239035150679952</v>
      </c>
      <c r="CF203" s="878">
        <f t="shared" si="713"/>
        <v>15.463710358694204</v>
      </c>
      <c r="CG203" s="888"/>
      <c r="CI203" s="908">
        <f>((CI143+CI43)*(1-CJ153%))/CI223</f>
        <v>1.8659546110311074</v>
      </c>
      <c r="CJ203" s="878">
        <f t="shared" si="714"/>
        <v>-7.8041716347125973</v>
      </c>
      <c r="CK203" s="888"/>
      <c r="CM203" s="908">
        <f>((CM143+CM43)*(1-CN153%))/CM223</f>
        <v>0.83755177174413253</v>
      </c>
      <c r="CN203" s="878">
        <f t="shared" si="715"/>
        <v>-55.114032957033722</v>
      </c>
      <c r="CO203" s="888"/>
      <c r="CQ203" s="908">
        <f>((CQ143+CQ43)*(1-CR153%))/CQ223</f>
        <v>1.0217117625700025</v>
      </c>
      <c r="CR203" s="878">
        <f t="shared" si="716"/>
        <v>21.987893410143712</v>
      </c>
      <c r="CS203" s="888"/>
      <c r="CU203" s="908">
        <f>((CU143+CU43)*(1-CV153%))/CU223</f>
        <v>1.3229676119634277</v>
      </c>
      <c r="CV203" s="878">
        <f t="shared" si="709"/>
        <v>-93.983199812342633</v>
      </c>
      <c r="CW203" s="888"/>
      <c r="CY203" s="908">
        <f>((CY183+13+(119+207*(1-0.39)))/CY223)</f>
        <v>0.80145063172671971</v>
      </c>
      <c r="CZ203" s="878">
        <f t="shared" si="717"/>
        <v>-39.42023791971144</v>
      </c>
      <c r="DA203" s="888"/>
      <c r="DC203" s="908">
        <f>(DC163+(29-12)+(176-68))/DC223</f>
        <v>-1.9453302961275627</v>
      </c>
      <c r="DD203" s="878">
        <f t="shared" si="718"/>
        <v>-342.72615419072821</v>
      </c>
      <c r="DG203" s="908">
        <f>((DG143-DG153+50+25-46-270))/DG223</f>
        <v>-0.67563135454247303</v>
      </c>
      <c r="DH203" s="878">
        <f t="shared" si="719"/>
        <v>-65.269067371879899</v>
      </c>
      <c r="DK203" s="908">
        <f>((DK143+DK43+DK133-DK153-12-6))/DK223</f>
        <v>-0.11464133639043564</v>
      </c>
      <c r="DL203" s="878">
        <f t="shared" si="710"/>
        <v>-83.031969191532127</v>
      </c>
      <c r="DP203" s="908">
        <f>((DP143+DP43+DP133)*(1-DQ153%))/DP223</f>
        <v>0.39465756175938943</v>
      </c>
      <c r="DQ203" s="878">
        <f t="shared" si="711"/>
        <v>-444.25415315754736</v>
      </c>
      <c r="DU203" s="908">
        <f>(DU163+DU173)/DU223</f>
        <v>0.64372211599745055</v>
      </c>
      <c r="DV203" s="878">
        <f>(DU203/DP203-1)*100</f>
        <v>63.109028781236965</v>
      </c>
      <c r="DW203" s="579"/>
      <c r="DZ203" s="712">
        <f>(DZ163)/DZ223</f>
        <v>0.56897647806738716</v>
      </c>
      <c r="EA203" s="878">
        <f>(DZ203/DU203-1)*100</f>
        <v>-11.611475832897966</v>
      </c>
      <c r="EB203" s="579"/>
      <c r="EE203" s="712">
        <f>(EE163+EE173)/EE223</f>
        <v>0.28421130324221189</v>
      </c>
      <c r="EF203" s="878">
        <f>(EE203/DZ203-1)*100</f>
        <v>-50.048672625698408</v>
      </c>
      <c r="EG203" s="579"/>
      <c r="EI203" s="579"/>
      <c r="EW203" s="805"/>
      <c r="EX203" s="805"/>
    </row>
    <row r="204" spans="1:158">
      <c r="A204" s="819" t="s">
        <v>144</v>
      </c>
      <c r="C204" s="829"/>
      <c r="D204" s="909"/>
      <c r="E204" s="867"/>
      <c r="F204" s="867"/>
      <c r="G204" s="829"/>
      <c r="H204" s="909"/>
      <c r="I204" s="867"/>
      <c r="J204" s="867"/>
      <c r="K204" s="829"/>
      <c r="L204" s="909"/>
      <c r="M204" s="867"/>
      <c r="N204" s="867"/>
      <c r="O204" s="829"/>
      <c r="P204" s="867"/>
      <c r="Q204" s="867"/>
      <c r="R204" s="867"/>
      <c r="S204" s="829"/>
      <c r="T204" s="867"/>
      <c r="U204" s="867"/>
      <c r="V204" s="867"/>
      <c r="W204" s="829"/>
      <c r="X204" s="867"/>
      <c r="Y204" s="867"/>
      <c r="Z204" s="867"/>
      <c r="AA204" s="829"/>
      <c r="AB204" s="867"/>
      <c r="AC204" s="867"/>
      <c r="AD204" s="867"/>
      <c r="AE204" s="829"/>
      <c r="AF204" s="867"/>
      <c r="AG204" s="867"/>
      <c r="AH204" s="867"/>
      <c r="AI204" s="829"/>
      <c r="AJ204" s="867"/>
      <c r="AK204" s="867"/>
      <c r="AL204" s="867"/>
      <c r="AM204" s="829"/>
      <c r="AN204" s="867"/>
      <c r="AO204" s="867"/>
      <c r="AP204" s="867"/>
      <c r="AQ204" s="829"/>
      <c r="AR204" s="867"/>
      <c r="AS204" s="867"/>
      <c r="AT204" s="867"/>
      <c r="AU204" s="829"/>
      <c r="AV204" s="867"/>
      <c r="AW204" s="867"/>
      <c r="AX204" s="867"/>
      <c r="AY204" s="829"/>
      <c r="AZ204" s="867"/>
      <c r="BA204" s="867"/>
      <c r="BB204" s="867"/>
      <c r="BC204" s="829"/>
      <c r="BD204" s="867"/>
      <c r="BE204" s="867"/>
      <c r="BF204" s="867"/>
      <c r="BG204" s="829"/>
      <c r="BH204" s="867"/>
      <c r="BI204" s="867"/>
      <c r="BJ204" s="867"/>
      <c r="BK204" s="829"/>
      <c r="BL204" s="867"/>
      <c r="BM204" s="867"/>
      <c r="BN204" s="867"/>
      <c r="BO204" s="829"/>
      <c r="BP204" s="867"/>
      <c r="BQ204" s="867"/>
      <c r="BR204" s="867"/>
      <c r="BS204" s="829"/>
      <c r="BT204" s="867"/>
      <c r="BU204" s="867"/>
      <c r="BV204" s="867"/>
      <c r="BW204" s="579">
        <f>((BW144+BW44)*(1-BX154%))/BW224</f>
        <v>2.3510164807935192</v>
      </c>
      <c r="BX204" s="888" t="s">
        <v>147</v>
      </c>
      <c r="BY204" s="888"/>
      <c r="CA204" s="579">
        <f>((CA144+CA44)*(1-CB154%))/CA224</f>
        <v>3.8076038722192846</v>
      </c>
      <c r="CB204" s="878">
        <f t="shared" si="712"/>
        <v>61.955643583329348</v>
      </c>
      <c r="CC204" s="888"/>
      <c r="CE204" s="579">
        <f>((CE144+CE44)*(1-CF154%))/CE224</f>
        <v>4.9185567348506236</v>
      </c>
      <c r="CF204" s="878">
        <f t="shared" si="713"/>
        <v>29.177217481497443</v>
      </c>
      <c r="CG204" s="888"/>
      <c r="CI204" s="579">
        <f>((CI144+CI44)*(1-CJ154%))/CI224</f>
        <v>4.4841811255743043</v>
      </c>
      <c r="CJ204" s="878">
        <f t="shared" si="714"/>
        <v>-8.8313631964135766</v>
      </c>
      <c r="CK204" s="888"/>
      <c r="CM204" s="579">
        <f>((CM144+CM44)*(1-CN154%))/CM224</f>
        <v>2.1524290311231211</v>
      </c>
      <c r="CN204" s="878">
        <f t="shared" si="715"/>
        <v>-51.999507360500473</v>
      </c>
      <c r="CO204" s="888"/>
      <c r="CQ204" s="579">
        <f>((CQ144+CQ44)*(1-CR154%))/CQ224</f>
        <v>1.8644467758719636</v>
      </c>
      <c r="CR204" s="878">
        <f t="shared" si="716"/>
        <v>-13.379407687178912</v>
      </c>
      <c r="CS204" s="888"/>
      <c r="CU204" s="579">
        <f>((CU144+CU44)*(1-CV154%))/CU224</f>
        <v>2.2779025868096014</v>
      </c>
      <c r="CV204" s="878">
        <f t="shared" si="709"/>
        <v>-117.02543670145016</v>
      </c>
      <c r="CW204" s="888"/>
      <c r="CY204" s="579">
        <f>((CY184+306+53+207*(1-0.37))/CY224)</f>
        <v>1.5535033437273325</v>
      </c>
      <c r="CZ204" s="878">
        <f t="shared" si="717"/>
        <v>-31.801151079812083</v>
      </c>
      <c r="DA204" s="888"/>
      <c r="DC204" s="910">
        <f>(DC184+DC44+DC134-60-116-122+146+102)/DC224</f>
        <v>-3.4945255474452557</v>
      </c>
      <c r="DD204" s="878">
        <f t="shared" si="718"/>
        <v>-324.94483591266777</v>
      </c>
      <c r="DG204" s="1276">
        <f>((DG144-DG154+187+90+114-131-303))/DG224</f>
        <v>-5.7400722021660648</v>
      </c>
      <c r="DH204" s="878">
        <f t="shared" si="719"/>
        <v>64.25898521080957</v>
      </c>
      <c r="DK204" s="1276">
        <f>((DK144+DK44+DK134)*(1-DL154%))/DK224</f>
        <v>-2.1648423756491755</v>
      </c>
      <c r="DL204" s="878">
        <f t="shared" si="710"/>
        <v>-62.285450436803671</v>
      </c>
      <c r="DM204" s="896">
        <f>SUM(DK200:DK203)</f>
        <v>-2.7897845688266805</v>
      </c>
      <c r="DP204" s="1276">
        <f>((DP144+DP44+DP134-3)*(1-DQ154%))/DP224</f>
        <v>-1.0246200552481153</v>
      </c>
      <c r="DQ204" s="878">
        <f t="shared" si="711"/>
        <v>-52.669992662128081</v>
      </c>
      <c r="DR204" s="896">
        <f>SUM(DP200:DP203)</f>
        <v>-1.0514655818791363</v>
      </c>
      <c r="DU204" s="1276">
        <f>(DU164+DU174)/DU224</f>
        <v>7.6677316293929709E-2</v>
      </c>
      <c r="DV204" s="878">
        <f>(DU204/DP204-1)*100</f>
        <v>-107.4834877475985</v>
      </c>
      <c r="DW204" s="579"/>
      <c r="DX204" s="579"/>
      <c r="DZ204" s="579">
        <f>(DZ164)/DZ224</f>
        <v>0.21755062680810031</v>
      </c>
      <c r="EA204" s="878">
        <f>(DZ204/DU204-1)*100</f>
        <v>183.72227579556414</v>
      </c>
      <c r="EB204" s="579"/>
      <c r="EC204" s="579"/>
      <c r="EE204" s="579">
        <f>(EE164+EE174)/EE224</f>
        <v>7.0948302606480801E-2</v>
      </c>
      <c r="EF204" s="878">
        <f>(EE204/DZ204-1)*100</f>
        <v>-67.38768182494654</v>
      </c>
      <c r="EG204" s="579"/>
      <c r="EH204" s="579"/>
      <c r="EI204" s="579"/>
      <c r="EW204" s="805"/>
      <c r="EX204" s="805"/>
    </row>
    <row r="205" spans="1:158" hidden="1" outlineLevel="1">
      <c r="A205" s="819" t="s">
        <v>145</v>
      </c>
      <c r="C205" s="829"/>
      <c r="D205" s="909"/>
      <c r="E205" s="867"/>
      <c r="F205" s="867"/>
      <c r="G205" s="829"/>
      <c r="H205" s="909"/>
      <c r="I205" s="867"/>
      <c r="J205" s="867"/>
      <c r="K205" s="829"/>
      <c r="L205" s="909"/>
      <c r="M205" s="867"/>
      <c r="N205" s="867"/>
      <c r="O205" s="829"/>
      <c r="P205" s="867"/>
      <c r="Q205" s="867"/>
      <c r="R205" s="867"/>
      <c r="S205" s="829"/>
      <c r="T205" s="867"/>
      <c r="U205" s="867"/>
      <c r="V205" s="867"/>
      <c r="W205" s="829"/>
      <c r="X205" s="867"/>
      <c r="Y205" s="867"/>
      <c r="Z205" s="867"/>
      <c r="AA205" s="829"/>
      <c r="AB205" s="867"/>
      <c r="AC205" s="867"/>
      <c r="AD205" s="867"/>
      <c r="AE205" s="829"/>
      <c r="AF205" s="867"/>
      <c r="AG205" s="867"/>
      <c r="AH205" s="867"/>
      <c r="AI205" s="829"/>
      <c r="AJ205" s="867"/>
      <c r="AK205" s="867"/>
      <c r="AL205" s="867"/>
      <c r="AM205" s="829"/>
      <c r="AN205" s="867"/>
      <c r="AO205" s="867"/>
      <c r="AP205" s="867"/>
      <c r="AQ205" s="829"/>
      <c r="AR205" s="867"/>
      <c r="AS205" s="867"/>
      <c r="AT205" s="867"/>
      <c r="AU205" s="829"/>
      <c r="AV205" s="867"/>
      <c r="AW205" s="867"/>
      <c r="AX205" s="867"/>
      <c r="AY205" s="829"/>
      <c r="AZ205" s="867"/>
      <c r="BA205" s="867"/>
      <c r="BB205" s="867"/>
      <c r="BC205" s="829"/>
      <c r="BD205" s="867"/>
      <c r="BE205" s="867"/>
      <c r="BF205" s="867"/>
      <c r="BG205" s="829"/>
      <c r="BH205" s="867"/>
      <c r="BI205" s="867"/>
      <c r="BJ205" s="867"/>
      <c r="BK205" s="829"/>
      <c r="BL205" s="867"/>
      <c r="BM205" s="867"/>
      <c r="BN205" s="867"/>
      <c r="BO205" s="829"/>
      <c r="BP205" s="867"/>
      <c r="BQ205" s="867"/>
      <c r="BR205" s="867"/>
      <c r="BS205" s="829"/>
      <c r="BT205" s="867"/>
      <c r="BU205" s="867"/>
      <c r="BV205" s="867"/>
      <c r="BW205" s="804">
        <f>BW200+BW201</f>
        <v>0.7105655855235673</v>
      </c>
      <c r="BX205" s="888" t="s">
        <v>147</v>
      </c>
      <c r="BY205" s="888"/>
      <c r="CA205" s="804">
        <f>CA200+CA201</f>
        <v>1.170622944837898</v>
      </c>
      <c r="CB205" s="878">
        <f t="shared" si="712"/>
        <v>64.745235160150031</v>
      </c>
      <c r="CC205" s="888"/>
      <c r="CE205" s="804">
        <f>CE200+CE201</f>
        <v>1.6641230060162178</v>
      </c>
      <c r="CF205" s="878">
        <f t="shared" si="713"/>
        <v>42.157046669425839</v>
      </c>
      <c r="CG205" s="888"/>
      <c r="CI205" s="804">
        <f>CI200+CI201</f>
        <v>1.677604171738422</v>
      </c>
      <c r="CJ205" s="878">
        <f t="shared" si="714"/>
        <v>0.81010632468072608</v>
      </c>
      <c r="CK205" s="888"/>
      <c r="CM205" s="804">
        <f>CM200+CM201</f>
        <v>0.87617088315400382</v>
      </c>
      <c r="CN205" s="878">
        <f t="shared" si="715"/>
        <v>-47.772490202735405</v>
      </c>
      <c r="CO205" s="888"/>
      <c r="CQ205" s="804">
        <f>CQ200+CQ201</f>
        <v>0.51403911089635412</v>
      </c>
      <c r="CR205" s="878">
        <f t="shared" si="716"/>
        <v>-41.331180848427948</v>
      </c>
      <c r="CS205" s="888"/>
      <c r="CU205" s="804">
        <f>CU200+CU201</f>
        <v>0.63616488963711193</v>
      </c>
      <c r="CV205" s="878">
        <f t="shared" si="709"/>
        <v>-101.53918875913585</v>
      </c>
      <c r="CW205" s="888"/>
      <c r="CY205" s="804">
        <f>CY200+CY201</f>
        <v>0.55296560685705087</v>
      </c>
      <c r="CZ205" s="878">
        <f t="shared" si="717"/>
        <v>-13.078257561105033</v>
      </c>
      <c r="DA205" s="888"/>
      <c r="DC205" s="804">
        <f>DC200+DC201</f>
        <v>-0.61992914192246318</v>
      </c>
      <c r="DD205" s="878">
        <f t="shared" si="718"/>
        <v>-212.10989150772326</v>
      </c>
      <c r="DE205" s="888"/>
      <c r="DG205" s="804">
        <f>DG200+DG201</f>
        <v>-2.4893698587627275</v>
      </c>
      <c r="DH205" s="878">
        <f t="shared" si="719"/>
        <v>301.55716039464426</v>
      </c>
      <c r="DI205" s="888"/>
      <c r="DK205" s="804">
        <f>DK200+DK201</f>
        <v>-1.90540854524332</v>
      </c>
      <c r="DL205" s="878">
        <f t="shared" si="710"/>
        <v>-23.458198124470321</v>
      </c>
      <c r="DM205" s="888"/>
      <c r="DP205" s="804">
        <f>DP200+DP201</f>
        <v>-0.9801367490807027</v>
      </c>
      <c r="DQ205" s="878">
        <f t="shared" si="711"/>
        <v>-48.56028374977506</v>
      </c>
      <c r="DR205" s="888"/>
      <c r="DU205" s="804">
        <f>DU200+DU201</f>
        <v>-0.36770326028138534</v>
      </c>
      <c r="DV205" s="878">
        <f>(DU205/DQ205-1)*100</f>
        <v>-99.242790132413333</v>
      </c>
      <c r="DW205" s="888"/>
      <c r="DZ205" s="804">
        <f>DZ200+DZ201</f>
        <v>-3.0329332654912597E-2</v>
      </c>
      <c r="EA205" s="878">
        <f>(DZ205/DV205-1)*100</f>
        <v>-99.969439258394047</v>
      </c>
      <c r="EB205" s="888"/>
      <c r="EE205" s="804">
        <f>EE200+EE201</f>
        <v>-7.5524475524474763E-2</v>
      </c>
      <c r="EF205" s="878">
        <f>(EE205/EA205-1)*100</f>
        <v>-99.924452436579884</v>
      </c>
      <c r="EG205" s="888"/>
      <c r="EP205" s="888"/>
      <c r="EQ205" s="888"/>
      <c r="ER205" s="888"/>
      <c r="ES205" s="888"/>
      <c r="ET205" s="888"/>
      <c r="EU205" s="888"/>
      <c r="EV205" s="888"/>
      <c r="EW205" s="805"/>
      <c r="EX205" s="805"/>
    </row>
    <row r="206" spans="1:158" hidden="1" outlineLevel="1">
      <c r="A206" s="819" t="s">
        <v>146</v>
      </c>
      <c r="C206" s="829"/>
      <c r="D206" s="909"/>
      <c r="E206" s="867"/>
      <c r="F206" s="867"/>
      <c r="G206" s="829"/>
      <c r="H206" s="909"/>
      <c r="I206" s="867"/>
      <c r="J206" s="867"/>
      <c r="K206" s="829"/>
      <c r="L206" s="909"/>
      <c r="M206" s="867"/>
      <c r="N206" s="867"/>
      <c r="O206" s="829"/>
      <c r="P206" s="867"/>
      <c r="Q206" s="867"/>
      <c r="R206" s="867"/>
      <c r="S206" s="829"/>
      <c r="T206" s="867"/>
      <c r="U206" s="867"/>
      <c r="V206" s="867"/>
      <c r="W206" s="829"/>
      <c r="X206" s="867"/>
      <c r="Y206" s="867"/>
      <c r="Z206" s="867"/>
      <c r="AA206" s="829"/>
      <c r="AB206" s="867"/>
      <c r="AC206" s="867"/>
      <c r="AD206" s="867"/>
      <c r="AE206" s="829"/>
      <c r="AF206" s="867"/>
      <c r="AG206" s="867"/>
      <c r="AH206" s="867"/>
      <c r="AI206" s="829"/>
      <c r="AJ206" s="867"/>
      <c r="AK206" s="867"/>
      <c r="AL206" s="867"/>
      <c r="AM206" s="829"/>
      <c r="AN206" s="867"/>
      <c r="AO206" s="867"/>
      <c r="AP206" s="867"/>
      <c r="AQ206" s="829"/>
      <c r="AR206" s="867"/>
      <c r="AS206" s="867"/>
      <c r="AT206" s="867"/>
      <c r="AU206" s="829"/>
      <c r="AV206" s="867"/>
      <c r="AW206" s="867"/>
      <c r="AX206" s="867"/>
      <c r="AY206" s="829"/>
      <c r="AZ206" s="867"/>
      <c r="BA206" s="867"/>
      <c r="BB206" s="867"/>
      <c r="BC206" s="829"/>
      <c r="BD206" s="867"/>
      <c r="BE206" s="867"/>
      <c r="BF206" s="867"/>
      <c r="BG206" s="829"/>
      <c r="BH206" s="867"/>
      <c r="BI206" s="867"/>
      <c r="BJ206" s="867"/>
      <c r="BK206" s="829"/>
      <c r="BL206" s="867"/>
      <c r="BM206" s="867"/>
      <c r="BN206" s="867"/>
      <c r="BO206" s="829"/>
      <c r="BP206" s="867"/>
      <c r="BQ206" s="867"/>
      <c r="BR206" s="867"/>
      <c r="BS206" s="829"/>
      <c r="BT206" s="867"/>
      <c r="BU206" s="867"/>
      <c r="BV206" s="867"/>
      <c r="BW206" s="804">
        <f>BW200+BW201+BW202</f>
        <v>1.2327844812080975</v>
      </c>
      <c r="BX206" s="888" t="s">
        <v>147</v>
      </c>
      <c r="BY206" s="888"/>
      <c r="CA206" s="804">
        <f>CA200+CA201+CA202</f>
        <v>2.15637879403174</v>
      </c>
      <c r="CB206" s="878">
        <f t="shared" si="712"/>
        <v>74.919365623303719</v>
      </c>
      <c r="CC206" s="888"/>
      <c r="CE206" s="804">
        <f>CE200+CE201+CE202</f>
        <v>2.9260835605954014</v>
      </c>
      <c r="CF206" s="878">
        <f t="shared" si="713"/>
        <v>35.694320900112331</v>
      </c>
      <c r="CG206" s="888"/>
      <c r="CI206" s="804">
        <f>CI200+CI201+CI202</f>
        <v>2.6277733515705872</v>
      </c>
      <c r="CJ206" s="878">
        <f t="shared" si="714"/>
        <v>-10.194862957506034</v>
      </c>
      <c r="CK206" s="888"/>
      <c r="CM206" s="804">
        <f>CM200+CM201+CM202</f>
        <v>1.3164776603866675</v>
      </c>
      <c r="CN206" s="878">
        <f t="shared" si="715"/>
        <v>-49.901399997080219</v>
      </c>
      <c r="CO206" s="888"/>
      <c r="CQ206" s="804">
        <f>CQ200+CQ201+CQ202</f>
        <v>0.82059302210142815</v>
      </c>
      <c r="CR206" s="878">
        <f t="shared" si="716"/>
        <v>-37.667531565981236</v>
      </c>
      <c r="CS206" s="888"/>
      <c r="CU206" s="804">
        <f>CU200+CU201+CU202</f>
        <v>0.97584579545286076</v>
      </c>
      <c r="CV206" s="878">
        <f t="shared" si="709"/>
        <v>-102.59068156282952</v>
      </c>
      <c r="CW206" s="888"/>
      <c r="CY206" s="804">
        <f>CY200+CY201+CY202</f>
        <v>0.7292997135855892</v>
      </c>
      <c r="CZ206" s="878">
        <f t="shared" si="717"/>
        <v>-25.264860802403412</v>
      </c>
      <c r="DA206" s="888"/>
      <c r="DC206" s="804">
        <f>DC200+DC201+DC202</f>
        <v>-1.5451798256052345</v>
      </c>
      <c r="DD206" s="878">
        <f t="shared" si="718"/>
        <v>-311.87171704872679</v>
      </c>
      <c r="DE206" s="888"/>
      <c r="DG206" s="804">
        <f>DG200+DG201+DG202</f>
        <v>-4.3043023448628066</v>
      </c>
      <c r="DH206" s="878">
        <f t="shared" si="719"/>
        <v>178.56319850518668</v>
      </c>
      <c r="DI206" s="888"/>
      <c r="DK206" s="804">
        <f>DK200+DK201+DK202</f>
        <v>-2.6751432324362447</v>
      </c>
      <c r="DL206" s="878">
        <f t="shared" si="710"/>
        <v>-37.84955102819314</v>
      </c>
      <c r="DM206" s="888"/>
      <c r="DP206" s="804">
        <f>DP200+DP201+DP202</f>
        <v>-1.4461231436385258</v>
      </c>
      <c r="DQ206" s="878">
        <f t="shared" si="711"/>
        <v>-45.942216248303616</v>
      </c>
      <c r="DR206" s="888"/>
      <c r="DU206" s="804">
        <f>DU200+DU201+DU202</f>
        <v>-0.57853686391421055</v>
      </c>
      <c r="DV206" s="878">
        <f>(DU206/DQ206-1)*100</f>
        <v>-98.740729309210082</v>
      </c>
      <c r="DW206" s="888"/>
      <c r="DZ206" s="804">
        <f>DZ200+DZ201+DZ202</f>
        <v>-0.35709441609522063</v>
      </c>
      <c r="EA206" s="878">
        <f>(DZ206/DV206-1)*100</f>
        <v>-99.638351449707272</v>
      </c>
      <c r="EB206" s="888"/>
      <c r="EE206" s="804">
        <f>EE200+EE201+EE202</f>
        <v>-0.21326300063572712</v>
      </c>
      <c r="EF206" s="878">
        <f>(EE206/EA206-1)*100</f>
        <v>-99.785962937430412</v>
      </c>
      <c r="EG206" s="888"/>
      <c r="EP206" s="888"/>
      <c r="EQ206" s="888"/>
      <c r="ER206" s="888"/>
      <c r="ES206" s="888"/>
      <c r="ET206" s="888"/>
      <c r="EU206" s="888"/>
      <c r="EV206" s="888"/>
      <c r="EW206" s="805"/>
      <c r="EX206" s="805"/>
    </row>
    <row r="207" spans="1:158" collapsed="1">
      <c r="C207" s="706"/>
      <c r="D207" s="687"/>
      <c r="E207" s="687"/>
      <c r="G207" s="706"/>
      <c r="H207" s="687"/>
      <c r="I207" s="687"/>
      <c r="K207" s="706"/>
      <c r="L207" s="687"/>
      <c r="M207" s="687"/>
      <c r="O207" s="706"/>
      <c r="S207" s="706"/>
      <c r="W207" s="706"/>
      <c r="AA207" s="706"/>
      <c r="AE207" s="706"/>
      <c r="AI207" s="706"/>
      <c r="AM207" s="706"/>
      <c r="AQ207" s="706"/>
      <c r="AU207" s="706"/>
      <c r="AY207" s="706"/>
      <c r="BC207" s="706"/>
      <c r="BG207" s="706"/>
      <c r="BK207" s="706"/>
      <c r="BO207" s="706"/>
      <c r="BS207" s="706"/>
      <c r="DC207" s="579"/>
      <c r="DG207" s="579"/>
      <c r="DK207" s="579"/>
      <c r="DP207" s="579"/>
      <c r="DU207" s="579"/>
      <c r="DZ207" s="579"/>
      <c r="EE207" s="579"/>
      <c r="EK207" s="888"/>
      <c r="EL207" s="888"/>
      <c r="EM207" s="888"/>
      <c r="EN207" s="888"/>
      <c r="EO207" s="888"/>
      <c r="EW207" s="805"/>
      <c r="EX207" s="805"/>
    </row>
    <row r="208" spans="1:158">
      <c r="A208" s="816" t="s">
        <v>40</v>
      </c>
      <c r="B208" s="507"/>
      <c r="C208" s="435"/>
      <c r="D208" s="503"/>
      <c r="E208" s="503"/>
      <c r="F208" s="507"/>
      <c r="G208" s="435"/>
      <c r="H208" s="503"/>
      <c r="I208" s="503"/>
      <c r="J208" s="507"/>
      <c r="K208" s="435"/>
      <c r="L208" s="503"/>
      <c r="M208" s="503"/>
      <c r="N208" s="507"/>
      <c r="O208" s="435"/>
      <c r="P208" s="507"/>
      <c r="Q208" s="507"/>
      <c r="R208" s="507"/>
      <c r="S208" s="435"/>
      <c r="T208" s="507"/>
      <c r="U208" s="507"/>
      <c r="V208" s="507"/>
      <c r="W208" s="435"/>
      <c r="X208" s="507"/>
      <c r="Y208" s="507"/>
      <c r="Z208" s="507"/>
      <c r="AA208" s="435"/>
      <c r="AB208" s="507"/>
      <c r="AC208" s="507"/>
      <c r="AD208" s="507"/>
      <c r="AE208" s="435"/>
      <c r="AF208" s="507"/>
      <c r="AG208" s="507"/>
      <c r="AH208" s="507"/>
      <c r="AI208" s="435"/>
      <c r="AJ208" s="507"/>
      <c r="AK208" s="507"/>
      <c r="AL208" s="507"/>
      <c r="AM208" s="435"/>
      <c r="AN208" s="507"/>
      <c r="AO208" s="507"/>
      <c r="AP208" s="507"/>
      <c r="AQ208" s="435"/>
      <c r="AR208" s="507"/>
      <c r="AS208" s="507"/>
      <c r="AT208" s="507"/>
      <c r="AU208" s="435"/>
      <c r="AV208" s="507"/>
      <c r="AW208" s="507"/>
      <c r="AX208" s="507"/>
      <c r="AY208" s="435"/>
      <c r="AZ208" s="507"/>
      <c r="BA208" s="507"/>
      <c r="BB208" s="507"/>
      <c r="BC208" s="435"/>
      <c r="BD208" s="507"/>
      <c r="BE208" s="507"/>
      <c r="BF208" s="507"/>
      <c r="BG208" s="435"/>
      <c r="BH208" s="507"/>
      <c r="BI208" s="507"/>
      <c r="BJ208" s="507"/>
      <c r="BK208" s="435"/>
      <c r="BL208" s="507"/>
      <c r="BM208" s="507"/>
      <c r="BN208" s="507"/>
      <c r="BO208" s="435"/>
      <c r="BP208" s="507"/>
      <c r="BQ208" s="507"/>
      <c r="BR208" s="507"/>
      <c r="BS208" s="435"/>
      <c r="BT208" s="507"/>
      <c r="BU208" s="507"/>
      <c r="BV208" s="507"/>
      <c r="BW208" s="435"/>
      <c r="BX208" s="507"/>
      <c r="BY208" s="507"/>
      <c r="BZ208" s="507"/>
      <c r="CA208" s="435"/>
      <c r="CB208" s="507"/>
      <c r="CC208" s="507"/>
      <c r="CD208" s="507"/>
      <c r="CE208" s="435"/>
      <c r="CF208" s="507"/>
      <c r="CG208" s="507"/>
      <c r="CH208" s="507"/>
      <c r="CI208" s="435"/>
      <c r="CJ208" s="507"/>
      <c r="CK208" s="507"/>
      <c r="CL208" s="507"/>
      <c r="CM208" s="435"/>
      <c r="CN208" s="507"/>
      <c r="CO208" s="507"/>
      <c r="CP208" s="507"/>
      <c r="CQ208" s="435"/>
      <c r="CR208" s="507"/>
      <c r="CS208" s="507"/>
      <c r="CT208" s="507"/>
      <c r="CV208" s="507"/>
      <c r="CW208" s="507"/>
      <c r="CX208" s="507"/>
      <c r="CY208" s="435"/>
      <c r="CZ208" s="507"/>
      <c r="DA208" s="507"/>
      <c r="DB208" s="507"/>
      <c r="DC208" s="911"/>
      <c r="DD208" s="912"/>
      <c r="DE208" s="507"/>
      <c r="DF208" s="507"/>
      <c r="DG208" s="818" t="s">
        <v>40</v>
      </c>
      <c r="DH208" s="507"/>
      <c r="DI208" s="507"/>
      <c r="DJ208" s="507"/>
      <c r="DK208" s="507"/>
      <c r="DL208" s="507"/>
      <c r="DM208" s="507"/>
      <c r="DN208" s="507"/>
      <c r="DO208" s="507"/>
      <c r="DP208" s="1585" t="str">
        <f>DG208</f>
        <v>19. Earnings Per Share - GAAP - Fully Diluted</v>
      </c>
      <c r="DQ208" s="1585"/>
      <c r="DR208" s="1585"/>
      <c r="DS208" s="1585"/>
      <c r="DT208" s="1585"/>
      <c r="DU208" s="1585"/>
      <c r="DV208" s="1585"/>
      <c r="DW208" s="1585"/>
      <c r="DX208" s="507"/>
      <c r="DY208" s="507"/>
      <c r="DZ208" s="507"/>
      <c r="EA208" s="507"/>
      <c r="EB208" s="507"/>
      <c r="EC208" s="507"/>
      <c r="ED208" s="507"/>
      <c r="EE208" s="507"/>
      <c r="EF208" s="507"/>
      <c r="EG208" s="507"/>
      <c r="EH208" s="507"/>
      <c r="EI208" s="507"/>
      <c r="EK208" s="888"/>
      <c r="EL208" s="888"/>
      <c r="EM208" s="888"/>
      <c r="EN208" s="888"/>
      <c r="EO208" s="888"/>
      <c r="EP208" s="507"/>
      <c r="EQ208" s="507"/>
      <c r="ER208" s="507"/>
      <c r="ES208" s="507"/>
      <c r="ET208" s="507"/>
      <c r="EU208" s="507"/>
      <c r="EV208" s="507"/>
      <c r="EW208" s="805"/>
      <c r="EX208" s="805"/>
      <c r="EY208" s="507"/>
      <c r="EZ208" s="507"/>
      <c r="FA208" s="507"/>
      <c r="FB208" s="507"/>
    </row>
    <row r="209" spans="1:155" outlineLevel="1">
      <c r="A209" s="913"/>
      <c r="C209" s="706"/>
      <c r="D209" s="687"/>
      <c r="E209" s="687"/>
      <c r="G209" s="706"/>
      <c r="H209" s="687"/>
      <c r="I209" s="687"/>
      <c r="K209" s="706"/>
      <c r="L209" s="687"/>
      <c r="M209" s="687"/>
      <c r="O209" s="706"/>
      <c r="S209" s="706"/>
      <c r="W209" s="706"/>
      <c r="AA209" s="706"/>
      <c r="AE209" s="706"/>
      <c r="AI209" s="706"/>
      <c r="AM209" s="706"/>
      <c r="AQ209" s="706"/>
      <c r="AU209" s="706"/>
      <c r="AY209" s="706"/>
      <c r="BC209" s="706"/>
      <c r="BG209" s="706"/>
      <c r="BK209" s="706"/>
      <c r="BO209" s="706"/>
      <c r="BS209" s="706"/>
      <c r="BW209" s="706"/>
      <c r="CA209" s="706"/>
      <c r="CE209" s="706"/>
      <c r="CI209" s="706"/>
      <c r="CM209" s="706"/>
      <c r="CQ209" s="706"/>
      <c r="CU209" s="706"/>
      <c r="CY209" s="706"/>
      <c r="DC209" s="708"/>
      <c r="DG209" s="708"/>
      <c r="DK209" s="708"/>
      <c r="EW209" s="805"/>
      <c r="EX209" s="805"/>
      <c r="EY209" s="507"/>
    </row>
    <row r="210" spans="1:155" outlineLevel="1">
      <c r="A210" s="819" t="s">
        <v>140</v>
      </c>
      <c r="C210" s="579">
        <f>ROUND((C180-3)/C220,2)</f>
        <v>0.54</v>
      </c>
      <c r="D210" s="888" t="s">
        <v>147</v>
      </c>
      <c r="E210" s="869"/>
      <c r="G210" s="579">
        <f>ROUND((G180-3)/G220,2)</f>
        <v>0.56999999999999995</v>
      </c>
      <c r="H210" s="821">
        <f>(G210/C210-1)*100</f>
        <v>5.5555555555555358</v>
      </c>
      <c r="I210" s="869"/>
      <c r="K210" s="579">
        <f>ROUND((K180-1)/K220,2)</f>
        <v>-0.41</v>
      </c>
      <c r="L210" s="821">
        <f>(K210/G210-1)*100</f>
        <v>-171.92982456140351</v>
      </c>
      <c r="M210" s="869"/>
      <c r="O210" s="579">
        <f>ROUND((O180-3)/O220,2)</f>
        <v>0.52</v>
      </c>
      <c r="P210" s="888">
        <f>(O210/K210-1)*100</f>
        <v>-226.82926829268294</v>
      </c>
      <c r="Q210" s="869"/>
      <c r="S210" s="579">
        <f>ROUND((S180-3)/S220,2)</f>
        <v>0.78</v>
      </c>
      <c r="T210" s="888">
        <f>(S210/O210-1)*100</f>
        <v>50</v>
      </c>
      <c r="U210" s="869"/>
      <c r="W210" s="579">
        <f>ROUND((W180-3)/W220,2)</f>
        <v>0.84</v>
      </c>
      <c r="X210" s="888">
        <f>(W210/S210-1)*100</f>
        <v>7.6923076923076872</v>
      </c>
      <c r="Y210" s="888"/>
      <c r="Z210" s="888"/>
      <c r="AA210" s="579">
        <f>ROUND((AA180-3)/AA220,2)</f>
        <v>0.61</v>
      </c>
      <c r="AB210" s="888">
        <f>(AA210/W210-1)*100</f>
        <v>-27.380952380952383</v>
      </c>
      <c r="AE210" s="579"/>
      <c r="AI210" s="579">
        <f>ROUND((AI180-2)/AI220,2)</f>
        <v>0.56999999999999995</v>
      </c>
      <c r="AJ210" s="878">
        <f>(AI210/AA210-1)*100</f>
        <v>-6.5573770491803351</v>
      </c>
      <c r="AM210" s="579">
        <f>ROUND((AM180-0)/AM220,2)</f>
        <v>0.53</v>
      </c>
      <c r="AN210" s="878">
        <f>(AM210/AI210-1)*100</f>
        <v>-7.0175438596491109</v>
      </c>
      <c r="AQ210" s="579">
        <f>ROUND((AQ180-0)/AQ220,2)</f>
        <v>0.64</v>
      </c>
      <c r="AR210" s="878">
        <f>(AQ210/AM210-1)*100</f>
        <v>20.75471698113207</v>
      </c>
      <c r="AU210" s="579">
        <f>ROUND((AU180-0)/AU220,2)</f>
        <v>0.48</v>
      </c>
      <c r="AV210" s="878">
        <f>(AU210/AQ210-1)*100</f>
        <v>-25</v>
      </c>
      <c r="AY210" s="579">
        <f>ROUND((AY180-8)/AY220,2)</f>
        <v>-0.6</v>
      </c>
      <c r="AZ210" s="878">
        <f>(AY210/AU210-1)*100</f>
        <v>-225</v>
      </c>
      <c r="BC210" s="579">
        <f>ROUND((BC180-0)/BC220,2)</f>
        <v>0.11</v>
      </c>
      <c r="BD210" s="878">
        <f>(BC210/AY210-1)*100</f>
        <v>-118.33333333333333</v>
      </c>
      <c r="BG210" s="579">
        <f>ROUND((BG180-7)/BG220,2)</f>
        <v>0.28000000000000003</v>
      </c>
      <c r="BH210" s="878">
        <f>(BG210/BC210-1)*100</f>
        <v>154.54545454545459</v>
      </c>
      <c r="BK210" s="579">
        <f>ROUND((BK180-8)/BK220,2)</f>
        <v>0.18</v>
      </c>
      <c r="BL210" s="878">
        <f>(BK210/AY210-1)*100</f>
        <v>-130</v>
      </c>
      <c r="BO210" s="579">
        <f>ROUND((BO180-8)/BO220,2)</f>
        <v>0.2</v>
      </c>
      <c r="BP210" s="878">
        <f>(BO210/BK210-1)*100</f>
        <v>11.111111111111116</v>
      </c>
      <c r="BS210" s="579">
        <f>ROUND((BS180-7)/BS220,2)</f>
        <v>0.06</v>
      </c>
      <c r="BT210" s="878">
        <f>(BS210/BO210-1)*100</f>
        <v>-70</v>
      </c>
      <c r="BW210" s="579">
        <f>ROUND((BW180-1)/BW220,2)</f>
        <v>0.13</v>
      </c>
      <c r="BX210" s="878">
        <f>(BW210/BS210-1)*100</f>
        <v>116.6666666666667</v>
      </c>
      <c r="CA210" s="579">
        <f>CA180/CA220</f>
        <v>0.62905326567714981</v>
      </c>
      <c r="CB210" s="878">
        <f>(CA210/BW210-1)*100</f>
        <v>383.88712744396133</v>
      </c>
      <c r="CE210" s="579">
        <f>CE180/CE220</f>
        <v>0.88611058414931343</v>
      </c>
      <c r="CF210" s="878">
        <f>(CE210/CA210-1)*100</f>
        <v>40.864157695048611</v>
      </c>
      <c r="CG210" s="878"/>
      <c r="CI210" s="579">
        <f>CI180/CI220</f>
        <v>1.0358391608391608</v>
      </c>
      <c r="CJ210" s="878">
        <f>(CI210/CE210-1)*100</f>
        <v>16.897278891391455</v>
      </c>
      <c r="CM210" s="579">
        <f>CM180/CM220</f>
        <v>0.53811659192825112</v>
      </c>
      <c r="CN210" s="878">
        <f>(CM210/CI210-1)*100</f>
        <v>-48.050178804563771</v>
      </c>
      <c r="CQ210" s="579">
        <f>CQ180/CQ220</f>
        <v>0.1122586439155815</v>
      </c>
      <c r="CR210" s="888">
        <f>(CQ210/CM210-1)*100</f>
        <v>-79.138602005687758</v>
      </c>
      <c r="CU210" s="579">
        <f>CU180/CU220</f>
        <v>0.25252525252525254</v>
      </c>
      <c r="CV210" s="878">
        <f t="shared" ref="CV210:CV216" si="720">(CU210/CR210-1)*100</f>
        <v>-100.3190923849111</v>
      </c>
      <c r="CY210" s="579">
        <f>CY180/CY220</f>
        <v>0.2762192490289167</v>
      </c>
      <c r="CZ210" s="878">
        <f>(CY210/CU210-1)*100</f>
        <v>9.382822615451003</v>
      </c>
      <c r="DC210" s="579">
        <f>DC180/DC220</f>
        <v>-0.74667888227210255</v>
      </c>
      <c r="DD210" s="878">
        <f>(DC210/CY210-1)*100</f>
        <v>-370.3210890975721</v>
      </c>
      <c r="DG210" s="579">
        <f>DG180/DG220</f>
        <v>-1.5825375170532059</v>
      </c>
      <c r="DH210" s="878">
        <f>(DG210/DC210-1)*100</f>
        <v>111.94352145565331</v>
      </c>
      <c r="DK210" s="579">
        <f>DK180/DK220</f>
        <v>-1.1540983606557378</v>
      </c>
      <c r="DL210" s="878">
        <f>(DK210/DG210-1)*100</f>
        <v>-27.072922555115873</v>
      </c>
      <c r="DP210" s="579">
        <f>DP180/DP220</f>
        <v>-0.46072013093289688</v>
      </c>
      <c r="DQ210" s="878">
        <f>(DP210/DK210-1)*100</f>
        <v>-60.079647745871156</v>
      </c>
      <c r="DU210" s="579">
        <f>DU180/DU220</f>
        <v>-0.31575520833333337</v>
      </c>
      <c r="DV210" s="878">
        <f>(DU210/DP210-1)*100</f>
        <v>-31.464855313795137</v>
      </c>
      <c r="DZ210" s="579">
        <f>DZ180/DZ220</f>
        <v>-0.58139534883720922</v>
      </c>
      <c r="EA210" s="878">
        <f>(DZ210/DU210-1)*100</f>
        <v>84.128506353392424</v>
      </c>
      <c r="EE210" s="579">
        <f>EE180/EE220</f>
        <v>-0.17555392244119497</v>
      </c>
      <c r="EF210" s="878">
        <f>(EE210/DZ210-1)*100</f>
        <v>-69.804725340114459</v>
      </c>
      <c r="EJ210" s="507"/>
      <c r="EK210" s="507"/>
      <c r="EL210" s="507"/>
      <c r="EM210" s="507"/>
      <c r="EN210" s="507"/>
      <c r="EO210" s="507"/>
      <c r="EW210" s="805"/>
      <c r="EX210" s="805"/>
      <c r="EY210" s="507"/>
    </row>
    <row r="211" spans="1:155" outlineLevel="1">
      <c r="A211" s="819" t="s">
        <v>141</v>
      </c>
      <c r="C211" s="804">
        <f>ROUND((C181-3)/C221,2)</f>
        <v>0.36</v>
      </c>
      <c r="D211" s="888" t="s">
        <v>147</v>
      </c>
      <c r="E211" s="869"/>
      <c r="G211" s="804">
        <f>ROUND((G181-3)/G221,2)</f>
        <v>0.31</v>
      </c>
      <c r="H211" s="821">
        <f t="shared" ref="H211:H216" si="721">(G211/C211-1)*100</f>
        <v>-13.888888888888884</v>
      </c>
      <c r="I211" s="869"/>
      <c r="K211" s="804">
        <f>ROUND((K181-5)/K221,2)</f>
        <v>0.1</v>
      </c>
      <c r="L211" s="821">
        <f t="shared" ref="L211:L216" si="722">(K211/G211-1)*100</f>
        <v>-67.741935483870961</v>
      </c>
      <c r="M211" s="869"/>
      <c r="O211" s="804">
        <f>ROUND((O181+1)/O221,2)</f>
        <v>0.31</v>
      </c>
      <c r="P211" s="888">
        <f t="shared" ref="P211:P216" si="723">(O211/K211-1)*100</f>
        <v>209.99999999999997</v>
      </c>
      <c r="Q211" s="869"/>
      <c r="S211" s="804">
        <f>ROUND((S181-3)/S221,2)</f>
        <v>0.42</v>
      </c>
      <c r="T211" s="888">
        <f t="shared" ref="T211:T216" si="724">(S211/O211-1)*100</f>
        <v>35.483870967741929</v>
      </c>
      <c r="U211" s="869"/>
      <c r="W211" s="804">
        <f>ROUND((W181-1)/W221,2)</f>
        <v>0.51</v>
      </c>
      <c r="X211" s="888">
        <f t="shared" ref="X211:X216" si="725">(W211/S211-1)*100</f>
        <v>21.428571428571441</v>
      </c>
      <c r="Y211" s="888"/>
      <c r="Z211" s="888"/>
      <c r="AA211" s="804">
        <f>ROUND((AA181-1)/AA221,2)</f>
        <v>0.46</v>
      </c>
      <c r="AB211" s="888">
        <f t="shared" ref="AB211:AB216" si="726">(AA211/W211-1)*100</f>
        <v>-9.8039215686274499</v>
      </c>
      <c r="AC211" s="888"/>
      <c r="AD211" s="888"/>
      <c r="AE211" s="804"/>
      <c r="AF211" s="888"/>
      <c r="AG211" s="888"/>
      <c r="AH211" s="888"/>
      <c r="AI211" s="804">
        <f>ROUND((AI181-2)/AI221,2)</f>
        <v>0.37</v>
      </c>
      <c r="AJ211" s="878">
        <f t="shared" ref="AJ211:AJ216" si="727">(AI211/AA211-1)*100</f>
        <v>-19.565217391304358</v>
      </c>
      <c r="AM211" s="804">
        <f>ROUND((AM181-0)/AM221,2)</f>
        <v>0.33</v>
      </c>
      <c r="AN211" s="878">
        <f t="shared" ref="AN211:AN216" si="728">(AM211/AI211-1)*100</f>
        <v>-10.8108108108108</v>
      </c>
      <c r="AQ211" s="804">
        <f>ROUND((AQ181-0)/AQ221,2)</f>
        <v>0.1</v>
      </c>
      <c r="AR211" s="878">
        <f t="shared" ref="AR211:AR216" si="729">(AQ211/AM211-1)*100</f>
        <v>-69.696969696969703</v>
      </c>
      <c r="AU211" s="804">
        <f>ROUND((AU181-6)/AU221,2)</f>
        <v>-0.03</v>
      </c>
      <c r="AV211" s="878">
        <f t="shared" ref="AV211:AV216" si="730">(AU211/AQ211-1)*100</f>
        <v>-130</v>
      </c>
      <c r="AY211" s="804">
        <f>ROUND((AY181-6)/AY221,2)</f>
        <v>-0.09</v>
      </c>
      <c r="AZ211" s="878">
        <f t="shared" ref="AZ211:AZ216" si="731">(AY211/AU211-1)*100</f>
        <v>200</v>
      </c>
      <c r="BC211" s="804">
        <f>ROUND((BC181-8)/BC221,2)</f>
        <v>-0.21</v>
      </c>
      <c r="BD211" s="878">
        <f t="shared" ref="BD211:BD216" si="732">(BC211/AY211-1)*100</f>
        <v>133.33333333333334</v>
      </c>
      <c r="BG211" s="804">
        <f>ROUND((BG181-7)/BG221,2)</f>
        <v>-0.04</v>
      </c>
      <c r="BH211" s="878">
        <f t="shared" ref="BH211:BH216" si="733">(BG211/BC211-1)*100</f>
        <v>-80.952380952380949</v>
      </c>
      <c r="BK211" s="804">
        <f>ROUND((BK181-7)/BK221,2)</f>
        <v>-0.14000000000000001</v>
      </c>
      <c r="BL211" s="878">
        <f t="shared" ref="BL211:BL216" si="734">(BK211/AY211-1)*100</f>
        <v>55.555555555555578</v>
      </c>
      <c r="BO211" s="804">
        <f>ROUND((BO181-7)/BO221,2)</f>
        <v>-0.1</v>
      </c>
      <c r="BP211" s="878">
        <f t="shared" ref="BP211:BP216" si="735">(BO211/BK211-1)*100</f>
        <v>-28.571428571428569</v>
      </c>
      <c r="BS211" s="804">
        <f>ROUND((BS181-6)/BS221,2)</f>
        <v>-0.04</v>
      </c>
      <c r="BT211" s="878">
        <f t="shared" ref="BT211:BT216" si="736">(BS211/BO211-1)*100</f>
        <v>-60.000000000000007</v>
      </c>
      <c r="BW211" s="804">
        <f>ROUND((BW181-5)/BW221,2)</f>
        <v>-0.01</v>
      </c>
      <c r="BX211" s="878">
        <f t="shared" ref="BX211:BX216" si="737">(BW211/BS211-1)*100</f>
        <v>-75</v>
      </c>
      <c r="CA211" s="804">
        <f>CA181/CA221</f>
        <v>0.49678638941398867</v>
      </c>
      <c r="CB211" s="878">
        <f t="shared" ref="CB211:CB216" si="738">(CA211/BW211-1)*100</f>
        <v>-5067.8638941398867</v>
      </c>
      <c r="CE211" s="804">
        <f>CE181/CE221</f>
        <v>0.75615972812234489</v>
      </c>
      <c r="CF211" s="878">
        <f t="shared" ref="CF211:CF216" si="739">(CE211/CA211-1)*100</f>
        <v>52.210234466027572</v>
      </c>
      <c r="CG211" s="878"/>
      <c r="CI211" s="804">
        <f>CI181/CI221</f>
        <v>0.80368397691966331</v>
      </c>
      <c r="CJ211" s="878">
        <f t="shared" ref="CJ211:CJ216" si="740">(CI211/CE211-1)*100</f>
        <v>6.2849484083644658</v>
      </c>
      <c r="CM211" s="804">
        <f>CM181/CM221</f>
        <v>0.52493049327354391</v>
      </c>
      <c r="CN211" s="878">
        <f t="shared" ref="CN211:CN216" si="741">(CM211/CI211-1)*100</f>
        <v>-34.684464497415725</v>
      </c>
      <c r="CQ211" s="804">
        <f>CQ181/CQ221</f>
        <v>-2.6432848588537209E-3</v>
      </c>
      <c r="CR211" s="878">
        <f t="shared" ref="CR211:CR216" si="742">(CQ211/CM211-1)*100</f>
        <v>-100.50354949707148</v>
      </c>
      <c r="CU211" s="804">
        <f>CU181/CU221</f>
        <v>5.8922558922558925E-2</v>
      </c>
      <c r="CV211" s="878">
        <f t="shared" si="720"/>
        <v>-100.05862734124061</v>
      </c>
      <c r="CY211" s="804">
        <f>CY181/CY221</f>
        <v>6.621186743560839E-2</v>
      </c>
      <c r="CZ211" s="878">
        <f t="shared" ref="CZ211:CZ216" si="743">(CY211/CU211-1)*100</f>
        <v>12.370997876432522</v>
      </c>
      <c r="DC211" s="804">
        <f>DC181/DC221</f>
        <v>-0.67184643510054842</v>
      </c>
      <c r="DD211" s="878">
        <f>(DC211/CY211-1)*100</f>
        <v>-1114.6918688767159</v>
      </c>
      <c r="DG211" s="804">
        <f>DG181/DG221</f>
        <v>-2.6588021778584392</v>
      </c>
      <c r="DH211" s="878">
        <f>(DG211/DC211-1)*100</f>
        <v>295.74552143906567</v>
      </c>
      <c r="DK211" s="804">
        <f>DK181/DK221</f>
        <v>-0.56430446194225725</v>
      </c>
      <c r="DL211" s="878">
        <f>(DK211/DG211-1)*100</f>
        <v>-78.775989178827047</v>
      </c>
      <c r="DP211" s="804">
        <f>DP181/DP221</f>
        <v>-0.45112781954887221</v>
      </c>
      <c r="DQ211" s="878">
        <f>(DP211/DK211-1)*100</f>
        <v>-20.055953838083585</v>
      </c>
      <c r="DU211" s="804">
        <f>DU181/DU221</f>
        <v>-5.1948051948051951E-2</v>
      </c>
      <c r="DV211" s="878">
        <f>(DU211/DP211-1)*100</f>
        <v>-88.484848484848484</v>
      </c>
      <c r="DZ211" s="804">
        <f>DZ181/DZ221</f>
        <v>-0.20109395109394962</v>
      </c>
      <c r="EA211" s="878">
        <f>(DZ211/DU211-1)*100</f>
        <v>287.10585585585295</v>
      </c>
      <c r="EE211" s="804">
        <f>EE181/EE221</f>
        <v>0.10002944691672021</v>
      </c>
      <c r="EF211" s="878">
        <f>(EE211/DZ211-1)*100</f>
        <v>-149.74264336274697</v>
      </c>
      <c r="EW211" s="805"/>
      <c r="EX211" s="805"/>
      <c r="EY211" s="507"/>
    </row>
    <row r="212" spans="1:155" outlineLevel="1">
      <c r="A212" s="819" t="s">
        <v>142</v>
      </c>
      <c r="C212" s="804">
        <f>ROUND((C182-5)/C222,2)</f>
        <v>0.76</v>
      </c>
      <c r="D212" s="888" t="s">
        <v>147</v>
      </c>
      <c r="E212" s="869"/>
      <c r="G212" s="804">
        <f>ROUND((G182-3)/G222,2)</f>
        <v>0.51</v>
      </c>
      <c r="H212" s="821">
        <f t="shared" si="721"/>
        <v>-32.894736842105267</v>
      </c>
      <c r="I212" s="869"/>
      <c r="K212" s="804">
        <f>ROUND((K182+1)/K222,2)</f>
        <v>0.46</v>
      </c>
      <c r="L212" s="821">
        <f t="shared" si="722"/>
        <v>-9.8039215686274499</v>
      </c>
      <c r="M212" s="869"/>
      <c r="O212" s="804">
        <f>ROUND((O182-4)/O222,2)</f>
        <v>0.7</v>
      </c>
      <c r="P212" s="888">
        <f t="shared" si="723"/>
        <v>52.173913043478251</v>
      </c>
      <c r="Q212" s="869"/>
      <c r="S212" s="804">
        <f>ROUND((S182-4)/S222,2)</f>
        <v>0.69</v>
      </c>
      <c r="T212" s="888">
        <f t="shared" si="724"/>
        <v>-1.4285714285714346</v>
      </c>
      <c r="U212" s="869"/>
      <c r="W212" s="804">
        <f>ROUND((W182-5)/W222,2)</f>
        <v>1.04</v>
      </c>
      <c r="X212" s="888">
        <f t="shared" si="725"/>
        <v>50.724637681159443</v>
      </c>
      <c r="Y212" s="888"/>
      <c r="Z212" s="888"/>
      <c r="AA212" s="804">
        <f>ROUND((AA182-3)/AA222,2)</f>
        <v>0.95</v>
      </c>
      <c r="AB212" s="888">
        <f t="shared" si="726"/>
        <v>-8.6538461538461569</v>
      </c>
      <c r="AC212" s="888"/>
      <c r="AD212" s="888"/>
      <c r="AE212" s="804"/>
      <c r="AF212" s="888"/>
      <c r="AG212" s="888"/>
      <c r="AH212" s="888"/>
      <c r="AI212" s="804">
        <f>AI182/AI222</f>
        <v>0.94855305466237938</v>
      </c>
      <c r="AJ212" s="878">
        <f t="shared" si="727"/>
        <v>-0.15231003553900502</v>
      </c>
      <c r="AM212" s="804">
        <f>ROUND((AM182-0)/AM222,2)</f>
        <v>0.49</v>
      </c>
      <c r="AN212" s="878">
        <f t="shared" si="728"/>
        <v>-48.342372881355935</v>
      </c>
      <c r="AQ212" s="804">
        <f>ROUND((AQ182-0)/AQ222,2)</f>
        <v>0.68</v>
      </c>
      <c r="AR212" s="878">
        <f t="shared" si="729"/>
        <v>38.775510204081655</v>
      </c>
      <c r="AU212" s="804">
        <f>ROUND((AU182-4)/AU222,2)</f>
        <v>0.34</v>
      </c>
      <c r="AV212" s="878">
        <f t="shared" si="730"/>
        <v>-50</v>
      </c>
      <c r="AY212" s="804">
        <f>ROUND((AY182-6)/AY222,2)</f>
        <v>-0.23</v>
      </c>
      <c r="AZ212" s="878">
        <f t="shared" si="731"/>
        <v>-167.64705882352939</v>
      </c>
      <c r="BC212" s="804">
        <f>ROUND((BC182-8)/BC222,2)</f>
        <v>0.13</v>
      </c>
      <c r="BD212" s="878">
        <f t="shared" si="732"/>
        <v>-156.52173913043475</v>
      </c>
      <c r="BG212" s="804">
        <f>ROUND((BG182-0)/BG222,2)</f>
        <v>0.43</v>
      </c>
      <c r="BH212" s="878">
        <f t="shared" si="733"/>
        <v>230.76923076923075</v>
      </c>
      <c r="BK212" s="804">
        <f>ROUND((BK182-8)/BK222,2)</f>
        <v>0.18</v>
      </c>
      <c r="BL212" s="878">
        <f t="shared" si="734"/>
        <v>-178.26086956521738</v>
      </c>
      <c r="BO212" s="804">
        <v>0.23</v>
      </c>
      <c r="BP212" s="878">
        <f t="shared" si="735"/>
        <v>27.777777777777789</v>
      </c>
      <c r="BS212" s="804">
        <f>ROUND((BS182+2)/BS222,2)</f>
        <v>0.32</v>
      </c>
      <c r="BT212" s="878">
        <f t="shared" si="736"/>
        <v>39.130434782608688</v>
      </c>
      <c r="BW212" s="804">
        <f>ROUND((BW182+7)/BW222,2)</f>
        <v>0.5</v>
      </c>
      <c r="BX212" s="878">
        <f t="shared" si="737"/>
        <v>56.25</v>
      </c>
      <c r="CA212" s="804">
        <f>CA182/CA222</f>
        <v>0.94127111826226872</v>
      </c>
      <c r="CB212" s="878">
        <f t="shared" si="738"/>
        <v>88.254223652453746</v>
      </c>
      <c r="CE212" s="804">
        <f>CE182/CE222</f>
        <v>1.2609841827768014</v>
      </c>
      <c r="CF212" s="878">
        <f t="shared" si="739"/>
        <v>33.966097366800341</v>
      </c>
      <c r="CG212" s="878"/>
      <c r="CI212" s="804">
        <f>CI182/CI222</f>
        <v>1.16227089852481</v>
      </c>
      <c r="CJ212" s="878">
        <f t="shared" si="740"/>
        <v>-7.8282729950359675</v>
      </c>
      <c r="CM212" s="804">
        <f>CM182/CM222</f>
        <v>0.5518007207050728</v>
      </c>
      <c r="CN212" s="878">
        <f t="shared" si="741"/>
        <v>-52.523914914721239</v>
      </c>
      <c r="CQ212" s="804">
        <f>CQ182/CQ222</f>
        <v>0.11363636363636363</v>
      </c>
      <c r="CR212" s="878">
        <f t="shared" si="742"/>
        <v>-79.406267630248323</v>
      </c>
      <c r="CU212" s="804">
        <f>CU182/CU222</f>
        <v>0.18502943650126155</v>
      </c>
      <c r="CV212" s="878">
        <f t="shared" si="720"/>
        <v>-100.23301616109555</v>
      </c>
      <c r="CY212" s="804">
        <f>CY182/213.3</f>
        <v>-0.67041725269573371</v>
      </c>
      <c r="CZ212" s="878">
        <f t="shared" si="743"/>
        <v>-462.33005157055788</v>
      </c>
      <c r="DC212" s="804">
        <f>DC182/DC222</f>
        <v>-0.56061987237921607</v>
      </c>
      <c r="DD212" s="878">
        <f>(DC212/CY212-1)*100</f>
        <v>-16.377469385673571</v>
      </c>
      <c r="DG212" s="804">
        <f>DG182/DG222</f>
        <v>-1.9420174741858618</v>
      </c>
      <c r="DH212" s="878">
        <f>(DG212/DC212-1)*100</f>
        <v>246.405393362909</v>
      </c>
      <c r="DK212" s="804">
        <f>DK182/DK222</f>
        <v>-0.61578774975433992</v>
      </c>
      <c r="DL212" s="878">
        <f>(DK212/DG212-1)*100</f>
        <v>-68.291338366432967</v>
      </c>
      <c r="DP212" s="804">
        <f>DP182/DP222</f>
        <v>-0.44771241830065361</v>
      </c>
      <c r="DQ212" s="878">
        <f>(DP212/DK212-1)*100</f>
        <v>-27.294361006814061</v>
      </c>
      <c r="DU212" s="804">
        <f>DU182/DU222</f>
        <v>-0.21083360363282516</v>
      </c>
      <c r="DV212" s="878">
        <f>(DU212/DP212-1)*100</f>
        <v>-52.908698750624453</v>
      </c>
      <c r="DZ212" s="804">
        <f>DZ182/DZ222</f>
        <v>-0.41020539152759944</v>
      </c>
      <c r="EA212" s="878">
        <f>(DZ212/DU212-1)*100</f>
        <v>94.563572627629085</v>
      </c>
      <c r="EE212" s="804">
        <f>EE182/EE222</f>
        <v>-0.13773852511125237</v>
      </c>
      <c r="EF212" s="878">
        <f>(EE212/DZ212-1)*100</f>
        <v>-66.422058813435896</v>
      </c>
      <c r="EW212" s="805"/>
      <c r="EX212" s="805"/>
      <c r="EY212" s="507"/>
    </row>
    <row r="213" spans="1:155" outlineLevel="1">
      <c r="A213" s="819" t="s">
        <v>143</v>
      </c>
      <c r="C213" s="908">
        <f>ROUND((C183-10)/C223,2)</f>
        <v>1.34</v>
      </c>
      <c r="D213" s="888" t="s">
        <v>147</v>
      </c>
      <c r="E213" s="869"/>
      <c r="G213" s="908">
        <f>ROUND((G183-8)/G223,2)</f>
        <v>0.77</v>
      </c>
      <c r="H213" s="821">
        <f t="shared" si="721"/>
        <v>-42.537313432835823</v>
      </c>
      <c r="I213" s="869"/>
      <c r="K213" s="908">
        <f>ROUND((K183-6)/K223,2)</f>
        <v>0.12</v>
      </c>
      <c r="L213" s="821">
        <f t="shared" si="722"/>
        <v>-84.415584415584405</v>
      </c>
      <c r="M213" s="869"/>
      <c r="O213" s="908">
        <f>ROUND((O183-7)/O223,2)</f>
        <v>1.42</v>
      </c>
      <c r="P213" s="888">
        <f t="shared" si="723"/>
        <v>1083.3333333333335</v>
      </c>
      <c r="Q213" s="869"/>
      <c r="S213" s="908">
        <f>ROUND((S183-7)/S223,2)</f>
        <v>1.64</v>
      </c>
      <c r="T213" s="888">
        <f t="shared" si="724"/>
        <v>15.492957746478876</v>
      </c>
      <c r="U213" s="869"/>
      <c r="W213" s="908">
        <f>ROUND((W183-5)/W223,2)</f>
        <v>1.66</v>
      </c>
      <c r="X213" s="888">
        <f t="shared" si="725"/>
        <v>1.2195121951219523</v>
      </c>
      <c r="Y213" s="888"/>
      <c r="Z213" s="888"/>
      <c r="AA213" s="908">
        <f>ROUND((AA183-3)/AA223,2)</f>
        <v>1.31</v>
      </c>
      <c r="AB213" s="888">
        <f t="shared" si="726"/>
        <v>-21.084337349397586</v>
      </c>
      <c r="AC213" s="888"/>
      <c r="AD213" s="888"/>
      <c r="AE213" s="908"/>
      <c r="AF213" s="888"/>
      <c r="AG213" s="888"/>
      <c r="AH213" s="888"/>
      <c r="AI213" s="908">
        <f>AI183/AI223</f>
        <v>0.37465125548027101</v>
      </c>
      <c r="AJ213" s="878">
        <f t="shared" si="727"/>
        <v>-71.400667520590005</v>
      </c>
      <c r="AM213" s="908">
        <f>ROUND((AM183-0)/AM223,2)</f>
        <v>0.74</v>
      </c>
      <c r="AN213" s="878">
        <f t="shared" si="728"/>
        <v>97.517021276595756</v>
      </c>
      <c r="AQ213" s="908">
        <f>ROUND((AQ183-0)/AQ223,2)</f>
        <v>0.77</v>
      </c>
      <c r="AR213" s="878">
        <f t="shared" si="729"/>
        <v>4.0540540540540571</v>
      </c>
      <c r="AU213" s="908">
        <f>ROUND((AU183-0)/AU223,2)</f>
        <v>-0.23</v>
      </c>
      <c r="AV213" s="878">
        <f t="shared" si="730"/>
        <v>-129.87012987012986</v>
      </c>
      <c r="AY213" s="908">
        <f>ROUND((AY183-8)/AY223,2)</f>
        <v>-1.26</v>
      </c>
      <c r="AZ213" s="878">
        <f t="shared" si="731"/>
        <v>447.82608695652169</v>
      </c>
      <c r="BC213" s="908">
        <f>ROUND((BC183-8)/BC223,2)</f>
        <v>0.31</v>
      </c>
      <c r="BD213" s="878">
        <f t="shared" si="732"/>
        <v>-124.60317460317461</v>
      </c>
      <c r="BG213" s="908">
        <f>ROUND((BG183+7)/BG223,2)</f>
        <v>0.68</v>
      </c>
      <c r="BH213" s="878">
        <f t="shared" si="733"/>
        <v>119.35483870967745</v>
      </c>
      <c r="BK213" s="908">
        <f>ROUND((BK183-5)/BK223,2)</f>
        <v>0.34</v>
      </c>
      <c r="BL213" s="878">
        <f t="shared" si="734"/>
        <v>-126.98412698412697</v>
      </c>
      <c r="BO213" s="908">
        <v>0.57999999999999996</v>
      </c>
      <c r="BP213" s="878">
        <f t="shared" si="735"/>
        <v>70.588235294117624</v>
      </c>
      <c r="BS213" s="908">
        <f>ROUND((BS183+4)/BS223,2)</f>
        <v>-3.33</v>
      </c>
      <c r="BT213" s="878">
        <f t="shared" si="736"/>
        <v>-674.13793103448279</v>
      </c>
      <c r="BW213" s="908">
        <f>ROUND((BW183+0)/BW223,2)</f>
        <v>1.17</v>
      </c>
      <c r="BX213" s="878">
        <f t="shared" si="737"/>
        <v>-135.13513513513513</v>
      </c>
      <c r="CA213" s="908">
        <f>CA183/CA223</f>
        <v>2.3460366113239668</v>
      </c>
      <c r="CB213" s="878">
        <f t="shared" si="738"/>
        <v>100.51594968580915</v>
      </c>
      <c r="CE213" s="908">
        <f>CE183/CE223</f>
        <v>2.1059544658493872</v>
      </c>
      <c r="CF213" s="878">
        <f t="shared" si="739"/>
        <v>-10.233520837472831</v>
      </c>
      <c r="CG213" s="878"/>
      <c r="CI213" s="908">
        <f>CI183/CI223</f>
        <v>1.9291161956034095</v>
      </c>
      <c r="CJ213" s="878">
        <f t="shared" si="740"/>
        <v>-8.3970604831977713</v>
      </c>
      <c r="CM213" s="908">
        <f>CM183/CM223</f>
        <v>0.94788858939802334</v>
      </c>
      <c r="CN213" s="878">
        <f t="shared" si="741"/>
        <v>-50.864100796088508</v>
      </c>
      <c r="CQ213" s="908">
        <f>CQ183/CQ223</f>
        <v>0.84365781710914445</v>
      </c>
      <c r="CR213" s="878">
        <f t="shared" si="742"/>
        <v>-10.996099484125333</v>
      </c>
      <c r="CU213" s="908">
        <f>CU183/CU223</f>
        <v>1.1338912133891212</v>
      </c>
      <c r="CV213" s="878">
        <f t="shared" si="720"/>
        <v>-110.31175841057166</v>
      </c>
      <c r="CY213" s="908">
        <f>CY183/213.3</f>
        <v>-0.40787623066104078</v>
      </c>
      <c r="CZ213" s="878">
        <f t="shared" si="743"/>
        <v>-135.97137237195156</v>
      </c>
      <c r="DC213" s="908">
        <f>DC183/DC223</f>
        <v>-2.5148063781321186</v>
      </c>
      <c r="DD213" s="878">
        <f>(DC213/CY213-1)*100</f>
        <v>516.56114994894358</v>
      </c>
      <c r="DG213" s="908">
        <f>DG183/DG223</f>
        <v>0.11479173499508036</v>
      </c>
      <c r="DH213" s="878">
        <f>(DG213/DC213-1)*100</f>
        <v>-104.56463511438771</v>
      </c>
      <c r="DK213" s="712">
        <f>DK183/DK223</f>
        <v>-0.19325253848673435</v>
      </c>
      <c r="DL213" s="878">
        <f>(DK213/DG213-1)*100</f>
        <v>-268.35056852744373</v>
      </c>
      <c r="DP213" s="712">
        <f>DP183/DP223</f>
        <v>-0.42754569190600528</v>
      </c>
      <c r="DQ213" s="878">
        <f>(DP213/DK213-1)*100</f>
        <v>121.23677921848035</v>
      </c>
      <c r="DU213" s="712">
        <f>DU183/DU223</f>
        <v>0.6118546845124283</v>
      </c>
      <c r="DV213" s="878">
        <f>(DU213/DP213-1)*100</f>
        <v>-243.10860712565497</v>
      </c>
      <c r="DW213" s="579"/>
      <c r="DZ213" s="712">
        <f>DZ183/DZ223</f>
        <v>0.80737444373808009</v>
      </c>
      <c r="EA213" s="878">
        <f>(DZ213/DU213-1)*100</f>
        <v>31.955260648442476</v>
      </c>
      <c r="EB213" s="579"/>
      <c r="EE213" s="712">
        <f>EE183/EE223</f>
        <v>0.28421130324221189</v>
      </c>
      <c r="EF213" s="878">
        <f>(EE213/DZ213-1)*100</f>
        <v>-64.798080314960686</v>
      </c>
      <c r="EG213" s="579"/>
      <c r="EW213" s="805"/>
      <c r="EX213" s="805"/>
      <c r="EY213" s="507"/>
    </row>
    <row r="214" spans="1:155" outlineLevel="1">
      <c r="A214" s="819" t="s">
        <v>144</v>
      </c>
      <c r="C214" s="579">
        <f>(C184-19)/C224</f>
        <v>2.9281974569932689</v>
      </c>
      <c r="D214" s="888" t="s">
        <v>147</v>
      </c>
      <c r="E214" s="869"/>
      <c r="G214" s="579">
        <f>ROUND((G184-16)/G224,2)</f>
        <v>2.16</v>
      </c>
      <c r="H214" s="821">
        <f t="shared" si="721"/>
        <v>-26.234482758620693</v>
      </c>
      <c r="I214" s="869"/>
      <c r="K214" s="579">
        <f>ROUND((K184-10)/K224,2)</f>
        <v>0.27</v>
      </c>
      <c r="L214" s="821">
        <f t="shared" si="722"/>
        <v>-87.5</v>
      </c>
      <c r="M214" s="869"/>
      <c r="O214" s="579">
        <f>ROUND((O184-13)/O224,2)</f>
        <v>2.95</v>
      </c>
      <c r="P214" s="888">
        <f t="shared" si="723"/>
        <v>992.59259259259261</v>
      </c>
      <c r="Q214" s="869"/>
      <c r="S214" s="579">
        <f>ROUND((S184-13)/S224,2)</f>
        <v>3.54</v>
      </c>
      <c r="T214" s="888">
        <f t="shared" si="724"/>
        <v>19.999999999999996</v>
      </c>
      <c r="U214" s="869"/>
      <c r="W214" s="579">
        <f>ROUND((W184-10)/W224,2)</f>
        <v>4.05</v>
      </c>
      <c r="X214" s="888">
        <f t="shared" si="725"/>
        <v>14.406779661016934</v>
      </c>
      <c r="Y214" s="888"/>
      <c r="Z214" s="888"/>
      <c r="AA214" s="579">
        <f>ROUND((AA184-8.5)/AA224,2)</f>
        <v>3.33</v>
      </c>
      <c r="AB214" s="888">
        <f t="shared" si="726"/>
        <v>-17.777777777777771</v>
      </c>
      <c r="AC214" s="888"/>
      <c r="AD214" s="888"/>
      <c r="AE214" s="579"/>
      <c r="AF214" s="888"/>
      <c r="AG214" s="888"/>
      <c r="AH214" s="888"/>
      <c r="AI214" s="579">
        <f>ROUND((AI184-5)/AI224,2)</f>
        <v>2.25</v>
      </c>
      <c r="AJ214" s="878">
        <f t="shared" si="727"/>
        <v>-32.432432432432435</v>
      </c>
      <c r="AM214" s="579">
        <f>ROUND((AM184-0)/AM224,2)</f>
        <v>2.08</v>
      </c>
      <c r="AN214" s="878">
        <f t="shared" si="728"/>
        <v>-7.5555555555555483</v>
      </c>
      <c r="AQ214" s="579">
        <f>ROUND((AQ184-0)/AQ224,2)</f>
        <v>2.19</v>
      </c>
      <c r="AR214" s="878">
        <f t="shared" si="729"/>
        <v>5.2884615384615419</v>
      </c>
      <c r="AU214" s="579">
        <f>ROUND((AU184-10)/AU224,2)</f>
        <v>0.56000000000000005</v>
      </c>
      <c r="AV214" s="878">
        <f t="shared" si="730"/>
        <v>-74.429223744292244</v>
      </c>
      <c r="AY214" s="579">
        <f>ROUND((AY184-34)/AY224,2)</f>
        <v>-2.23</v>
      </c>
      <c r="AZ214" s="878">
        <f t="shared" si="731"/>
        <v>-498.21428571428567</v>
      </c>
      <c r="BC214" s="579">
        <f>ROUND((BC184-36)/BC224,2)</f>
        <v>0.32</v>
      </c>
      <c r="BD214" s="878">
        <f t="shared" si="732"/>
        <v>-114.34977578475336</v>
      </c>
      <c r="BG214" s="579">
        <f>ROUND((BG184-14)/BG224,2)</f>
        <v>1.34</v>
      </c>
      <c r="BH214" s="878">
        <f t="shared" si="733"/>
        <v>318.75</v>
      </c>
      <c r="BK214" s="579">
        <f>ROUND((BK184-30)/BK224,2)</f>
        <v>0.57999999999999996</v>
      </c>
      <c r="BL214" s="878">
        <f t="shared" si="734"/>
        <v>-126.00896860986546</v>
      </c>
      <c r="BO214" s="579">
        <f>ROUND((BO184-8)/BO224,2)</f>
        <v>0.94</v>
      </c>
      <c r="BP214" s="878">
        <f t="shared" si="735"/>
        <v>62.068965517241395</v>
      </c>
      <c r="BS214" s="579">
        <v>-2.94</v>
      </c>
      <c r="BT214" s="878">
        <f t="shared" si="736"/>
        <v>-412.7659574468085</v>
      </c>
      <c r="BW214" s="579">
        <f>ROUND((BW184-26)/BW224,2)</f>
        <v>1.65</v>
      </c>
      <c r="BX214" s="878">
        <f t="shared" si="737"/>
        <v>-156.12244897959181</v>
      </c>
      <c r="CA214" s="579">
        <f>CA184/CA224</f>
        <v>4.2632912873748543</v>
      </c>
      <c r="CB214" s="878">
        <f t="shared" si="738"/>
        <v>158.38129014393058</v>
      </c>
      <c r="CE214" s="579">
        <f>CE184/CE224</f>
        <v>4.9758308830081086</v>
      </c>
      <c r="CF214" s="878">
        <f t="shared" si="739"/>
        <v>16.713368794277361</v>
      </c>
      <c r="CG214" s="878"/>
      <c r="CI214" s="579">
        <f>CI184/CI224</f>
        <v>4.9209281669812377</v>
      </c>
      <c r="CJ214" s="878">
        <f t="shared" si="740"/>
        <v>-1.1033879027994575</v>
      </c>
      <c r="CM214" s="579">
        <f>CM184/CM224</f>
        <v>2.5622249271796345</v>
      </c>
      <c r="CN214" s="878">
        <f t="shared" si="741"/>
        <v>-47.932080285751432</v>
      </c>
      <c r="CQ214" s="579">
        <f>CQ184/CQ224</f>
        <v>1.0804466394674683</v>
      </c>
      <c r="CR214" s="878">
        <f t="shared" si="742"/>
        <v>-57.831702127074045</v>
      </c>
      <c r="CU214" s="579">
        <f>CU184/CU224</f>
        <v>1.634453781512605</v>
      </c>
      <c r="CV214" s="878">
        <f t="shared" si="720"/>
        <v>-102.82622458166838</v>
      </c>
      <c r="CY214" s="579">
        <f>CY184/CY224</f>
        <v>-0.69769260843458092</v>
      </c>
      <c r="CZ214" s="878">
        <f t="shared" si="743"/>
        <v>-142.68659146720572</v>
      </c>
      <c r="DC214" s="579">
        <f>DC184/DC224</f>
        <v>-4.4936131386861318</v>
      </c>
      <c r="DD214" s="878">
        <f>(DC214/CY214-1)*100</f>
        <v>544.06775768608065</v>
      </c>
      <c r="DG214" s="579">
        <f>DG184/DG224</f>
        <v>-5.5675892498997186</v>
      </c>
      <c r="DH214" s="878">
        <f>(DG214/DC214-1)*100</f>
        <v>23.900057216042448</v>
      </c>
      <c r="DK214" s="579">
        <f>DK184/DK224</f>
        <v>-2.5262123197903015</v>
      </c>
      <c r="DL214" s="878">
        <f>(DK214/DG214-1)*100</f>
        <v>-54.626460279270738</v>
      </c>
      <c r="DM214" s="896">
        <f>SUM(DK210:DK213)</f>
        <v>-2.5274431108390694</v>
      </c>
      <c r="DP214" s="579">
        <f>DP184/DP224</f>
        <v>-1.7873488067996079</v>
      </c>
      <c r="DQ214" s="878">
        <f>(DP214/DK214-1)*100</f>
        <v>-29.247878620591393</v>
      </c>
      <c r="DR214" s="896">
        <f>SUM(DP210:DP213)</f>
        <v>-1.7871060606884279</v>
      </c>
      <c r="DU214" s="579">
        <f>DU184/DU224</f>
        <v>7.6677316293929709E-2</v>
      </c>
      <c r="DV214" s="878">
        <f>(DU214/DP214-1)*100</f>
        <v>-104.29000293631698</v>
      </c>
      <c r="DX214" s="579"/>
      <c r="DZ214" s="579">
        <f>DZ184/DZ224</f>
        <v>-0.37389906782385079</v>
      </c>
      <c r="EA214" s="878">
        <f>(DZ214/DU214-1)*100</f>
        <v>-587.62670095360545</v>
      </c>
      <c r="EC214" s="579"/>
      <c r="EE214" s="579">
        <f>EE184/EE224</f>
        <v>7.0948302606480801E-2</v>
      </c>
      <c r="EF214" s="878">
        <f>(EE214/DZ214-1)*100</f>
        <v>-118.9752552792952</v>
      </c>
      <c r="EH214" s="579"/>
      <c r="EI214" s="579">
        <f>SUM(DZ210:DZ213)</f>
        <v>-0.38532024772067808</v>
      </c>
      <c r="EW214" s="805"/>
      <c r="EX214" s="805"/>
      <c r="EY214" s="507"/>
    </row>
    <row r="215" spans="1:155" hidden="1" outlineLevel="2">
      <c r="A215" s="819" t="s">
        <v>145</v>
      </c>
      <c r="C215" s="804">
        <f>C210+C211</f>
        <v>0.9</v>
      </c>
      <c r="D215" s="888" t="s">
        <v>147</v>
      </c>
      <c r="E215" s="869"/>
      <c r="G215" s="804">
        <f>G210+G211</f>
        <v>0.87999999999999989</v>
      </c>
      <c r="H215" s="821">
        <f t="shared" si="721"/>
        <v>-2.2222222222222365</v>
      </c>
      <c r="I215" s="869"/>
      <c r="K215" s="804">
        <f>K210+K211</f>
        <v>-0.30999999999999994</v>
      </c>
      <c r="L215" s="821">
        <f t="shared" si="722"/>
        <v>-135.22727272727272</v>
      </c>
      <c r="M215" s="869"/>
      <c r="O215" s="804">
        <f>O210+O211</f>
        <v>0.83000000000000007</v>
      </c>
      <c r="P215" s="888">
        <f t="shared" si="723"/>
        <v>-367.74193548387103</v>
      </c>
      <c r="Q215" s="869"/>
      <c r="S215" s="804">
        <f>S210+S211</f>
        <v>1.2</v>
      </c>
      <c r="T215" s="888">
        <f t="shared" si="724"/>
        <v>44.578313253012027</v>
      </c>
      <c r="U215" s="869"/>
      <c r="W215" s="804">
        <f>W210+W211</f>
        <v>1.35</v>
      </c>
      <c r="X215" s="888">
        <f t="shared" si="725"/>
        <v>12.500000000000021</v>
      </c>
      <c r="Y215" s="888"/>
      <c r="Z215" s="888"/>
      <c r="AA215" s="804">
        <f>AA210+AA211</f>
        <v>1.07</v>
      </c>
      <c r="AB215" s="888">
        <f t="shared" si="726"/>
        <v>-20.740740740740737</v>
      </c>
      <c r="AC215" s="888"/>
      <c r="AD215" s="888"/>
      <c r="AE215" s="804"/>
      <c r="AF215" s="888"/>
      <c r="AG215" s="888"/>
      <c r="AH215" s="888"/>
      <c r="AI215" s="804">
        <f>AI210+AI211</f>
        <v>0.94</v>
      </c>
      <c r="AJ215" s="878">
        <f t="shared" si="727"/>
        <v>-12.149532710280386</v>
      </c>
      <c r="AM215" s="804">
        <f>AM210+AM211</f>
        <v>0.8600000000000001</v>
      </c>
      <c r="AN215" s="878">
        <f t="shared" si="728"/>
        <v>-8.510638297872319</v>
      </c>
      <c r="AQ215" s="804">
        <f>AQ210+AQ211</f>
        <v>0.74</v>
      </c>
      <c r="AR215" s="878">
        <f t="shared" si="729"/>
        <v>-13.953488372093037</v>
      </c>
      <c r="AU215" s="804">
        <f>AU210+AU211</f>
        <v>0.44999999999999996</v>
      </c>
      <c r="AV215" s="878">
        <f t="shared" si="730"/>
        <v>-39.1891891891892</v>
      </c>
      <c r="AY215" s="804">
        <f>AY210+AY211</f>
        <v>-0.69</v>
      </c>
      <c r="AZ215" s="878">
        <f t="shared" si="731"/>
        <v>-253.33333333333331</v>
      </c>
      <c r="BC215" s="804">
        <f>BC210+BC211</f>
        <v>-9.9999999999999992E-2</v>
      </c>
      <c r="BD215" s="878">
        <f t="shared" si="732"/>
        <v>-85.507246376811594</v>
      </c>
      <c r="BG215" s="804">
        <f>BG210+BG211</f>
        <v>0.24000000000000002</v>
      </c>
      <c r="BH215" s="878">
        <f t="shared" si="733"/>
        <v>-340.00000000000006</v>
      </c>
      <c r="BK215" s="804">
        <f>BK210+BK211</f>
        <v>3.999999999999998E-2</v>
      </c>
      <c r="BL215" s="878">
        <f t="shared" si="734"/>
        <v>-105.79710144927536</v>
      </c>
      <c r="BO215" s="804">
        <f>BO210+BO211</f>
        <v>0.1</v>
      </c>
      <c r="BP215" s="878">
        <f t="shared" si="735"/>
        <v>150.00000000000014</v>
      </c>
      <c r="BS215" s="804">
        <f>BS210+BS211</f>
        <v>1.9999999999999997E-2</v>
      </c>
      <c r="BT215" s="878">
        <f t="shared" si="736"/>
        <v>-80</v>
      </c>
      <c r="BW215" s="804">
        <f>BW210+BW211</f>
        <v>0.12000000000000001</v>
      </c>
      <c r="BX215" s="878">
        <f t="shared" si="737"/>
        <v>500.00000000000017</v>
      </c>
      <c r="CA215" s="804">
        <f>CA210+CA211</f>
        <v>1.1258396550911385</v>
      </c>
      <c r="CB215" s="878">
        <f t="shared" si="738"/>
        <v>838.19971257594864</v>
      </c>
      <c r="CE215" s="804">
        <f>CE210+CE211</f>
        <v>1.6422703122716582</v>
      </c>
      <c r="CF215" s="878">
        <f t="shared" si="739"/>
        <v>45.870711237180032</v>
      </c>
      <c r="CG215" s="878"/>
      <c r="CI215" s="804">
        <f>CI210+CI211</f>
        <v>1.8395231377588241</v>
      </c>
      <c r="CJ215" s="878">
        <f t="shared" si="740"/>
        <v>12.010984063538089</v>
      </c>
      <c r="CM215" s="804">
        <f>CM210+CM211</f>
        <v>1.063047085201795</v>
      </c>
      <c r="CN215" s="878">
        <f t="shared" si="741"/>
        <v>-42.210724976422185</v>
      </c>
      <c r="CQ215" s="804">
        <f>CQ210+CQ211</f>
        <v>0.10961535905672778</v>
      </c>
      <c r="CR215" s="878">
        <f t="shared" si="742"/>
        <v>-89.688569717876618</v>
      </c>
      <c r="CU215" s="804">
        <f>CU210+CU211</f>
        <v>0.31144781144781147</v>
      </c>
      <c r="CV215" s="878">
        <f t="shared" si="720"/>
        <v>-100.34725474207862</v>
      </c>
      <c r="CY215" s="804">
        <f>CY210+CY211</f>
        <v>0.34243111646452506</v>
      </c>
      <c r="CZ215" s="878">
        <f t="shared" si="743"/>
        <v>9.9481530702312924</v>
      </c>
      <c r="DC215" s="804">
        <f>DC210+DC211</f>
        <v>-1.4185253173726511</v>
      </c>
      <c r="DD215" s="878">
        <f>(DC215/CQ215-1)*100</f>
        <v>-1394.0935737286054</v>
      </c>
      <c r="DG215" s="907">
        <f>DG210+DG211</f>
        <v>-4.2413396949116446</v>
      </c>
      <c r="DH215" s="878">
        <f>(DG215/CU215-1)*100</f>
        <v>-1461.8139344743333</v>
      </c>
      <c r="DK215" s="907">
        <f>DK210+DK211</f>
        <v>-1.718402822597995</v>
      </c>
      <c r="DL215" s="878">
        <f>(DK215/CY215-1)*100</f>
        <v>-601.82437867792805</v>
      </c>
      <c r="DP215" s="907">
        <f>DP210+DP211</f>
        <v>-0.91184795048176914</v>
      </c>
      <c r="DQ215" s="878">
        <f>(DP215/DC215-1)*100</f>
        <v>-35.71859879309973</v>
      </c>
      <c r="DU215" s="907">
        <f>DU210+DU211</f>
        <v>-0.36770326028138534</v>
      </c>
      <c r="DV215" s="878">
        <f>(DU215/DH215-1)*100</f>
        <v>-99.974846096920416</v>
      </c>
      <c r="DZ215" s="907">
        <f>DZ210+DZ211</f>
        <v>-0.78248929993115879</v>
      </c>
      <c r="EA215" s="878" t="e">
        <f>(DZ215/DM215-1)*100</f>
        <v>#DIV/0!</v>
      </c>
      <c r="EE215" s="907">
        <f>EE210+EE211</f>
        <v>-7.5524475524474763E-2</v>
      </c>
      <c r="EF215" s="878" t="e">
        <f>(EE215/DR215-1)*100</f>
        <v>#DIV/0!</v>
      </c>
      <c r="EW215" s="805"/>
      <c r="EX215" s="805"/>
      <c r="EY215" s="507"/>
    </row>
    <row r="216" spans="1:155" hidden="1" outlineLevel="2">
      <c r="A216" s="819" t="s">
        <v>146</v>
      </c>
      <c r="C216" s="804">
        <f>C210+C211+C212</f>
        <v>1.6600000000000001</v>
      </c>
      <c r="D216" s="888" t="s">
        <v>147</v>
      </c>
      <c r="E216" s="869"/>
      <c r="G216" s="804">
        <f>G210+G211+G212</f>
        <v>1.39</v>
      </c>
      <c r="H216" s="821">
        <f t="shared" si="721"/>
        <v>-16.265060240963869</v>
      </c>
      <c r="I216" s="869"/>
      <c r="K216" s="804">
        <f>K210+K211+K212</f>
        <v>0.15000000000000008</v>
      </c>
      <c r="L216" s="821">
        <f t="shared" si="722"/>
        <v>-89.208633093525165</v>
      </c>
      <c r="M216" s="869"/>
      <c r="O216" s="804">
        <f>O210+O211+O212</f>
        <v>1.53</v>
      </c>
      <c r="P216" s="888">
        <f t="shared" si="723"/>
        <v>919.99999999999955</v>
      </c>
      <c r="Q216" s="869"/>
      <c r="S216" s="804">
        <f>S210+S211+S212</f>
        <v>1.89</v>
      </c>
      <c r="T216" s="888">
        <f t="shared" si="724"/>
        <v>23.529411764705866</v>
      </c>
      <c r="U216" s="869"/>
      <c r="W216" s="804">
        <f>W210+W211+W212</f>
        <v>2.39</v>
      </c>
      <c r="X216" s="888">
        <f t="shared" si="725"/>
        <v>26.455026455026463</v>
      </c>
      <c r="Y216" s="888"/>
      <c r="Z216" s="888"/>
      <c r="AA216" s="804">
        <f>AA210+AA211+AA212</f>
        <v>2.02</v>
      </c>
      <c r="AB216" s="888">
        <f t="shared" si="726"/>
        <v>-15.481171548117157</v>
      </c>
      <c r="AC216" s="888"/>
      <c r="AD216" s="888"/>
      <c r="AE216" s="804"/>
      <c r="AF216" s="888"/>
      <c r="AG216" s="888"/>
      <c r="AH216" s="888"/>
      <c r="AI216" s="804">
        <f>AI210+AI211+AI212</f>
        <v>1.8885530546623794</v>
      </c>
      <c r="AJ216" s="878">
        <f t="shared" si="727"/>
        <v>-6.5072745216643852</v>
      </c>
      <c r="AM216" s="804">
        <f>AM210+AM211+AM212</f>
        <v>1.35</v>
      </c>
      <c r="AN216" s="878">
        <f t="shared" si="728"/>
        <v>-28.516702421084883</v>
      </c>
      <c r="AQ216" s="804">
        <f>AQ210+AQ211+AQ212</f>
        <v>1.42</v>
      </c>
      <c r="AR216" s="878">
        <f t="shared" si="729"/>
        <v>5.1851851851851816</v>
      </c>
      <c r="AU216" s="804">
        <f>AU210+AU211+AU212</f>
        <v>0.79</v>
      </c>
      <c r="AV216" s="878">
        <f t="shared" si="730"/>
        <v>-44.366197183098585</v>
      </c>
      <c r="AY216" s="804">
        <f>AY210+AY211+AY212</f>
        <v>-0.91999999999999993</v>
      </c>
      <c r="AZ216" s="878">
        <f t="shared" si="731"/>
        <v>-216.45569620253164</v>
      </c>
      <c r="BC216" s="804">
        <f>BC210+BC211+BC212</f>
        <v>3.0000000000000013E-2</v>
      </c>
      <c r="BD216" s="878">
        <f t="shared" si="732"/>
        <v>-103.26086956521738</v>
      </c>
      <c r="BG216" s="804">
        <f>BG210+BG211+BG212</f>
        <v>0.67</v>
      </c>
      <c r="BH216" s="878">
        <f t="shared" si="733"/>
        <v>2133.3333333333326</v>
      </c>
      <c r="BK216" s="804">
        <f>BK210+BK211+BK212</f>
        <v>0.21999999999999997</v>
      </c>
      <c r="BL216" s="878">
        <f t="shared" si="734"/>
        <v>-123.91304347826086</v>
      </c>
      <c r="BO216" s="804">
        <f>BO210+BO211+BO212</f>
        <v>0.33</v>
      </c>
      <c r="BP216" s="878">
        <f t="shared" si="735"/>
        <v>50.000000000000021</v>
      </c>
      <c r="BS216" s="804">
        <f>BS210+BS211+BS212</f>
        <v>0.34</v>
      </c>
      <c r="BT216" s="878">
        <f t="shared" si="736"/>
        <v>3.0303030303030276</v>
      </c>
      <c r="BW216" s="804">
        <f>BW210+BW211+BW212</f>
        <v>0.62</v>
      </c>
      <c r="BX216" s="878">
        <f t="shared" si="737"/>
        <v>82.35294117647058</v>
      </c>
      <c r="CA216" s="804">
        <f>CA210+CA211+CA212</f>
        <v>2.0671107733534071</v>
      </c>
      <c r="CB216" s="878">
        <f t="shared" si="738"/>
        <v>233.40496344409792</v>
      </c>
      <c r="CE216" s="804">
        <f>CE210+CE211+CE212</f>
        <v>2.9032544950484596</v>
      </c>
      <c r="CF216" s="878">
        <f t="shared" si="739"/>
        <v>40.44987489173613</v>
      </c>
      <c r="CG216" s="878"/>
      <c r="CI216" s="804">
        <f>CI210+CI211+CI212</f>
        <v>3.0017940362836342</v>
      </c>
      <c r="CJ216" s="878">
        <f t="shared" si="740"/>
        <v>3.3941062143616918</v>
      </c>
      <c r="CM216" s="804">
        <f>CM210+CM211+CM212</f>
        <v>1.6148478059068678</v>
      </c>
      <c r="CN216" s="878">
        <f t="shared" si="741"/>
        <v>-46.203910515255501</v>
      </c>
      <c r="CQ216" s="804">
        <f>CQ210+CQ211+CQ212</f>
        <v>0.2232517226930914</v>
      </c>
      <c r="CR216" s="878">
        <f t="shared" si="742"/>
        <v>-86.175061087709281</v>
      </c>
      <c r="CU216" s="804">
        <f>CU210+CU211+CU212</f>
        <v>0.496477247949073</v>
      </c>
      <c r="CV216" s="878">
        <f t="shared" si="720"/>
        <v>-100.57612636612321</v>
      </c>
      <c r="CY216" s="804">
        <f>CY210+CY211+CY212</f>
        <v>-0.32798613623120865</v>
      </c>
      <c r="CZ216" s="878">
        <f t="shared" si="743"/>
        <v>-166.06267207331368</v>
      </c>
      <c r="DC216" s="804">
        <f>DC210+DC211+DC212</f>
        <v>-1.979145189751867</v>
      </c>
      <c r="DD216" s="878">
        <f>(DC216/CQ216-1)*100</f>
        <v>-986.5083618963323</v>
      </c>
      <c r="DG216" s="907">
        <f>DG210+DG211+DG212</f>
        <v>-6.1833571690975067</v>
      </c>
      <c r="DH216" s="878">
        <f>(DG216/CU216-1)*100</f>
        <v>-1345.4462303440287</v>
      </c>
      <c r="DK216" s="907">
        <f>DK210+DK211+DK212</f>
        <v>-2.3341905723523348</v>
      </c>
      <c r="DL216" s="878">
        <f>(DK216/CY216-1)*100</f>
        <v>611.67354790474565</v>
      </c>
      <c r="DP216" s="907">
        <f>DP210+DP211+DP212</f>
        <v>-1.3595603687824227</v>
      </c>
      <c r="DQ216" s="878">
        <f>(DP216/DC216-1)*100</f>
        <v>-31.305678036037566</v>
      </c>
      <c r="DU216" s="907">
        <f>DU210+DU211+DU212</f>
        <v>-0.57853686391421055</v>
      </c>
      <c r="DV216" s="878">
        <f>(DU216/DH216-1)*100</f>
        <v>-99.957000372748723</v>
      </c>
      <c r="DZ216" s="907">
        <f>DZ210+DZ211+DZ212</f>
        <v>-1.1926946914587582</v>
      </c>
      <c r="EA216" s="878" t="e">
        <f>(DZ216/DM216-1)*100</f>
        <v>#DIV/0!</v>
      </c>
      <c r="EE216" s="907">
        <f>EE210+EE211+EE212</f>
        <v>-0.21326300063572712</v>
      </c>
      <c r="EF216" s="878" t="e">
        <f>(EE216/DR216-1)*100</f>
        <v>#DIV/0!</v>
      </c>
      <c r="EW216" s="805"/>
      <c r="EX216" s="805"/>
    </row>
    <row r="217" spans="1:155" outlineLevel="1" collapsed="1">
      <c r="C217" s="706"/>
      <c r="D217" s="687"/>
      <c r="E217" s="687"/>
      <c r="G217" s="706"/>
      <c r="H217" s="687"/>
      <c r="I217" s="687"/>
      <c r="K217" s="706"/>
      <c r="L217" s="687"/>
      <c r="M217" s="687"/>
      <c r="O217" s="706"/>
      <c r="S217" s="706"/>
      <c r="W217" s="706"/>
      <c r="AA217" s="706"/>
      <c r="AE217" s="706"/>
      <c r="AI217" s="706"/>
      <c r="AM217" s="706"/>
      <c r="AQ217" s="706"/>
      <c r="AU217" s="706"/>
      <c r="AY217" s="706"/>
      <c r="BC217" s="706"/>
      <c r="BG217" s="706"/>
      <c r="BK217" s="706"/>
      <c r="BO217" s="706"/>
      <c r="BS217" s="706"/>
      <c r="BW217" s="706"/>
      <c r="CA217" s="706"/>
      <c r="CE217" s="706"/>
      <c r="CI217" s="706"/>
      <c r="CM217" s="706"/>
      <c r="CQ217" s="706"/>
      <c r="CR217" s="878"/>
      <c r="CU217" s="706"/>
      <c r="CY217" s="706"/>
      <c r="EW217" s="805"/>
      <c r="EX217" s="805"/>
    </row>
    <row r="218" spans="1:155">
      <c r="A218" s="816" t="s">
        <v>41</v>
      </c>
      <c r="C218" s="706"/>
      <c r="D218" s="687"/>
      <c r="E218" s="687"/>
      <c r="G218" s="706"/>
      <c r="H218" s="687"/>
      <c r="I218" s="687"/>
      <c r="K218" s="706"/>
      <c r="L218" s="687"/>
      <c r="M218" s="687"/>
      <c r="O218" s="706"/>
      <c r="S218" s="706"/>
      <c r="W218" s="706"/>
      <c r="AA218" s="706"/>
      <c r="AE218" s="706"/>
      <c r="AI218" s="706"/>
      <c r="AM218" s="706"/>
      <c r="AQ218" s="706"/>
      <c r="AU218" s="706"/>
      <c r="AY218" s="706"/>
      <c r="BC218" s="706"/>
      <c r="BG218" s="706"/>
      <c r="BK218" s="706"/>
      <c r="BO218" s="706"/>
      <c r="BS218" s="706"/>
      <c r="BW218" s="706"/>
      <c r="CA218" s="706"/>
      <c r="CE218" s="706"/>
      <c r="CI218" s="706"/>
      <c r="CM218" s="706"/>
      <c r="CQ218" s="706"/>
      <c r="CY218" s="706"/>
      <c r="DG218" s="818" t="s">
        <v>610</v>
      </c>
      <c r="DP218" s="1585" t="str">
        <f>DG218</f>
        <v>20. Weighted Avg Shares Outstanding - Fully Diluted</v>
      </c>
      <c r="DQ218" s="1585"/>
      <c r="DR218" s="1585"/>
      <c r="DS218" s="1585"/>
      <c r="DT218" s="1585"/>
      <c r="DU218" s="1585"/>
      <c r="DV218" s="1585"/>
      <c r="DW218" s="1585"/>
      <c r="EW218" s="805"/>
      <c r="EX218" s="805"/>
    </row>
    <row r="219" spans="1:155">
      <c r="C219" s="706"/>
      <c r="D219" s="687"/>
      <c r="E219" s="687"/>
      <c r="G219" s="706"/>
      <c r="H219" s="687"/>
      <c r="I219" s="687"/>
      <c r="K219" s="706"/>
      <c r="L219" s="687"/>
      <c r="M219" s="687"/>
      <c r="O219" s="706"/>
      <c r="S219" s="706"/>
      <c r="W219" s="706"/>
      <c r="AA219" s="706"/>
      <c r="AE219" s="706"/>
      <c r="AI219" s="706"/>
      <c r="AM219" s="706"/>
      <c r="AQ219" s="706"/>
      <c r="AU219" s="706"/>
      <c r="AY219" s="706"/>
      <c r="BC219" s="706"/>
      <c r="BG219" s="706"/>
      <c r="BK219" s="706"/>
      <c r="BO219" s="706"/>
      <c r="BS219" s="706"/>
      <c r="BW219" s="706"/>
      <c r="CA219" s="706"/>
      <c r="CE219" s="706"/>
      <c r="CI219" s="706"/>
      <c r="CM219" s="706"/>
      <c r="CQ219" s="706"/>
      <c r="CU219" s="706"/>
      <c r="CY219" s="706"/>
      <c r="EW219" s="805"/>
      <c r="EX219" s="805"/>
    </row>
    <row r="220" spans="1:155">
      <c r="A220" s="819" t="s">
        <v>140</v>
      </c>
      <c r="C220" s="914">
        <v>269.39999999999998</v>
      </c>
      <c r="D220" s="899"/>
      <c r="E220" s="900"/>
      <c r="F220" s="898"/>
      <c r="G220" s="914">
        <v>265.2</v>
      </c>
      <c r="H220" s="899"/>
      <c r="I220" s="900"/>
      <c r="J220" s="898"/>
      <c r="K220" s="914">
        <v>256.8</v>
      </c>
      <c r="L220" s="899"/>
      <c r="M220" s="900"/>
      <c r="N220" s="898"/>
      <c r="O220" s="914">
        <v>258</v>
      </c>
      <c r="P220" s="901"/>
      <c r="Q220" s="902"/>
      <c r="R220" s="898"/>
      <c r="S220" s="914">
        <v>260.3</v>
      </c>
      <c r="T220" s="901"/>
      <c r="U220" s="902"/>
      <c r="V220" s="898"/>
      <c r="W220" s="914">
        <v>261.8</v>
      </c>
      <c r="X220" s="901"/>
      <c r="Y220" s="902"/>
      <c r="Z220" s="898"/>
      <c r="AA220" s="914">
        <v>252.7</v>
      </c>
      <c r="AB220" s="901"/>
      <c r="AC220" s="902"/>
      <c r="AD220" s="898"/>
      <c r="AE220" s="914" t="s">
        <v>151</v>
      </c>
      <c r="AF220" s="901"/>
      <c r="AG220" s="902"/>
      <c r="AH220" s="898"/>
      <c r="AI220" s="914">
        <v>247.2</v>
      </c>
      <c r="AJ220" s="901"/>
      <c r="AK220" s="902"/>
      <c r="AL220" s="898"/>
      <c r="AM220" s="914">
        <v>261.2</v>
      </c>
      <c r="AN220" s="901"/>
      <c r="AO220" s="902"/>
      <c r="AP220" s="898"/>
      <c r="AQ220" s="914">
        <v>273</v>
      </c>
      <c r="AR220" s="901"/>
      <c r="AS220" s="902"/>
      <c r="AT220" s="898"/>
      <c r="AU220" s="914">
        <v>272.3</v>
      </c>
      <c r="AV220" s="901"/>
      <c r="AW220" s="902"/>
      <c r="AX220" s="898"/>
      <c r="AY220" s="914">
        <v>275.7</v>
      </c>
      <c r="AZ220" s="901"/>
      <c r="BA220" s="902"/>
      <c r="BB220" s="898"/>
      <c r="BC220" s="914">
        <v>277.3</v>
      </c>
      <c r="BD220" s="901"/>
      <c r="BE220" s="902"/>
      <c r="BF220" s="898"/>
      <c r="BG220" s="914">
        <v>291.7</v>
      </c>
      <c r="BH220" s="901"/>
      <c r="BI220" s="902"/>
      <c r="BJ220" s="898"/>
      <c r="BK220" s="914">
        <v>264</v>
      </c>
      <c r="BL220" s="901"/>
      <c r="BM220" s="902"/>
      <c r="BN220" s="898"/>
      <c r="BO220" s="914">
        <v>269</v>
      </c>
      <c r="BP220" s="901"/>
      <c r="BQ220" s="902"/>
      <c r="BR220" s="898"/>
      <c r="BS220" s="914">
        <v>272.7</v>
      </c>
      <c r="BT220" s="901"/>
      <c r="BU220" s="902"/>
      <c r="BV220" s="898"/>
      <c r="BW220" s="914">
        <v>305.8</v>
      </c>
      <c r="BX220" s="901"/>
      <c r="BY220" s="903"/>
      <c r="BZ220" s="898"/>
      <c r="CA220" s="914">
        <v>274</v>
      </c>
      <c r="CB220" s="901"/>
      <c r="CC220" s="903"/>
      <c r="CD220" s="898"/>
      <c r="CE220" s="914">
        <v>236.3</v>
      </c>
      <c r="CF220" s="901"/>
      <c r="CG220" s="902"/>
      <c r="CH220" s="898"/>
      <c r="CI220" s="914">
        <v>228.8</v>
      </c>
      <c r="CJ220" s="901"/>
      <c r="CK220" s="902"/>
      <c r="CL220" s="898"/>
      <c r="CM220" s="914">
        <v>223</v>
      </c>
      <c r="CN220" s="901"/>
      <c r="CO220" s="902"/>
      <c r="CP220" s="898"/>
      <c r="CQ220" s="914">
        <v>222.7</v>
      </c>
      <c r="CR220" s="901"/>
      <c r="CS220" s="902"/>
      <c r="CT220" s="898"/>
      <c r="CU220" s="1360">
        <v>237.6</v>
      </c>
      <c r="CV220" s="1361"/>
      <c r="CW220" s="1362"/>
      <c r="CX220" s="1363"/>
      <c r="CY220" s="1360">
        <v>231.7</v>
      </c>
      <c r="CZ220" s="1361"/>
      <c r="DA220" s="1362"/>
      <c r="DB220" s="1363"/>
      <c r="DC220" s="1364">
        <v>218.3</v>
      </c>
      <c r="DD220" s="1361"/>
      <c r="DE220" s="1362"/>
      <c r="DF220" s="1363"/>
      <c r="DG220" s="1364">
        <v>219.9</v>
      </c>
      <c r="DH220" s="1361"/>
      <c r="DI220" s="1362"/>
      <c r="DJ220" s="1363"/>
      <c r="DK220" s="1364">
        <v>305</v>
      </c>
      <c r="DL220" s="1361"/>
      <c r="DM220" s="1362"/>
      <c r="DN220" s="1363"/>
      <c r="DO220" s="1363"/>
      <c r="DP220" s="1364">
        <v>305.5</v>
      </c>
      <c r="DQ220" s="1361"/>
      <c r="DR220" s="1362"/>
      <c r="DS220" s="1363"/>
      <c r="DT220" s="1363"/>
      <c r="DU220" s="1364">
        <v>307.2</v>
      </c>
      <c r="DV220" s="891"/>
      <c r="DW220" s="904"/>
      <c r="DX220" s="898"/>
      <c r="DY220" s="898"/>
      <c r="DZ220" s="1364">
        <v>309.60000000000002</v>
      </c>
      <c r="EA220" s="891"/>
      <c r="EB220" s="904"/>
      <c r="EC220" s="898"/>
      <c r="ED220" s="898"/>
      <c r="EE220" s="1548">
        <f>DZ223</f>
        <v>314.60000000000002</v>
      </c>
      <c r="EF220" s="891"/>
      <c r="EG220" s="904"/>
      <c r="EH220" s="898"/>
      <c r="EI220" s="898"/>
      <c r="EP220" s="904"/>
      <c r="EQ220" s="904"/>
      <c r="ER220" s="904"/>
      <c r="ES220" s="904"/>
      <c r="ET220" s="904"/>
      <c r="EU220" s="904"/>
      <c r="EV220" s="904"/>
      <c r="EW220" s="805"/>
      <c r="EX220" s="805"/>
    </row>
    <row r="221" spans="1:155">
      <c r="A221" s="819" t="s">
        <v>141</v>
      </c>
      <c r="C221" s="914">
        <v>266.60000000000002</v>
      </c>
      <c r="D221" s="899"/>
      <c r="E221" s="900"/>
      <c r="F221" s="898"/>
      <c r="G221" s="914">
        <v>260</v>
      </c>
      <c r="H221" s="899"/>
      <c r="I221" s="900"/>
      <c r="J221" s="898"/>
      <c r="K221" s="914">
        <v>256.8</v>
      </c>
      <c r="L221" s="899"/>
      <c r="M221" s="900"/>
      <c r="N221" s="898"/>
      <c r="O221" s="914">
        <v>258.8</v>
      </c>
      <c r="P221" s="901"/>
      <c r="Q221" s="902"/>
      <c r="R221" s="898"/>
      <c r="S221" s="914">
        <v>261.3</v>
      </c>
      <c r="T221" s="901"/>
      <c r="U221" s="902"/>
      <c r="V221" s="898"/>
      <c r="W221" s="914">
        <v>259.39999999999998</v>
      </c>
      <c r="X221" s="901"/>
      <c r="Y221" s="902"/>
      <c r="Z221" s="898"/>
      <c r="AA221" s="914">
        <v>251.4</v>
      </c>
      <c r="AB221" s="901"/>
      <c r="AC221" s="902"/>
      <c r="AD221" s="898"/>
      <c r="AE221" s="914" t="s">
        <v>151</v>
      </c>
      <c r="AF221" s="901"/>
      <c r="AG221" s="902"/>
      <c r="AH221" s="898"/>
      <c r="AI221" s="914">
        <v>247.6</v>
      </c>
      <c r="AJ221" s="901"/>
      <c r="AK221" s="902"/>
      <c r="AL221" s="898"/>
      <c r="AM221" s="914">
        <v>269.7</v>
      </c>
      <c r="AN221" s="901"/>
      <c r="AO221" s="902"/>
      <c r="AP221" s="898"/>
      <c r="AQ221" s="914">
        <v>272.39999999999998</v>
      </c>
      <c r="AR221" s="901"/>
      <c r="AS221" s="902"/>
      <c r="AT221" s="898"/>
      <c r="AU221" s="914">
        <v>276.10000000000002</v>
      </c>
      <c r="AV221" s="901"/>
      <c r="AW221" s="902"/>
      <c r="AX221" s="898"/>
      <c r="AY221" s="914">
        <v>275.8</v>
      </c>
      <c r="AZ221" s="901"/>
      <c r="BA221" s="902"/>
      <c r="BB221" s="898"/>
      <c r="BC221" s="914">
        <v>280.10000000000002</v>
      </c>
      <c r="BD221" s="901"/>
      <c r="BE221" s="902"/>
      <c r="BF221" s="898"/>
      <c r="BG221" s="914">
        <v>291.7</v>
      </c>
      <c r="BH221" s="901"/>
      <c r="BI221" s="902"/>
      <c r="BJ221" s="898"/>
      <c r="BK221" s="914">
        <v>263</v>
      </c>
      <c r="BL221" s="901"/>
      <c r="BM221" s="902"/>
      <c r="BN221" s="898"/>
      <c r="BO221" s="914">
        <v>268</v>
      </c>
      <c r="BP221" s="901"/>
      <c r="BQ221" s="902"/>
      <c r="BR221" s="898"/>
      <c r="BS221" s="914">
        <v>272</v>
      </c>
      <c r="BT221" s="901"/>
      <c r="BU221" s="902"/>
      <c r="BV221" s="898"/>
      <c r="BW221" s="914">
        <v>287.39999999999998</v>
      </c>
      <c r="BX221" s="901"/>
      <c r="BY221" s="903"/>
      <c r="BZ221" s="898"/>
      <c r="CA221" s="914">
        <v>264.5</v>
      </c>
      <c r="CB221" s="901"/>
      <c r="CC221" s="903"/>
      <c r="CD221" s="898"/>
      <c r="CE221" s="914">
        <v>235.4</v>
      </c>
      <c r="CF221" s="901"/>
      <c r="CG221" s="902"/>
      <c r="CH221" s="898"/>
      <c r="CI221" s="914">
        <v>225.3</v>
      </c>
      <c r="CJ221" s="901"/>
      <c r="CK221" s="902"/>
      <c r="CL221" s="898"/>
      <c r="CM221" s="914">
        <v>223</v>
      </c>
      <c r="CN221" s="901"/>
      <c r="CO221" s="902"/>
      <c r="CP221" s="898"/>
      <c r="CQ221" s="914">
        <v>233.8</v>
      </c>
      <c r="CR221" s="901"/>
      <c r="CS221" s="902"/>
      <c r="CT221" s="898"/>
      <c r="CU221" s="1360">
        <v>237.6</v>
      </c>
      <c r="CV221" s="1361"/>
      <c r="CW221" s="1362"/>
      <c r="CX221" s="1363"/>
      <c r="CY221" s="1360">
        <v>216.3</v>
      </c>
      <c r="CZ221" s="1361"/>
      <c r="DA221" s="1362"/>
      <c r="DB221" s="1363"/>
      <c r="DC221" s="1364">
        <v>218.8</v>
      </c>
      <c r="DD221" s="1365"/>
      <c r="DE221" s="1362"/>
      <c r="DF221" s="1363"/>
      <c r="DG221" s="1364">
        <v>220.4</v>
      </c>
      <c r="DH221" s="1361"/>
      <c r="DI221" s="1362"/>
      <c r="DJ221" s="1363"/>
      <c r="DK221" s="1364">
        <v>304.8</v>
      </c>
      <c r="DL221" s="1361"/>
      <c r="DM221" s="1362"/>
      <c r="DN221" s="1363"/>
      <c r="DO221" s="1363"/>
      <c r="DP221" s="1364">
        <v>305.89999999999998</v>
      </c>
      <c r="DQ221" s="1361"/>
      <c r="DR221" s="1362"/>
      <c r="DS221" s="1363"/>
      <c r="DT221" s="1363"/>
      <c r="DU221" s="1364">
        <v>308</v>
      </c>
      <c r="DV221" s="891"/>
      <c r="DW221" s="904"/>
      <c r="DX221" s="898"/>
      <c r="DY221" s="898"/>
      <c r="DZ221" s="1364">
        <v>310.8</v>
      </c>
      <c r="EA221" s="891"/>
      <c r="EB221" s="904"/>
      <c r="EC221" s="898"/>
      <c r="ED221" s="898"/>
      <c r="EE221" s="1548">
        <f>EE220</f>
        <v>314.60000000000002</v>
      </c>
      <c r="EF221" s="891"/>
      <c r="EG221" s="904"/>
      <c r="EH221" s="898"/>
      <c r="EI221" s="898"/>
      <c r="EP221" s="904"/>
      <c r="EQ221" s="904"/>
      <c r="ER221" s="904"/>
      <c r="ES221" s="904"/>
      <c r="ET221" s="904"/>
      <c r="EU221" s="904"/>
      <c r="EV221" s="904"/>
      <c r="EW221" s="805"/>
      <c r="EX221" s="805"/>
    </row>
    <row r="222" spans="1:155">
      <c r="A222" s="819" t="s">
        <v>142</v>
      </c>
      <c r="C222" s="914">
        <v>267.2</v>
      </c>
      <c r="D222" s="899"/>
      <c r="E222" s="900"/>
      <c r="F222" s="898"/>
      <c r="G222" s="914">
        <v>257.2</v>
      </c>
      <c r="H222" s="899"/>
      <c r="I222" s="900"/>
      <c r="J222" s="898"/>
      <c r="K222" s="914">
        <v>256.60000000000002</v>
      </c>
      <c r="L222" s="899"/>
      <c r="M222" s="900"/>
      <c r="N222" s="898"/>
      <c r="O222" s="914">
        <v>259.2</v>
      </c>
      <c r="P222" s="901"/>
      <c r="Q222" s="902"/>
      <c r="R222" s="898"/>
      <c r="S222" s="914">
        <v>262.7</v>
      </c>
      <c r="T222" s="901"/>
      <c r="U222" s="902"/>
      <c r="V222" s="898"/>
      <c r="W222" s="914">
        <v>258.10000000000002</v>
      </c>
      <c r="X222" s="901"/>
      <c r="Y222" s="902"/>
      <c r="Z222" s="898"/>
      <c r="AA222" s="914">
        <v>249</v>
      </c>
      <c r="AB222" s="901"/>
      <c r="AC222" s="902"/>
      <c r="AD222" s="898"/>
      <c r="AE222" s="914" t="s">
        <v>151</v>
      </c>
      <c r="AF222" s="901"/>
      <c r="AG222" s="902"/>
      <c r="AH222" s="898"/>
      <c r="AI222" s="914">
        <v>248.8</v>
      </c>
      <c r="AJ222" s="901"/>
      <c r="AK222" s="902"/>
      <c r="AL222" s="898"/>
      <c r="AM222" s="914">
        <v>270.7</v>
      </c>
      <c r="AN222" s="901"/>
      <c r="AO222" s="902"/>
      <c r="AP222" s="898"/>
      <c r="AQ222" s="914">
        <v>272.3</v>
      </c>
      <c r="AR222" s="901"/>
      <c r="AS222" s="902"/>
      <c r="AT222" s="898"/>
      <c r="AU222" s="914">
        <v>276.2</v>
      </c>
      <c r="AV222" s="901"/>
      <c r="AW222" s="902"/>
      <c r="AX222" s="898"/>
      <c r="AY222" s="914">
        <v>275.8</v>
      </c>
      <c r="AZ222" s="901"/>
      <c r="BA222" s="902"/>
      <c r="BB222" s="898"/>
      <c r="BC222" s="914">
        <v>280.10000000000002</v>
      </c>
      <c r="BD222" s="901"/>
      <c r="BE222" s="902"/>
      <c r="BF222" s="898"/>
      <c r="BG222" s="914">
        <v>292.2</v>
      </c>
      <c r="BH222" s="901"/>
      <c r="BI222" s="902"/>
      <c r="BJ222" s="898"/>
      <c r="BK222" s="914">
        <v>268</v>
      </c>
      <c r="BL222" s="901"/>
      <c r="BM222" s="902"/>
      <c r="BN222" s="898"/>
      <c r="BO222" s="914">
        <v>269</v>
      </c>
      <c r="BP222" s="901"/>
      <c r="BQ222" s="902"/>
      <c r="BR222" s="898"/>
      <c r="BS222" s="914">
        <v>298</v>
      </c>
      <c r="BT222" s="901"/>
      <c r="BU222" s="902"/>
      <c r="BV222" s="898"/>
      <c r="BW222" s="914">
        <v>309</v>
      </c>
      <c r="BX222" s="901"/>
      <c r="BY222" s="903"/>
      <c r="BZ222" s="898"/>
      <c r="CA222" s="914">
        <v>248.6</v>
      </c>
      <c r="CB222" s="901"/>
      <c r="CC222" s="903"/>
      <c r="CD222" s="898"/>
      <c r="CE222" s="914">
        <v>227.6</v>
      </c>
      <c r="CF222" s="901"/>
      <c r="CG222" s="902"/>
      <c r="CH222" s="898"/>
      <c r="CI222" s="914">
        <v>223.7</v>
      </c>
      <c r="CJ222" s="901"/>
      <c r="CK222" s="902"/>
      <c r="CL222" s="898"/>
      <c r="CM222" s="914">
        <v>222.9</v>
      </c>
      <c r="CN222" s="901"/>
      <c r="CO222" s="902"/>
      <c r="CP222" s="898"/>
      <c r="CQ222" s="914">
        <v>237.6</v>
      </c>
      <c r="CR222" s="901"/>
      <c r="CS222" s="902"/>
      <c r="CT222" s="898"/>
      <c r="CU222" s="1360">
        <v>237.8</v>
      </c>
      <c r="CV222" s="1361"/>
      <c r="CW222" s="1362"/>
      <c r="CX222" s="1363"/>
      <c r="CY222" s="1360">
        <v>215.5</v>
      </c>
      <c r="CZ222" s="1361"/>
      <c r="DA222" s="1362"/>
      <c r="DB222" s="1363"/>
      <c r="DC222" s="1364">
        <v>219.4</v>
      </c>
      <c r="DD222" s="1361"/>
      <c r="DE222" s="1362"/>
      <c r="DF222" s="1363"/>
      <c r="DG222" s="1364">
        <v>251.8</v>
      </c>
      <c r="DH222" s="1361"/>
      <c r="DI222" s="1362"/>
      <c r="DJ222" s="1363"/>
      <c r="DK222" s="1364">
        <v>305.3</v>
      </c>
      <c r="DL222" s="1361"/>
      <c r="DM222" s="1362"/>
      <c r="DN222" s="1363"/>
      <c r="DO222" s="1363"/>
      <c r="DP222" s="1364">
        <v>306</v>
      </c>
      <c r="DQ222" s="1361"/>
      <c r="DR222" s="1362"/>
      <c r="DS222" s="1363"/>
      <c r="DT222" s="1363"/>
      <c r="DU222" s="1364">
        <v>308.3</v>
      </c>
      <c r="DV222" s="891"/>
      <c r="DW222" s="904"/>
      <c r="DX222" s="898"/>
      <c r="DY222" s="898"/>
      <c r="DZ222" s="1364">
        <v>311.60000000000002</v>
      </c>
      <c r="EA222" s="891"/>
      <c r="EB222" s="904"/>
      <c r="EC222" s="898"/>
      <c r="ED222" s="898"/>
      <c r="EE222" s="1548">
        <f>EE221</f>
        <v>314.60000000000002</v>
      </c>
      <c r="EF222" s="891"/>
      <c r="EG222" s="904"/>
      <c r="EH222" s="898"/>
      <c r="EI222" s="898"/>
      <c r="EK222" s="904"/>
      <c r="EL222" s="904"/>
      <c r="EM222" s="904"/>
      <c r="EN222" s="904"/>
      <c r="EO222" s="904"/>
      <c r="EP222" s="904"/>
      <c r="EQ222" s="904"/>
      <c r="ER222" s="904"/>
      <c r="ES222" s="904"/>
      <c r="ET222" s="904"/>
      <c r="EU222" s="904"/>
      <c r="EV222" s="904"/>
      <c r="EW222" s="805"/>
      <c r="EX222" s="805"/>
    </row>
    <row r="223" spans="1:155">
      <c r="A223" s="819" t="s">
        <v>143</v>
      </c>
      <c r="C223" s="915">
        <v>266.2</v>
      </c>
      <c r="D223" s="899"/>
      <c r="E223" s="900"/>
      <c r="F223" s="898"/>
      <c r="G223" s="915">
        <v>256.8</v>
      </c>
      <c r="H223" s="899"/>
      <c r="I223" s="900"/>
      <c r="J223" s="898"/>
      <c r="K223" s="915">
        <v>256.8</v>
      </c>
      <c r="L223" s="899"/>
      <c r="M223" s="900"/>
      <c r="N223" s="898"/>
      <c r="O223" s="915">
        <v>258.39999999999998</v>
      </c>
      <c r="P223" s="901"/>
      <c r="Q223" s="902"/>
      <c r="R223" s="898"/>
      <c r="S223" s="915">
        <v>261.5</v>
      </c>
      <c r="T223" s="901"/>
      <c r="U223" s="902"/>
      <c r="V223" s="898"/>
      <c r="W223" s="915">
        <v>255.2</v>
      </c>
      <c r="X223" s="901"/>
      <c r="Y223" s="902"/>
      <c r="Z223" s="898"/>
      <c r="AA223" s="915">
        <v>247.6</v>
      </c>
      <c r="AB223" s="901"/>
      <c r="AC223" s="902"/>
      <c r="AD223" s="898"/>
      <c r="AE223" s="915" t="s">
        <v>151</v>
      </c>
      <c r="AF223" s="901"/>
      <c r="AG223" s="902"/>
      <c r="AH223" s="898"/>
      <c r="AI223" s="915">
        <v>250.9</v>
      </c>
      <c r="AJ223" s="901"/>
      <c r="AK223" s="902"/>
      <c r="AL223" s="898"/>
      <c r="AM223" s="915">
        <v>269.7</v>
      </c>
      <c r="AN223" s="901"/>
      <c r="AO223" s="902"/>
      <c r="AP223" s="898"/>
      <c r="AQ223" s="915">
        <v>268.89999999999998</v>
      </c>
      <c r="AR223" s="901"/>
      <c r="AS223" s="902"/>
      <c r="AT223" s="898"/>
      <c r="AU223" s="915">
        <v>276</v>
      </c>
      <c r="AV223" s="901"/>
      <c r="AW223" s="902"/>
      <c r="AX223" s="898"/>
      <c r="AY223" s="915">
        <v>277.10000000000002</v>
      </c>
      <c r="AZ223" s="901"/>
      <c r="BA223" s="902"/>
      <c r="BB223" s="898"/>
      <c r="BC223" s="915">
        <v>291.2</v>
      </c>
      <c r="BD223" s="901"/>
      <c r="BE223" s="902"/>
      <c r="BF223" s="898"/>
      <c r="BG223" s="915">
        <v>305.3</v>
      </c>
      <c r="BH223" s="901"/>
      <c r="BI223" s="902"/>
      <c r="BJ223" s="898"/>
      <c r="BK223" s="915">
        <v>291.2</v>
      </c>
      <c r="BL223" s="901"/>
      <c r="BM223" s="902"/>
      <c r="BN223" s="898"/>
      <c r="BO223" s="915">
        <v>294</v>
      </c>
      <c r="BP223" s="901"/>
      <c r="BQ223" s="902"/>
      <c r="BR223" s="898"/>
      <c r="BS223" s="915">
        <v>311</v>
      </c>
      <c r="BT223" s="901"/>
      <c r="BU223" s="902"/>
      <c r="BV223" s="898"/>
      <c r="BW223" s="915">
        <v>284.89999999999998</v>
      </c>
      <c r="BX223" s="901"/>
      <c r="BY223" s="903"/>
      <c r="BZ223" s="898"/>
      <c r="CA223" s="915">
        <v>234.9</v>
      </c>
      <c r="CB223" s="901"/>
      <c r="CC223" s="903"/>
      <c r="CD223" s="898"/>
      <c r="CE223" s="915">
        <v>228.4</v>
      </c>
      <c r="CF223" s="901"/>
      <c r="CG223" s="902"/>
      <c r="CH223" s="898"/>
      <c r="CI223" s="915">
        <v>222.9</v>
      </c>
      <c r="CJ223" s="901"/>
      <c r="CK223" s="902"/>
      <c r="CL223" s="898"/>
      <c r="CM223" s="915">
        <v>222.6</v>
      </c>
      <c r="CN223" s="901"/>
      <c r="CO223" s="902"/>
      <c r="CP223" s="898"/>
      <c r="CQ223" s="915">
        <v>237.3</v>
      </c>
      <c r="CR223" s="901"/>
      <c r="CS223" s="902"/>
      <c r="CT223" s="898"/>
      <c r="CU223" s="1366">
        <v>239</v>
      </c>
      <c r="CV223" s="1361"/>
      <c r="CW223" s="1362"/>
      <c r="CX223" s="1363"/>
      <c r="CY223" s="1366">
        <v>213.7</v>
      </c>
      <c r="CZ223" s="1361"/>
      <c r="DA223" s="1362"/>
      <c r="DB223" s="1363"/>
      <c r="DC223" s="1367">
        <v>219.5</v>
      </c>
      <c r="DD223" s="1361"/>
      <c r="DE223" s="1362"/>
      <c r="DF223" s="1363"/>
      <c r="DG223" s="1367">
        <v>304.89999999999998</v>
      </c>
      <c r="DH223" s="1361"/>
      <c r="DI223" s="1362"/>
      <c r="DJ223" s="1363"/>
      <c r="DK223" s="1367">
        <v>305.3</v>
      </c>
      <c r="DL223" s="1361"/>
      <c r="DM223" s="1362"/>
      <c r="DN223" s="1363"/>
      <c r="DO223" s="1363"/>
      <c r="DP223" s="1367">
        <v>306.39999999999998</v>
      </c>
      <c r="DQ223" s="1361"/>
      <c r="DR223" s="1362"/>
      <c r="DS223" s="1363"/>
      <c r="DT223" s="1363"/>
      <c r="DU223" s="1367">
        <v>313.8</v>
      </c>
      <c r="DV223" s="891"/>
      <c r="DW223" s="904"/>
      <c r="DX223" s="898"/>
      <c r="DY223" s="898"/>
      <c r="DZ223" s="1367">
        <v>314.60000000000002</v>
      </c>
      <c r="EA223" s="891"/>
      <c r="EB223" s="904"/>
      <c r="EC223" s="898"/>
      <c r="ED223" s="898"/>
      <c r="EE223" s="1549">
        <f>EE222</f>
        <v>314.60000000000002</v>
      </c>
      <c r="EF223" s="891"/>
      <c r="EG223" s="904"/>
      <c r="EH223" s="898"/>
      <c r="EI223" s="898"/>
      <c r="EK223" s="904"/>
      <c r="EL223" s="904"/>
      <c r="EM223" s="904"/>
      <c r="EN223" s="904"/>
      <c r="EO223" s="904"/>
      <c r="EP223" s="904"/>
      <c r="EQ223" s="904"/>
      <c r="ER223" s="904"/>
      <c r="ES223" s="904"/>
      <c r="ET223" s="904"/>
      <c r="EU223" s="904"/>
      <c r="EV223" s="904"/>
      <c r="EW223" s="805"/>
      <c r="EX223" s="805"/>
    </row>
    <row r="224" spans="1:155">
      <c r="A224" s="819" t="s">
        <v>144</v>
      </c>
      <c r="C224" s="917">
        <v>267.39999999999998</v>
      </c>
      <c r="D224" s="899"/>
      <c r="E224" s="900"/>
      <c r="F224" s="898"/>
      <c r="G224" s="917">
        <v>259.8</v>
      </c>
      <c r="H224" s="899"/>
      <c r="I224" s="900"/>
      <c r="J224" s="898"/>
      <c r="K224" s="917">
        <v>256.8</v>
      </c>
      <c r="L224" s="899"/>
      <c r="M224" s="900"/>
      <c r="N224" s="898"/>
      <c r="O224" s="917">
        <v>258.60000000000002</v>
      </c>
      <c r="P224" s="901"/>
      <c r="Q224" s="902"/>
      <c r="R224" s="898"/>
      <c r="S224" s="917">
        <v>261.5</v>
      </c>
      <c r="T224" s="901"/>
      <c r="U224" s="902"/>
      <c r="V224" s="898"/>
      <c r="W224" s="917">
        <v>258.39999999999998</v>
      </c>
      <c r="X224" s="901"/>
      <c r="Y224" s="902"/>
      <c r="Z224" s="898"/>
      <c r="AA224" s="917">
        <v>249.5</v>
      </c>
      <c r="AB224" s="901"/>
      <c r="AC224" s="902"/>
      <c r="AD224" s="898"/>
      <c r="AE224" s="917">
        <f>38.724287*2</f>
        <v>77.448573999999994</v>
      </c>
      <c r="AF224" s="901"/>
      <c r="AG224" s="902"/>
      <c r="AH224" s="898"/>
      <c r="AI224" s="917">
        <v>248.5</v>
      </c>
      <c r="AJ224" s="901"/>
      <c r="AK224" s="902"/>
      <c r="AL224" s="898"/>
      <c r="AM224" s="917">
        <v>267.82499999999999</v>
      </c>
      <c r="AN224" s="901"/>
      <c r="AO224" s="902"/>
      <c r="AP224" s="898"/>
      <c r="AQ224" s="917">
        <v>271.64999999999998</v>
      </c>
      <c r="AR224" s="901"/>
      <c r="AS224" s="902"/>
      <c r="AT224" s="898"/>
      <c r="AU224" s="917">
        <v>275.10000000000002</v>
      </c>
      <c r="AV224" s="901"/>
      <c r="AW224" s="902"/>
      <c r="AX224" s="898"/>
      <c r="AY224" s="917">
        <v>276.2</v>
      </c>
      <c r="AZ224" s="901"/>
      <c r="BA224" s="902"/>
      <c r="BB224" s="898"/>
      <c r="BC224" s="917">
        <v>267.7</v>
      </c>
      <c r="BD224" s="901"/>
      <c r="BE224" s="902"/>
      <c r="BF224" s="898"/>
      <c r="BG224" s="917">
        <v>295.22500000000002</v>
      </c>
      <c r="BH224" s="901"/>
      <c r="BI224" s="902"/>
      <c r="BJ224" s="898"/>
      <c r="BK224" s="917">
        <v>267</v>
      </c>
      <c r="BL224" s="901"/>
      <c r="BM224" s="902"/>
      <c r="BN224" s="898"/>
      <c r="BO224" s="917">
        <v>293</v>
      </c>
      <c r="BP224" s="901"/>
      <c r="BQ224" s="902"/>
      <c r="BR224" s="898"/>
      <c r="BS224" s="917">
        <v>297</v>
      </c>
      <c r="BT224" s="901"/>
      <c r="BU224" s="902"/>
      <c r="BV224" s="898"/>
      <c r="BW224" s="917">
        <v>302.42500000000001</v>
      </c>
      <c r="BX224" s="901"/>
      <c r="BY224" s="903"/>
      <c r="BZ224" s="898"/>
      <c r="CA224" s="917">
        <v>255.4</v>
      </c>
      <c r="CB224" s="901"/>
      <c r="CC224" s="903"/>
      <c r="CD224" s="898"/>
      <c r="CE224" s="917">
        <v>232.2</v>
      </c>
      <c r="CF224" s="901"/>
      <c r="CG224" s="902"/>
      <c r="CH224" s="898"/>
      <c r="CI224" s="917">
        <v>225.17500000000001</v>
      </c>
      <c r="CJ224" s="901"/>
      <c r="CK224" s="902"/>
      <c r="CL224" s="898"/>
      <c r="CM224" s="917">
        <v>222.875</v>
      </c>
      <c r="CN224" s="901"/>
      <c r="CO224" s="902"/>
      <c r="CP224" s="898"/>
      <c r="CQ224" s="917">
        <v>232.85</v>
      </c>
      <c r="CR224" s="901"/>
      <c r="CS224" s="902"/>
      <c r="CT224" s="898"/>
      <c r="CU224" s="1368">
        <v>238</v>
      </c>
      <c r="CV224" s="1361"/>
      <c r="CW224" s="1362"/>
      <c r="CX224" s="1363"/>
      <c r="CY224" s="1368">
        <v>217.4</v>
      </c>
      <c r="CZ224" s="1361"/>
      <c r="DA224" s="1362"/>
      <c r="DB224" s="1363"/>
      <c r="DC224" s="1369">
        <v>219.2</v>
      </c>
      <c r="DD224" s="1361"/>
      <c r="DE224" s="1362"/>
      <c r="DF224" s="1363"/>
      <c r="DG224" s="1369">
        <v>249.3</v>
      </c>
      <c r="DH224" s="1361"/>
      <c r="DI224" s="1362"/>
      <c r="DJ224" s="1363"/>
      <c r="DK224" s="1369">
        <v>305.2</v>
      </c>
      <c r="DL224" s="1370"/>
      <c r="DM224" s="1362"/>
      <c r="DN224" s="1363"/>
      <c r="DO224" s="1363"/>
      <c r="DP224" s="1371">
        <v>305.89999999999998</v>
      </c>
      <c r="DQ224" s="1370"/>
      <c r="DR224" s="1362"/>
      <c r="DS224" s="1363"/>
      <c r="DT224" s="1363"/>
      <c r="DU224" s="1371">
        <v>313</v>
      </c>
      <c r="DV224" s="919"/>
      <c r="DW224" s="904"/>
      <c r="DX224" s="898"/>
      <c r="DY224" s="898"/>
      <c r="DZ224" s="1369">
        <v>311.10000000000002</v>
      </c>
      <c r="EA224" s="919"/>
      <c r="EB224" s="904"/>
      <c r="EC224" s="898"/>
      <c r="ED224" s="898"/>
      <c r="EE224" s="1550">
        <f>AVERAGE(EE220:EE223)</f>
        <v>314.60000000000002</v>
      </c>
      <c r="EF224" s="919"/>
      <c r="EG224" s="904"/>
      <c r="EH224" s="898"/>
      <c r="EI224" s="898"/>
      <c r="EK224" s="904"/>
      <c r="EL224" s="904"/>
      <c r="EM224" s="904"/>
      <c r="EN224" s="904"/>
      <c r="EO224" s="904"/>
      <c r="EP224" s="904"/>
      <c r="EQ224" s="904"/>
      <c r="ER224" s="904"/>
      <c r="ES224" s="904"/>
      <c r="ET224" s="904"/>
      <c r="EU224" s="904"/>
      <c r="EV224" s="904"/>
      <c r="EW224" s="805"/>
      <c r="EX224" s="805"/>
    </row>
    <row r="225" spans="1:155" hidden="1" outlineLevel="1">
      <c r="A225" s="819" t="s">
        <v>145</v>
      </c>
      <c r="C225" s="824" t="s">
        <v>151</v>
      </c>
      <c r="D225" s="905"/>
      <c r="E225" s="869"/>
      <c r="G225" s="824"/>
      <c r="H225" s="905"/>
      <c r="I225" s="869"/>
      <c r="K225" s="824" t="s">
        <v>151</v>
      </c>
      <c r="L225" s="905"/>
      <c r="M225" s="869"/>
      <c r="O225" s="824" t="s">
        <v>151</v>
      </c>
      <c r="P225" s="891"/>
      <c r="Q225" s="904"/>
      <c r="S225" s="824" t="s">
        <v>151</v>
      </c>
      <c r="T225" s="891"/>
      <c r="U225" s="904"/>
      <c r="W225" s="824" t="s">
        <v>151</v>
      </c>
      <c r="X225" s="891"/>
      <c r="Y225" s="904"/>
      <c r="AA225" s="824" t="s">
        <v>151</v>
      </c>
      <c r="AB225" s="891"/>
      <c r="AC225" s="904"/>
      <c r="AE225" s="824" t="s">
        <v>151</v>
      </c>
      <c r="AF225" s="891"/>
      <c r="AG225" s="904"/>
      <c r="AI225" s="824" t="s">
        <v>151</v>
      </c>
      <c r="AJ225" s="891"/>
      <c r="AK225" s="904"/>
      <c r="AM225" s="824" t="s">
        <v>151</v>
      </c>
      <c r="AN225" s="891"/>
      <c r="AO225" s="904"/>
      <c r="AQ225" s="824" t="s">
        <v>151</v>
      </c>
      <c r="AR225" s="891"/>
      <c r="AS225" s="904"/>
      <c r="AU225" s="824" t="s">
        <v>151</v>
      </c>
      <c r="AV225" s="891"/>
      <c r="AW225" s="904"/>
      <c r="AY225" s="824" t="s">
        <v>151</v>
      </c>
      <c r="AZ225" s="891"/>
      <c r="BA225" s="904"/>
      <c r="BC225" s="824" t="s">
        <v>151</v>
      </c>
      <c r="BD225" s="891"/>
      <c r="BE225" s="904"/>
      <c r="BG225" s="824" t="s">
        <v>151</v>
      </c>
      <c r="BH225" s="891"/>
      <c r="BI225" s="904"/>
      <c r="BK225" s="824" t="s">
        <v>151</v>
      </c>
      <c r="BL225" s="891"/>
      <c r="BM225" s="904"/>
      <c r="BO225" s="824" t="s">
        <v>151</v>
      </c>
      <c r="BP225" s="891"/>
      <c r="BQ225" s="904"/>
      <c r="BS225" s="824" t="s">
        <v>151</v>
      </c>
      <c r="BT225" s="891"/>
      <c r="BU225" s="904"/>
      <c r="BW225" s="824">
        <f>AVERAGE(BW220:BW221)</f>
        <v>296.60000000000002</v>
      </c>
      <c r="BX225" s="891"/>
      <c r="BY225" s="888"/>
      <c r="CA225" s="824">
        <f>AVERAGE(CA220:CA221)</f>
        <v>269.25</v>
      </c>
      <c r="CB225" s="891"/>
      <c r="CC225" s="888"/>
      <c r="CE225" s="824">
        <f>AVERAGE(CE220:CE221)</f>
        <v>235.85000000000002</v>
      </c>
      <c r="CF225" s="891"/>
      <c r="CG225" s="904"/>
      <c r="CI225" s="824">
        <f>AVERAGE(CI220:CI221)</f>
        <v>227.05</v>
      </c>
      <c r="CJ225" s="891"/>
      <c r="CK225" s="904"/>
      <c r="CM225" s="824">
        <f>AVERAGE(CM220:CM221)</f>
        <v>223</v>
      </c>
      <c r="CN225" s="891"/>
      <c r="CO225" s="904"/>
      <c r="CQ225" s="824">
        <f>AVERAGE(CQ220:CQ221)</f>
        <v>228.25</v>
      </c>
      <c r="CR225" s="891"/>
      <c r="CS225" s="904"/>
      <c r="CU225" s="824">
        <f>AVERAGE(CU220:CU221)</f>
        <v>237.6</v>
      </c>
      <c r="CV225" s="891"/>
      <c r="CW225" s="904"/>
      <c r="CY225" s="824">
        <f>AVERAGE(CY220:CY221)</f>
        <v>224</v>
      </c>
      <c r="CZ225" s="891"/>
      <c r="DA225" s="904"/>
      <c r="DC225" s="777">
        <f>AVERAGE(DC220:DC221)</f>
        <v>218.55</v>
      </c>
      <c r="DD225" s="891"/>
      <c r="DE225" s="904"/>
      <c r="DG225" s="777">
        <f>AVERAGE(DG220:DG221)</f>
        <v>220.15</v>
      </c>
      <c r="DH225" s="891"/>
      <c r="DI225" s="904"/>
      <c r="DK225" s="777">
        <f>AVERAGE(DK220:DK221)</f>
        <v>304.89999999999998</v>
      </c>
      <c r="DL225" s="891"/>
      <c r="DM225" s="904"/>
      <c r="DP225" s="777">
        <f>AVERAGE(DP220:DP221)</f>
        <v>305.7</v>
      </c>
      <c r="DQ225" s="891"/>
      <c r="DR225" s="904"/>
      <c r="DU225" s="777">
        <f>AVERAGE(DU220:DU221)</f>
        <v>307.60000000000002</v>
      </c>
      <c r="DV225" s="891"/>
      <c r="DW225" s="904"/>
      <c r="DZ225" s="777">
        <f>AVERAGE(DZ220:DZ221)</f>
        <v>310.20000000000005</v>
      </c>
      <c r="EA225" s="891"/>
      <c r="EB225" s="904"/>
      <c r="EE225" s="777">
        <f>AVERAGE(EE220:EE221)</f>
        <v>314.60000000000002</v>
      </c>
      <c r="EF225" s="891"/>
      <c r="EG225" s="904"/>
      <c r="EK225" s="904"/>
      <c r="EL225" s="904"/>
      <c r="EM225" s="904"/>
      <c r="EN225" s="904"/>
      <c r="EO225" s="904"/>
      <c r="EP225" s="904"/>
      <c r="EQ225" s="904"/>
      <c r="ER225" s="904"/>
      <c r="ES225" s="904"/>
      <c r="ET225" s="904"/>
      <c r="EU225" s="904"/>
      <c r="EV225" s="904"/>
      <c r="EW225" s="805"/>
      <c r="EX225" s="805"/>
    </row>
    <row r="226" spans="1:155" hidden="1" outlineLevel="1">
      <c r="A226" s="819" t="s">
        <v>146</v>
      </c>
      <c r="C226" s="824" t="s">
        <v>151</v>
      </c>
      <c r="D226" s="905"/>
      <c r="E226" s="869"/>
      <c r="G226" s="824" t="s">
        <v>151</v>
      </c>
      <c r="H226" s="905"/>
      <c r="I226" s="869"/>
      <c r="K226" s="824" t="s">
        <v>151</v>
      </c>
      <c r="L226" s="905"/>
      <c r="M226" s="869"/>
      <c r="O226" s="824" t="s">
        <v>151</v>
      </c>
      <c r="P226" s="891"/>
      <c r="Q226" s="904"/>
      <c r="S226" s="824" t="s">
        <v>151</v>
      </c>
      <c r="T226" s="891"/>
      <c r="U226" s="904"/>
      <c r="W226" s="824" t="s">
        <v>151</v>
      </c>
      <c r="X226" s="891"/>
      <c r="Y226" s="904"/>
      <c r="AA226" s="824" t="s">
        <v>151</v>
      </c>
      <c r="AB226" s="891"/>
      <c r="AC226" s="904"/>
      <c r="AE226" s="824" t="s">
        <v>151</v>
      </c>
      <c r="AF226" s="891"/>
      <c r="AG226" s="904"/>
      <c r="AI226" s="824" t="s">
        <v>151</v>
      </c>
      <c r="AJ226" s="891"/>
      <c r="AK226" s="904"/>
      <c r="AM226" s="824" t="s">
        <v>151</v>
      </c>
      <c r="AN226" s="891"/>
      <c r="AO226" s="904"/>
      <c r="AQ226" s="824" t="s">
        <v>151</v>
      </c>
      <c r="AR226" s="891"/>
      <c r="AS226" s="904"/>
      <c r="AU226" s="824" t="s">
        <v>151</v>
      </c>
      <c r="AV226" s="891"/>
      <c r="AW226" s="904"/>
      <c r="AY226" s="824" t="s">
        <v>151</v>
      </c>
      <c r="AZ226" s="891"/>
      <c r="BA226" s="904"/>
      <c r="BC226" s="824" t="s">
        <v>151</v>
      </c>
      <c r="BD226" s="891"/>
      <c r="BE226" s="904"/>
      <c r="BG226" s="824" t="s">
        <v>151</v>
      </c>
      <c r="BH226" s="891"/>
      <c r="BI226" s="904"/>
      <c r="BK226" s="824" t="s">
        <v>151</v>
      </c>
      <c r="BL226" s="891"/>
      <c r="BM226" s="904"/>
      <c r="BO226" s="824" t="s">
        <v>151</v>
      </c>
      <c r="BP226" s="891"/>
      <c r="BQ226" s="904"/>
      <c r="BS226" s="824" t="s">
        <v>151</v>
      </c>
      <c r="BT226" s="891"/>
      <c r="BU226" s="904"/>
      <c r="BW226" s="824">
        <f>AVERAGE(BW220:BW222)</f>
        <v>300.73333333333335</v>
      </c>
      <c r="BX226" s="891"/>
      <c r="BY226" s="888"/>
      <c r="CA226" s="824">
        <f>AVERAGE(CA220:CA222)</f>
        <v>262.36666666666667</v>
      </c>
      <c r="CB226" s="891"/>
      <c r="CC226" s="888"/>
      <c r="CE226" s="824">
        <f>AVERAGE(CE220:CE222)</f>
        <v>233.10000000000002</v>
      </c>
      <c r="CF226" s="891"/>
      <c r="CG226" s="904"/>
      <c r="CI226" s="824">
        <f>AVERAGE(CI220:CI222)</f>
        <v>225.93333333333331</v>
      </c>
      <c r="CJ226" s="891"/>
      <c r="CK226" s="904"/>
      <c r="CM226" s="824">
        <f>AVERAGE(CM220:CM222)</f>
        <v>222.96666666666667</v>
      </c>
      <c r="CN226" s="891"/>
      <c r="CO226" s="904"/>
      <c r="CQ226" s="824">
        <f>AVERAGE(CQ220:CQ222)</f>
        <v>231.36666666666667</v>
      </c>
      <c r="CR226" s="891"/>
      <c r="CS226" s="904"/>
      <c r="CU226" s="824">
        <f>AVERAGE(CU220:CU222)</f>
        <v>237.66666666666666</v>
      </c>
      <c r="CV226" s="891"/>
      <c r="CW226" s="904"/>
      <c r="CY226" s="824">
        <f>AVERAGE(CY220:CY222)</f>
        <v>221.16666666666666</v>
      </c>
      <c r="CZ226" s="891"/>
      <c r="DA226" s="904"/>
      <c r="DC226" s="777">
        <f>AVERAGE(DC220:DC222)</f>
        <v>218.83333333333334</v>
      </c>
      <c r="DD226" s="891"/>
      <c r="DE226" s="904"/>
      <c r="DG226" s="777">
        <f>AVERAGE(DG220:DG222)</f>
        <v>230.70000000000002</v>
      </c>
      <c r="DH226" s="891"/>
      <c r="DI226" s="904"/>
      <c r="DK226" s="777">
        <f>AVERAGE(DK220:DK222)</f>
        <v>305.0333333333333</v>
      </c>
      <c r="DL226" s="891"/>
      <c r="DM226" s="904"/>
      <c r="DP226" s="777">
        <f>AVERAGE(DP220:DP222)</f>
        <v>305.8</v>
      </c>
      <c r="DQ226" s="891"/>
      <c r="DR226" s="904"/>
      <c r="DU226" s="777">
        <f>AVERAGE(DU220:DU222)</f>
        <v>307.83333333333331</v>
      </c>
      <c r="DV226" s="891"/>
      <c r="DW226" s="904"/>
      <c r="DZ226" s="777">
        <f>AVERAGE(DZ220:DZ222)</f>
        <v>310.66666666666669</v>
      </c>
      <c r="EA226" s="891"/>
      <c r="EB226" s="904"/>
      <c r="EE226" s="777">
        <f>AVERAGE(EE220:EE222)</f>
        <v>314.60000000000002</v>
      </c>
      <c r="EF226" s="891"/>
      <c r="EG226" s="904"/>
      <c r="EK226" s="904"/>
      <c r="EL226" s="904"/>
      <c r="EM226" s="904"/>
      <c r="EN226" s="904"/>
      <c r="EO226" s="904"/>
      <c r="EP226" s="904"/>
      <c r="EQ226" s="904"/>
      <c r="ER226" s="904"/>
      <c r="ES226" s="904"/>
      <c r="ET226" s="904"/>
      <c r="EU226" s="904"/>
      <c r="EV226" s="904"/>
      <c r="EW226" s="805"/>
      <c r="EX226" s="805"/>
    </row>
    <row r="227" spans="1:155" collapsed="1">
      <c r="C227" s="706"/>
      <c r="D227" s="687"/>
      <c r="E227" s="687"/>
      <c r="G227" s="706"/>
      <c r="H227" s="687"/>
      <c r="I227" s="687"/>
      <c r="K227" s="706"/>
      <c r="L227" s="687"/>
      <c r="M227" s="687"/>
      <c r="O227" s="706"/>
      <c r="S227" s="706"/>
      <c r="W227" s="706"/>
      <c r="AA227" s="706"/>
      <c r="AE227" s="706"/>
      <c r="AI227" s="706"/>
      <c r="AM227" s="706"/>
      <c r="AQ227" s="706"/>
      <c r="AU227" s="706"/>
      <c r="AY227" s="706"/>
      <c r="BC227" s="706"/>
      <c r="BG227" s="706"/>
      <c r="BK227" s="706"/>
      <c r="BO227" s="706"/>
      <c r="BS227" s="706"/>
      <c r="BW227" s="706"/>
      <c r="CA227" s="706"/>
      <c r="CE227" s="706"/>
      <c r="CI227" s="706"/>
      <c r="CM227" s="706"/>
      <c r="CQ227" s="706"/>
      <c r="CU227" s="706"/>
      <c r="CY227" s="706"/>
      <c r="EK227" s="904"/>
      <c r="EL227" s="904"/>
      <c r="EM227" s="904"/>
      <c r="EN227" s="904"/>
      <c r="EO227" s="904"/>
      <c r="EW227" s="805"/>
      <c r="EX227" s="805"/>
    </row>
    <row r="228" spans="1:155">
      <c r="A228" s="816" t="s">
        <v>42</v>
      </c>
      <c r="C228" s="706"/>
      <c r="D228" s="687"/>
      <c r="E228" s="687"/>
      <c r="G228" s="706"/>
      <c r="H228" s="687"/>
      <c r="I228" s="687"/>
      <c r="K228" s="706"/>
      <c r="L228" s="687"/>
      <c r="M228" s="687"/>
      <c r="O228" s="706"/>
      <c r="S228" s="706"/>
      <c r="W228" s="706"/>
      <c r="AA228" s="706"/>
      <c r="AE228" s="706"/>
      <c r="AI228" s="706"/>
      <c r="AM228" s="706"/>
      <c r="AQ228" s="706"/>
      <c r="AU228" s="706"/>
      <c r="AY228" s="706"/>
      <c r="BC228" s="706"/>
      <c r="BG228" s="706"/>
      <c r="BK228" s="706"/>
      <c r="BO228" s="706"/>
      <c r="BS228" s="706"/>
      <c r="BW228" s="706"/>
      <c r="CA228" s="706"/>
      <c r="CE228" s="706"/>
      <c r="CI228" s="706"/>
      <c r="CM228" s="706"/>
      <c r="CQ228" s="706"/>
      <c r="CY228" s="706"/>
      <c r="DD228" s="920"/>
      <c r="DE228" s="920"/>
      <c r="DG228" s="818" t="s">
        <v>42</v>
      </c>
      <c r="DH228" s="920"/>
      <c r="DI228" s="920"/>
      <c r="DL228" s="920"/>
      <c r="DM228" s="920"/>
      <c r="DQ228" s="920"/>
      <c r="DR228" s="920"/>
      <c r="DV228" s="920"/>
      <c r="DW228" s="920"/>
      <c r="EA228" s="920"/>
      <c r="EB228" s="920"/>
      <c r="EF228" s="920"/>
      <c r="EG228" s="920"/>
      <c r="EK228" s="904"/>
      <c r="EL228" s="904"/>
      <c r="EM228" s="904"/>
      <c r="EN228" s="904"/>
      <c r="EO228" s="904"/>
      <c r="EP228" s="920"/>
      <c r="EQ228" s="920"/>
      <c r="ER228" s="920"/>
      <c r="ES228" s="920"/>
      <c r="ET228" s="920"/>
      <c r="EU228" s="920"/>
      <c r="EV228" s="920"/>
      <c r="EW228" s="805"/>
      <c r="EX228" s="805"/>
    </row>
    <row r="229" spans="1:155">
      <c r="C229" s="706"/>
      <c r="D229" s="687"/>
      <c r="E229" s="687"/>
      <c r="G229" s="706"/>
      <c r="H229" s="687"/>
      <c r="I229" s="687"/>
      <c r="K229" s="706"/>
      <c r="L229" s="687"/>
      <c r="M229" s="687"/>
      <c r="O229" s="706"/>
      <c r="S229" s="706"/>
      <c r="W229" s="706"/>
      <c r="AA229" s="706"/>
      <c r="AE229" s="706"/>
      <c r="AI229" s="706"/>
      <c r="AM229" s="706"/>
      <c r="AQ229" s="706"/>
      <c r="AU229" s="706"/>
      <c r="AY229" s="706"/>
      <c r="BC229" s="706"/>
      <c r="BG229" s="706"/>
      <c r="BK229" s="706"/>
      <c r="BO229" s="706"/>
      <c r="BS229" s="706"/>
      <c r="BW229" s="706"/>
      <c r="CA229" s="706"/>
      <c r="CE229" s="706"/>
      <c r="CI229" s="706"/>
      <c r="CM229" s="706"/>
      <c r="CQ229" s="706"/>
      <c r="CU229" s="706"/>
      <c r="CY229" s="706"/>
      <c r="DD229" s="921"/>
      <c r="DE229" s="921"/>
      <c r="DG229" s="582"/>
      <c r="DH229" s="921"/>
      <c r="DI229" s="921"/>
      <c r="DK229" s="582"/>
      <c r="DL229" s="921"/>
      <c r="DM229" s="921"/>
      <c r="DP229" s="582"/>
      <c r="DQ229" s="921"/>
      <c r="DR229" s="921"/>
      <c r="DU229" s="582"/>
      <c r="DV229" s="921"/>
      <c r="DW229" s="921"/>
      <c r="DZ229" s="582"/>
      <c r="EA229" s="921"/>
      <c r="EB229" s="921"/>
      <c r="EE229" s="582"/>
      <c r="EF229" s="921"/>
      <c r="EG229" s="921"/>
      <c r="EP229" s="921"/>
      <c r="EQ229" s="921"/>
      <c r="ER229" s="921"/>
      <c r="ES229" s="921"/>
      <c r="ET229" s="921"/>
      <c r="EU229" s="921"/>
      <c r="EV229" s="921"/>
      <c r="EW229" s="805"/>
      <c r="EX229" s="805"/>
    </row>
    <row r="230" spans="1:155">
      <c r="A230" s="819" t="s">
        <v>140</v>
      </c>
      <c r="C230" s="922"/>
      <c r="D230" s="923"/>
      <c r="E230" s="924"/>
      <c r="F230" s="925"/>
      <c r="G230" s="922"/>
      <c r="H230" s="923"/>
      <c r="I230" s="924"/>
      <c r="J230" s="925"/>
      <c r="K230" s="922"/>
      <c r="L230" s="923"/>
      <c r="M230" s="924"/>
      <c r="N230" s="925"/>
      <c r="O230" s="922"/>
      <c r="P230" s="926"/>
      <c r="Q230" s="927"/>
      <c r="R230" s="925"/>
      <c r="S230" s="922"/>
      <c r="T230" s="926"/>
      <c r="U230" s="927"/>
      <c r="V230" s="925"/>
      <c r="W230" s="922"/>
      <c r="X230" s="926"/>
      <c r="Y230" s="902"/>
      <c r="Z230" s="898"/>
      <c r="AA230" s="914"/>
      <c r="AB230" s="901"/>
      <c r="AC230" s="902"/>
      <c r="AD230" s="898"/>
      <c r="AE230" s="914"/>
      <c r="AF230" s="901"/>
      <c r="AG230" s="902"/>
      <c r="AH230" s="898"/>
      <c r="AI230" s="914"/>
      <c r="AJ230" s="901"/>
      <c r="AK230" s="902"/>
      <c r="AL230" s="898"/>
      <c r="AM230" s="914">
        <v>239.3</v>
      </c>
      <c r="AN230" s="901"/>
      <c r="AO230" s="902"/>
      <c r="AP230" s="898"/>
      <c r="AQ230" s="914">
        <v>250.6</v>
      </c>
      <c r="AR230" s="901"/>
      <c r="AS230" s="902"/>
      <c r="AT230" s="898"/>
      <c r="AU230" s="914">
        <v>256.2</v>
      </c>
      <c r="AV230" s="901"/>
      <c r="AW230" s="902"/>
      <c r="AX230" s="898"/>
      <c r="AY230" s="914">
        <v>261.2</v>
      </c>
      <c r="AZ230" s="901"/>
      <c r="BA230" s="902"/>
      <c r="BB230" s="898"/>
      <c r="BC230" s="914">
        <v>262.89999999999998</v>
      </c>
      <c r="BD230" s="901"/>
      <c r="BE230" s="902"/>
      <c r="BF230" s="898"/>
      <c r="BG230" s="914">
        <v>267.7</v>
      </c>
      <c r="BH230" s="901"/>
      <c r="BI230" s="902"/>
      <c r="BJ230" s="898"/>
      <c r="BK230" s="914">
        <v>262.89999999999998</v>
      </c>
      <c r="BL230" s="901"/>
      <c r="BM230" s="902"/>
      <c r="BN230" s="898"/>
      <c r="BO230" s="914">
        <v>267</v>
      </c>
      <c r="BP230" s="901"/>
      <c r="BQ230" s="902"/>
      <c r="BR230" s="898"/>
      <c r="BS230" s="914">
        <v>270</v>
      </c>
      <c r="BT230" s="901"/>
      <c r="BU230" s="902"/>
      <c r="BV230" s="898"/>
      <c r="BW230" s="914">
        <v>282</v>
      </c>
      <c r="BX230" s="901"/>
      <c r="BY230" s="903"/>
      <c r="BZ230" s="898"/>
      <c r="CA230" s="914">
        <v>266.60000000000002</v>
      </c>
      <c r="CB230" s="901"/>
      <c r="CC230" s="903"/>
      <c r="CD230" s="898"/>
      <c r="CE230" s="914">
        <v>235</v>
      </c>
      <c r="CF230" s="901"/>
      <c r="CG230" s="902"/>
      <c r="CH230" s="898"/>
      <c r="CI230" s="914">
        <v>226.2</v>
      </c>
      <c r="CJ230" s="901"/>
      <c r="CK230" s="902"/>
      <c r="CL230" s="898"/>
      <c r="CM230" s="914">
        <v>222</v>
      </c>
      <c r="CN230" s="901"/>
      <c r="CO230" s="902"/>
      <c r="CP230" s="898"/>
      <c r="CQ230" s="914">
        <v>222.4</v>
      </c>
      <c r="CR230" s="901"/>
      <c r="CS230" s="902"/>
      <c r="CT230" s="898"/>
      <c r="CU230" s="1360">
        <v>236</v>
      </c>
      <c r="CV230" s="1361"/>
      <c r="CW230" s="1362"/>
      <c r="CX230" s="1363"/>
      <c r="CY230" s="1360">
        <v>216.1</v>
      </c>
      <c r="CZ230" s="1361"/>
      <c r="DA230" s="1362"/>
      <c r="DB230" s="1363"/>
      <c r="DC230" s="1364">
        <v>218.4</v>
      </c>
      <c r="DD230" s="1372"/>
      <c r="DE230" s="1372"/>
      <c r="DF230" s="1363"/>
      <c r="DG230" s="1364">
        <v>219.9</v>
      </c>
      <c r="DH230" s="1372"/>
      <c r="DI230" s="1372"/>
      <c r="DJ230" s="1363"/>
      <c r="DK230" s="1364">
        <v>304.8</v>
      </c>
      <c r="DL230" s="1372"/>
      <c r="DM230" s="1372"/>
      <c r="DN230" s="1363"/>
      <c r="DO230" s="1363"/>
      <c r="DP230" s="1364">
        <v>305.3</v>
      </c>
      <c r="DQ230" s="1372"/>
      <c r="DR230" s="1372"/>
      <c r="DS230" s="1363"/>
      <c r="DT230" s="1363"/>
      <c r="DU230" s="1364">
        <v>307.3</v>
      </c>
      <c r="DV230" s="921"/>
      <c r="DW230" s="921"/>
      <c r="DX230" s="898"/>
      <c r="DY230" s="898"/>
      <c r="DZ230" s="1364">
        <v>309.60000000000002</v>
      </c>
      <c r="EA230" s="921"/>
      <c r="EB230" s="921"/>
      <c r="EC230" s="898"/>
      <c r="ED230" s="898"/>
      <c r="EE230" s="1548">
        <f>DZ233</f>
        <v>312.39999999999998</v>
      </c>
      <c r="EF230" s="921"/>
      <c r="EG230" s="921"/>
      <c r="EH230" s="898"/>
      <c r="EI230" s="898"/>
      <c r="EK230" s="920"/>
      <c r="EL230" s="920"/>
      <c r="EM230" s="920"/>
      <c r="EN230" s="920"/>
      <c r="EO230" s="920"/>
      <c r="EP230" s="928"/>
      <c r="EQ230" s="928"/>
      <c r="ER230" s="928"/>
      <c r="ES230" s="928"/>
      <c r="ET230" s="928"/>
      <c r="EU230" s="928"/>
      <c r="EV230" s="928"/>
      <c r="EW230" s="805"/>
      <c r="EX230" s="805"/>
    </row>
    <row r="231" spans="1:155">
      <c r="A231" s="819" t="s">
        <v>141</v>
      </c>
      <c r="C231" s="922"/>
      <c r="D231" s="929"/>
      <c r="E231" s="930"/>
      <c r="F231" s="931"/>
      <c r="G231" s="922"/>
      <c r="H231" s="929"/>
      <c r="I231" s="930"/>
      <c r="J231" s="931"/>
      <c r="K231" s="922"/>
      <c r="L231" s="929"/>
      <c r="M231" s="930"/>
      <c r="N231" s="931"/>
      <c r="O231" s="922"/>
      <c r="P231" s="932"/>
      <c r="Q231" s="933"/>
      <c r="R231" s="931"/>
      <c r="S231" s="922"/>
      <c r="T231" s="932"/>
      <c r="U231" s="933"/>
      <c r="V231" s="931"/>
      <c r="W231" s="922"/>
      <c r="X231" s="932"/>
      <c r="Y231" s="934"/>
      <c r="Z231" s="935"/>
      <c r="AA231" s="914"/>
      <c r="AB231" s="936"/>
      <c r="AC231" s="934"/>
      <c r="AD231" s="935"/>
      <c r="AE231" s="914"/>
      <c r="AF231" s="901"/>
      <c r="AG231" s="902"/>
      <c r="AH231" s="898"/>
      <c r="AI231" s="914"/>
      <c r="AJ231" s="901"/>
      <c r="AK231" s="902"/>
      <c r="AL231" s="898"/>
      <c r="AM231" s="914">
        <v>248.6</v>
      </c>
      <c r="AN231" s="901"/>
      <c r="AO231" s="902"/>
      <c r="AP231" s="898"/>
      <c r="AQ231" s="914">
        <v>253.5</v>
      </c>
      <c r="AR231" s="901"/>
      <c r="AS231" s="902"/>
      <c r="AT231" s="898"/>
      <c r="AU231" s="914">
        <v>260.3</v>
      </c>
      <c r="AV231" s="901"/>
      <c r="AW231" s="902"/>
      <c r="AX231" s="898"/>
      <c r="AY231" s="914">
        <v>261.60000000000002</v>
      </c>
      <c r="AZ231" s="901"/>
      <c r="BA231" s="902"/>
      <c r="BB231" s="898"/>
      <c r="BC231" s="914">
        <v>263.2</v>
      </c>
      <c r="BD231" s="901"/>
      <c r="BE231" s="902"/>
      <c r="BF231" s="898"/>
      <c r="BG231" s="914">
        <v>267.7</v>
      </c>
      <c r="BH231" s="901"/>
      <c r="BI231" s="902"/>
      <c r="BJ231" s="898"/>
      <c r="BK231" s="914">
        <v>263.2</v>
      </c>
      <c r="BL231" s="901"/>
      <c r="BM231" s="902"/>
      <c r="BN231" s="898"/>
      <c r="BO231" s="914">
        <v>267.7</v>
      </c>
      <c r="BP231" s="901"/>
      <c r="BQ231" s="902"/>
      <c r="BR231" s="898"/>
      <c r="BS231" s="914">
        <v>271.5</v>
      </c>
      <c r="BT231" s="901"/>
      <c r="BU231" s="902"/>
      <c r="BV231" s="898"/>
      <c r="BW231" s="914">
        <v>238.8</v>
      </c>
      <c r="BX231" s="901"/>
      <c r="BY231" s="903"/>
      <c r="BZ231" s="898"/>
      <c r="CA231" s="914">
        <v>255.6</v>
      </c>
      <c r="CB231" s="901"/>
      <c r="CC231" s="903"/>
      <c r="CD231" s="898"/>
      <c r="CE231" s="914">
        <v>227.3</v>
      </c>
      <c r="CF231" s="901"/>
      <c r="CG231" s="902"/>
      <c r="CH231" s="898"/>
      <c r="CI231" s="914">
        <v>221.6</v>
      </c>
      <c r="CJ231" s="901"/>
      <c r="CK231" s="902"/>
      <c r="CL231" s="898"/>
      <c r="CM231" s="914">
        <v>222.1</v>
      </c>
      <c r="CN231" s="901"/>
      <c r="CO231" s="902"/>
      <c r="CP231" s="898"/>
      <c r="CQ231" s="914">
        <v>235.8</v>
      </c>
      <c r="CR231" s="901"/>
      <c r="CS231" s="902"/>
      <c r="CT231" s="898"/>
      <c r="CU231" s="1360">
        <v>236.4</v>
      </c>
      <c r="CV231" s="1361"/>
      <c r="CW231" s="1362"/>
      <c r="CX231" s="1363"/>
      <c r="CY231" s="1360">
        <v>213</v>
      </c>
      <c r="CZ231" s="1361"/>
      <c r="DA231" s="1362"/>
      <c r="DB231" s="1363"/>
      <c r="DC231" s="1364">
        <v>219.3</v>
      </c>
      <c r="DD231" s="1372"/>
      <c r="DE231" s="1372"/>
      <c r="DF231" s="1363"/>
      <c r="DG231" s="1364">
        <v>220.6</v>
      </c>
      <c r="DH231" s="1372"/>
      <c r="DI231" s="1372"/>
      <c r="DJ231" s="1363"/>
      <c r="DK231" s="1364">
        <v>305.2</v>
      </c>
      <c r="DL231" s="1372"/>
      <c r="DM231" s="1372"/>
      <c r="DN231" s="1363"/>
      <c r="DO231" s="1363"/>
      <c r="DP231" s="1364">
        <v>305.89999999999998</v>
      </c>
      <c r="DQ231" s="1372"/>
      <c r="DR231" s="1372"/>
      <c r="DS231" s="1363"/>
      <c r="DT231" s="1363"/>
      <c r="DU231" s="1364">
        <v>308</v>
      </c>
      <c r="DV231" s="921"/>
      <c r="DW231" s="921"/>
      <c r="DX231" s="898"/>
      <c r="DY231" s="898"/>
      <c r="DZ231" s="1364">
        <v>310.8</v>
      </c>
      <c r="EA231" s="921"/>
      <c r="EB231" s="921"/>
      <c r="EC231" s="898"/>
      <c r="ED231" s="898"/>
      <c r="EE231" s="1548">
        <f>EE230</f>
        <v>312.39999999999998</v>
      </c>
      <c r="EF231" s="921"/>
      <c r="EG231" s="921"/>
      <c r="EH231" s="898"/>
      <c r="EI231" s="898"/>
      <c r="EK231" s="921"/>
      <c r="EL231" s="921"/>
      <c r="EM231" s="921"/>
      <c r="EN231" s="921"/>
      <c r="EO231" s="921"/>
      <c r="EP231" s="928"/>
      <c r="EQ231" s="928"/>
      <c r="ER231" s="928"/>
      <c r="ES231" s="928"/>
      <c r="ET231" s="928"/>
      <c r="EU231" s="928"/>
      <c r="EV231" s="928"/>
      <c r="EW231" s="805"/>
      <c r="EX231" s="805"/>
    </row>
    <row r="232" spans="1:155">
      <c r="A232" s="819" t="s">
        <v>142</v>
      </c>
      <c r="C232" s="922"/>
      <c r="D232" s="929"/>
      <c r="E232" s="930"/>
      <c r="F232" s="931"/>
      <c r="G232" s="922"/>
      <c r="H232" s="929"/>
      <c r="I232" s="930"/>
      <c r="J232" s="931"/>
      <c r="K232" s="922"/>
      <c r="L232" s="929"/>
      <c r="M232" s="930"/>
      <c r="N232" s="931"/>
      <c r="O232" s="922"/>
      <c r="P232" s="932"/>
      <c r="Q232" s="933"/>
      <c r="R232" s="931"/>
      <c r="S232" s="922"/>
      <c r="T232" s="932"/>
      <c r="U232" s="933"/>
      <c r="V232" s="931"/>
      <c r="W232" s="922"/>
      <c r="X232" s="932"/>
      <c r="Y232" s="934"/>
      <c r="Z232" s="935"/>
      <c r="AA232" s="914"/>
      <c r="AB232" s="936"/>
      <c r="AC232" s="934"/>
      <c r="AD232" s="935"/>
      <c r="AE232" s="914"/>
      <c r="AF232" s="901"/>
      <c r="AG232" s="902"/>
      <c r="AH232" s="898"/>
      <c r="AI232" s="914"/>
      <c r="AJ232" s="901"/>
      <c r="AK232" s="902"/>
      <c r="AL232" s="898"/>
      <c r="AM232" s="914">
        <v>251</v>
      </c>
      <c r="AN232" s="901"/>
      <c r="AO232" s="902"/>
      <c r="AP232" s="898"/>
      <c r="AQ232" s="914">
        <v>253.5</v>
      </c>
      <c r="AR232" s="901"/>
      <c r="AS232" s="902"/>
      <c r="AT232" s="898"/>
      <c r="AU232" s="914">
        <v>260.5</v>
      </c>
      <c r="AV232" s="901"/>
      <c r="AW232" s="902"/>
      <c r="AX232" s="898"/>
      <c r="AY232" s="914">
        <v>262</v>
      </c>
      <c r="AZ232" s="901"/>
      <c r="BA232" s="902"/>
      <c r="BB232" s="898"/>
      <c r="BC232" s="914">
        <v>267.7</v>
      </c>
      <c r="BD232" s="901"/>
      <c r="BE232" s="902"/>
      <c r="BF232" s="898"/>
      <c r="BG232" s="914">
        <v>267.7</v>
      </c>
      <c r="BH232" s="901"/>
      <c r="BI232" s="902"/>
      <c r="BJ232" s="898"/>
      <c r="BK232" s="914">
        <v>267.7</v>
      </c>
      <c r="BL232" s="901"/>
      <c r="BM232" s="902"/>
      <c r="BN232" s="898"/>
      <c r="BO232" s="914">
        <v>267.7</v>
      </c>
      <c r="BP232" s="901"/>
      <c r="BQ232" s="902"/>
      <c r="BR232" s="898"/>
      <c r="BS232" s="914">
        <v>273</v>
      </c>
      <c r="BT232" s="901"/>
      <c r="BU232" s="902"/>
      <c r="BV232" s="898"/>
      <c r="BW232" s="914">
        <v>267</v>
      </c>
      <c r="BX232" s="901"/>
      <c r="BY232" s="903"/>
      <c r="BZ232" s="898"/>
      <c r="CA232" s="914">
        <v>232</v>
      </c>
      <c r="CB232" s="901"/>
      <c r="CC232" s="903"/>
      <c r="CD232" s="898"/>
      <c r="CE232" s="914">
        <v>224.7</v>
      </c>
      <c r="CF232" s="901"/>
      <c r="CG232" s="902"/>
      <c r="CH232" s="898"/>
      <c r="CI232" s="914">
        <v>221.7</v>
      </c>
      <c r="CJ232" s="901"/>
      <c r="CK232" s="902"/>
      <c r="CL232" s="898"/>
      <c r="CM232" s="914">
        <v>222</v>
      </c>
      <c r="CN232" s="901"/>
      <c r="CO232" s="902"/>
      <c r="CP232" s="898"/>
      <c r="CQ232" s="914">
        <v>236</v>
      </c>
      <c r="CR232" s="901"/>
      <c r="CS232" s="902"/>
      <c r="CT232" s="898"/>
      <c r="CU232" s="1360">
        <v>236.5</v>
      </c>
      <c r="CV232" s="1361"/>
      <c r="CW232" s="1362"/>
      <c r="CX232" s="1363"/>
      <c r="CY232" s="1360">
        <v>213</v>
      </c>
      <c r="CZ232" s="1361"/>
      <c r="DA232" s="1362"/>
      <c r="DB232" s="1363"/>
      <c r="DC232" s="1364">
        <v>219.2</v>
      </c>
      <c r="DD232" s="1372"/>
      <c r="DE232" s="1372"/>
      <c r="DF232" s="1363"/>
      <c r="DG232" s="1364">
        <v>304.60000000000002</v>
      </c>
      <c r="DH232" s="1372"/>
      <c r="DI232" s="1372"/>
      <c r="DJ232" s="1363"/>
      <c r="DK232" s="1364">
        <v>304.8</v>
      </c>
      <c r="DL232" s="1372"/>
      <c r="DM232" s="1372"/>
      <c r="DN232" s="1363"/>
      <c r="DO232" s="1363"/>
      <c r="DP232" s="1364">
        <f>DP231+0.5</f>
        <v>306.39999999999998</v>
      </c>
      <c r="DQ232" s="1372"/>
      <c r="DR232" s="1372"/>
      <c r="DS232" s="1363"/>
      <c r="DT232" s="1363"/>
      <c r="DU232" s="1364">
        <v>308.3</v>
      </c>
      <c r="DV232" s="921"/>
      <c r="DW232" s="921"/>
      <c r="DX232" s="898"/>
      <c r="DY232" s="898"/>
      <c r="DZ232" s="1364">
        <v>311.60000000000002</v>
      </c>
      <c r="EA232" s="921"/>
      <c r="EB232" s="921"/>
      <c r="EC232" s="898"/>
      <c r="ED232" s="898"/>
      <c r="EE232" s="1548">
        <f>EE231</f>
        <v>312.39999999999998</v>
      </c>
      <c r="EF232" s="921"/>
      <c r="EG232" s="921"/>
      <c r="EH232" s="898"/>
      <c r="EI232" s="898"/>
      <c r="EK232" s="928"/>
      <c r="EL232" s="928"/>
      <c r="EM232" s="928"/>
      <c r="EN232" s="928"/>
      <c r="EO232" s="928"/>
      <c r="EP232" s="928"/>
      <c r="EQ232" s="928"/>
      <c r="ER232" s="928"/>
      <c r="ES232" s="928"/>
      <c r="ET232" s="928"/>
      <c r="EU232" s="928"/>
      <c r="EV232" s="928"/>
      <c r="EW232" s="805"/>
      <c r="EX232" s="805"/>
    </row>
    <row r="233" spans="1:155">
      <c r="A233" s="819" t="s">
        <v>143</v>
      </c>
      <c r="C233" s="922"/>
      <c r="D233" s="929"/>
      <c r="E233" s="930"/>
      <c r="F233" s="931"/>
      <c r="G233" s="922"/>
      <c r="H233" s="929"/>
      <c r="I233" s="930"/>
      <c r="J233" s="931"/>
      <c r="K233" s="922"/>
      <c r="L233" s="929"/>
      <c r="M233" s="930"/>
      <c r="N233" s="931"/>
      <c r="O233" s="922"/>
      <c r="P233" s="932"/>
      <c r="Q233" s="933"/>
      <c r="R233" s="931"/>
      <c r="S233" s="922"/>
      <c r="T233" s="932"/>
      <c r="U233" s="933"/>
      <c r="V233" s="931"/>
      <c r="W233" s="922"/>
      <c r="X233" s="932"/>
      <c r="Y233" s="934"/>
      <c r="Z233" s="935"/>
      <c r="AA233" s="914"/>
      <c r="AB233" s="936"/>
      <c r="AC233" s="934"/>
      <c r="AD233" s="935"/>
      <c r="AE233" s="914"/>
      <c r="AF233" s="901"/>
      <c r="AG233" s="902"/>
      <c r="AH233" s="898"/>
      <c r="AI233" s="915">
        <v>229.3</v>
      </c>
      <c r="AJ233" s="901"/>
      <c r="AK233" s="902"/>
      <c r="AL233" s="898"/>
      <c r="AM233" s="915">
        <v>250.6</v>
      </c>
      <c r="AN233" s="901"/>
      <c r="AO233" s="902"/>
      <c r="AP233" s="898"/>
      <c r="AQ233" s="915">
        <v>251.4</v>
      </c>
      <c r="AR233" s="901"/>
      <c r="AS233" s="902"/>
      <c r="AT233" s="898"/>
      <c r="AU233" s="915">
        <v>260.7</v>
      </c>
      <c r="AV233" s="901"/>
      <c r="AW233" s="902"/>
      <c r="AX233" s="898"/>
      <c r="AY233" s="915">
        <v>262.39999999999998</v>
      </c>
      <c r="AZ233" s="901"/>
      <c r="BA233" s="902"/>
      <c r="BB233" s="898"/>
      <c r="BC233" s="915">
        <v>267.7</v>
      </c>
      <c r="BD233" s="901"/>
      <c r="BE233" s="902"/>
      <c r="BF233" s="898"/>
      <c r="BG233" s="915">
        <v>267.7</v>
      </c>
      <c r="BH233" s="901"/>
      <c r="BI233" s="902"/>
      <c r="BJ233" s="898"/>
      <c r="BK233" s="915">
        <v>267.7</v>
      </c>
      <c r="BL233" s="901"/>
      <c r="BM233" s="902"/>
      <c r="BN233" s="898"/>
      <c r="BO233" s="915">
        <v>269</v>
      </c>
      <c r="BP233" s="901"/>
      <c r="BQ233" s="902"/>
      <c r="BR233" s="898"/>
      <c r="BS233" s="915">
        <v>274</v>
      </c>
      <c r="BT233" s="901"/>
      <c r="BU233" s="902"/>
      <c r="BV233" s="898"/>
      <c r="BW233" s="915">
        <v>271.39999999999998</v>
      </c>
      <c r="BX233" s="901"/>
      <c r="BY233" s="903"/>
      <c r="BZ233" s="898"/>
      <c r="CA233" s="915">
        <v>232.9</v>
      </c>
      <c r="CB233" s="901"/>
      <c r="CC233" s="903"/>
      <c r="CD233" s="898"/>
      <c r="CE233" s="915">
        <v>225.5</v>
      </c>
      <c r="CF233" s="901"/>
      <c r="CG233" s="902"/>
      <c r="CH233" s="898"/>
      <c r="CI233" s="915">
        <v>221.7</v>
      </c>
      <c r="CJ233" s="901"/>
      <c r="CK233" s="902"/>
      <c r="CL233" s="898"/>
      <c r="CM233" s="915">
        <v>222</v>
      </c>
      <c r="CN233" s="901"/>
      <c r="CO233" s="902"/>
      <c r="CP233" s="898"/>
      <c r="CQ233" s="915">
        <v>236</v>
      </c>
      <c r="CR233" s="901"/>
      <c r="CS233" s="902"/>
      <c r="CT233" s="898"/>
      <c r="CU233" s="1366">
        <v>237</v>
      </c>
      <c r="CV233" s="1361"/>
      <c r="CW233" s="1362"/>
      <c r="CX233" s="1363"/>
      <c r="CY233" s="1366">
        <v>215.9</v>
      </c>
      <c r="CZ233" s="1361"/>
      <c r="DA233" s="1362"/>
      <c r="DB233" s="1363"/>
      <c r="DC233" s="1367">
        <v>219.3</v>
      </c>
      <c r="DD233" s="1372"/>
      <c r="DE233" s="1372"/>
      <c r="DF233" s="1363"/>
      <c r="DG233" s="1367">
        <v>304.60000000000002</v>
      </c>
      <c r="DH233" s="1372"/>
      <c r="DI233" s="1372"/>
      <c r="DJ233" s="1363"/>
      <c r="DK233" s="1367">
        <v>305.3</v>
      </c>
      <c r="DL233" s="1372"/>
      <c r="DM233" s="1372"/>
      <c r="DN233" s="1363"/>
      <c r="DO233" s="1363"/>
      <c r="DP233" s="1367">
        <v>306.39999999999998</v>
      </c>
      <c r="DQ233" s="1372"/>
      <c r="DR233" s="1372"/>
      <c r="DS233" s="1363"/>
      <c r="DT233" s="1363"/>
      <c r="DU233" s="1367">
        <v>308.8</v>
      </c>
      <c r="DV233" s="921"/>
      <c r="DW233" s="921"/>
      <c r="DX233" s="898"/>
      <c r="DY233" s="898"/>
      <c r="DZ233" s="1367">
        <v>312.39999999999998</v>
      </c>
      <c r="EA233" s="921"/>
      <c r="EB233" s="921"/>
      <c r="EC233" s="898"/>
      <c r="ED233" s="898"/>
      <c r="EE233" s="1549">
        <f>EE232</f>
        <v>312.39999999999998</v>
      </c>
      <c r="EF233" s="921"/>
      <c r="EG233" s="921"/>
      <c r="EH233" s="898"/>
      <c r="EI233" s="898"/>
      <c r="EK233" s="928"/>
      <c r="EL233" s="928"/>
      <c r="EM233" s="928"/>
      <c r="EN233" s="928"/>
      <c r="EO233" s="928"/>
      <c r="EP233" s="928"/>
      <c r="EQ233" s="928"/>
      <c r="ER233" s="928"/>
      <c r="ES233" s="928"/>
      <c r="ET233" s="928"/>
      <c r="EU233" s="928"/>
      <c r="EV233" s="928"/>
      <c r="EW233" s="805"/>
      <c r="EX233" s="805"/>
    </row>
    <row r="234" spans="1:155">
      <c r="A234" s="819" t="s">
        <v>144</v>
      </c>
      <c r="C234" s="937"/>
      <c r="D234" s="929"/>
      <c r="E234" s="930"/>
      <c r="F234" s="931"/>
      <c r="G234" s="937"/>
      <c r="H234" s="929"/>
      <c r="I234" s="930"/>
      <c r="J234" s="931"/>
      <c r="K234" s="937"/>
      <c r="L234" s="929"/>
      <c r="M234" s="930"/>
      <c r="N234" s="931"/>
      <c r="O234" s="937"/>
      <c r="P234" s="932"/>
      <c r="Q234" s="933"/>
      <c r="R234" s="931"/>
      <c r="S234" s="937"/>
      <c r="T234" s="932"/>
      <c r="U234" s="933"/>
      <c r="V234" s="931"/>
      <c r="W234" s="937"/>
      <c r="X234" s="932"/>
      <c r="Y234" s="933"/>
      <c r="Z234" s="931"/>
      <c r="AA234" s="937"/>
      <c r="AB234" s="932"/>
      <c r="AC234" s="933"/>
      <c r="AD234" s="931"/>
      <c r="AE234" s="937"/>
      <c r="AF234" s="926"/>
      <c r="AG234" s="927"/>
      <c r="AH234" s="925"/>
      <c r="AI234" s="938">
        <v>226.4</v>
      </c>
      <c r="AJ234" s="926"/>
      <c r="AK234" s="927"/>
      <c r="AL234" s="925"/>
      <c r="AM234" s="938">
        <v>247.375</v>
      </c>
      <c r="AN234" s="926"/>
      <c r="AO234" s="927"/>
      <c r="AP234" s="925"/>
      <c r="AQ234" s="938">
        <v>252.25</v>
      </c>
      <c r="AR234" s="926"/>
      <c r="AS234" s="927"/>
      <c r="AT234" s="925"/>
      <c r="AU234" s="938">
        <v>259.39999999999998</v>
      </c>
      <c r="AV234" s="926"/>
      <c r="AW234" s="927"/>
      <c r="AX234" s="925"/>
      <c r="AY234" s="938">
        <v>261.8</v>
      </c>
      <c r="AZ234" s="926"/>
      <c r="BA234" s="927"/>
      <c r="BB234" s="925"/>
      <c r="BC234" s="938">
        <v>267</v>
      </c>
      <c r="BD234" s="926"/>
      <c r="BE234" s="927"/>
      <c r="BF234" s="925"/>
      <c r="BG234" s="938">
        <v>267.7</v>
      </c>
      <c r="BH234" s="926"/>
      <c r="BI234" s="927"/>
      <c r="BJ234" s="925"/>
      <c r="BK234" s="938">
        <v>267</v>
      </c>
      <c r="BL234" s="926"/>
      <c r="BM234" s="927"/>
      <c r="BN234" s="925"/>
      <c r="BO234" s="938">
        <v>269</v>
      </c>
      <c r="BP234" s="926"/>
      <c r="BQ234" s="927"/>
      <c r="BR234" s="925"/>
      <c r="BS234" s="938">
        <v>274</v>
      </c>
      <c r="BT234" s="926"/>
      <c r="BU234" s="927"/>
      <c r="BV234" s="925"/>
      <c r="BW234" s="938">
        <v>271.39999999999998</v>
      </c>
      <c r="BX234" s="926"/>
      <c r="BY234" s="939"/>
      <c r="BZ234" s="925"/>
      <c r="CA234" s="938">
        <v>232.9</v>
      </c>
      <c r="CB234" s="926"/>
      <c r="CC234" s="939"/>
      <c r="CD234" s="925"/>
      <c r="CE234" s="938">
        <v>225.5</v>
      </c>
      <c r="CF234" s="926"/>
      <c r="CG234" s="927"/>
      <c r="CH234" s="925"/>
      <c r="CI234" s="938">
        <v>221.7</v>
      </c>
      <c r="CJ234" s="926"/>
      <c r="CK234" s="927"/>
      <c r="CL234" s="925"/>
      <c r="CM234" s="938">
        <v>222</v>
      </c>
      <c r="CN234" s="926"/>
      <c r="CO234" s="927"/>
      <c r="CP234" s="925"/>
      <c r="CQ234" s="938">
        <v>236</v>
      </c>
      <c r="CR234" s="926"/>
      <c r="CS234" s="927"/>
      <c r="CT234" s="925"/>
      <c r="CU234" s="1368">
        <v>237</v>
      </c>
      <c r="CV234" s="1361"/>
      <c r="CW234" s="1362"/>
      <c r="CX234" s="1363"/>
      <c r="CY234" s="1368">
        <v>215.9</v>
      </c>
      <c r="CZ234" s="1361"/>
      <c r="DA234" s="1362"/>
      <c r="DB234" s="1363"/>
      <c r="DC234" s="1369">
        <v>219.3</v>
      </c>
      <c r="DD234" s="1361"/>
      <c r="DE234" s="1362"/>
      <c r="DF234" s="1363"/>
      <c r="DG234" s="1369">
        <v>304.60000000000002</v>
      </c>
      <c r="DH234" s="1361"/>
      <c r="DI234" s="1362"/>
      <c r="DJ234" s="1363"/>
      <c r="DK234" s="1369">
        <v>305.2</v>
      </c>
      <c r="DL234" s="1361"/>
      <c r="DM234" s="1362"/>
      <c r="DN234" s="1363"/>
      <c r="DO234" s="1363"/>
      <c r="DP234" s="1371">
        <v>305.89999999999998</v>
      </c>
      <c r="DQ234" s="1361"/>
      <c r="DR234" s="1362"/>
      <c r="DS234" s="1363"/>
      <c r="DT234" s="1363"/>
      <c r="DU234" s="1371">
        <v>308.10000000000002</v>
      </c>
      <c r="DV234" s="891"/>
      <c r="DW234" s="904"/>
      <c r="DX234" s="925"/>
      <c r="DY234" s="925"/>
      <c r="DZ234" s="1369">
        <v>311.10000000000002</v>
      </c>
      <c r="EA234" s="891"/>
      <c r="EB234" s="904"/>
      <c r="EC234" s="925"/>
      <c r="ED234" s="925"/>
      <c r="EE234" s="918">
        <f>AVERAGE(EE230:EE233)</f>
        <v>312.39999999999998</v>
      </c>
      <c r="EF234" s="891"/>
      <c r="EG234" s="904"/>
      <c r="EH234" s="925"/>
      <c r="EI234" s="925"/>
      <c r="EK234" s="928"/>
      <c r="EL234" s="928"/>
      <c r="EM234" s="928"/>
      <c r="EN234" s="928"/>
      <c r="EO234" s="928"/>
      <c r="EP234" s="904"/>
      <c r="EQ234" s="904"/>
      <c r="ER234" s="904"/>
      <c r="ES234" s="904"/>
      <c r="ET234" s="904"/>
      <c r="EU234" s="904"/>
      <c r="EV234" s="904"/>
      <c r="EW234" s="805"/>
      <c r="EX234" s="805"/>
    </row>
    <row r="235" spans="1:155">
      <c r="A235" s="819" t="s">
        <v>145</v>
      </c>
      <c r="C235" s="829" t="s">
        <v>151</v>
      </c>
      <c r="D235" s="940"/>
      <c r="E235" s="867"/>
      <c r="F235" s="507"/>
      <c r="G235" s="829" t="s">
        <v>151</v>
      </c>
      <c r="H235" s="940"/>
      <c r="I235" s="867"/>
      <c r="J235" s="507"/>
      <c r="K235" s="829" t="s">
        <v>151</v>
      </c>
      <c r="L235" s="940"/>
      <c r="M235" s="867"/>
      <c r="N235" s="507"/>
      <c r="O235" s="829" t="s">
        <v>151</v>
      </c>
      <c r="P235" s="941"/>
      <c r="Q235" s="942"/>
      <c r="R235" s="507"/>
      <c r="S235" s="829" t="s">
        <v>151</v>
      </c>
      <c r="T235" s="941"/>
      <c r="U235" s="942"/>
      <c r="V235" s="507"/>
      <c r="W235" s="829" t="s">
        <v>151</v>
      </c>
      <c r="X235" s="941"/>
      <c r="Y235" s="942"/>
      <c r="Z235" s="507"/>
      <c r="AA235" s="829" t="s">
        <v>151</v>
      </c>
      <c r="AB235" s="941"/>
      <c r="AC235" s="942"/>
      <c r="AD235" s="507"/>
      <c r="AE235" s="829" t="s">
        <v>151</v>
      </c>
      <c r="AF235" s="891"/>
      <c r="AG235" s="904"/>
      <c r="AI235" s="824" t="s">
        <v>151</v>
      </c>
      <c r="AJ235" s="891"/>
      <c r="AK235" s="904"/>
      <c r="AM235" s="824" t="s">
        <v>151</v>
      </c>
      <c r="AN235" s="891"/>
      <c r="AO235" s="904"/>
      <c r="AQ235" s="824" t="s">
        <v>151</v>
      </c>
      <c r="AR235" s="891"/>
      <c r="AS235" s="904"/>
      <c r="AU235" s="824" t="s">
        <v>151</v>
      </c>
      <c r="AV235" s="891"/>
      <c r="AW235" s="904"/>
      <c r="AY235" s="824" t="s">
        <v>151</v>
      </c>
      <c r="AZ235" s="891"/>
      <c r="BA235" s="904"/>
      <c r="BC235" s="824" t="s">
        <v>151</v>
      </c>
      <c r="BD235" s="891"/>
      <c r="BE235" s="904"/>
      <c r="BG235" s="824" t="s">
        <v>151</v>
      </c>
      <c r="BH235" s="891"/>
      <c r="BI235" s="904"/>
      <c r="BK235" s="824" t="s">
        <v>151</v>
      </c>
      <c r="BL235" s="891"/>
      <c r="BM235" s="904"/>
      <c r="BO235" s="824" t="s">
        <v>151</v>
      </c>
      <c r="BP235" s="891"/>
      <c r="BQ235" s="904"/>
      <c r="BS235" s="824" t="s">
        <v>151</v>
      </c>
      <c r="BT235" s="891"/>
      <c r="BU235" s="904"/>
      <c r="BW235" s="824">
        <f>AVERAGE(BW230:BW231)</f>
        <v>260.39999999999998</v>
      </c>
      <c r="BX235" s="891"/>
      <c r="BY235" s="888"/>
      <c r="CA235" s="824">
        <f>AVERAGE(CA230:CA231)</f>
        <v>261.10000000000002</v>
      </c>
      <c r="CB235" s="891"/>
      <c r="CC235" s="888"/>
      <c r="CE235" s="824">
        <f>AVERAGE(CE230:CE231)</f>
        <v>231.15</v>
      </c>
      <c r="CF235" s="891"/>
      <c r="CG235" s="904"/>
      <c r="CI235" s="824">
        <f>AVERAGE(CI230:CI231)</f>
        <v>223.89999999999998</v>
      </c>
      <c r="CJ235" s="891"/>
      <c r="CK235" s="904"/>
      <c r="CM235" s="824">
        <f>AVERAGE(CM230:CM231)</f>
        <v>222.05</v>
      </c>
      <c r="CN235" s="891"/>
      <c r="CO235" s="904"/>
      <c r="CQ235" s="824">
        <f>AVERAGE(CQ230:CQ231)</f>
        <v>229.10000000000002</v>
      </c>
      <c r="CR235" s="891"/>
      <c r="CS235" s="904"/>
      <c r="CU235" s="824">
        <f>AVERAGE(CU230:CU231)</f>
        <v>236.2</v>
      </c>
      <c r="CV235" s="891"/>
      <c r="CW235" s="904"/>
      <c r="CY235" s="824">
        <f>AVERAGE(CY230:CY231)</f>
        <v>214.55</v>
      </c>
      <c r="CZ235" s="891"/>
      <c r="DA235" s="904"/>
      <c r="DC235" s="777">
        <f>AVERAGE(DC230:DC231)</f>
        <v>218.85000000000002</v>
      </c>
      <c r="DD235" s="891"/>
      <c r="DE235" s="904"/>
      <c r="DG235" s="777">
        <f>AVERAGE(DG230:DG231)</f>
        <v>220.25</v>
      </c>
      <c r="DH235" s="891"/>
      <c r="DI235" s="904"/>
      <c r="DK235" s="777">
        <f>AVERAGE(DK230:DK231)</f>
        <v>305</v>
      </c>
      <c r="DL235" s="891"/>
      <c r="DM235" s="904"/>
      <c r="DP235" s="777">
        <f>AVERAGE(DP230:DP231)</f>
        <v>305.60000000000002</v>
      </c>
      <c r="DQ235" s="891"/>
      <c r="DR235" s="904"/>
      <c r="DU235" s="777">
        <f>AVERAGE(DU230:DU231)</f>
        <v>307.64999999999998</v>
      </c>
      <c r="DV235" s="891"/>
      <c r="DW235" s="904"/>
      <c r="DZ235" s="777">
        <f>AVERAGE(DZ230:DZ231)</f>
        <v>310.20000000000005</v>
      </c>
      <c r="EA235" s="891"/>
      <c r="EB235" s="904"/>
      <c r="EE235" s="777">
        <f>AVERAGE(EE230:EE231)</f>
        <v>312.39999999999998</v>
      </c>
      <c r="EF235" s="891"/>
      <c r="EG235" s="904"/>
      <c r="EK235" s="928"/>
      <c r="EL235" s="928"/>
      <c r="EM235" s="928"/>
      <c r="EN235" s="928"/>
      <c r="EO235" s="928"/>
      <c r="EP235" s="904"/>
      <c r="EQ235" s="904"/>
      <c r="ER235" s="904"/>
      <c r="ES235" s="904"/>
      <c r="ET235" s="904"/>
      <c r="EU235" s="904"/>
      <c r="EV235" s="904"/>
      <c r="EW235" s="805"/>
      <c r="EX235" s="805"/>
    </row>
    <row r="236" spans="1:155">
      <c r="A236" s="819" t="s">
        <v>146</v>
      </c>
      <c r="C236" s="829" t="s">
        <v>151</v>
      </c>
      <c r="D236" s="940"/>
      <c r="E236" s="867"/>
      <c r="F236" s="507"/>
      <c r="G236" s="829" t="s">
        <v>151</v>
      </c>
      <c r="H236" s="940"/>
      <c r="I236" s="867"/>
      <c r="J236" s="507"/>
      <c r="K236" s="829" t="s">
        <v>151</v>
      </c>
      <c r="L236" s="940"/>
      <c r="M236" s="867"/>
      <c r="N236" s="507"/>
      <c r="O236" s="829" t="s">
        <v>151</v>
      </c>
      <c r="P236" s="941"/>
      <c r="Q236" s="942"/>
      <c r="R236" s="507"/>
      <c r="S236" s="829" t="s">
        <v>151</v>
      </c>
      <c r="T236" s="941"/>
      <c r="U236" s="942"/>
      <c r="V236" s="507"/>
      <c r="W236" s="829" t="s">
        <v>151</v>
      </c>
      <c r="X236" s="941"/>
      <c r="Y236" s="942"/>
      <c r="Z236" s="507"/>
      <c r="AA236" s="829" t="s">
        <v>151</v>
      </c>
      <c r="AB236" s="941"/>
      <c r="AC236" s="942"/>
      <c r="AD236" s="507"/>
      <c r="AE236" s="829" t="s">
        <v>151</v>
      </c>
      <c r="AF236" s="891"/>
      <c r="AG236" s="904"/>
      <c r="AI236" s="824" t="s">
        <v>151</v>
      </c>
      <c r="AJ236" s="891"/>
      <c r="AK236" s="904"/>
      <c r="AM236" s="824" t="s">
        <v>151</v>
      </c>
      <c r="AN236" s="891"/>
      <c r="AO236" s="904"/>
      <c r="AQ236" s="824" t="s">
        <v>151</v>
      </c>
      <c r="AR236" s="891"/>
      <c r="AS236" s="904"/>
      <c r="AU236" s="824" t="s">
        <v>151</v>
      </c>
      <c r="AV236" s="891"/>
      <c r="AW236" s="904"/>
      <c r="AY236" s="824" t="s">
        <v>151</v>
      </c>
      <c r="AZ236" s="891"/>
      <c r="BA236" s="904"/>
      <c r="BC236" s="824" t="s">
        <v>151</v>
      </c>
      <c r="BD236" s="891"/>
      <c r="BE236" s="904"/>
      <c r="BG236" s="824" t="s">
        <v>151</v>
      </c>
      <c r="BH236" s="891"/>
      <c r="BI236" s="904"/>
      <c r="BK236" s="824" t="s">
        <v>151</v>
      </c>
      <c r="BL236" s="891"/>
      <c r="BM236" s="904"/>
      <c r="BO236" s="824" t="s">
        <v>151</v>
      </c>
      <c r="BP236" s="891"/>
      <c r="BQ236" s="904"/>
      <c r="BS236" s="824" t="s">
        <v>151</v>
      </c>
      <c r="BT236" s="891"/>
      <c r="BU236" s="904"/>
      <c r="BW236" s="824">
        <f>AVERAGE(BW230:BW232)</f>
        <v>262.59999999999997</v>
      </c>
      <c r="BX236" s="891"/>
      <c r="BY236" s="888"/>
      <c r="CA236" s="824">
        <f>AVERAGE(CA230:CA232)</f>
        <v>251.4</v>
      </c>
      <c r="CB236" s="891"/>
      <c r="CC236" s="888"/>
      <c r="CE236" s="824">
        <f>AVERAGE(CE230:CE232)</f>
        <v>229</v>
      </c>
      <c r="CF236" s="891"/>
      <c r="CG236" s="904"/>
      <c r="CI236" s="824">
        <f>AVERAGE(CI230:CI232)</f>
        <v>223.16666666666666</v>
      </c>
      <c r="CJ236" s="891"/>
      <c r="CK236" s="904"/>
      <c r="CM236" s="824">
        <f>AVERAGE(CM230:CM232)</f>
        <v>222.03333333333333</v>
      </c>
      <c r="CN236" s="891"/>
      <c r="CO236" s="904"/>
      <c r="CQ236" s="824">
        <f>AVERAGE(CQ230:CQ232)</f>
        <v>231.4</v>
      </c>
      <c r="CR236" s="891"/>
      <c r="CS236" s="904"/>
      <c r="CU236" s="824">
        <f>AVERAGE(CU230:CU232)</f>
        <v>236.29999999999998</v>
      </c>
      <c r="CV236" s="891"/>
      <c r="CW236" s="904"/>
      <c r="CY236" s="824">
        <f>AVERAGE(CY230:CY232)</f>
        <v>214.03333333333333</v>
      </c>
      <c r="CZ236" s="891"/>
      <c r="DA236" s="904"/>
      <c r="DC236" s="777">
        <f>AVERAGE(DC230:DC232)</f>
        <v>218.9666666666667</v>
      </c>
      <c r="DD236" s="891"/>
      <c r="DE236" s="904"/>
      <c r="DG236" s="777">
        <f>AVERAGE(DG230:DG232)</f>
        <v>248.36666666666667</v>
      </c>
      <c r="DH236" s="891"/>
      <c r="DI236" s="904"/>
      <c r="DK236" s="777">
        <f>AVERAGE(DK230:DK232)</f>
        <v>304.93333333333334</v>
      </c>
      <c r="DL236" s="891"/>
      <c r="DM236" s="904"/>
      <c r="DP236" s="777">
        <f>AVERAGE(DP230:DP232)</f>
        <v>305.86666666666667</v>
      </c>
      <c r="DQ236" s="891"/>
      <c r="DR236" s="904"/>
      <c r="DU236" s="777">
        <f>AVERAGE(DU230:DU232)</f>
        <v>307.86666666666662</v>
      </c>
      <c r="DV236" s="891"/>
      <c r="DW236" s="904"/>
      <c r="DZ236" s="777">
        <f>AVERAGE(DZ230:DZ232)</f>
        <v>310.66666666666669</v>
      </c>
      <c r="EA236" s="891"/>
      <c r="EB236" s="904"/>
      <c r="EE236" s="777">
        <f>AVERAGE(EE230:EE232)</f>
        <v>312.39999999999998</v>
      </c>
      <c r="EF236" s="891"/>
      <c r="EG236" s="904"/>
      <c r="EK236" s="904"/>
      <c r="EL236" s="904"/>
      <c r="EM236" s="904"/>
      <c r="EN236" s="904"/>
      <c r="EO236" s="904"/>
      <c r="EP236" s="904"/>
      <c r="EQ236" s="904"/>
      <c r="ER236" s="904"/>
      <c r="ES236" s="904"/>
      <c r="ET236" s="904"/>
      <c r="EU236" s="904"/>
      <c r="EV236" s="904"/>
      <c r="EW236" s="805"/>
      <c r="EX236" s="805"/>
    </row>
    <row r="237" spans="1:155">
      <c r="C237" s="435"/>
      <c r="D237" s="503"/>
      <c r="E237" s="503"/>
      <c r="F237" s="507"/>
      <c r="G237" s="435"/>
      <c r="H237" s="503"/>
      <c r="I237" s="503"/>
      <c r="J237" s="507"/>
      <c r="K237" s="435"/>
      <c r="L237" s="503"/>
      <c r="M237" s="503"/>
      <c r="N237" s="507"/>
      <c r="O237" s="435"/>
      <c r="P237" s="507"/>
      <c r="Q237" s="507"/>
      <c r="R237" s="507"/>
      <c r="S237" s="435"/>
      <c r="T237" s="507"/>
      <c r="U237" s="507"/>
      <c r="V237" s="507"/>
      <c r="W237" s="435"/>
      <c r="X237" s="507"/>
      <c r="Y237" s="507"/>
      <c r="Z237" s="507"/>
      <c r="AA237" s="435"/>
      <c r="AB237" s="507"/>
      <c r="AC237" s="507"/>
      <c r="AD237" s="507"/>
      <c r="AE237" s="435"/>
      <c r="AI237" s="706"/>
      <c r="AM237" s="706"/>
      <c r="AQ237" s="706"/>
      <c r="AU237" s="706"/>
      <c r="AY237" s="706"/>
      <c r="BC237" s="706"/>
      <c r="BG237" s="706"/>
      <c r="BK237" s="706"/>
      <c r="BO237" s="706"/>
      <c r="BS237" s="706"/>
      <c r="BW237" s="706"/>
      <c r="CA237" s="706"/>
      <c r="CE237" s="706"/>
      <c r="CI237" s="706"/>
      <c r="CM237" s="706"/>
      <c r="CQ237" s="706"/>
      <c r="CU237" s="706"/>
      <c r="CY237" s="706"/>
      <c r="EK237" s="904"/>
      <c r="EL237" s="904"/>
      <c r="EM237" s="904"/>
      <c r="EN237" s="904"/>
      <c r="EO237" s="904"/>
      <c r="EW237" s="805"/>
      <c r="EX237" s="805"/>
    </row>
    <row r="238" spans="1:155" hidden="1" outlineLevel="1">
      <c r="A238" s="816" t="s">
        <v>43</v>
      </c>
      <c r="C238" s="435"/>
      <c r="D238" s="503"/>
      <c r="E238" s="503"/>
      <c r="F238" s="507"/>
      <c r="G238" s="435"/>
      <c r="H238" s="503"/>
      <c r="I238" s="503"/>
      <c r="J238" s="507"/>
      <c r="K238" s="435"/>
      <c r="L238" s="503"/>
      <c r="M238" s="503"/>
      <c r="N238" s="507"/>
      <c r="O238" s="435"/>
      <c r="P238" s="507"/>
      <c r="Q238" s="507"/>
      <c r="R238" s="507"/>
      <c r="S238" s="435"/>
      <c r="T238" s="507"/>
      <c r="U238" s="507"/>
      <c r="V238" s="507"/>
      <c r="W238" s="435"/>
      <c r="X238" s="507"/>
      <c r="Y238" s="507"/>
      <c r="Z238" s="507"/>
      <c r="AA238" s="435"/>
      <c r="AB238" s="507"/>
      <c r="AC238" s="507"/>
      <c r="AD238" s="507"/>
      <c r="AE238" s="435"/>
      <c r="AI238" s="706"/>
      <c r="AM238" s="706"/>
      <c r="AQ238" s="706"/>
      <c r="AU238" s="706"/>
      <c r="AY238" s="706"/>
      <c r="BC238" s="706"/>
      <c r="BG238" s="706"/>
      <c r="BK238" s="706"/>
      <c r="BO238" s="706"/>
      <c r="BS238" s="706"/>
      <c r="BW238" s="706"/>
      <c r="CA238" s="706"/>
      <c r="CE238" s="706"/>
      <c r="CI238" s="706"/>
      <c r="CM238" s="706"/>
      <c r="CQ238" s="706"/>
      <c r="CY238" s="706"/>
      <c r="DG238" s="818" t="s">
        <v>43</v>
      </c>
      <c r="EK238" s="904"/>
      <c r="EL238" s="904"/>
      <c r="EM238" s="904"/>
      <c r="EN238" s="904"/>
      <c r="EO238" s="904"/>
      <c r="EW238" s="805"/>
      <c r="EX238" s="805"/>
    </row>
    <row r="239" spans="1:155" hidden="1" outlineLevel="1">
      <c r="C239" s="706"/>
      <c r="D239" s="687"/>
      <c r="E239" s="687"/>
      <c r="G239" s="706"/>
      <c r="H239" s="687"/>
      <c r="I239" s="687"/>
      <c r="K239" s="706"/>
      <c r="L239" s="687"/>
      <c r="M239" s="687"/>
      <c r="O239" s="706"/>
      <c r="S239" s="706"/>
      <c r="W239" s="706"/>
      <c r="AA239" s="706"/>
      <c r="AE239" s="706"/>
      <c r="AI239" s="706"/>
      <c r="AM239" s="706"/>
      <c r="AQ239" s="706"/>
      <c r="AU239" s="706"/>
      <c r="AY239" s="706"/>
      <c r="BC239" s="706"/>
      <c r="BG239" s="706"/>
      <c r="BK239" s="706"/>
      <c r="BO239" s="706"/>
      <c r="BS239" s="706"/>
      <c r="BW239" s="706"/>
      <c r="CA239" s="706"/>
      <c r="CE239" s="706"/>
      <c r="CI239" s="706"/>
      <c r="CM239" s="706"/>
      <c r="CQ239" s="706"/>
      <c r="CU239" s="706"/>
      <c r="CY239" s="706"/>
      <c r="EW239" s="805"/>
      <c r="EX239" s="805"/>
    </row>
    <row r="240" spans="1:155" hidden="1" outlineLevel="1">
      <c r="A240" s="819" t="s">
        <v>140</v>
      </c>
      <c r="C240" s="914">
        <v>245.8</v>
      </c>
      <c r="D240" s="899"/>
      <c r="E240" s="900"/>
      <c r="F240" s="898"/>
      <c r="G240" s="914">
        <v>241.8</v>
      </c>
      <c r="H240" s="899"/>
      <c r="I240" s="900"/>
      <c r="J240" s="898"/>
      <c r="K240" s="914">
        <v>233.6</v>
      </c>
      <c r="L240" s="899"/>
      <c r="M240" s="900"/>
      <c r="N240" s="898"/>
      <c r="O240" s="914">
        <v>234</v>
      </c>
      <c r="P240" s="901"/>
      <c r="Q240" s="902"/>
      <c r="R240" s="898"/>
      <c r="S240" s="914">
        <v>237.9</v>
      </c>
      <c r="T240" s="901"/>
      <c r="U240" s="902"/>
      <c r="V240" s="898"/>
      <c r="W240" s="914">
        <v>240.3</v>
      </c>
      <c r="X240" s="901"/>
      <c r="Y240" s="902"/>
      <c r="Z240" s="898"/>
      <c r="AA240" s="914">
        <v>231.5</v>
      </c>
      <c r="AB240" s="901"/>
      <c r="AC240" s="902"/>
      <c r="AD240" s="898"/>
      <c r="AE240" s="914"/>
      <c r="AF240" s="901"/>
      <c r="AG240" s="902"/>
      <c r="AH240" s="898"/>
      <c r="AI240" s="914">
        <v>227.2</v>
      </c>
      <c r="AJ240" s="901"/>
      <c r="AK240" s="902"/>
      <c r="AL240" s="898"/>
      <c r="AM240" s="914">
        <v>244</v>
      </c>
      <c r="AN240" s="901"/>
      <c r="AO240" s="902"/>
      <c r="AP240" s="898"/>
      <c r="AQ240" s="914">
        <v>244</v>
      </c>
      <c r="AR240" s="901"/>
      <c r="AS240" s="902"/>
      <c r="AT240" s="898"/>
      <c r="AU240" s="914">
        <v>244</v>
      </c>
      <c r="AV240" s="901"/>
      <c r="AW240" s="902"/>
      <c r="AX240" s="898"/>
      <c r="AY240" s="914">
        <v>244</v>
      </c>
      <c r="AZ240" s="901"/>
      <c r="BA240" s="902"/>
      <c r="BB240" s="898"/>
      <c r="BC240" s="914">
        <v>244</v>
      </c>
      <c r="BD240" s="901"/>
      <c r="BE240" s="902"/>
      <c r="BF240" s="898"/>
      <c r="BG240" s="914">
        <v>244</v>
      </c>
      <c r="BH240" s="901"/>
      <c r="BI240" s="902"/>
      <c r="BJ240" s="898"/>
      <c r="BK240" s="914">
        <v>244</v>
      </c>
      <c r="BL240" s="901"/>
      <c r="BM240" s="902"/>
      <c r="BN240" s="898"/>
      <c r="BO240" s="914">
        <v>244</v>
      </c>
      <c r="BP240" s="901"/>
      <c r="BQ240" s="902"/>
      <c r="BR240" s="898"/>
      <c r="BS240" s="914">
        <v>244</v>
      </c>
      <c r="BT240" s="901"/>
      <c r="BU240" s="902"/>
      <c r="BV240" s="898"/>
      <c r="BW240" s="914">
        <v>277.7</v>
      </c>
      <c r="BX240" s="901"/>
      <c r="BY240" s="903"/>
      <c r="BZ240" s="898"/>
      <c r="CA240" s="914">
        <v>271.3</v>
      </c>
      <c r="CB240" s="901"/>
      <c r="CC240" s="903"/>
      <c r="CD240" s="898"/>
      <c r="CE240" s="914">
        <v>233.7</v>
      </c>
      <c r="CF240" s="901"/>
      <c r="CG240" s="902"/>
      <c r="CH240" s="898"/>
      <c r="CI240" s="914">
        <v>225.8</v>
      </c>
      <c r="CJ240" s="901"/>
      <c r="CK240" s="902"/>
      <c r="CL240" s="898"/>
      <c r="CM240" s="914">
        <v>221.8</v>
      </c>
      <c r="CN240" s="901"/>
      <c r="CO240" s="902"/>
      <c r="CP240" s="898"/>
      <c r="CQ240" s="914">
        <v>222.3</v>
      </c>
      <c r="CR240" s="901"/>
      <c r="CS240" s="902"/>
      <c r="CT240" s="898"/>
      <c r="CU240" s="914">
        <v>236.6</v>
      </c>
      <c r="CV240" s="901"/>
      <c r="CW240" s="902"/>
      <c r="CX240" s="898"/>
      <c r="CY240" s="914">
        <v>229.2</v>
      </c>
      <c r="CZ240" s="901"/>
      <c r="DA240" s="902"/>
      <c r="DB240" s="898"/>
      <c r="DC240" s="897">
        <v>218.3</v>
      </c>
      <c r="DD240" s="901"/>
      <c r="DE240" s="902"/>
      <c r="DF240" s="898"/>
      <c r="DG240" s="943">
        <f>AVERAGE(DG230,DC233)</f>
        <v>219.60000000000002</v>
      </c>
      <c r="DH240" s="901"/>
      <c r="DI240" s="902"/>
      <c r="DJ240" s="898"/>
      <c r="DK240" s="943">
        <f>AVERAGE(DK230,DG233)</f>
        <v>304.70000000000005</v>
      </c>
      <c r="DL240" s="901"/>
      <c r="DM240" s="902"/>
      <c r="DN240" s="898"/>
      <c r="DO240" s="898"/>
      <c r="DP240" s="943">
        <f>AVERAGE(DP230,DK233)</f>
        <v>305.3</v>
      </c>
      <c r="DQ240" s="901"/>
      <c r="DR240" s="902"/>
      <c r="DS240" s="898"/>
      <c r="DT240" s="898"/>
      <c r="DU240" s="943">
        <f>AVERAGE(DU230,DP233)</f>
        <v>306.85000000000002</v>
      </c>
      <c r="DV240" s="901"/>
      <c r="DW240" s="902"/>
      <c r="DX240" s="898"/>
      <c r="DY240" s="898"/>
      <c r="DZ240" s="943">
        <f>AVERAGE(DZ230,DU233)</f>
        <v>309.20000000000005</v>
      </c>
      <c r="EA240" s="901"/>
      <c r="EB240" s="902"/>
      <c r="EC240" s="898"/>
      <c r="ED240" s="898"/>
      <c r="EE240" s="943">
        <f>AVERAGE(EE230,DZ233)</f>
        <v>312.39999999999998</v>
      </c>
      <c r="EF240" s="901"/>
      <c r="EG240" s="902"/>
      <c r="EH240" s="898"/>
      <c r="EI240" s="898"/>
      <c r="EP240" s="902"/>
      <c r="EQ240" s="902"/>
      <c r="ER240" s="902"/>
      <c r="ES240" s="902"/>
      <c r="ET240" s="902"/>
      <c r="EU240" s="902"/>
      <c r="EV240" s="902"/>
      <c r="EW240" s="805"/>
      <c r="EX240" s="805"/>
      <c r="EY240" s="898"/>
    </row>
    <row r="241" spans="1:155" hidden="1" outlineLevel="1">
      <c r="A241" s="819" t="s">
        <v>141</v>
      </c>
      <c r="C241" s="914">
        <v>243</v>
      </c>
      <c r="D241" s="899"/>
      <c r="E241" s="900"/>
      <c r="F241" s="898"/>
      <c r="G241" s="914">
        <v>236.6</v>
      </c>
      <c r="H241" s="899"/>
      <c r="I241" s="900"/>
      <c r="J241" s="898"/>
      <c r="K241" s="914">
        <v>233.6</v>
      </c>
      <c r="L241" s="899"/>
      <c r="M241" s="900"/>
      <c r="N241" s="898"/>
      <c r="O241" s="914">
        <v>236</v>
      </c>
      <c r="P241" s="901"/>
      <c r="Q241" s="902"/>
      <c r="R241" s="898"/>
      <c r="S241" s="914">
        <v>239.1</v>
      </c>
      <c r="T241" s="901"/>
      <c r="U241" s="902"/>
      <c r="V241" s="898"/>
      <c r="W241" s="914">
        <v>240.3</v>
      </c>
      <c r="X241" s="901"/>
      <c r="Y241" s="902"/>
      <c r="Z241" s="898"/>
      <c r="AA241" s="914">
        <v>229</v>
      </c>
      <c r="AB241" s="901"/>
      <c r="AC241" s="902"/>
      <c r="AD241" s="898"/>
      <c r="AE241" s="914"/>
      <c r="AF241" s="901"/>
      <c r="AG241" s="902"/>
      <c r="AH241" s="898"/>
      <c r="AI241" s="914">
        <v>227.8</v>
      </c>
      <c r="AJ241" s="901"/>
      <c r="AK241" s="902"/>
      <c r="AL241" s="898"/>
      <c r="AM241" s="914">
        <v>244</v>
      </c>
      <c r="AN241" s="901"/>
      <c r="AO241" s="902"/>
      <c r="AP241" s="898"/>
      <c r="AQ241" s="914">
        <v>244</v>
      </c>
      <c r="AR241" s="901"/>
      <c r="AS241" s="902"/>
      <c r="AT241" s="898"/>
      <c r="AU241" s="914">
        <v>244</v>
      </c>
      <c r="AV241" s="901"/>
      <c r="AW241" s="902"/>
      <c r="AX241" s="898"/>
      <c r="AY241" s="914">
        <v>244</v>
      </c>
      <c r="AZ241" s="901"/>
      <c r="BA241" s="902"/>
      <c r="BB241" s="898"/>
      <c r="BC241" s="914">
        <v>244</v>
      </c>
      <c r="BD241" s="901"/>
      <c r="BE241" s="902"/>
      <c r="BF241" s="898"/>
      <c r="BG241" s="914">
        <v>244</v>
      </c>
      <c r="BH241" s="901"/>
      <c r="BI241" s="902"/>
      <c r="BJ241" s="898"/>
      <c r="BK241" s="914">
        <v>244</v>
      </c>
      <c r="BL241" s="901"/>
      <c r="BM241" s="902"/>
      <c r="BN241" s="898"/>
      <c r="BO241" s="914">
        <v>244</v>
      </c>
      <c r="BP241" s="901"/>
      <c r="BQ241" s="902"/>
      <c r="BR241" s="898"/>
      <c r="BS241" s="914">
        <v>244</v>
      </c>
      <c r="BT241" s="901"/>
      <c r="BU241" s="902"/>
      <c r="BV241" s="898"/>
      <c r="BW241" s="914">
        <v>282.60000000000002</v>
      </c>
      <c r="BX241" s="901"/>
      <c r="BY241" s="903"/>
      <c r="BZ241" s="898"/>
      <c r="CA241" s="914">
        <v>261.8</v>
      </c>
      <c r="CB241" s="901"/>
      <c r="CC241" s="903"/>
      <c r="CD241" s="898"/>
      <c r="CE241" s="914">
        <v>232.9</v>
      </c>
      <c r="CF241" s="901"/>
      <c r="CG241" s="902"/>
      <c r="CH241" s="898"/>
      <c r="CI241" s="914">
        <v>222.6</v>
      </c>
      <c r="CJ241" s="901"/>
      <c r="CK241" s="902"/>
      <c r="CL241" s="898"/>
      <c r="CM241" s="914">
        <v>222</v>
      </c>
      <c r="CN241" s="901"/>
      <c r="CO241" s="902"/>
      <c r="CP241" s="898"/>
      <c r="CQ241" s="914">
        <v>233.8</v>
      </c>
      <c r="CR241" s="901"/>
      <c r="CS241" s="902"/>
      <c r="CT241" s="898"/>
      <c r="CU241" s="914">
        <v>236.4</v>
      </c>
      <c r="CV241" s="901"/>
      <c r="CW241" s="902"/>
      <c r="CX241" s="898"/>
      <c r="CY241" s="914">
        <v>213.3</v>
      </c>
      <c r="CZ241" s="901"/>
      <c r="DA241" s="902"/>
      <c r="DB241" s="898"/>
      <c r="DC241" s="897">
        <v>219.3</v>
      </c>
      <c r="DD241" s="901"/>
      <c r="DE241" s="902"/>
      <c r="DF241" s="898"/>
      <c r="DG241" s="943">
        <f>AVERAGE(DG230:DG231)</f>
        <v>220.25</v>
      </c>
      <c r="DH241" s="901"/>
      <c r="DI241" s="902"/>
      <c r="DJ241" s="898"/>
      <c r="DK241" s="943">
        <f>AVERAGE(DK230:DK231)</f>
        <v>305</v>
      </c>
      <c r="DL241" s="901"/>
      <c r="DM241" s="902"/>
      <c r="DN241" s="898"/>
      <c r="DO241" s="898"/>
      <c r="DP241" s="943">
        <f>AVERAGE(DP230:DP231)</f>
        <v>305.60000000000002</v>
      </c>
      <c r="DQ241" s="901"/>
      <c r="DR241" s="902"/>
      <c r="DS241" s="898"/>
      <c r="DT241" s="898"/>
      <c r="DU241" s="943">
        <f>AVERAGE(DU230:DU231)</f>
        <v>307.64999999999998</v>
      </c>
      <c r="DV241" s="901"/>
      <c r="DW241" s="902"/>
      <c r="DX241" s="898"/>
      <c r="DY241" s="898"/>
      <c r="DZ241" s="943">
        <f>AVERAGE(DZ230:DZ231)</f>
        <v>310.20000000000005</v>
      </c>
      <c r="EA241" s="901"/>
      <c r="EB241" s="902"/>
      <c r="EC241" s="898"/>
      <c r="ED241" s="898"/>
      <c r="EE241" s="943">
        <f>AVERAGE(EE230:EE231)</f>
        <v>312.39999999999998</v>
      </c>
      <c r="EF241" s="901"/>
      <c r="EG241" s="902"/>
      <c r="EH241" s="898"/>
      <c r="EI241" s="898"/>
      <c r="EP241" s="902"/>
      <c r="EQ241" s="902"/>
      <c r="ER241" s="902"/>
      <c r="ES241" s="902"/>
      <c r="ET241" s="902"/>
      <c r="EU241" s="902"/>
      <c r="EV241" s="902"/>
      <c r="EW241" s="805"/>
      <c r="EX241" s="805"/>
      <c r="EY241" s="898"/>
    </row>
    <row r="242" spans="1:155" hidden="1" outlineLevel="1">
      <c r="A242" s="819" t="s">
        <v>142</v>
      </c>
      <c r="C242" s="914">
        <v>242.4</v>
      </c>
      <c r="D242" s="899"/>
      <c r="E242" s="900"/>
      <c r="F242" s="898"/>
      <c r="G242" s="914">
        <v>233.8</v>
      </c>
      <c r="H242" s="899"/>
      <c r="I242" s="900"/>
      <c r="J242" s="898"/>
      <c r="K242" s="914">
        <v>233.6</v>
      </c>
      <c r="L242" s="899"/>
      <c r="M242" s="900"/>
      <c r="N242" s="898"/>
      <c r="O242" s="914">
        <v>235.8</v>
      </c>
      <c r="P242" s="901"/>
      <c r="Q242" s="902"/>
      <c r="R242" s="898"/>
      <c r="S242" s="914">
        <v>239</v>
      </c>
      <c r="T242" s="901"/>
      <c r="U242" s="902"/>
      <c r="V242" s="898"/>
      <c r="W242" s="914">
        <v>240.3</v>
      </c>
      <c r="X242" s="901"/>
      <c r="Y242" s="902"/>
      <c r="Z242" s="898"/>
      <c r="AA242" s="914">
        <v>226.5</v>
      </c>
      <c r="AB242" s="901"/>
      <c r="AC242" s="902"/>
      <c r="AD242" s="898"/>
      <c r="AE242" s="914"/>
      <c r="AF242" s="901"/>
      <c r="AG242" s="902"/>
      <c r="AH242" s="898"/>
      <c r="AI242" s="914">
        <v>229</v>
      </c>
      <c r="AJ242" s="901"/>
      <c r="AK242" s="902"/>
      <c r="AL242" s="898"/>
      <c r="AM242" s="914">
        <v>244</v>
      </c>
      <c r="AN242" s="901"/>
      <c r="AO242" s="902"/>
      <c r="AP242" s="898"/>
      <c r="AQ242" s="914">
        <v>244</v>
      </c>
      <c r="AR242" s="901"/>
      <c r="AS242" s="902"/>
      <c r="AT242" s="898"/>
      <c r="AU242" s="914">
        <v>244</v>
      </c>
      <c r="AV242" s="901"/>
      <c r="AW242" s="902"/>
      <c r="AX242" s="898"/>
      <c r="AY242" s="914">
        <v>244</v>
      </c>
      <c r="AZ242" s="901"/>
      <c r="BA242" s="902"/>
      <c r="BB242" s="898"/>
      <c r="BC242" s="914">
        <v>244</v>
      </c>
      <c r="BD242" s="901"/>
      <c r="BE242" s="902"/>
      <c r="BF242" s="898"/>
      <c r="BG242" s="914">
        <v>244</v>
      </c>
      <c r="BH242" s="901"/>
      <c r="BI242" s="902"/>
      <c r="BJ242" s="898"/>
      <c r="BK242" s="914">
        <v>244</v>
      </c>
      <c r="BL242" s="901"/>
      <c r="BM242" s="902"/>
      <c r="BN242" s="898"/>
      <c r="BO242" s="914">
        <v>244</v>
      </c>
      <c r="BP242" s="901"/>
      <c r="BQ242" s="902"/>
      <c r="BR242" s="898"/>
      <c r="BS242" s="914">
        <v>272</v>
      </c>
      <c r="BT242" s="901"/>
      <c r="BU242" s="902"/>
      <c r="BV242" s="898"/>
      <c r="BW242" s="914">
        <v>279.2</v>
      </c>
      <c r="BX242" s="901"/>
      <c r="BY242" s="903"/>
      <c r="BZ242" s="898"/>
      <c r="CA242" s="914">
        <v>246.3</v>
      </c>
      <c r="CB242" s="901"/>
      <c r="CC242" s="903"/>
      <c r="CD242" s="898"/>
      <c r="CE242" s="914">
        <v>225.1</v>
      </c>
      <c r="CF242" s="901"/>
      <c r="CG242" s="902"/>
      <c r="CH242" s="898"/>
      <c r="CI242" s="914">
        <v>221.5</v>
      </c>
      <c r="CJ242" s="901"/>
      <c r="CK242" s="902"/>
      <c r="CL242" s="898"/>
      <c r="CM242" s="914">
        <v>222</v>
      </c>
      <c r="CN242" s="901"/>
      <c r="CO242" s="902"/>
      <c r="CP242" s="898"/>
      <c r="CQ242" s="914">
        <v>235.9</v>
      </c>
      <c r="CR242" s="901"/>
      <c r="CS242" s="902"/>
      <c r="CT242" s="898"/>
      <c r="CU242" s="914">
        <v>236.4</v>
      </c>
      <c r="CV242" s="901"/>
      <c r="CW242" s="902"/>
      <c r="CX242" s="898"/>
      <c r="CY242" s="914">
        <v>213.3</v>
      </c>
      <c r="CZ242" s="901"/>
      <c r="DA242" s="902"/>
      <c r="DB242" s="898"/>
      <c r="DC242" s="897">
        <v>219.4</v>
      </c>
      <c r="DD242" s="901"/>
      <c r="DE242" s="902"/>
      <c r="DF242" s="898"/>
      <c r="DG242" s="944">
        <f>DG231*2/3+DG232*1/3</f>
        <v>248.60000000000002</v>
      </c>
      <c r="DH242" s="901"/>
      <c r="DI242" s="902"/>
      <c r="DJ242" s="898"/>
      <c r="DK242" s="943">
        <f>AVERAGE(DK231:DK232)</f>
        <v>305</v>
      </c>
      <c r="DL242" s="901"/>
      <c r="DM242" s="902"/>
      <c r="DN242" s="898"/>
      <c r="DO242" s="898"/>
      <c r="DP242" s="943">
        <f>AVERAGE(DP231:DP232)</f>
        <v>306.14999999999998</v>
      </c>
      <c r="DQ242" s="901"/>
      <c r="DR242" s="902"/>
      <c r="DS242" s="898"/>
      <c r="DT242" s="898"/>
      <c r="DU242" s="943">
        <f>AVERAGE(DU231:DU232)</f>
        <v>308.14999999999998</v>
      </c>
      <c r="DV242" s="901"/>
      <c r="DW242" s="902"/>
      <c r="DX242" s="898"/>
      <c r="DY242" s="898"/>
      <c r="DZ242" s="943">
        <f>AVERAGE(DZ231:DZ232)</f>
        <v>311.20000000000005</v>
      </c>
      <c r="EA242" s="901"/>
      <c r="EB242" s="902"/>
      <c r="EC242" s="898"/>
      <c r="ED242" s="898"/>
      <c r="EE242" s="943">
        <f>AVERAGE(EE231:EE232)</f>
        <v>312.39999999999998</v>
      </c>
      <c r="EF242" s="901"/>
      <c r="EG242" s="902"/>
      <c r="EH242" s="898"/>
      <c r="EI242" s="898"/>
      <c r="EJ242" s="898"/>
      <c r="EK242" s="902"/>
      <c r="EL242" s="902"/>
      <c r="EM242" s="902"/>
      <c r="EN242" s="902"/>
      <c r="EO242" s="902"/>
      <c r="EP242" s="902"/>
      <c r="EQ242" s="902"/>
      <c r="ER242" s="902"/>
      <c r="ES242" s="902"/>
      <c r="ET242" s="902"/>
      <c r="EU242" s="902"/>
      <c r="EV242" s="902"/>
      <c r="EW242" s="805"/>
      <c r="EX242" s="805"/>
      <c r="EY242" s="898"/>
    </row>
    <row r="243" spans="1:155" hidden="1" outlineLevel="1">
      <c r="A243" s="819" t="s">
        <v>143</v>
      </c>
      <c r="C243" s="915">
        <v>242.4</v>
      </c>
      <c r="D243" s="899"/>
      <c r="E243" s="900"/>
      <c r="F243" s="898"/>
      <c r="G243" s="915">
        <v>233.6</v>
      </c>
      <c r="H243" s="899"/>
      <c r="I243" s="900"/>
      <c r="J243" s="898"/>
      <c r="K243" s="915">
        <v>233.6</v>
      </c>
      <c r="L243" s="899"/>
      <c r="M243" s="900"/>
      <c r="N243" s="898"/>
      <c r="O243" s="915">
        <v>236.2</v>
      </c>
      <c r="P243" s="901"/>
      <c r="Q243" s="902"/>
      <c r="R243" s="898"/>
      <c r="S243" s="915">
        <v>240</v>
      </c>
      <c r="T243" s="901"/>
      <c r="U243" s="902"/>
      <c r="V243" s="898"/>
      <c r="W243" s="915">
        <v>234</v>
      </c>
      <c r="X243" s="901"/>
      <c r="Y243" s="902"/>
      <c r="Z243" s="898"/>
      <c r="AA243" s="915">
        <v>227</v>
      </c>
      <c r="AB243" s="901"/>
      <c r="AC243" s="902"/>
      <c r="AD243" s="898"/>
      <c r="AE243" s="914"/>
      <c r="AF243" s="901"/>
      <c r="AG243" s="902"/>
      <c r="AH243" s="898"/>
      <c r="AI243" s="915">
        <v>233</v>
      </c>
      <c r="AJ243" s="901"/>
      <c r="AK243" s="902"/>
      <c r="AL243" s="898"/>
      <c r="AM243" s="915">
        <v>244</v>
      </c>
      <c r="AN243" s="901"/>
      <c r="AO243" s="902"/>
      <c r="AP243" s="898"/>
      <c r="AQ243" s="915">
        <v>244</v>
      </c>
      <c r="AR243" s="901"/>
      <c r="AS243" s="902"/>
      <c r="AT243" s="898"/>
      <c r="AU243" s="915">
        <v>244</v>
      </c>
      <c r="AV243" s="901"/>
      <c r="AW243" s="902"/>
      <c r="AX243" s="898"/>
      <c r="AY243" s="915">
        <v>244</v>
      </c>
      <c r="AZ243" s="901"/>
      <c r="BA243" s="902"/>
      <c r="BB243" s="898"/>
      <c r="BC243" s="915">
        <v>244</v>
      </c>
      <c r="BD243" s="901"/>
      <c r="BE243" s="902"/>
      <c r="BF243" s="898"/>
      <c r="BG243" s="915">
        <v>244</v>
      </c>
      <c r="BH243" s="901"/>
      <c r="BI243" s="902"/>
      <c r="BJ243" s="898"/>
      <c r="BK243" s="915">
        <v>244</v>
      </c>
      <c r="BL243" s="901"/>
      <c r="BM243" s="902"/>
      <c r="BN243" s="898"/>
      <c r="BO243" s="915">
        <v>244</v>
      </c>
      <c r="BP243" s="901"/>
      <c r="BQ243" s="902"/>
      <c r="BR243" s="898"/>
      <c r="BS243" s="915">
        <v>272</v>
      </c>
      <c r="BT243" s="901"/>
      <c r="BU243" s="902"/>
      <c r="BV243" s="898"/>
      <c r="BW243" s="915">
        <v>278.2</v>
      </c>
      <c r="BX243" s="901"/>
      <c r="BY243" s="903"/>
      <c r="BZ243" s="898"/>
      <c r="CA243" s="915">
        <v>232.4</v>
      </c>
      <c r="CB243" s="901"/>
      <c r="CC243" s="903"/>
      <c r="CD243" s="898"/>
      <c r="CE243" s="915">
        <v>225</v>
      </c>
      <c r="CF243" s="901"/>
      <c r="CG243" s="902"/>
      <c r="CH243" s="898"/>
      <c r="CI243" s="915">
        <v>221.6</v>
      </c>
      <c r="CJ243" s="901"/>
      <c r="CK243" s="902"/>
      <c r="CL243" s="898"/>
      <c r="CM243" s="915">
        <v>222.1</v>
      </c>
      <c r="CN243" s="901"/>
      <c r="CO243" s="902"/>
      <c r="CP243" s="898"/>
      <c r="CQ243" s="915">
        <v>236</v>
      </c>
      <c r="CR243" s="901"/>
      <c r="CS243" s="902"/>
      <c r="CT243" s="898"/>
      <c r="CU243" s="915">
        <v>236.6</v>
      </c>
      <c r="CV243" s="901"/>
      <c r="CW243" s="902"/>
      <c r="CX243" s="898"/>
      <c r="CY243" s="915">
        <v>213.7</v>
      </c>
      <c r="CZ243" s="901"/>
      <c r="DA243" s="902"/>
      <c r="DB243" s="898"/>
      <c r="DC243" s="916">
        <v>219.5</v>
      </c>
      <c r="DD243" s="901"/>
      <c r="DE243" s="902"/>
      <c r="DF243" s="898"/>
      <c r="DG243" s="945">
        <f>AVERAGE(DG232:DG233)</f>
        <v>304.60000000000002</v>
      </c>
      <c r="DH243" s="901"/>
      <c r="DI243" s="902"/>
      <c r="DJ243" s="898"/>
      <c r="DK243" s="945">
        <f>AVERAGE(DK232:DK233)</f>
        <v>305.05</v>
      </c>
      <c r="DL243" s="901"/>
      <c r="DM243" s="902"/>
      <c r="DN243" s="898"/>
      <c r="DO243" s="898"/>
      <c r="DP243" s="945">
        <f>AVERAGE(DP232:DP233)</f>
        <v>306.39999999999998</v>
      </c>
      <c r="DQ243" s="901"/>
      <c r="DR243" s="902"/>
      <c r="DS243" s="898"/>
      <c r="DT243" s="898"/>
      <c r="DU243" s="945">
        <f>AVERAGE(DU232:DU233)</f>
        <v>308.55</v>
      </c>
      <c r="DV243" s="901"/>
      <c r="DW243" s="902"/>
      <c r="DX243" s="898"/>
      <c r="DY243" s="898"/>
      <c r="DZ243" s="945">
        <f>AVERAGE(DZ232:DZ233)</f>
        <v>312</v>
      </c>
      <c r="EA243" s="901"/>
      <c r="EB243" s="902"/>
      <c r="EC243" s="898"/>
      <c r="ED243" s="898"/>
      <c r="EE243" s="945">
        <f>AVERAGE(EE232:EE233)</f>
        <v>312.39999999999998</v>
      </c>
      <c r="EF243" s="901"/>
      <c r="EG243" s="902"/>
      <c r="EH243" s="898"/>
      <c r="EI243" s="898"/>
      <c r="EJ243" s="898"/>
      <c r="EK243" s="902"/>
      <c r="EL243" s="902"/>
      <c r="EM243" s="902"/>
      <c r="EN243" s="902"/>
      <c r="EO243" s="902"/>
      <c r="EP243" s="902"/>
      <c r="EQ243" s="902"/>
      <c r="ER243" s="902"/>
      <c r="ES243" s="902"/>
      <c r="ET243" s="902"/>
      <c r="EU243" s="902"/>
      <c r="EV243" s="902"/>
      <c r="EW243" s="805"/>
      <c r="EX243" s="805"/>
      <c r="EY243" s="898"/>
    </row>
    <row r="244" spans="1:155" hidden="1" outlineLevel="1">
      <c r="A244" s="819" t="s">
        <v>144</v>
      </c>
      <c r="C244" s="917">
        <v>243.4</v>
      </c>
      <c r="D244" s="899"/>
      <c r="E244" s="900"/>
      <c r="F244" s="898"/>
      <c r="G244" s="917">
        <v>236.4</v>
      </c>
      <c r="H244" s="899"/>
      <c r="I244" s="900"/>
      <c r="J244" s="898"/>
      <c r="K244" s="917">
        <v>233.6</v>
      </c>
      <c r="L244" s="899"/>
      <c r="M244" s="900"/>
      <c r="N244" s="898"/>
      <c r="O244" s="917">
        <v>236</v>
      </c>
      <c r="P244" s="901"/>
      <c r="Q244" s="902"/>
      <c r="R244" s="898"/>
      <c r="S244" s="917">
        <v>239</v>
      </c>
      <c r="T244" s="901"/>
      <c r="U244" s="902"/>
      <c r="V244" s="898"/>
      <c r="W244" s="917">
        <v>237.1</v>
      </c>
      <c r="X244" s="901"/>
      <c r="Y244" s="902"/>
      <c r="Z244" s="898"/>
      <c r="AA244" s="917">
        <v>228.7</v>
      </c>
      <c r="AB244" s="901"/>
      <c r="AC244" s="902"/>
      <c r="AD244" s="898"/>
      <c r="AE244" s="946"/>
      <c r="AF244" s="901"/>
      <c r="AG244" s="902"/>
      <c r="AH244" s="898"/>
      <c r="AI244" s="917">
        <v>229.25</v>
      </c>
      <c r="AJ244" s="901"/>
      <c r="AK244" s="902"/>
      <c r="AL244" s="898"/>
      <c r="AM244" s="917">
        <v>244</v>
      </c>
      <c r="AN244" s="901"/>
      <c r="AO244" s="902"/>
      <c r="AP244" s="898"/>
      <c r="AQ244" s="917">
        <v>244</v>
      </c>
      <c r="AR244" s="901"/>
      <c r="AS244" s="902"/>
      <c r="AT244" s="898"/>
      <c r="AU244" s="917">
        <v>244</v>
      </c>
      <c r="AV244" s="901"/>
      <c r="AW244" s="902"/>
      <c r="AX244" s="898"/>
      <c r="AY244" s="917">
        <v>244</v>
      </c>
      <c r="AZ244" s="901"/>
      <c r="BA244" s="902"/>
      <c r="BB244" s="898"/>
      <c r="BC244" s="917">
        <v>244</v>
      </c>
      <c r="BD244" s="901"/>
      <c r="BE244" s="902"/>
      <c r="BF244" s="898"/>
      <c r="BG244" s="917">
        <v>244</v>
      </c>
      <c r="BH244" s="901"/>
      <c r="BI244" s="902"/>
      <c r="BJ244" s="898"/>
      <c r="BK244" s="917">
        <v>244</v>
      </c>
      <c r="BL244" s="901"/>
      <c r="BM244" s="902"/>
      <c r="BN244" s="898"/>
      <c r="BO244" s="917">
        <v>244</v>
      </c>
      <c r="BP244" s="901"/>
      <c r="BQ244" s="902"/>
      <c r="BR244" s="898"/>
      <c r="BS244" s="917">
        <v>272</v>
      </c>
      <c r="BT244" s="901"/>
      <c r="BU244" s="902"/>
      <c r="BV244" s="898"/>
      <c r="BW244" s="917">
        <f>AVERAGE(BW240:BW243)</f>
        <v>279.42500000000001</v>
      </c>
      <c r="BX244" s="901"/>
      <c r="BY244" s="903"/>
      <c r="BZ244" s="898"/>
      <c r="CA244" s="917">
        <v>252.8</v>
      </c>
      <c r="CB244" s="901"/>
      <c r="CC244" s="903"/>
      <c r="CD244" s="898"/>
      <c r="CE244" s="917">
        <v>229.1</v>
      </c>
      <c r="CF244" s="901"/>
      <c r="CG244" s="902"/>
      <c r="CH244" s="898"/>
      <c r="CI244" s="917">
        <f>AVERAGE(CI240:CI243)</f>
        <v>222.875</v>
      </c>
      <c r="CJ244" s="901"/>
      <c r="CK244" s="902"/>
      <c r="CL244" s="898"/>
      <c r="CM244" s="917">
        <f>AVERAGE(CM240:CM243)</f>
        <v>221.97499999999999</v>
      </c>
      <c r="CN244" s="901"/>
      <c r="CO244" s="902"/>
      <c r="CP244" s="898"/>
      <c r="CQ244" s="917">
        <f>AVERAGE(CQ240:CQ243)</f>
        <v>232</v>
      </c>
      <c r="CR244" s="901"/>
      <c r="CS244" s="902"/>
      <c r="CT244" s="898"/>
      <c r="CU244" s="917">
        <f>AVERAGE(CU240:CU243)</f>
        <v>236.5</v>
      </c>
      <c r="CV244" s="901"/>
      <c r="CW244" s="902"/>
      <c r="CX244" s="898"/>
      <c r="CY244" s="917">
        <v>217.4</v>
      </c>
      <c r="CZ244" s="901"/>
      <c r="DA244" s="902"/>
      <c r="DB244" s="898"/>
      <c r="DC244" s="947">
        <v>219.2</v>
      </c>
      <c r="DD244" s="901"/>
      <c r="DE244" s="902"/>
      <c r="DF244" s="898"/>
      <c r="DG244" s="948">
        <v>249.3</v>
      </c>
      <c r="DH244" s="901"/>
      <c r="DI244" s="902"/>
      <c r="DJ244" s="898"/>
      <c r="DK244" s="918">
        <v>305.2</v>
      </c>
      <c r="DL244" s="901"/>
      <c r="DM244" s="902"/>
      <c r="DN244" s="898"/>
      <c r="DO244" s="898"/>
      <c r="DP244" s="918">
        <f>AVERAGE(DP240:DP243)</f>
        <v>305.86250000000001</v>
      </c>
      <c r="DQ244" s="901"/>
      <c r="DR244" s="902"/>
      <c r="DS244" s="898"/>
      <c r="DT244" s="898"/>
      <c r="DU244" s="918">
        <f>AVERAGE(DU240:DU243)</f>
        <v>307.8</v>
      </c>
      <c r="DV244" s="901"/>
      <c r="DW244" s="902"/>
      <c r="DX244" s="898"/>
      <c r="DY244" s="898"/>
      <c r="DZ244" s="918">
        <f>AVERAGE(DZ240:DZ243)</f>
        <v>310.65000000000003</v>
      </c>
      <c r="EA244" s="901"/>
      <c r="EB244" s="902"/>
      <c r="EC244" s="898"/>
      <c r="ED244" s="898"/>
      <c r="EE244" s="918">
        <f>AVERAGE(EE240:EE243)</f>
        <v>312.39999999999998</v>
      </c>
      <c r="EF244" s="901"/>
      <c r="EG244" s="902"/>
      <c r="EH244" s="898"/>
      <c r="EI244" s="898"/>
      <c r="EJ244" s="898"/>
      <c r="EK244" s="902"/>
      <c r="EL244" s="902"/>
      <c r="EM244" s="902"/>
      <c r="EN244" s="902"/>
      <c r="EO244" s="902"/>
      <c r="EP244" s="902"/>
      <c r="EQ244" s="902"/>
      <c r="ER244" s="902"/>
      <c r="ES244" s="902"/>
      <c r="ET244" s="902"/>
      <c r="EU244" s="902"/>
      <c r="EV244" s="902"/>
      <c r="EW244" s="805"/>
      <c r="EX244" s="805"/>
      <c r="EY244" s="898"/>
    </row>
    <row r="245" spans="1:155" hidden="1" outlineLevel="1">
      <c r="A245" s="819" t="s">
        <v>145</v>
      </c>
      <c r="C245" s="824" t="s">
        <v>151</v>
      </c>
      <c r="D245" s="905"/>
      <c r="E245" s="869"/>
      <c r="G245" s="824" t="s">
        <v>151</v>
      </c>
      <c r="H245" s="905"/>
      <c r="I245" s="869"/>
      <c r="K245" s="824" t="s">
        <v>151</v>
      </c>
      <c r="L245" s="905"/>
      <c r="M245" s="869"/>
      <c r="O245" s="824" t="s">
        <v>151</v>
      </c>
      <c r="P245" s="891"/>
      <c r="Q245" s="904"/>
      <c r="S245" s="824" t="s">
        <v>151</v>
      </c>
      <c r="T245" s="891"/>
      <c r="U245" s="904"/>
      <c r="W245" s="824" t="s">
        <v>151</v>
      </c>
      <c r="X245" s="891"/>
      <c r="Y245" s="904"/>
      <c r="AA245" s="824" t="s">
        <v>151</v>
      </c>
      <c r="AB245" s="891"/>
      <c r="AC245" s="904"/>
      <c r="AE245" s="829" t="s">
        <v>151</v>
      </c>
      <c r="AF245" s="891"/>
      <c r="AG245" s="904"/>
      <c r="AI245" s="824" t="s">
        <v>151</v>
      </c>
      <c r="AJ245" s="891"/>
      <c r="AK245" s="904"/>
      <c r="AM245" s="824" t="s">
        <v>151</v>
      </c>
      <c r="AN245" s="891"/>
      <c r="AO245" s="904"/>
      <c r="AQ245" s="824" t="s">
        <v>151</v>
      </c>
      <c r="AR245" s="891"/>
      <c r="AS245" s="904"/>
      <c r="AU245" s="824" t="s">
        <v>151</v>
      </c>
      <c r="AV245" s="891"/>
      <c r="AW245" s="904"/>
      <c r="AY245" s="824" t="s">
        <v>151</v>
      </c>
      <c r="AZ245" s="891"/>
      <c r="BA245" s="904"/>
      <c r="BC245" s="824" t="s">
        <v>151</v>
      </c>
      <c r="BD245" s="891"/>
      <c r="BE245" s="904"/>
      <c r="BG245" s="824" t="s">
        <v>151</v>
      </c>
      <c r="BH245" s="891"/>
      <c r="BI245" s="904"/>
      <c r="BK245" s="824" t="s">
        <v>151</v>
      </c>
      <c r="BL245" s="891"/>
      <c r="BM245" s="904"/>
      <c r="BO245" s="824" t="s">
        <v>151</v>
      </c>
      <c r="BP245" s="891"/>
      <c r="BQ245" s="904"/>
      <c r="BS245" s="824" t="s">
        <v>151</v>
      </c>
      <c r="BT245" s="891"/>
      <c r="BU245" s="904"/>
      <c r="BW245" s="824">
        <f>AVERAGE(BW240:BW241)</f>
        <v>280.14999999999998</v>
      </c>
      <c r="BX245" s="891"/>
      <c r="BY245" s="888"/>
      <c r="CA245" s="824">
        <f>AVERAGE(CA240:CA241)</f>
        <v>266.55</v>
      </c>
      <c r="CB245" s="891"/>
      <c r="CC245" s="888"/>
      <c r="CE245" s="824">
        <f>AVERAGE(CE240:CE241)</f>
        <v>233.3</v>
      </c>
      <c r="CF245" s="891"/>
      <c r="CG245" s="904"/>
      <c r="CI245" s="824">
        <f>AVERAGE(CI240:CI241)</f>
        <v>224.2</v>
      </c>
      <c r="CJ245" s="891"/>
      <c r="CK245" s="904"/>
      <c r="CM245" s="824">
        <f>AVERAGE(CM240:CM241)</f>
        <v>221.9</v>
      </c>
      <c r="CN245" s="891"/>
      <c r="CO245" s="904"/>
      <c r="CQ245" s="824">
        <f>AVERAGE(CQ240:CQ241)</f>
        <v>228.05</v>
      </c>
      <c r="CR245" s="891"/>
      <c r="CS245" s="904"/>
      <c r="CU245" s="824">
        <f>AVERAGE(CU240:CU241)</f>
        <v>236.5</v>
      </c>
      <c r="CV245" s="891"/>
      <c r="CW245" s="904"/>
      <c r="CY245" s="824">
        <f>AVERAGE(CY240:CY241)</f>
        <v>221.25</v>
      </c>
      <c r="CZ245" s="891"/>
      <c r="DA245" s="904"/>
      <c r="DC245" s="777">
        <f>AVERAGE(DC240:DC241)</f>
        <v>218.8</v>
      </c>
      <c r="DD245" s="891"/>
      <c r="DE245" s="904"/>
      <c r="DG245" s="777">
        <f>AVERAGE(DG240:DG241)</f>
        <v>219.92500000000001</v>
      </c>
      <c r="DH245" s="891"/>
      <c r="DI245" s="904"/>
      <c r="DK245" s="777">
        <f>AVERAGE(DK240:DK241)</f>
        <v>304.85000000000002</v>
      </c>
      <c r="DL245" s="891"/>
      <c r="DM245" s="904"/>
      <c r="DP245" s="777">
        <f>AVERAGE(DP240:DP241)</f>
        <v>305.45000000000005</v>
      </c>
      <c r="DQ245" s="891"/>
      <c r="DR245" s="904"/>
      <c r="DU245" s="777">
        <f>AVERAGE(DU240:DU241)</f>
        <v>307.25</v>
      </c>
      <c r="DV245" s="891"/>
      <c r="DW245" s="904"/>
      <c r="DZ245" s="777">
        <f>AVERAGE(DZ240:DZ241)</f>
        <v>309.70000000000005</v>
      </c>
      <c r="EA245" s="891"/>
      <c r="EB245" s="904"/>
      <c r="EE245" s="777">
        <f>AVERAGE(EE240:EE241)</f>
        <v>312.39999999999998</v>
      </c>
      <c r="EF245" s="891"/>
      <c r="EG245" s="904"/>
      <c r="EJ245" s="898"/>
      <c r="EK245" s="902"/>
      <c r="EL245" s="902"/>
      <c r="EM245" s="902"/>
      <c r="EN245" s="902"/>
      <c r="EO245" s="902"/>
      <c r="EP245" s="904"/>
      <c r="EQ245" s="904"/>
      <c r="ER245" s="904"/>
      <c r="ES245" s="904"/>
      <c r="ET245" s="904"/>
      <c r="EU245" s="904"/>
      <c r="EV245" s="904"/>
      <c r="EW245" s="805"/>
      <c r="EX245" s="805"/>
    </row>
    <row r="246" spans="1:155" hidden="1" outlineLevel="1">
      <c r="A246" s="819" t="s">
        <v>146</v>
      </c>
      <c r="C246" s="824" t="s">
        <v>151</v>
      </c>
      <c r="D246" s="905"/>
      <c r="E246" s="869"/>
      <c r="G246" s="824" t="s">
        <v>151</v>
      </c>
      <c r="H246" s="905"/>
      <c r="I246" s="869"/>
      <c r="K246" s="824" t="s">
        <v>151</v>
      </c>
      <c r="L246" s="905"/>
      <c r="M246" s="869"/>
      <c r="O246" s="824" t="s">
        <v>151</v>
      </c>
      <c r="P246" s="891"/>
      <c r="Q246" s="904"/>
      <c r="S246" s="824" t="s">
        <v>151</v>
      </c>
      <c r="T246" s="891"/>
      <c r="U246" s="904"/>
      <c r="W246" s="824" t="s">
        <v>151</v>
      </c>
      <c r="X246" s="891"/>
      <c r="Y246" s="904"/>
      <c r="AA246" s="824" t="s">
        <v>151</v>
      </c>
      <c r="AB246" s="891"/>
      <c r="AC246" s="904"/>
      <c r="AE246" s="829" t="s">
        <v>151</v>
      </c>
      <c r="AF246" s="891"/>
      <c r="AG246" s="904"/>
      <c r="AI246" s="824" t="s">
        <v>151</v>
      </c>
      <c r="AJ246" s="891"/>
      <c r="AK246" s="904"/>
      <c r="AM246" s="824" t="s">
        <v>151</v>
      </c>
      <c r="AN246" s="891"/>
      <c r="AO246" s="904"/>
      <c r="AQ246" s="824" t="s">
        <v>151</v>
      </c>
      <c r="AR246" s="891"/>
      <c r="AS246" s="904"/>
      <c r="AU246" s="824" t="s">
        <v>151</v>
      </c>
      <c r="AV246" s="891"/>
      <c r="AW246" s="904"/>
      <c r="AY246" s="824" t="s">
        <v>151</v>
      </c>
      <c r="AZ246" s="891"/>
      <c r="BA246" s="904"/>
      <c r="BC246" s="824" t="s">
        <v>151</v>
      </c>
      <c r="BD246" s="891"/>
      <c r="BE246" s="904"/>
      <c r="BG246" s="824" t="s">
        <v>151</v>
      </c>
      <c r="BH246" s="891"/>
      <c r="BI246" s="904"/>
      <c r="BK246" s="824" t="s">
        <v>151</v>
      </c>
      <c r="BL246" s="891"/>
      <c r="BM246" s="904"/>
      <c r="BO246" s="824" t="s">
        <v>151</v>
      </c>
      <c r="BP246" s="891"/>
      <c r="BQ246" s="904"/>
      <c r="BS246" s="824" t="s">
        <v>151</v>
      </c>
      <c r="BT246" s="891"/>
      <c r="BU246" s="904"/>
      <c r="BW246" s="824">
        <f>AVERAGE(BW240:BW242)</f>
        <v>279.83333333333331</v>
      </c>
      <c r="BX246" s="891"/>
      <c r="BY246" s="888"/>
      <c r="CA246" s="824">
        <f>AVERAGE(CA240:CA242)</f>
        <v>259.8</v>
      </c>
      <c r="CB246" s="891"/>
      <c r="CC246" s="888"/>
      <c r="CE246" s="824">
        <f>AVERAGE(CE240:CE242)</f>
        <v>230.56666666666669</v>
      </c>
      <c r="CF246" s="891"/>
      <c r="CG246" s="904"/>
      <c r="CI246" s="824">
        <f>AVERAGE(CI240:CI242)</f>
        <v>223.29999999999998</v>
      </c>
      <c r="CJ246" s="891"/>
      <c r="CK246" s="904"/>
      <c r="CM246" s="824">
        <f>AVERAGE(CM240:CM242)</f>
        <v>221.93333333333331</v>
      </c>
      <c r="CN246" s="891"/>
      <c r="CO246" s="904"/>
      <c r="CQ246" s="824">
        <f>AVERAGE(CQ240:CQ242)</f>
        <v>230.66666666666666</v>
      </c>
      <c r="CR246" s="891"/>
      <c r="CS246" s="904"/>
      <c r="CU246" s="824">
        <f>AVERAGE(CU240:CU242)</f>
        <v>236.46666666666667</v>
      </c>
      <c r="CV246" s="891"/>
      <c r="CW246" s="904"/>
      <c r="CY246" s="824">
        <f>AVERAGE(CY240:CY242)</f>
        <v>218.6</v>
      </c>
      <c r="CZ246" s="891"/>
      <c r="DA246" s="904"/>
      <c r="DC246" s="777">
        <f>AVERAGE(DC240:DC242)</f>
        <v>219</v>
      </c>
      <c r="DD246" s="891"/>
      <c r="DE246" s="904"/>
      <c r="DG246" s="777">
        <f>AVERAGE(DG240:DG242)</f>
        <v>229.48333333333335</v>
      </c>
      <c r="DH246" s="891"/>
      <c r="DI246" s="904"/>
      <c r="DK246" s="777">
        <f>AVERAGE(DK240:DK242)</f>
        <v>304.90000000000003</v>
      </c>
      <c r="DL246" s="891"/>
      <c r="DM246" s="904"/>
      <c r="DP246" s="777">
        <f>AVERAGE(DP240:DP242)</f>
        <v>305.68333333333334</v>
      </c>
      <c r="DQ246" s="891"/>
      <c r="DR246" s="904"/>
      <c r="DU246" s="777">
        <f>AVERAGE(DU240:DU242)</f>
        <v>307.55</v>
      </c>
      <c r="DV246" s="891"/>
      <c r="DW246" s="904"/>
      <c r="DZ246" s="777">
        <f>AVERAGE(DZ240:DZ242)</f>
        <v>310.20000000000005</v>
      </c>
      <c r="EA246" s="891"/>
      <c r="EB246" s="904"/>
      <c r="EE246" s="777">
        <f>AVERAGE(EE240:EE242)</f>
        <v>312.39999999999998</v>
      </c>
      <c r="EF246" s="891"/>
      <c r="EG246" s="904"/>
      <c r="EJ246" s="898"/>
      <c r="EK246" s="902"/>
      <c r="EL246" s="902"/>
      <c r="EM246" s="902"/>
      <c r="EN246" s="902"/>
      <c r="EO246" s="902"/>
      <c r="EP246" s="904"/>
      <c r="EQ246" s="904"/>
      <c r="ER246" s="904"/>
      <c r="ES246" s="904"/>
      <c r="ET246" s="904"/>
      <c r="EU246" s="904"/>
      <c r="EV246" s="904"/>
      <c r="EW246" s="805"/>
      <c r="EX246" s="805"/>
    </row>
    <row r="247" spans="1:155" collapsed="1">
      <c r="EK247" s="904"/>
      <c r="EL247" s="904"/>
      <c r="EM247" s="904"/>
      <c r="EN247" s="904"/>
      <c r="EO247" s="904"/>
      <c r="EW247" s="805"/>
      <c r="EX247" s="805"/>
    </row>
    <row r="248" spans="1:155">
      <c r="EK248" s="904"/>
      <c r="EL248" s="904"/>
      <c r="EM248" s="904"/>
      <c r="EN248" s="904"/>
      <c r="EO248" s="904"/>
      <c r="EW248" s="805"/>
      <c r="EX248" s="805"/>
    </row>
    <row r="249" spans="1:155">
      <c r="EW249" s="805"/>
      <c r="EX249" s="805"/>
    </row>
    <row r="250" spans="1:155">
      <c r="CY250" s="591"/>
      <c r="DC250" s="591"/>
      <c r="DG250" s="591"/>
      <c r="DK250" s="591"/>
      <c r="DP250" s="591"/>
      <c r="DU250" s="591"/>
      <c r="DZ250" s="591"/>
      <c r="EE250" s="591"/>
      <c r="EW250" s="805"/>
      <c r="EX250" s="805"/>
    </row>
    <row r="251" spans="1:155">
      <c r="CY251" s="678"/>
      <c r="DC251" s="678"/>
      <c r="DG251" s="678"/>
      <c r="DK251" s="678"/>
      <c r="DP251" s="678"/>
      <c r="DU251" s="678"/>
      <c r="DZ251" s="678"/>
      <c r="EE251" s="678"/>
      <c r="EW251" s="805"/>
      <c r="EX251" s="805"/>
    </row>
    <row r="252" spans="1:155">
      <c r="EW252" s="805"/>
      <c r="EX252" s="805"/>
    </row>
    <row r="253" spans="1:155">
      <c r="EW253" s="805"/>
      <c r="EX253" s="805"/>
    </row>
    <row r="254" spans="1:155">
      <c r="EW254" s="805"/>
      <c r="EX254" s="805"/>
    </row>
    <row r="255" spans="1:155">
      <c r="EW255" s="805"/>
      <c r="EX255" s="805"/>
    </row>
    <row r="256" spans="1:155">
      <c r="EW256" s="805"/>
      <c r="EX256" s="805"/>
    </row>
    <row r="257" spans="153:154">
      <c r="EW257" s="805"/>
      <c r="EX257" s="805"/>
    </row>
    <row r="258" spans="153:154">
      <c r="EW258" s="805"/>
      <c r="EX258" s="805"/>
    </row>
    <row r="259" spans="153:154">
      <c r="EW259" s="805"/>
      <c r="EX259" s="805"/>
    </row>
    <row r="260" spans="153:154">
      <c r="EW260" s="805"/>
      <c r="EX260" s="805"/>
    </row>
    <row r="261" spans="153:154">
      <c r="EW261" s="805"/>
      <c r="EX261" s="805"/>
    </row>
    <row r="262" spans="153:154">
      <c r="EW262" s="805"/>
      <c r="EX262" s="805"/>
    </row>
    <row r="263" spans="153:154">
      <c r="EW263" s="805"/>
      <c r="EX263" s="805"/>
    </row>
    <row r="264" spans="153:154">
      <c r="EW264" s="805"/>
      <c r="EX264" s="805"/>
    </row>
    <row r="265" spans="153:154">
      <c r="EW265" s="805"/>
      <c r="EX265" s="805"/>
    </row>
    <row r="266" spans="153:154">
      <c r="EW266" s="805"/>
      <c r="EX266" s="805"/>
    </row>
    <row r="267" spans="153:154">
      <c r="EW267" s="805"/>
      <c r="EX267" s="805"/>
    </row>
    <row r="268" spans="153:154">
      <c r="EW268" s="805"/>
      <c r="EX268" s="805"/>
    </row>
    <row r="269" spans="153:154">
      <c r="EW269" s="805"/>
      <c r="EX269" s="805"/>
    </row>
    <row r="270" spans="153:154">
      <c r="EW270" s="805"/>
      <c r="EX270" s="805"/>
    </row>
    <row r="271" spans="153:154">
      <c r="EW271" s="805"/>
      <c r="EX271" s="805"/>
    </row>
    <row r="272" spans="153:154">
      <c r="EW272" s="805"/>
      <c r="EX272" s="805"/>
    </row>
    <row r="273" spans="153:154">
      <c r="EW273" s="805"/>
      <c r="EX273" s="805"/>
    </row>
    <row r="274" spans="153:154">
      <c r="EW274" s="805"/>
      <c r="EX274" s="805"/>
    </row>
    <row r="275" spans="153:154">
      <c r="EW275" s="805"/>
      <c r="EX275" s="805"/>
    </row>
    <row r="276" spans="153:154">
      <c r="EW276" s="805"/>
      <c r="EX276" s="805"/>
    </row>
    <row r="277" spans="153:154">
      <c r="EW277" s="805"/>
      <c r="EX277" s="805"/>
    </row>
  </sheetData>
  <mergeCells count="22">
    <mergeCell ref="DP98:DW98"/>
    <mergeCell ref="DP118:DW118"/>
    <mergeCell ref="DP188:DW188"/>
    <mergeCell ref="DP198:DW198"/>
    <mergeCell ref="DP108:DW108"/>
    <mergeCell ref="DP208:DW208"/>
    <mergeCell ref="DP218:DW218"/>
    <mergeCell ref="DP128:DW128"/>
    <mergeCell ref="DP138:DW138"/>
    <mergeCell ref="DP148:DW148"/>
    <mergeCell ref="DP158:DW158"/>
    <mergeCell ref="DP168:DW168"/>
    <mergeCell ref="DP178:DW178"/>
    <mergeCell ref="DP68:DW68"/>
    <mergeCell ref="DP78:DW78"/>
    <mergeCell ref="DP88:DW88"/>
    <mergeCell ref="DP8:DW8"/>
    <mergeCell ref="DP18:DW18"/>
    <mergeCell ref="DP38:DW38"/>
    <mergeCell ref="DP28:DW28"/>
    <mergeCell ref="DP48:DW48"/>
    <mergeCell ref="DP58:DW58"/>
  </mergeCells>
  <phoneticPr fontId="10" type="noConversion"/>
  <dataValidations disablePrompts="1" count="1">
    <dataValidation type="custom" allowBlank="1" showInputMessage="1" showErrorMessage="1" sqref="BK4:BU4">
      <formula1>-1</formula1>
    </dataValidation>
  </dataValidations>
  <printOptions horizontalCentered="1" verticalCentered="1"/>
  <pageMargins left="0.25" right="0.25" top="0" bottom="0" header="0.25" footer="0.25"/>
  <pageSetup scale="57" fitToHeight="0" orientation="landscape" r:id="rId1"/>
  <headerFooter alignWithMargins="0"/>
  <rowBreaks count="2" manualBreakCount="2">
    <brk id="97" max="126" man="1"/>
    <brk id="177" max="126"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W266"/>
  <sheetViews>
    <sheetView showGridLines="0" zoomScaleNormal="100" workbookViewId="0"/>
  </sheetViews>
  <sheetFormatPr defaultRowHeight="13.5" customHeight="1" outlineLevelRow="1" outlineLevelCol="1"/>
  <cols>
    <col min="1" max="1" width="9.28515625" style="398" bestFit="1" customWidth="1"/>
    <col min="2" max="3" width="1.7109375" style="398" customWidth="1"/>
    <col min="4" max="4" width="7" style="398" customWidth="1"/>
    <col min="5" max="5" width="1.85546875" style="398" customWidth="1"/>
    <col min="6" max="6" width="8.140625" style="398" customWidth="1"/>
    <col min="7" max="7" width="1.85546875" style="398" customWidth="1"/>
    <col min="8" max="8" width="7.7109375" style="398" customWidth="1"/>
    <col min="9" max="9" width="1.85546875" style="398" customWidth="1"/>
    <col min="10" max="10" width="8.5703125" style="398" customWidth="1"/>
    <col min="11" max="11" width="6.5703125" style="398" bestFit="1" customWidth="1"/>
    <col min="12" max="12" width="9" style="398" customWidth="1"/>
    <col min="13" max="13" width="1.7109375" style="398" customWidth="1"/>
    <col min="14" max="14" width="8" style="398" customWidth="1"/>
    <col min="15" max="15" width="1.85546875" style="398" customWidth="1"/>
    <col min="16" max="16" width="9.28515625" style="398" bestFit="1" customWidth="1"/>
    <col min="17" max="17" width="4.28515625" style="398" customWidth="1"/>
    <col min="18" max="18" width="2" style="398" customWidth="1"/>
    <col min="19" max="19" width="11.85546875" style="398" bestFit="1" customWidth="1"/>
    <col min="20" max="20" width="1.7109375" style="398" customWidth="1"/>
    <col min="21" max="21" width="9.28515625" style="398" hidden="1" customWidth="1" outlineLevel="1"/>
    <col min="22" max="22" width="1.7109375" style="398" customWidth="1" collapsed="1"/>
    <col min="23" max="23" width="8.42578125" style="398" customWidth="1"/>
    <col min="24" max="24" width="1.7109375" style="398" customWidth="1"/>
    <col min="25" max="25" width="9.28515625" style="398" bestFit="1" customWidth="1"/>
    <col min="26" max="26" width="1.7109375" style="398" customWidth="1"/>
    <col min="27" max="27" width="8.28515625" style="398" customWidth="1"/>
    <col min="28" max="28" width="1.7109375" style="398" customWidth="1"/>
    <col min="29" max="29" width="8.5703125" style="398" customWidth="1"/>
    <col min="30" max="30" width="1.7109375" style="398" customWidth="1"/>
    <col min="31" max="31" width="9" style="398" customWidth="1"/>
    <col min="32" max="32" width="1.85546875" style="398" customWidth="1"/>
    <col min="33" max="33" width="9.28515625" style="398" bestFit="1" customWidth="1"/>
    <col min="34" max="34" width="6.85546875" style="398" customWidth="1"/>
    <col min="35" max="35" width="1.7109375" style="398" customWidth="1"/>
    <col min="36" max="36" width="9.28515625" style="398" bestFit="1" customWidth="1"/>
    <col min="37" max="37" width="1.7109375" style="398" customWidth="1"/>
    <col min="38" max="38" width="9.28515625" style="398" bestFit="1" customWidth="1"/>
    <col min="39" max="39" width="1.7109375" style="398" customWidth="1"/>
    <col min="40" max="40" width="9.28515625" style="398" bestFit="1" customWidth="1"/>
    <col min="41" max="41" width="1.85546875" style="398" customWidth="1"/>
    <col min="42" max="42" width="9.28515625" style="398" bestFit="1" customWidth="1"/>
    <col min="43" max="43" width="7.7109375" style="398" customWidth="1" outlineLevel="1"/>
    <col min="44" max="44" width="9.28515625" style="398" bestFit="1" customWidth="1"/>
    <col min="45" max="45" width="8.140625" style="398" customWidth="1"/>
    <col min="46" max="46" width="15.7109375" style="398" bestFit="1" customWidth="1" outlineLevel="1"/>
    <col min="47" max="47" width="9.140625" style="398"/>
    <col min="48" max="48" width="11.28515625" style="398" bestFit="1" customWidth="1"/>
    <col min="49" max="16384" width="9.140625" style="398"/>
  </cols>
  <sheetData>
    <row r="1" spans="1:46" ht="13.5" customHeight="1">
      <c r="A1" s="711" t="s">
        <v>356</v>
      </c>
    </row>
    <row r="2" spans="1:46" ht="13.5" customHeight="1">
      <c r="A2" s="583" t="s">
        <v>711</v>
      </c>
      <c r="B2" s="584"/>
      <c r="C2" s="584"/>
      <c r="D2" s="584"/>
      <c r="E2" s="584"/>
      <c r="F2" s="584"/>
      <c r="G2" s="584"/>
      <c r="H2" s="584"/>
      <c r="I2" s="584"/>
      <c r="J2" s="712"/>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584"/>
      <c r="AJ2" s="584"/>
      <c r="AK2" s="584"/>
      <c r="AL2" s="584"/>
      <c r="AM2" s="584"/>
      <c r="AN2" s="584"/>
      <c r="AO2" s="584"/>
      <c r="AP2" s="584"/>
      <c r="AQ2" s="584"/>
      <c r="AR2" s="584"/>
      <c r="AS2" s="584"/>
    </row>
    <row r="5" spans="1:46" ht="13.5" customHeight="1">
      <c r="A5" s="713"/>
      <c r="B5" s="713"/>
      <c r="C5" s="713"/>
      <c r="D5" s="713"/>
      <c r="E5" s="713"/>
      <c r="F5" s="713"/>
      <c r="G5" s="713"/>
      <c r="H5" s="713"/>
      <c r="I5" s="713"/>
      <c r="J5" s="714" t="s">
        <v>135</v>
      </c>
      <c r="K5" s="715"/>
      <c r="L5" s="715"/>
      <c r="M5" s="716"/>
      <c r="N5" s="713"/>
      <c r="O5" s="715"/>
      <c r="P5" s="715"/>
      <c r="Q5" s="715"/>
      <c r="R5" s="715"/>
      <c r="S5" s="715"/>
      <c r="T5" s="715"/>
      <c r="U5" s="715"/>
      <c r="V5" s="715"/>
      <c r="W5" s="715"/>
      <c r="X5" s="715"/>
      <c r="Y5" s="716"/>
      <c r="Z5" s="717"/>
      <c r="AA5" s="714" t="s">
        <v>134</v>
      </c>
      <c r="AB5" s="715"/>
      <c r="AC5" s="715"/>
      <c r="AD5" s="715"/>
      <c r="AE5" s="715"/>
      <c r="AF5" s="715"/>
      <c r="AG5" s="718"/>
      <c r="AH5" s="715"/>
      <c r="AI5" s="715"/>
      <c r="AJ5" s="715"/>
      <c r="AK5" s="715"/>
      <c r="AL5" s="719"/>
      <c r="AM5" s="719"/>
      <c r="AN5" s="720"/>
    </row>
    <row r="6" spans="1:46" ht="13.5" customHeight="1">
      <c r="A6" s="721"/>
      <c r="B6" s="721"/>
      <c r="C6" s="721"/>
      <c r="D6" s="722"/>
      <c r="E6" s="723" t="s">
        <v>152</v>
      </c>
      <c r="F6" s="722"/>
      <c r="G6" s="721"/>
      <c r="H6" s="724" t="s">
        <v>96</v>
      </c>
      <c r="I6" s="721"/>
      <c r="J6" s="721"/>
      <c r="K6" s="721"/>
      <c r="L6" s="721"/>
      <c r="M6" s="721"/>
      <c r="N6" s="724"/>
      <c r="O6" s="721"/>
      <c r="P6" s="725" t="s">
        <v>97</v>
      </c>
      <c r="Q6" s="725"/>
      <c r="R6" s="726"/>
      <c r="S6" s="727"/>
      <c r="T6" s="728"/>
      <c r="U6" s="727"/>
      <c r="V6" s="728"/>
      <c r="W6" s="729" t="s">
        <v>136</v>
      </c>
      <c r="X6" s="730"/>
      <c r="Y6" s="730"/>
      <c r="Z6" s="731"/>
      <c r="AA6" s="732"/>
      <c r="AB6" s="732"/>
      <c r="AC6" s="732"/>
      <c r="AD6" s="721"/>
      <c r="AE6" s="721"/>
      <c r="AF6" s="721"/>
      <c r="AG6" s="725" t="s">
        <v>97</v>
      </c>
      <c r="AH6" s="725"/>
      <c r="AI6" s="726" t="s">
        <v>357</v>
      </c>
      <c r="AJ6" s="727"/>
      <c r="AK6" s="728"/>
      <c r="AL6" s="729" t="s">
        <v>137</v>
      </c>
      <c r="AM6" s="730"/>
      <c r="AN6" s="730"/>
    </row>
    <row r="7" spans="1:46" ht="13.5" customHeight="1">
      <c r="A7" s="721"/>
      <c r="B7" s="721"/>
      <c r="C7" s="721"/>
      <c r="D7" s="721"/>
      <c r="E7" s="721"/>
      <c r="F7" s="721" t="s">
        <v>154</v>
      </c>
      <c r="G7" s="721"/>
      <c r="H7" s="723" t="s">
        <v>98</v>
      </c>
      <c r="I7" s="721"/>
      <c r="J7" s="733" t="s">
        <v>99</v>
      </c>
      <c r="K7" s="734"/>
      <c r="L7" s="734"/>
      <c r="M7" s="735"/>
      <c r="N7" s="723"/>
      <c r="O7" s="721"/>
      <c r="P7" s="736" t="s">
        <v>100</v>
      </c>
      <c r="Q7" s="736"/>
      <c r="R7" s="726"/>
      <c r="S7" s="721"/>
      <c r="T7" s="737"/>
      <c r="U7" s="738" t="s">
        <v>153</v>
      </c>
      <c r="V7" s="737"/>
      <c r="W7" s="738" t="s">
        <v>118</v>
      </c>
      <c r="X7" s="731"/>
      <c r="Y7" s="739" t="s">
        <v>119</v>
      </c>
      <c r="Z7" s="731"/>
      <c r="AA7" s="729"/>
      <c r="AB7" s="729" t="s">
        <v>123</v>
      </c>
      <c r="AC7" s="729"/>
      <c r="AD7" s="735"/>
      <c r="AE7" s="740"/>
      <c r="AF7" s="721"/>
      <c r="AG7" s="736" t="s">
        <v>100</v>
      </c>
      <c r="AH7" s="736"/>
      <c r="AI7" s="726"/>
      <c r="AJ7" s="721"/>
      <c r="AK7" s="737"/>
      <c r="AL7" s="741" t="s">
        <v>132</v>
      </c>
      <c r="AM7" s="731"/>
      <c r="AN7" s="739" t="s">
        <v>119</v>
      </c>
      <c r="AR7" s="742" t="s">
        <v>359</v>
      </c>
    </row>
    <row r="8" spans="1:46" ht="13.5" customHeight="1">
      <c r="A8" s="721"/>
      <c r="B8" s="721"/>
      <c r="C8" s="721"/>
      <c r="D8" s="723" t="s">
        <v>153</v>
      </c>
      <c r="E8" s="743"/>
      <c r="F8" s="723" t="s">
        <v>155</v>
      </c>
      <c r="G8" s="743"/>
      <c r="H8" s="737" t="s">
        <v>101</v>
      </c>
      <c r="I8" s="743"/>
      <c r="J8" s="744" t="s">
        <v>153</v>
      </c>
      <c r="K8" s="743"/>
      <c r="L8" s="744" t="s">
        <v>102</v>
      </c>
      <c r="M8" s="743"/>
      <c r="N8" s="737" t="s">
        <v>103</v>
      </c>
      <c r="O8" s="743"/>
      <c r="P8" s="745" t="s">
        <v>104</v>
      </c>
      <c r="Q8" s="745"/>
      <c r="R8" s="726"/>
      <c r="S8" s="723" t="s">
        <v>153</v>
      </c>
      <c r="T8" s="737"/>
      <c r="U8" s="746" t="s">
        <v>360</v>
      </c>
      <c r="V8" s="737"/>
      <c r="W8" s="746" t="s">
        <v>117</v>
      </c>
      <c r="X8" s="747"/>
      <c r="Y8" s="746" t="s">
        <v>120</v>
      </c>
      <c r="Z8" s="747"/>
      <c r="AA8" s="729" t="s">
        <v>153</v>
      </c>
      <c r="AB8" s="741"/>
      <c r="AC8" s="729" t="s">
        <v>102</v>
      </c>
      <c r="AD8" s="743"/>
      <c r="AE8" s="723" t="s">
        <v>103</v>
      </c>
      <c r="AF8" s="743"/>
      <c r="AG8" s="745" t="s">
        <v>127</v>
      </c>
      <c r="AH8" s="745"/>
      <c r="AI8" s="726"/>
      <c r="AJ8" s="723" t="s">
        <v>153</v>
      </c>
      <c r="AK8" s="737"/>
      <c r="AL8" s="729" t="s">
        <v>133</v>
      </c>
      <c r="AM8" s="747"/>
      <c r="AN8" s="746" t="s">
        <v>120</v>
      </c>
      <c r="AP8" s="742" t="s">
        <v>138</v>
      </c>
      <c r="AQ8" s="742" t="s">
        <v>156</v>
      </c>
      <c r="AR8" s="742" t="s">
        <v>358</v>
      </c>
      <c r="AS8" s="742" t="s">
        <v>156</v>
      </c>
      <c r="AT8" s="748" t="s">
        <v>504</v>
      </c>
    </row>
    <row r="9" spans="1:46" ht="13.5" customHeight="1">
      <c r="A9" s="722"/>
      <c r="B9" s="722"/>
      <c r="C9" s="722"/>
      <c r="D9" s="723" t="s">
        <v>95</v>
      </c>
      <c r="E9" s="722"/>
      <c r="F9" s="723" t="s">
        <v>105</v>
      </c>
      <c r="G9" s="722"/>
      <c r="H9" s="723" t="s">
        <v>106</v>
      </c>
      <c r="I9" s="722"/>
      <c r="J9" s="723" t="s">
        <v>107</v>
      </c>
      <c r="K9" s="722"/>
      <c r="L9" s="723" t="s">
        <v>108</v>
      </c>
      <c r="M9" s="722"/>
      <c r="N9" s="723" t="s">
        <v>109</v>
      </c>
      <c r="O9" s="722"/>
      <c r="P9" s="725" t="s">
        <v>110</v>
      </c>
      <c r="Q9" s="725"/>
      <c r="R9" s="749"/>
      <c r="S9" s="723" t="s">
        <v>121</v>
      </c>
      <c r="T9" s="723"/>
      <c r="U9" s="723" t="s">
        <v>121</v>
      </c>
      <c r="V9" s="723"/>
      <c r="W9" s="723" t="s">
        <v>111</v>
      </c>
      <c r="X9" s="750"/>
      <c r="Y9" s="723" t="s">
        <v>122</v>
      </c>
      <c r="Z9" s="751"/>
      <c r="AA9" s="723" t="s">
        <v>124</v>
      </c>
      <c r="AB9" s="722"/>
      <c r="AC9" s="723" t="s">
        <v>125</v>
      </c>
      <c r="AD9" s="722"/>
      <c r="AE9" s="723" t="s">
        <v>126</v>
      </c>
      <c r="AF9" s="722"/>
      <c r="AG9" s="723" t="s">
        <v>128</v>
      </c>
      <c r="AH9" s="734"/>
      <c r="AI9" s="749"/>
      <c r="AJ9" s="723" t="s">
        <v>129</v>
      </c>
      <c r="AK9" s="723"/>
      <c r="AL9" s="723" t="s">
        <v>130</v>
      </c>
      <c r="AM9" s="750"/>
      <c r="AN9" s="723" t="s">
        <v>131</v>
      </c>
      <c r="AO9" s="584"/>
      <c r="AP9" s="752" t="s">
        <v>152</v>
      </c>
      <c r="AQ9" s="752" t="s">
        <v>361</v>
      </c>
      <c r="AR9" s="752" t="s">
        <v>152</v>
      </c>
      <c r="AS9" s="752" t="s">
        <v>361</v>
      </c>
      <c r="AT9" s="748" t="s">
        <v>353</v>
      </c>
    </row>
    <row r="10" spans="1:46" ht="13.5" hidden="1" customHeight="1" outlineLevel="1">
      <c r="A10" s="753">
        <f>A17-1</f>
        <v>1989</v>
      </c>
      <c r="AA10" s="754"/>
    </row>
    <row r="11" spans="1:46" ht="13.5" hidden="1" customHeight="1" outlineLevel="1">
      <c r="A11" s="398" t="s">
        <v>112</v>
      </c>
      <c r="D11" s="755">
        <f>'qtrP&amp;L'!D10</f>
        <v>5.3</v>
      </c>
      <c r="E11" s="398" t="s">
        <v>156</v>
      </c>
      <c r="F11" s="755">
        <f>'qtrP&amp;L'!E10</f>
        <v>2.1</v>
      </c>
      <c r="G11" s="398" t="s">
        <v>156</v>
      </c>
      <c r="H11" s="756">
        <f>D11-F11</f>
        <v>3.1999999999999997</v>
      </c>
      <c r="I11" s="398" t="s">
        <v>156</v>
      </c>
      <c r="J11" s="754"/>
      <c r="L11" s="757"/>
      <c r="N11" s="756"/>
      <c r="O11" s="398" t="s">
        <v>156</v>
      </c>
      <c r="P11" s="758"/>
      <c r="Q11" s="398" t="s">
        <v>156</v>
      </c>
      <c r="S11" s="591">
        <f>'qtrP&amp;L'!C10</f>
        <v>3341</v>
      </c>
      <c r="U11" s="591">
        <f>S11-AR11</f>
        <v>3341</v>
      </c>
      <c r="W11" s="759"/>
      <c r="Y11" s="760"/>
      <c r="Z11" s="398" t="s">
        <v>156</v>
      </c>
      <c r="AA11" s="754"/>
      <c r="AC11" s="761"/>
      <c r="AF11" s="398" t="s">
        <v>156</v>
      </c>
      <c r="AG11" s="758"/>
      <c r="AH11" s="398" t="s">
        <v>156</v>
      </c>
      <c r="AJ11" s="591">
        <f>U11</f>
        <v>3341</v>
      </c>
      <c r="AL11" s="759"/>
      <c r="AN11" s="760"/>
      <c r="AO11" s="398" t="s">
        <v>156</v>
      </c>
      <c r="AP11" s="762"/>
      <c r="AQ11" s="759"/>
      <c r="AR11" s="759"/>
      <c r="AS11" s="759"/>
    </row>
    <row r="12" spans="1:46" ht="13.5" hidden="1" customHeight="1" outlineLevel="1">
      <c r="A12" s="398" t="s">
        <v>113</v>
      </c>
      <c r="D12" s="755">
        <f>'qtrP&amp;L'!D11</f>
        <v>7.1</v>
      </c>
      <c r="F12" s="755">
        <f>'qtrP&amp;L'!E11</f>
        <v>4.5999999999999996</v>
      </c>
      <c r="H12" s="756">
        <f>D12-F12</f>
        <v>2.5</v>
      </c>
      <c r="J12" s="754"/>
      <c r="L12" s="757"/>
      <c r="N12" s="756"/>
      <c r="P12" s="758"/>
      <c r="S12" s="706">
        <f>'qtrP&amp;L'!C11</f>
        <v>3438</v>
      </c>
      <c r="U12" s="706">
        <f>S12-AR12</f>
        <v>3438</v>
      </c>
      <c r="W12" s="586"/>
      <c r="Y12" s="760"/>
      <c r="AA12" s="754"/>
      <c r="AC12" s="761"/>
      <c r="AG12" s="758"/>
      <c r="AJ12" s="706">
        <f>U12</f>
        <v>3438</v>
      </c>
      <c r="AL12" s="586"/>
      <c r="AN12" s="760"/>
      <c r="AP12" s="763"/>
      <c r="AQ12" s="586"/>
      <c r="AR12" s="586"/>
      <c r="AS12" s="586"/>
    </row>
    <row r="13" spans="1:46" ht="13.5" hidden="1" customHeight="1" outlineLevel="1">
      <c r="A13" s="398" t="s">
        <v>114</v>
      </c>
      <c r="D13" s="755">
        <f>'qtrP&amp;L'!D12</f>
        <v>12.5</v>
      </c>
      <c r="F13" s="755">
        <f>'qtrP&amp;L'!E12</f>
        <v>11.3</v>
      </c>
      <c r="H13" s="756">
        <f>D13-F13</f>
        <v>1.1999999999999993</v>
      </c>
      <c r="J13" s="754"/>
      <c r="L13" s="757"/>
      <c r="N13" s="756"/>
      <c r="P13" s="758"/>
      <c r="S13" s="706">
        <f>'qtrP&amp;L'!C12</f>
        <v>4061</v>
      </c>
      <c r="U13" s="706">
        <f>S13-AR13</f>
        <v>4061</v>
      </c>
      <c r="W13" s="586"/>
      <c r="Y13" s="760"/>
      <c r="AA13" s="754"/>
      <c r="AC13" s="761"/>
      <c r="AG13" s="758"/>
      <c r="AJ13" s="706">
        <f>U13</f>
        <v>4061</v>
      </c>
      <c r="AL13" s="586"/>
      <c r="AN13" s="760"/>
      <c r="AP13" s="763"/>
      <c r="AQ13" s="586"/>
      <c r="AR13" s="586"/>
      <c r="AS13" s="586"/>
    </row>
    <row r="14" spans="1:46" ht="13.5" hidden="1" customHeight="1" outlineLevel="1">
      <c r="A14" s="398" t="s">
        <v>115</v>
      </c>
      <c r="D14" s="764">
        <f>'qtrP&amp;L'!D13</f>
        <v>8.8000000000000007</v>
      </c>
      <c r="F14" s="764">
        <f>'qtrP&amp;L'!E13</f>
        <v>7.7</v>
      </c>
      <c r="H14" s="765">
        <f>D14-F14</f>
        <v>1.1000000000000005</v>
      </c>
      <c r="J14" s="766">
        <v>1328</v>
      </c>
      <c r="L14" s="767"/>
      <c r="N14" s="765"/>
      <c r="P14" s="768"/>
      <c r="S14" s="769">
        <f>'qtrP&amp;L'!C13</f>
        <v>5263</v>
      </c>
      <c r="U14" s="769">
        <f>S14-AR14</f>
        <v>5263</v>
      </c>
      <c r="W14" s="770"/>
      <c r="Y14" s="771"/>
      <c r="AA14" s="754">
        <v>112.8</v>
      </c>
      <c r="AC14" s="772"/>
      <c r="AE14" s="584"/>
      <c r="AG14" s="768"/>
      <c r="AJ14" s="769">
        <f>U14</f>
        <v>5263</v>
      </c>
      <c r="AL14" s="770"/>
      <c r="AN14" s="771"/>
      <c r="AP14" s="773"/>
      <c r="AQ14" s="509"/>
      <c r="AR14" s="770"/>
      <c r="AS14" s="509"/>
    </row>
    <row r="15" spans="1:46" ht="13.5" hidden="1" customHeight="1" outlineLevel="1">
      <c r="A15" s="774" t="s">
        <v>116</v>
      </c>
      <c r="D15" s="755">
        <f>'qtrP&amp;L'!D14</f>
        <v>8.6</v>
      </c>
      <c r="F15" s="755">
        <f>'qtrP&amp;L'!E14</f>
        <v>7.2</v>
      </c>
      <c r="H15" s="756">
        <f>D15-F15</f>
        <v>1.3999999999999995</v>
      </c>
      <c r="J15" s="766"/>
      <c r="L15" s="706">
        <f>AVERAGE(J14,J7)</f>
        <v>1328</v>
      </c>
      <c r="N15" s="756"/>
      <c r="P15" s="775" t="s">
        <v>147</v>
      </c>
      <c r="S15" s="591">
        <f>SUM(S11:S14)</f>
        <v>16103</v>
      </c>
      <c r="U15" s="591">
        <f>S15-AR15</f>
        <v>16103</v>
      </c>
      <c r="W15" s="759">
        <f>U15/L15</f>
        <v>12.125753012048193</v>
      </c>
      <c r="Y15" s="775" t="s">
        <v>147</v>
      </c>
      <c r="AA15" s="754"/>
      <c r="AC15" s="761"/>
      <c r="AG15" s="758"/>
      <c r="AJ15" s="591">
        <f>SUM(AJ11:AJ14)</f>
        <v>16103</v>
      </c>
      <c r="AL15" s="759"/>
      <c r="AN15" s="760"/>
      <c r="AP15" s="759"/>
      <c r="AQ15" s="759"/>
      <c r="AR15" s="759"/>
      <c r="AS15" s="759"/>
    </row>
    <row r="16" spans="1:46" ht="13.5" hidden="1" customHeight="1" outlineLevel="1">
      <c r="A16" s="774"/>
      <c r="D16" s="755"/>
      <c r="F16" s="755"/>
      <c r="J16" s="766"/>
      <c r="L16" s="757"/>
      <c r="P16" s="758"/>
      <c r="S16" s="759"/>
      <c r="U16" s="759"/>
      <c r="W16" s="759"/>
      <c r="Y16" s="760"/>
      <c r="AA16" s="754"/>
      <c r="AC16" s="761"/>
      <c r="AG16" s="758"/>
      <c r="AJ16" s="759"/>
      <c r="AL16" s="759"/>
      <c r="AN16" s="760"/>
      <c r="AP16" s="759"/>
      <c r="AQ16" s="759"/>
      <c r="AR16" s="759"/>
      <c r="AS16" s="759"/>
    </row>
    <row r="17" spans="1:45" ht="13.5" hidden="1" customHeight="1" outlineLevel="1">
      <c r="A17" s="753">
        <f>A24-1</f>
        <v>1990</v>
      </c>
      <c r="J17" s="766"/>
      <c r="AA17" s="754"/>
    </row>
    <row r="18" spans="1:45" ht="13.5" hidden="1" customHeight="1" outlineLevel="1">
      <c r="A18" s="398" t="s">
        <v>112</v>
      </c>
      <c r="D18" s="755">
        <f>'qtrP&amp;L'!H10</f>
        <v>5.6569889254714179</v>
      </c>
      <c r="E18" s="398" t="s">
        <v>156</v>
      </c>
      <c r="F18" s="755">
        <f>'qtrP&amp;L'!I10</f>
        <v>4.3</v>
      </c>
      <c r="G18" s="398" t="s">
        <v>156</v>
      </c>
      <c r="H18" s="756">
        <f>D18-F18</f>
        <v>1.356988925471418</v>
      </c>
      <c r="I18" s="398" t="s">
        <v>156</v>
      </c>
      <c r="J18" s="766"/>
      <c r="L18" s="757"/>
      <c r="N18" s="756"/>
      <c r="O18" s="398" t="s">
        <v>156</v>
      </c>
      <c r="P18" s="758"/>
      <c r="Q18" s="398" t="s">
        <v>156</v>
      </c>
      <c r="S18" s="591">
        <f>'qtrP&amp;L'!G10</f>
        <v>3530</v>
      </c>
      <c r="U18" s="591">
        <f>S18-AR18</f>
        <v>3530</v>
      </c>
      <c r="W18" s="759"/>
      <c r="Y18" s="760"/>
      <c r="Z18" s="398" t="s">
        <v>156</v>
      </c>
      <c r="AA18" s="776">
        <f>(AA21-AA14)*1/4+AA14</f>
        <v>113.2</v>
      </c>
      <c r="AC18" s="706">
        <f>AVERAGEA(AA18,AA14)</f>
        <v>113</v>
      </c>
      <c r="AF18" s="398" t="s">
        <v>156</v>
      </c>
      <c r="AG18" s="758"/>
      <c r="AH18" s="398" t="s">
        <v>156</v>
      </c>
      <c r="AJ18" s="591">
        <f>U18</f>
        <v>3530</v>
      </c>
      <c r="AL18" s="759">
        <f>AJ18/AC18</f>
        <v>31.238938053097346</v>
      </c>
      <c r="AN18" s="760"/>
      <c r="AO18" s="398" t="s">
        <v>156</v>
      </c>
      <c r="AP18" s="762"/>
      <c r="AQ18" s="759"/>
      <c r="AR18" s="759"/>
      <c r="AS18" s="759"/>
    </row>
    <row r="19" spans="1:45" ht="13.5" hidden="1" customHeight="1" outlineLevel="1">
      <c r="A19" s="398" t="s">
        <v>113</v>
      </c>
      <c r="D19" s="755">
        <f>'qtrP&amp;L'!H11</f>
        <v>4.1303083187899992</v>
      </c>
      <c r="F19" s="755">
        <f>'qtrP&amp;L'!I11</f>
        <v>2.2000000000000002</v>
      </c>
      <c r="H19" s="756">
        <f>D19-F19</f>
        <v>1.930308318789999</v>
      </c>
      <c r="J19" s="766"/>
      <c r="L19" s="757"/>
      <c r="N19" s="756"/>
      <c r="P19" s="758"/>
      <c r="S19" s="706">
        <f>'qtrP&amp;L'!G11</f>
        <v>3580</v>
      </c>
      <c r="U19" s="706">
        <f>S19-AR19</f>
        <v>3580</v>
      </c>
      <c r="W19" s="586"/>
      <c r="Y19" s="760"/>
      <c r="AA19" s="776">
        <f>(AA21-AA14)*1/4+AA18</f>
        <v>113.60000000000001</v>
      </c>
      <c r="AC19" s="706">
        <f>AVERAGEA(AA18:AA19)</f>
        <v>113.4</v>
      </c>
      <c r="AG19" s="758"/>
      <c r="AJ19" s="706">
        <f>U19</f>
        <v>3580</v>
      </c>
      <c r="AL19" s="586">
        <f>AJ19/AC19</f>
        <v>31.569664902998234</v>
      </c>
      <c r="AN19" s="760"/>
      <c r="AP19" s="763"/>
      <c r="AQ19" s="586"/>
      <c r="AR19" s="586"/>
      <c r="AS19" s="586"/>
    </row>
    <row r="20" spans="1:45" ht="13.5" hidden="1" customHeight="1" outlineLevel="1">
      <c r="A20" s="398" t="s">
        <v>114</v>
      </c>
      <c r="D20" s="755">
        <f>'qtrP&amp;L'!H12</f>
        <v>-1.6252154641713812</v>
      </c>
      <c r="F20" s="755">
        <f>'qtrP&amp;L'!I12</f>
        <v>-3.6</v>
      </c>
      <c r="H20" s="756">
        <f>D20-F20</f>
        <v>1.9747845358286189</v>
      </c>
      <c r="J20" s="766"/>
      <c r="L20" s="757"/>
      <c r="N20" s="756"/>
      <c r="P20" s="758"/>
      <c r="S20" s="706">
        <f>'qtrP&amp;L'!G12</f>
        <v>3995</v>
      </c>
      <c r="U20" s="706">
        <f>S20-AR20</f>
        <v>3995</v>
      </c>
      <c r="W20" s="586"/>
      <c r="Y20" s="760"/>
      <c r="AA20" s="776">
        <f>(AA21-AA14)*1/4+AA19</f>
        <v>114.00000000000001</v>
      </c>
      <c r="AC20" s="706">
        <f>AVERAGEA(AA19:AA20)</f>
        <v>113.80000000000001</v>
      </c>
      <c r="AG20" s="758"/>
      <c r="AJ20" s="706">
        <f>U20</f>
        <v>3995</v>
      </c>
      <c r="AL20" s="586">
        <f>AJ20/AC20</f>
        <v>35.105448154657289</v>
      </c>
      <c r="AN20" s="760"/>
      <c r="AP20" s="763"/>
      <c r="AQ20" s="586"/>
      <c r="AR20" s="586"/>
      <c r="AS20" s="586"/>
    </row>
    <row r="21" spans="1:45" ht="13.5" hidden="1" customHeight="1" outlineLevel="1">
      <c r="A21" s="398" t="s">
        <v>115</v>
      </c>
      <c r="D21" s="764">
        <f>'qtrP&amp;L'!H13</f>
        <v>-5.7001710051296506E-2</v>
      </c>
      <c r="F21" s="764">
        <f>'qtrP&amp;L'!I13</f>
        <v>-2.2000000000000002</v>
      </c>
      <c r="H21" s="765">
        <f>D21-F21</f>
        <v>2.1429982899487037</v>
      </c>
      <c r="J21" s="766">
        <f>J14+46-62</f>
        <v>1312</v>
      </c>
      <c r="L21" s="767"/>
      <c r="N21" s="765"/>
      <c r="P21" s="768"/>
      <c r="S21" s="769">
        <f>'qtrP&amp;L'!G13</f>
        <v>5260</v>
      </c>
      <c r="U21" s="769">
        <f>S21-AR21</f>
        <v>5260</v>
      </c>
      <c r="W21" s="770"/>
      <c r="Y21" s="771"/>
      <c r="AA21" s="754">
        <v>114.4</v>
      </c>
      <c r="AC21" s="769">
        <f>AVERAGEA(AA20:AA21)</f>
        <v>114.20000000000002</v>
      </c>
      <c r="AE21" s="584"/>
      <c r="AG21" s="768"/>
      <c r="AJ21" s="769">
        <f>U21</f>
        <v>5260</v>
      </c>
      <c r="AL21" s="770">
        <f>AJ21/AC21</f>
        <v>46.059544658493863</v>
      </c>
      <c r="AN21" s="771"/>
      <c r="AP21" s="773"/>
      <c r="AQ21" s="509"/>
      <c r="AR21" s="770"/>
      <c r="AS21" s="509"/>
    </row>
    <row r="22" spans="1:45" ht="13.5" hidden="1" customHeight="1" outlineLevel="1">
      <c r="A22" s="774" t="s">
        <v>116</v>
      </c>
      <c r="D22" s="755">
        <f>'qtrP&amp;L'!H14</f>
        <v>1.6270260199962694</v>
      </c>
      <c r="F22" s="755">
        <f>'qtrP&amp;L'!I14</f>
        <v>-0.3</v>
      </c>
      <c r="H22" s="756">
        <f>D22-F22</f>
        <v>1.9270260199962694</v>
      </c>
      <c r="J22" s="766"/>
      <c r="L22" s="706">
        <f>AVERAGE(J21,J14)</f>
        <v>1320</v>
      </c>
      <c r="N22" s="756">
        <f>(L22/L15-1)*100</f>
        <v>-0.60240963855421326</v>
      </c>
      <c r="P22" s="758">
        <f>(H22/N22)*100</f>
        <v>-319.88631931938266</v>
      </c>
      <c r="S22" s="591">
        <f>SUM(S18:S21)</f>
        <v>16365</v>
      </c>
      <c r="U22" s="591">
        <f>S22-AR22</f>
        <v>16365</v>
      </c>
      <c r="W22" s="759">
        <f>U22/L22</f>
        <v>12.397727272727273</v>
      </c>
      <c r="Y22" s="760">
        <f>(W22/W15-1)*100</f>
        <v>2.2429473898144314</v>
      </c>
      <c r="AA22" s="754"/>
      <c r="AC22" s="706">
        <f>AVERAGEA(AC18:AC21)</f>
        <v>113.60000000000002</v>
      </c>
      <c r="AG22" s="758"/>
      <c r="AJ22" s="591">
        <f>SUM(AJ18:AJ21)</f>
        <v>16365</v>
      </c>
      <c r="AL22" s="759">
        <f>AJ22/AC22</f>
        <v>144.05809859154925</v>
      </c>
      <c r="AN22" s="760"/>
      <c r="AP22" s="759"/>
      <c r="AQ22" s="759"/>
      <c r="AR22" s="759"/>
      <c r="AS22" s="759"/>
    </row>
    <row r="23" spans="1:45" ht="13.5" hidden="1" customHeight="1" outlineLevel="1">
      <c r="A23" s="753"/>
      <c r="J23" s="766"/>
      <c r="L23" s="757"/>
      <c r="P23" s="758"/>
      <c r="Y23" s="760"/>
      <c r="AA23" s="754"/>
      <c r="AC23" s="761"/>
      <c r="AG23" s="758"/>
      <c r="AN23" s="760"/>
    </row>
    <row r="24" spans="1:45" ht="13.5" hidden="1" customHeight="1" outlineLevel="1">
      <c r="A24" s="753">
        <f>A31-1</f>
        <v>1991</v>
      </c>
      <c r="J24" s="766"/>
      <c r="AA24" s="754"/>
    </row>
    <row r="25" spans="1:45" ht="13.5" hidden="1" customHeight="1" outlineLevel="1">
      <c r="A25" s="398" t="s">
        <v>112</v>
      </c>
      <c r="D25" s="755">
        <f>'qtrP&amp;L'!L10</f>
        <v>-2.7478753541076539</v>
      </c>
      <c r="E25" s="398" t="s">
        <v>156</v>
      </c>
      <c r="F25" s="755">
        <f>'qtrP&amp;L'!M10</f>
        <v>-5.2</v>
      </c>
      <c r="G25" s="398" t="s">
        <v>156</v>
      </c>
      <c r="H25" s="756">
        <f>D25-F25</f>
        <v>2.4521246458923462</v>
      </c>
      <c r="I25" s="398" t="s">
        <v>156</v>
      </c>
      <c r="J25" s="766"/>
      <c r="L25" s="757"/>
      <c r="N25" s="756"/>
      <c r="O25" s="398" t="s">
        <v>156</v>
      </c>
      <c r="P25" s="758"/>
      <c r="Q25" s="398" t="s">
        <v>156</v>
      </c>
      <c r="S25" s="591">
        <f>'qtrP&amp;L'!K10</f>
        <v>3433</v>
      </c>
      <c r="U25" s="591">
        <f>S25-AR25</f>
        <v>3433</v>
      </c>
      <c r="W25" s="759"/>
      <c r="Y25" s="760"/>
      <c r="Z25" s="398" t="s">
        <v>156</v>
      </c>
      <c r="AA25" s="776">
        <f>(AA28-AA21)*1/4+AA21</f>
        <v>114.42500000000001</v>
      </c>
      <c r="AC25" s="706">
        <f>AVERAGEA(AA25,AA21)</f>
        <v>114.41250000000001</v>
      </c>
      <c r="AE25" s="777">
        <f>(AC25/AC18-1)*100</f>
        <v>1.2500000000000178</v>
      </c>
      <c r="AF25" s="398" t="s">
        <v>156</v>
      </c>
      <c r="AG25" s="758"/>
      <c r="AH25" s="398" t="s">
        <v>156</v>
      </c>
      <c r="AJ25" s="591">
        <f>U25</f>
        <v>3433</v>
      </c>
      <c r="AL25" s="759">
        <f>AJ25/AC25</f>
        <v>30.00546268982847</v>
      </c>
      <c r="AN25" s="760">
        <f>(AL25/AL18-1)*100</f>
        <v>-3.9485188682544803</v>
      </c>
      <c r="AO25" s="398" t="s">
        <v>156</v>
      </c>
      <c r="AP25" s="762"/>
      <c r="AQ25" s="759"/>
      <c r="AR25" s="759"/>
      <c r="AS25" s="759"/>
    </row>
    <row r="26" spans="1:45" ht="13.5" hidden="1" customHeight="1" outlineLevel="1">
      <c r="A26" s="398" t="s">
        <v>113</v>
      </c>
      <c r="D26" s="755">
        <f>'qtrP&amp;L'!L11</f>
        <v>-3.4636871508379907</v>
      </c>
      <c r="F26" s="755">
        <f>'qtrP&amp;L'!M11</f>
        <v>-5.3</v>
      </c>
      <c r="H26" s="756">
        <f>D26-F26</f>
        <v>1.8363128491620091</v>
      </c>
      <c r="J26" s="766"/>
      <c r="L26" s="757"/>
      <c r="N26" s="756"/>
      <c r="P26" s="758"/>
      <c r="S26" s="706">
        <f>'qtrP&amp;L'!K11</f>
        <v>3456</v>
      </c>
      <c r="U26" s="706">
        <f>S26-AR26</f>
        <v>3456</v>
      </c>
      <c r="W26" s="586"/>
      <c r="Y26" s="760"/>
      <c r="AA26" s="776">
        <f>(AA28-AA21)*1/4+AA25</f>
        <v>114.45000000000002</v>
      </c>
      <c r="AC26" s="706">
        <f>AVERAGEA(AA25:AA26)</f>
        <v>114.43750000000001</v>
      </c>
      <c r="AE26" s="777">
        <f>(AC26/AC19-1)*100</f>
        <v>0.91490299823633325</v>
      </c>
      <c r="AG26" s="758"/>
      <c r="AJ26" s="706">
        <f>U26</f>
        <v>3456</v>
      </c>
      <c r="AL26" s="586">
        <f>AJ26/AC26</f>
        <v>30.199890770070997</v>
      </c>
      <c r="AN26" s="760">
        <f>(AL26/AL19-1)*100</f>
        <v>-4.3388934825125292</v>
      </c>
      <c r="AP26" s="763"/>
      <c r="AQ26" s="586"/>
      <c r="AR26" s="586"/>
      <c r="AS26" s="586"/>
    </row>
    <row r="27" spans="1:45" ht="13.5" hidden="1" customHeight="1" outlineLevel="1">
      <c r="A27" s="398" t="s">
        <v>114</v>
      </c>
      <c r="D27" s="755">
        <f>'qtrP&amp;L'!L12</f>
        <v>-1.4518147684605798</v>
      </c>
      <c r="F27" s="755">
        <f>'qtrP&amp;L'!M12</f>
        <v>-3</v>
      </c>
      <c r="H27" s="756">
        <f>D27-F27</f>
        <v>1.5481852315394202</v>
      </c>
      <c r="J27" s="766"/>
      <c r="L27" s="757"/>
      <c r="N27" s="756"/>
      <c r="P27" s="758"/>
      <c r="S27" s="706">
        <f>'qtrP&amp;L'!K12</f>
        <v>3937</v>
      </c>
      <c r="U27" s="706">
        <f>S27-AR27</f>
        <v>3937</v>
      </c>
      <c r="W27" s="586"/>
      <c r="Y27" s="760"/>
      <c r="AA27" s="776">
        <f>(AA28-AA21)*1/4+AA26</f>
        <v>114.47500000000002</v>
      </c>
      <c r="AC27" s="706">
        <f>AVERAGEA(AA26:AA27)</f>
        <v>114.46250000000002</v>
      </c>
      <c r="AE27" s="777">
        <f>(AC27/AC20-1)*100</f>
        <v>0.58216168717049044</v>
      </c>
      <c r="AG27" s="758"/>
      <c r="AJ27" s="706">
        <f>U27</f>
        <v>3937</v>
      </c>
      <c r="AL27" s="586">
        <f>AJ27/AC27</f>
        <v>34.395544392268206</v>
      </c>
      <c r="AN27" s="760">
        <f>(AL27/AL20-1)*100</f>
        <v>-2.0222039589456231</v>
      </c>
      <c r="AP27" s="763"/>
      <c r="AQ27" s="586"/>
      <c r="AR27" s="586"/>
      <c r="AS27" s="586"/>
    </row>
    <row r="28" spans="1:45" ht="13.5" hidden="1" customHeight="1" outlineLevel="1">
      <c r="A28" s="398" t="s">
        <v>115</v>
      </c>
      <c r="D28" s="764">
        <f>'qtrP&amp;L'!L13</f>
        <v>2.1863117870722482</v>
      </c>
      <c r="F28" s="764">
        <f>'qtrP&amp;L'!M13</f>
        <v>0.5</v>
      </c>
      <c r="H28" s="765">
        <f>D28-F28</f>
        <v>1.6863117870722482</v>
      </c>
      <c r="J28" s="766">
        <f>J21+38-67</f>
        <v>1283</v>
      </c>
      <c r="L28" s="767"/>
      <c r="N28" s="765"/>
      <c r="P28" s="768"/>
      <c r="S28" s="769">
        <f>'qtrP&amp;L'!K13</f>
        <v>5375</v>
      </c>
      <c r="U28" s="769">
        <f>S28-AR28</f>
        <v>5375</v>
      </c>
      <c r="W28" s="770"/>
      <c r="Y28" s="771"/>
      <c r="AA28" s="754">
        <v>114.5</v>
      </c>
      <c r="AC28" s="769">
        <f>AVERAGEA(AA27:AA28)</f>
        <v>114.48750000000001</v>
      </c>
      <c r="AE28" s="778">
        <f>(AC28/AC21-1)*100</f>
        <v>0.2517513134851157</v>
      </c>
      <c r="AG28" s="768"/>
      <c r="AJ28" s="769">
        <f>U28</f>
        <v>5375</v>
      </c>
      <c r="AL28" s="770">
        <f>AJ28/AC28</f>
        <v>46.948356807511729</v>
      </c>
      <c r="AN28" s="771">
        <f>(AL28/AL21-1)*100</f>
        <v>1.9297024223924097</v>
      </c>
      <c r="AP28" s="773"/>
      <c r="AQ28" s="509"/>
      <c r="AR28" s="770"/>
      <c r="AS28" s="509"/>
    </row>
    <row r="29" spans="1:45" ht="13.5" hidden="1" customHeight="1" outlineLevel="1">
      <c r="A29" s="774" t="s">
        <v>116</v>
      </c>
      <c r="D29" s="755">
        <f>'qtrP&amp;L'!L14</f>
        <v>-1.0021387106630031</v>
      </c>
      <c r="F29" s="755">
        <f>'qtrP&amp;L'!M14</f>
        <v>-1.5</v>
      </c>
      <c r="H29" s="756">
        <f>D29-F29</f>
        <v>0.49786128933699692</v>
      </c>
      <c r="J29" s="766"/>
      <c r="L29" s="706">
        <f>AVERAGE(J28,J21)</f>
        <v>1297.5</v>
      </c>
      <c r="N29" s="756">
        <f>(L29/L22-1)*100</f>
        <v>-1.7045454545454586</v>
      </c>
      <c r="P29" s="758">
        <f>(H29/N29)*100</f>
        <v>-29.207862307770416</v>
      </c>
      <c r="S29" s="591">
        <f>SUM(S25:S28)</f>
        <v>16201</v>
      </c>
      <c r="U29" s="591">
        <f>S29-AR29</f>
        <v>16201</v>
      </c>
      <c r="W29" s="759">
        <f>U29/L29</f>
        <v>12.486319845857418</v>
      </c>
      <c r="Y29" s="760">
        <f>(W29/W22-1)*100</f>
        <v>0.7145872076491866</v>
      </c>
      <c r="AA29" s="754"/>
      <c r="AC29" s="706">
        <f>AVERAGEA(AC25:AC28)</f>
        <v>114.45000000000002</v>
      </c>
      <c r="AE29" s="777">
        <f>(AC29/AC22-1)*100</f>
        <v>0.74823943661972425</v>
      </c>
      <c r="AG29" s="758"/>
      <c r="AJ29" s="591">
        <f>SUM(AJ25:AJ28)</f>
        <v>16201</v>
      </c>
      <c r="AL29" s="759">
        <f>AJ29/AC29</f>
        <v>141.55526430755788</v>
      </c>
      <c r="AN29" s="760">
        <f>(AL29/AL22-1)*100</f>
        <v>-1.7373783969533818</v>
      </c>
      <c r="AP29" s="759"/>
      <c r="AQ29" s="759"/>
      <c r="AR29" s="759"/>
      <c r="AS29" s="759"/>
    </row>
    <row r="30" spans="1:45" ht="13.5" hidden="1" customHeight="1" outlineLevel="1">
      <c r="A30" s="774"/>
      <c r="D30" s="755"/>
      <c r="F30" s="755"/>
      <c r="J30" s="766"/>
      <c r="L30" s="757"/>
      <c r="P30" s="758"/>
      <c r="S30" s="759"/>
      <c r="U30" s="759"/>
      <c r="W30" s="759"/>
      <c r="Y30" s="760"/>
      <c r="AA30" s="754"/>
      <c r="AC30" s="761"/>
      <c r="AG30" s="758"/>
      <c r="AJ30" s="759"/>
      <c r="AL30" s="759"/>
      <c r="AN30" s="760"/>
      <c r="AP30" s="759"/>
      <c r="AQ30" s="759"/>
      <c r="AR30" s="759"/>
      <c r="AS30" s="759"/>
    </row>
    <row r="31" spans="1:45" ht="13.5" hidden="1" customHeight="1" outlineLevel="1">
      <c r="A31" s="753">
        <f>A38-1</f>
        <v>1992</v>
      </c>
      <c r="J31" s="766"/>
      <c r="AA31" s="754"/>
    </row>
    <row r="32" spans="1:45" ht="13.5" hidden="1" customHeight="1" outlineLevel="1">
      <c r="A32" s="398" t="s">
        <v>112</v>
      </c>
      <c r="D32" s="755">
        <f>'qtrP&amp;L'!P10</f>
        <v>10.486454995630634</v>
      </c>
      <c r="E32" s="398" t="s">
        <v>156</v>
      </c>
      <c r="F32" s="755">
        <f>'qtrP&amp;L'!Q10</f>
        <v>12</v>
      </c>
      <c r="G32" s="398" t="s">
        <v>156</v>
      </c>
      <c r="H32" s="756">
        <f>D32-F32</f>
        <v>-1.5135450043693659</v>
      </c>
      <c r="I32" s="398" t="s">
        <v>156</v>
      </c>
      <c r="J32" s="766"/>
      <c r="L32" s="757"/>
      <c r="N32" s="756"/>
      <c r="O32" s="398" t="s">
        <v>156</v>
      </c>
      <c r="P32" s="758"/>
      <c r="Q32" s="398" t="s">
        <v>156</v>
      </c>
      <c r="S32" s="591">
        <f>'qtrP&amp;L'!O10</f>
        <v>3793</v>
      </c>
      <c r="U32" s="591">
        <f>S32-AR32</f>
        <v>3101</v>
      </c>
      <c r="W32" s="759"/>
      <c r="Y32" s="760"/>
      <c r="Z32" s="398" t="s">
        <v>156</v>
      </c>
      <c r="AA32" s="776">
        <f>(AA35-AA28)*1/4+AA28</f>
        <v>114.47499999999999</v>
      </c>
      <c r="AC32" s="706">
        <f>AVERAGEA(AA32,AA28)</f>
        <v>114.4875</v>
      </c>
      <c r="AE32" s="777">
        <f>(AC32/AC25-1)*100</f>
        <v>6.5552277941649528E-2</v>
      </c>
      <c r="AF32" s="398" t="s">
        <v>156</v>
      </c>
      <c r="AG32" s="758"/>
      <c r="AH32" s="398" t="s">
        <v>156</v>
      </c>
      <c r="AJ32" s="591">
        <f>U32</f>
        <v>3101</v>
      </c>
      <c r="AL32" s="759">
        <f>AJ32/AC32</f>
        <v>27.08592641118026</v>
      </c>
      <c r="AN32" s="760">
        <f>(AL32/AL25-1)*100</f>
        <v>-9.7300158602050217</v>
      </c>
      <c r="AO32" s="398" t="s">
        <v>156</v>
      </c>
      <c r="AP32" s="762"/>
      <c r="AQ32" s="759"/>
      <c r="AR32" s="779">
        <v>692</v>
      </c>
      <c r="AS32" s="759"/>
    </row>
    <row r="33" spans="1:45" ht="13.5" hidden="1" customHeight="1" outlineLevel="1">
      <c r="A33" s="398" t="s">
        <v>113</v>
      </c>
      <c r="D33" s="755">
        <f>'qtrP&amp;L'!P11</f>
        <v>9.635416666666675</v>
      </c>
      <c r="F33" s="755">
        <f>'qtrP&amp;L'!Q11</f>
        <v>10.6</v>
      </c>
      <c r="H33" s="756">
        <f>D33-F33</f>
        <v>-0.96458333333332469</v>
      </c>
      <c r="J33" s="766"/>
      <c r="L33" s="757"/>
      <c r="N33" s="756"/>
      <c r="P33" s="758"/>
      <c r="S33" s="706">
        <f>'qtrP&amp;L'!O11</f>
        <v>3789</v>
      </c>
      <c r="U33" s="706">
        <f>S33-AR33</f>
        <v>3147</v>
      </c>
      <c r="W33" s="586"/>
      <c r="Y33" s="760"/>
      <c r="AA33" s="776">
        <f>(AA35-AA28)*1/4+AA32</f>
        <v>114.44999999999999</v>
      </c>
      <c r="AC33" s="706">
        <f>AVERAGEA(AA32:AA33)</f>
        <v>114.46249999999999</v>
      </c>
      <c r="AE33" s="777">
        <f>(AC33/AC26-1)*100</f>
        <v>2.1845985800084122E-2</v>
      </c>
      <c r="AG33" s="758"/>
      <c r="AJ33" s="706">
        <f>U33</f>
        <v>3147</v>
      </c>
      <c r="AL33" s="586">
        <f>AJ33/AC33</f>
        <v>27.493720650868191</v>
      </c>
      <c r="AN33" s="760">
        <f>(AL33/AL26-1)*100</f>
        <v>-8.9608606196837748</v>
      </c>
      <c r="AP33" s="763"/>
      <c r="AQ33" s="586"/>
      <c r="AR33" s="780">
        <v>642</v>
      </c>
      <c r="AS33" s="586"/>
    </row>
    <row r="34" spans="1:45" ht="13.5" hidden="1" customHeight="1" outlineLevel="1">
      <c r="A34" s="398" t="s">
        <v>114</v>
      </c>
      <c r="D34" s="755">
        <f>'qtrP&amp;L'!P12</f>
        <v>10.28702057404114</v>
      </c>
      <c r="F34" s="755">
        <f>'qtrP&amp;L'!Q12</f>
        <v>10.5</v>
      </c>
      <c r="H34" s="756">
        <f>D34-F34</f>
        <v>-0.21297942595885999</v>
      </c>
      <c r="J34" s="766"/>
      <c r="L34" s="757"/>
      <c r="N34" s="756"/>
      <c r="P34" s="758"/>
      <c r="S34" s="706">
        <f>'qtrP&amp;L'!O12</f>
        <v>4342</v>
      </c>
      <c r="U34" s="706">
        <f>S34-AR34</f>
        <v>3553</v>
      </c>
      <c r="W34" s="586"/>
      <c r="Y34" s="760"/>
      <c r="AA34" s="776">
        <f>(AA35-AA28)*1/4+AA33</f>
        <v>114.42499999999998</v>
      </c>
      <c r="AC34" s="706">
        <f>AVERAGEA(AA33:AA34)</f>
        <v>114.43749999999999</v>
      </c>
      <c r="AE34" s="777">
        <f>(AC34/AC27-1)*100</f>
        <v>-2.1841214371554063E-2</v>
      </c>
      <c r="AG34" s="758"/>
      <c r="AJ34" s="706">
        <f>U34</f>
        <v>3553</v>
      </c>
      <c r="AL34" s="586">
        <f>AJ34/AC34</f>
        <v>31.047515019115242</v>
      </c>
      <c r="AN34" s="760">
        <f>(AL34/AL27-1)*100</f>
        <v>-9.7339042957714348</v>
      </c>
      <c r="AP34" s="763"/>
      <c r="AQ34" s="586"/>
      <c r="AR34" s="780">
        <v>789</v>
      </c>
      <c r="AS34" s="586"/>
    </row>
    <row r="35" spans="1:45" ht="13.5" hidden="1" customHeight="1" outlineLevel="1">
      <c r="A35" s="398" t="s">
        <v>115</v>
      </c>
      <c r="D35" s="764">
        <f>'qtrP&amp;L'!P13</f>
        <v>13.209302325581396</v>
      </c>
      <c r="F35" s="764">
        <f>'qtrP&amp;L'!Q13</f>
        <v>8</v>
      </c>
      <c r="H35" s="765">
        <f>D35-F35</f>
        <v>5.2093023255813957</v>
      </c>
      <c r="J35" s="766">
        <f>J28+33-50</f>
        <v>1266</v>
      </c>
      <c r="L35" s="767"/>
      <c r="N35" s="765"/>
      <c r="P35" s="768"/>
      <c r="S35" s="769">
        <f>'qtrP&amp;L'!O13</f>
        <v>6085</v>
      </c>
      <c r="U35" s="769">
        <f>S35-AR35</f>
        <v>5042</v>
      </c>
      <c r="W35" s="770"/>
      <c r="Y35" s="771"/>
      <c r="AA35" s="754">
        <v>114.4</v>
      </c>
      <c r="AC35" s="769">
        <f>AVERAGEA(AA34:AA35)</f>
        <v>114.41249999999999</v>
      </c>
      <c r="AE35" s="778">
        <f>(AC35/AC28-1)*100</f>
        <v>-6.5509335080260467E-2</v>
      </c>
      <c r="AG35" s="768"/>
      <c r="AJ35" s="769">
        <f>U35</f>
        <v>5042</v>
      </c>
      <c r="AL35" s="770">
        <f>AJ35/AC35</f>
        <v>44.068611384245607</v>
      </c>
      <c r="AN35" s="771">
        <f>(AL35/AL28-1)*100</f>
        <v>-6.1338577515568371</v>
      </c>
      <c r="AP35" s="773"/>
      <c r="AQ35" s="509"/>
      <c r="AR35" s="781">
        <v>1043</v>
      </c>
      <c r="AS35" s="509"/>
    </row>
    <row r="36" spans="1:45" ht="13.5" hidden="1" customHeight="1" outlineLevel="1">
      <c r="A36" s="774" t="s">
        <v>116</v>
      </c>
      <c r="D36" s="755">
        <f>'qtrP&amp;L'!P14</f>
        <v>11.159804950311702</v>
      </c>
      <c r="F36" s="755">
        <f>'qtrP&amp;L'!Q14</f>
        <v>9.6999999999999993</v>
      </c>
      <c r="H36" s="756">
        <f>D36-F36</f>
        <v>1.4598049503117032</v>
      </c>
      <c r="J36" s="766"/>
      <c r="L36" s="706">
        <f>AVERAGE(J35,J28)</f>
        <v>1274.5</v>
      </c>
      <c r="N36" s="756">
        <f>(L36/L29-1)*100</f>
        <v>-1.772639691714839</v>
      </c>
      <c r="P36" s="758">
        <f>(H36/N36)*100</f>
        <v>-82.352040131714432</v>
      </c>
      <c r="S36" s="591">
        <f>SUM(S32:S35)</f>
        <v>18009</v>
      </c>
      <c r="U36" s="591">
        <f>S36-AR36</f>
        <v>14843</v>
      </c>
      <c r="W36" s="759">
        <f>U36/L36</f>
        <v>11.646135739505688</v>
      </c>
      <c r="Y36" s="760">
        <f>(W36/W29-1)*100</f>
        <v>-6.7288369729730846</v>
      </c>
      <c r="AA36" s="754"/>
      <c r="AC36" s="706">
        <f>AVERAGEA(AC32:AC35)</f>
        <v>114.44999999999999</v>
      </c>
      <c r="AE36" s="777">
        <f>(AC36/AC29-1)*100</f>
        <v>-2.2204460492503131E-14</v>
      </c>
      <c r="AG36" s="758"/>
      <c r="AJ36" s="591">
        <f>SUM(AJ32:AJ35)</f>
        <v>14843</v>
      </c>
      <c r="AL36" s="759">
        <f>AJ36/AC36</f>
        <v>129.68982088248146</v>
      </c>
      <c r="AN36" s="760">
        <f>(AL36/AL29-1)*100</f>
        <v>-8.3821986297141891</v>
      </c>
      <c r="AP36" s="759"/>
      <c r="AQ36" s="759"/>
      <c r="AR36" s="591">
        <f>SUM(AR32:AR35)</f>
        <v>3166</v>
      </c>
      <c r="AS36" s="759"/>
    </row>
    <row r="37" spans="1:45" ht="13.5" hidden="1" customHeight="1" outlineLevel="1">
      <c r="A37" s="753"/>
      <c r="J37" s="766"/>
      <c r="L37" s="757"/>
      <c r="P37" s="758"/>
      <c r="Y37" s="760"/>
      <c r="AA37" s="754"/>
      <c r="AC37" s="761"/>
      <c r="AG37" s="758"/>
      <c r="AN37" s="760"/>
      <c r="AR37" s="782"/>
    </row>
    <row r="38" spans="1:45" ht="13.5" hidden="1" customHeight="1" outlineLevel="1">
      <c r="A38" s="753">
        <f>A45-1</f>
        <v>1993</v>
      </c>
      <c r="J38" s="766"/>
      <c r="AA38" s="754"/>
      <c r="AR38" s="782"/>
    </row>
    <row r="39" spans="1:45" ht="13.5" hidden="1" customHeight="1" outlineLevel="1">
      <c r="A39" s="398" t="s">
        <v>112</v>
      </c>
      <c r="D39" s="755">
        <f>'qtrP&amp;L'!T10</f>
        <v>4.5083047719483238</v>
      </c>
      <c r="E39" s="398" t="s">
        <v>156</v>
      </c>
      <c r="F39" s="755">
        <f>'qtrP&amp;L'!U10</f>
        <v>4.7</v>
      </c>
      <c r="G39" s="398" t="s">
        <v>156</v>
      </c>
      <c r="H39" s="756">
        <f>D39-F39</f>
        <v>-0.19169522805167638</v>
      </c>
      <c r="I39" s="398" t="s">
        <v>156</v>
      </c>
      <c r="J39" s="766"/>
      <c r="L39" s="757"/>
      <c r="N39" s="756"/>
      <c r="O39" s="398" t="s">
        <v>156</v>
      </c>
      <c r="P39" s="758"/>
      <c r="Q39" s="398" t="s">
        <v>156</v>
      </c>
      <c r="S39" s="591">
        <f>'qtrP&amp;L'!S10</f>
        <v>3964</v>
      </c>
      <c r="U39" s="591">
        <f>S39-AR39</f>
        <v>3272</v>
      </c>
      <c r="W39" s="759"/>
      <c r="Y39" s="760"/>
      <c r="Z39" s="398" t="s">
        <v>156</v>
      </c>
      <c r="AA39" s="776">
        <f>(AA42-AA35)*1/4+AA35</f>
        <v>114.27500000000001</v>
      </c>
      <c r="AC39" s="706">
        <f>AVERAGEA(AA39,AA35)</f>
        <v>114.33750000000001</v>
      </c>
      <c r="AE39" s="777">
        <f>(AC39/AC32-1)*100</f>
        <v>-0.13101867016048763</v>
      </c>
      <c r="AF39" s="398" t="s">
        <v>156</v>
      </c>
      <c r="AG39" s="758"/>
      <c r="AH39" s="398" t="s">
        <v>156</v>
      </c>
      <c r="AJ39" s="591">
        <f>U39</f>
        <v>3272</v>
      </c>
      <c r="AL39" s="759">
        <f>AJ39/AC39</f>
        <v>28.617032906964031</v>
      </c>
      <c r="AN39" s="760">
        <f>(AL39/AL32-1)*100</f>
        <v>5.6527750704948199</v>
      </c>
      <c r="AO39" s="398" t="s">
        <v>156</v>
      </c>
      <c r="AP39" s="762"/>
      <c r="AQ39" s="759"/>
      <c r="AR39" s="779">
        <v>692</v>
      </c>
      <c r="AS39" s="759"/>
    </row>
    <row r="40" spans="1:45" ht="13.5" hidden="1" customHeight="1" outlineLevel="1">
      <c r="A40" s="398" t="s">
        <v>113</v>
      </c>
      <c r="D40" s="755">
        <f>'qtrP&amp;L'!T11</f>
        <v>4.5922406967537688</v>
      </c>
      <c r="F40" s="755">
        <f>'qtrP&amp;L'!U11</f>
        <v>2.6</v>
      </c>
      <c r="H40" s="756">
        <f>D40-F40</f>
        <v>1.9922406967537687</v>
      </c>
      <c r="J40" s="766"/>
      <c r="L40" s="757"/>
      <c r="N40" s="756"/>
      <c r="P40" s="758"/>
      <c r="S40" s="706">
        <f>'qtrP&amp;L'!S11</f>
        <v>3963</v>
      </c>
      <c r="U40" s="706">
        <f>S40-AR40</f>
        <v>3254</v>
      </c>
      <c r="W40" s="586"/>
      <c r="Y40" s="760"/>
      <c r="AA40" s="776">
        <f>(AA42-AA35)*1/4+AA39</f>
        <v>114.15</v>
      </c>
      <c r="AC40" s="706">
        <f>AVERAGEA(AA39:AA40)</f>
        <v>114.21250000000001</v>
      </c>
      <c r="AE40" s="777">
        <f>(AC40/AC33-1)*100</f>
        <v>-0.21841214371517426</v>
      </c>
      <c r="AG40" s="758"/>
      <c r="AJ40" s="706">
        <f>U40</f>
        <v>3254</v>
      </c>
      <c r="AL40" s="586">
        <f>AJ40/AC40</f>
        <v>28.490751887928202</v>
      </c>
      <c r="AN40" s="760">
        <f>(AL40/AL33-1)*100</f>
        <v>3.6263961859542837</v>
      </c>
      <c r="AP40" s="763"/>
      <c r="AQ40" s="586"/>
      <c r="AR40" s="780">
        <v>709</v>
      </c>
      <c r="AS40" s="586"/>
    </row>
    <row r="41" spans="1:45" ht="13.5" hidden="1" customHeight="1" outlineLevel="1">
      <c r="A41" s="398" t="s">
        <v>114</v>
      </c>
      <c r="D41" s="755">
        <f>'qtrP&amp;L'!T12</f>
        <v>9.0511285122063523</v>
      </c>
      <c r="F41" s="755">
        <f>'qtrP&amp;L'!U12</f>
        <v>7.5</v>
      </c>
      <c r="H41" s="756">
        <f>D41-F41</f>
        <v>1.5511285122063523</v>
      </c>
      <c r="J41" s="766"/>
      <c r="L41" s="757"/>
      <c r="N41" s="756"/>
      <c r="P41" s="758"/>
      <c r="S41" s="706">
        <f>'qtrP&amp;L'!S12</f>
        <v>4735</v>
      </c>
      <c r="U41" s="706">
        <f>S41-AR41</f>
        <v>3826</v>
      </c>
      <c r="W41" s="586"/>
      <c r="Y41" s="760"/>
      <c r="AA41" s="776">
        <f>(AA42-AA35)*1/4+AA40</f>
        <v>114.02500000000001</v>
      </c>
      <c r="AC41" s="706">
        <f>AVERAGEA(AA40:AA41)</f>
        <v>114.08750000000001</v>
      </c>
      <c r="AE41" s="777">
        <f>(AC41/AC34-1)*100</f>
        <v>-0.30584380120151078</v>
      </c>
      <c r="AG41" s="758"/>
      <c r="AJ41" s="706">
        <f>U41</f>
        <v>3826</v>
      </c>
      <c r="AL41" s="586">
        <f>AJ41/AC41</f>
        <v>33.535663416237533</v>
      </c>
      <c r="AN41" s="760">
        <f>(AL41/AL34-1)*100</f>
        <v>8.0140017505117456</v>
      </c>
      <c r="AP41" s="763"/>
      <c r="AQ41" s="586"/>
      <c r="AR41" s="780">
        <v>909</v>
      </c>
      <c r="AS41" s="586"/>
    </row>
    <row r="42" spans="1:45" ht="13.5" hidden="1" customHeight="1" outlineLevel="1">
      <c r="A42" s="398" t="s">
        <v>115</v>
      </c>
      <c r="D42" s="764">
        <f>'qtrP&amp;L'!T13</f>
        <v>3.8783894823336107</v>
      </c>
      <c r="F42" s="764">
        <f>'qtrP&amp;L'!U13</f>
        <v>10.199999999999999</v>
      </c>
      <c r="H42" s="765">
        <f>D42-F42</f>
        <v>-6.3216105176663886</v>
      </c>
      <c r="J42" s="766">
        <f>J35+24-44</f>
        <v>1246</v>
      </c>
      <c r="L42" s="767"/>
      <c r="N42" s="765"/>
      <c r="P42" s="768"/>
      <c r="S42" s="769">
        <f>'qtrP&amp;L'!S13</f>
        <v>6321</v>
      </c>
      <c r="U42" s="769">
        <f>S42-AR42</f>
        <v>5117</v>
      </c>
      <c r="W42" s="770"/>
      <c r="Y42" s="771"/>
      <c r="AA42" s="754">
        <v>113.9</v>
      </c>
      <c r="AC42" s="769">
        <f>AVERAGEA(AA41:AA42)</f>
        <v>113.96250000000001</v>
      </c>
      <c r="AE42" s="778">
        <f>(AC42/AC35-1)*100</f>
        <v>-0.39331366764994158</v>
      </c>
      <c r="AG42" s="768"/>
      <c r="AJ42" s="769">
        <f>U42</f>
        <v>5117</v>
      </c>
      <c r="AL42" s="770">
        <f>AJ42/AC42</f>
        <v>44.90073489086322</v>
      </c>
      <c r="AN42" s="771">
        <f>(AL42/AL35-1)*100</f>
        <v>1.8882453530521204</v>
      </c>
      <c r="AP42" s="773"/>
      <c r="AQ42" s="509"/>
      <c r="AR42" s="781">
        <v>1204</v>
      </c>
      <c r="AS42" s="509"/>
    </row>
    <row r="43" spans="1:45" ht="13.5" hidden="1" customHeight="1" outlineLevel="1">
      <c r="A43" s="774" t="s">
        <v>116</v>
      </c>
      <c r="D43" s="755">
        <f>'qtrP&amp;L'!T14</f>
        <v>5.4084069076572927</v>
      </c>
      <c r="F43" s="755">
        <f>'qtrP&amp;L'!U14</f>
        <v>5.3</v>
      </c>
      <c r="H43" s="756">
        <f>D43-F43</f>
        <v>0.10840690765729288</v>
      </c>
      <c r="J43" s="766"/>
      <c r="L43" s="706">
        <f>AVERAGE(J42,J35)</f>
        <v>1256</v>
      </c>
      <c r="N43" s="756">
        <f>(L43/L36-1)*100</f>
        <v>-1.4515496273048267</v>
      </c>
      <c r="P43" s="758">
        <f>(H43/N43)*100</f>
        <v>-7.468356962660522</v>
      </c>
      <c r="S43" s="591">
        <f>SUM(S39:S42)</f>
        <v>18983</v>
      </c>
      <c r="U43" s="591">
        <f>S43-AR43</f>
        <v>15469</v>
      </c>
      <c r="W43" s="759">
        <f>U43/L43</f>
        <v>12.31608280254777</v>
      </c>
      <c r="Y43" s="760">
        <f>(W43/W36-1)*100</f>
        <v>5.7525266580013001</v>
      </c>
      <c r="AA43" s="754"/>
      <c r="AC43" s="706">
        <f>AVERAGEA(AC39:AC42)</f>
        <v>114.15</v>
      </c>
      <c r="AE43" s="777">
        <f>(AC43/AC36-1)*100</f>
        <v>-0.26212319790299698</v>
      </c>
      <c r="AG43" s="758"/>
      <c r="AJ43" s="591">
        <f>SUM(AJ39:AJ42)</f>
        <v>15469</v>
      </c>
      <c r="AL43" s="759">
        <f>AJ43/AC43</f>
        <v>135.51467367498904</v>
      </c>
      <c r="AN43" s="760">
        <f>(AL43/AL36-1)*100</f>
        <v>4.4913723782422199</v>
      </c>
      <c r="AP43" s="759"/>
      <c r="AQ43" s="759"/>
      <c r="AR43" s="591">
        <f>SUM(AR39:AR42)</f>
        <v>3514</v>
      </c>
      <c r="AS43" s="759"/>
    </row>
    <row r="44" spans="1:45" ht="13.5" hidden="1" customHeight="1" outlineLevel="1">
      <c r="A44" s="774"/>
      <c r="D44" s="755"/>
      <c r="F44" s="755"/>
      <c r="J44" s="766"/>
      <c r="L44" s="757"/>
      <c r="P44" s="758"/>
      <c r="S44" s="759"/>
      <c r="U44" s="759"/>
      <c r="W44" s="759"/>
      <c r="Y44" s="760"/>
      <c r="AA44" s="754"/>
      <c r="AC44" s="761"/>
      <c r="AG44" s="758"/>
      <c r="AJ44" s="759"/>
      <c r="AL44" s="759"/>
      <c r="AN44" s="760"/>
      <c r="AP44" s="759"/>
      <c r="AQ44" s="759"/>
      <c r="AR44" s="762"/>
      <c r="AS44" s="759"/>
    </row>
    <row r="45" spans="1:45" ht="13.5" hidden="1" customHeight="1" outlineLevel="1">
      <c r="A45" s="753">
        <f>A52-1</f>
        <v>1994</v>
      </c>
      <c r="J45" s="766"/>
      <c r="AA45" s="754"/>
      <c r="AR45" s="782"/>
    </row>
    <row r="46" spans="1:45" ht="13.5" hidden="1" customHeight="1" outlineLevel="1">
      <c r="A46" s="398" t="s">
        <v>112</v>
      </c>
      <c r="D46" s="755">
        <f>'qtrP&amp;L'!X10</f>
        <v>9.7376387487386538</v>
      </c>
      <c r="E46" s="398" t="s">
        <v>156</v>
      </c>
      <c r="F46" s="755">
        <f>'qtrP&amp;L'!Y10</f>
        <v>10</v>
      </c>
      <c r="G46" s="398" t="s">
        <v>156</v>
      </c>
      <c r="H46" s="756">
        <f>D46-F46</f>
        <v>-0.26236125126134624</v>
      </c>
      <c r="I46" s="398" t="s">
        <v>156</v>
      </c>
      <c r="J46" s="766"/>
      <c r="L46" s="757"/>
      <c r="N46" s="756"/>
      <c r="O46" s="398" t="s">
        <v>156</v>
      </c>
      <c r="P46" s="758"/>
      <c r="Q46" s="398" t="s">
        <v>156</v>
      </c>
      <c r="S46" s="591">
        <f>'qtrP&amp;L'!W10</f>
        <v>4350</v>
      </c>
      <c r="U46" s="591">
        <f>S46-AR46</f>
        <v>3658</v>
      </c>
      <c r="W46" s="759"/>
      <c r="Y46" s="760"/>
      <c r="Z46" s="398" t="s">
        <v>156</v>
      </c>
      <c r="AA46" s="776">
        <f>(AA49-AA42)*1/4+AA42</f>
        <v>113.67500000000001</v>
      </c>
      <c r="AC46" s="706">
        <f>AVERAGEA(AA46,AA42)</f>
        <v>113.78750000000001</v>
      </c>
      <c r="AE46" s="777">
        <f>(AC46/AC39-1)*100</f>
        <v>-0.48103203236032899</v>
      </c>
      <c r="AF46" s="398" t="s">
        <v>156</v>
      </c>
      <c r="AG46" s="758"/>
      <c r="AH46" s="398" t="s">
        <v>156</v>
      </c>
      <c r="AJ46" s="591">
        <f>U46</f>
        <v>3658</v>
      </c>
      <c r="AL46" s="759">
        <f>AJ46/AC46</f>
        <v>32.147643633966823</v>
      </c>
      <c r="AN46" s="760">
        <f>(AL46/AL39-1)*100</f>
        <v>12.337445109984158</v>
      </c>
      <c r="AO46" s="398" t="s">
        <v>156</v>
      </c>
      <c r="AP46" s="762"/>
      <c r="AQ46" s="759"/>
      <c r="AR46" s="779">
        <v>692</v>
      </c>
      <c r="AS46" s="759"/>
    </row>
    <row r="47" spans="1:45" ht="13.5" hidden="1" customHeight="1" outlineLevel="1">
      <c r="A47" s="398" t="s">
        <v>113</v>
      </c>
      <c r="D47" s="755">
        <f>'qtrP&amp;L'!X11</f>
        <v>7.0401211203633629</v>
      </c>
      <c r="F47" s="755">
        <f>'qtrP&amp;L'!Y11</f>
        <v>5</v>
      </c>
      <c r="H47" s="756">
        <f>D47-F47</f>
        <v>2.0401211203633629</v>
      </c>
      <c r="J47" s="766"/>
      <c r="L47" s="757"/>
      <c r="N47" s="756"/>
      <c r="P47" s="758"/>
      <c r="S47" s="706">
        <f>'qtrP&amp;L'!W11</f>
        <v>4242</v>
      </c>
      <c r="U47" s="706">
        <f>S47-AR47</f>
        <v>3533</v>
      </c>
      <c r="W47" s="586"/>
      <c r="Y47" s="760"/>
      <c r="AA47" s="776">
        <f>(AA49-AA42)*1/4+AA46</f>
        <v>113.45000000000002</v>
      </c>
      <c r="AC47" s="706">
        <f>AVERAGEA(AA46:AA47)</f>
        <v>113.56250000000001</v>
      </c>
      <c r="AE47" s="777">
        <f>(AC47/AC40-1)*100</f>
        <v>-0.56911458903359247</v>
      </c>
      <c r="AG47" s="758"/>
      <c r="AJ47" s="706">
        <f>U47</f>
        <v>3533</v>
      </c>
      <c r="AL47" s="586">
        <f>AJ47/AC47</f>
        <v>31.11062190423775</v>
      </c>
      <c r="AN47" s="760">
        <f>(AL47/AL40-1)*100</f>
        <v>9.1955102715966177</v>
      </c>
      <c r="AP47" s="763"/>
      <c r="AQ47" s="586"/>
      <c r="AR47" s="780">
        <v>709</v>
      </c>
      <c r="AS47" s="586"/>
    </row>
    <row r="48" spans="1:45" ht="13.5" hidden="1" customHeight="1" outlineLevel="1">
      <c r="A48" s="398" t="s">
        <v>114</v>
      </c>
      <c r="D48" s="755">
        <f>'qtrP&amp;L'!X12</f>
        <v>8.7434002111932418</v>
      </c>
      <c r="F48" s="755">
        <f>'qtrP&amp;L'!Y12</f>
        <v>8.1999999999999993</v>
      </c>
      <c r="H48" s="756">
        <f>D48-F48</f>
        <v>0.54340021119324255</v>
      </c>
      <c r="J48" s="766"/>
      <c r="L48" s="757"/>
      <c r="N48" s="756"/>
      <c r="P48" s="758"/>
      <c r="S48" s="706">
        <f>'qtrP&amp;L'!W12</f>
        <v>5149</v>
      </c>
      <c r="U48" s="706">
        <f>S48-AR48</f>
        <v>4240</v>
      </c>
      <c r="W48" s="586"/>
      <c r="Y48" s="760"/>
      <c r="AA48" s="776">
        <f>(AA49-AA42)*1/4+AA47</f>
        <v>113.22500000000002</v>
      </c>
      <c r="AC48" s="706">
        <f>AVERAGEA(AA47:AA48)</f>
        <v>113.33750000000002</v>
      </c>
      <c r="AE48" s="777">
        <f>(AC48/AC41-1)*100</f>
        <v>-0.65739016106057813</v>
      </c>
      <c r="AG48" s="758"/>
      <c r="AJ48" s="706">
        <f>U48</f>
        <v>4240</v>
      </c>
      <c r="AL48" s="586">
        <f>AJ48/AC48</f>
        <v>37.410389323921905</v>
      </c>
      <c r="AN48" s="760">
        <f>(AL48/AL41-1)*100</f>
        <v>11.554045791765311</v>
      </c>
      <c r="AP48" s="763"/>
      <c r="AQ48" s="586"/>
      <c r="AR48" s="780">
        <v>909</v>
      </c>
      <c r="AS48" s="586"/>
    </row>
    <row r="49" spans="1:45" ht="13.5" hidden="1" customHeight="1" outlineLevel="1">
      <c r="A49" s="398" t="s">
        <v>115</v>
      </c>
      <c r="D49" s="764">
        <f>'qtrP&amp;L'!X13</f>
        <v>5.0308495491219851</v>
      </c>
      <c r="F49" s="764">
        <f>'qtrP&amp;L'!Y13</f>
        <v>5.6</v>
      </c>
      <c r="H49" s="765">
        <f>D49-F49</f>
        <v>-0.56915045087801452</v>
      </c>
      <c r="J49" s="766">
        <f>J42+29-42</f>
        <v>1233</v>
      </c>
      <c r="L49" s="767"/>
      <c r="N49" s="765"/>
      <c r="P49" s="768"/>
      <c r="S49" s="769">
        <f>'qtrP&amp;L'!W13</f>
        <v>6639</v>
      </c>
      <c r="U49" s="769">
        <f>S49-AR49</f>
        <v>5419.348</v>
      </c>
      <c r="W49" s="770"/>
      <c r="Y49" s="771"/>
      <c r="AA49" s="754">
        <v>113</v>
      </c>
      <c r="AC49" s="769">
        <f>AVERAGEA(AA48:AA49)</f>
        <v>113.11250000000001</v>
      </c>
      <c r="AE49" s="778">
        <f>(AC49/AC42-1)*100</f>
        <v>-0.74585938356914738</v>
      </c>
      <c r="AG49" s="768"/>
      <c r="AJ49" s="769">
        <f>U49</f>
        <v>5419.348</v>
      </c>
      <c r="AL49" s="770">
        <f>AJ49/AC49</f>
        <v>47.911132721847714</v>
      </c>
      <c r="AN49" s="771">
        <f>(AL49/AL42-1)*100</f>
        <v>6.7045624939138238</v>
      </c>
      <c r="AP49" s="773"/>
      <c r="AQ49" s="509"/>
      <c r="AR49" s="781">
        <v>1219.6519999999998</v>
      </c>
      <c r="AS49" s="509"/>
    </row>
    <row r="50" spans="1:45" ht="13.5" hidden="1" customHeight="1" outlineLevel="1">
      <c r="A50" s="774" t="s">
        <v>116</v>
      </c>
      <c r="D50" s="755">
        <f>SUM(D46:D49)</f>
        <v>30.552009629417245</v>
      </c>
      <c r="F50" s="755">
        <f>SUM(F46:F49)</f>
        <v>28.799999999999997</v>
      </c>
      <c r="H50" s="756">
        <f>D50-F50</f>
        <v>1.7520096294172482</v>
      </c>
      <c r="J50" s="766"/>
      <c r="L50" s="706">
        <f>AVERAGE(J49,J42)</f>
        <v>1239.5</v>
      </c>
      <c r="N50" s="756">
        <f>(L50/L43-1)*100</f>
        <v>-1.3136942675159191</v>
      </c>
      <c r="P50" s="758">
        <f>(H50/N50)*100</f>
        <v>-133.36509663927706</v>
      </c>
      <c r="S50" s="591">
        <f>SUM(S46:S49)</f>
        <v>20380</v>
      </c>
      <c r="U50" s="591">
        <f>S50-AR50</f>
        <v>16850.347999999998</v>
      </c>
      <c r="W50" s="759">
        <f>U50/L50</f>
        <v>13.594471964501814</v>
      </c>
      <c r="Y50" s="760">
        <f>(W50/W43-1)*100</f>
        <v>10.379835719272613</v>
      </c>
      <c r="AA50" s="754"/>
      <c r="AC50" s="706">
        <f>AVERAGEA(AC46:AC49)</f>
        <v>113.45000000000002</v>
      </c>
      <c r="AE50" s="777">
        <f>(AC50/AC43-1)*100</f>
        <v>-0.61322820849758486</v>
      </c>
      <c r="AG50" s="758"/>
      <c r="AJ50" s="591">
        <f>SUM(AJ46:AJ49)</f>
        <v>16850.347999999998</v>
      </c>
      <c r="AL50" s="759">
        <f>AJ50/AC50</f>
        <v>148.52664609960331</v>
      </c>
      <c r="AN50" s="760">
        <f>(AL50/AL43-1)*100</f>
        <v>9.6018918628852479</v>
      </c>
      <c r="AP50" s="759"/>
      <c r="AQ50" s="759"/>
      <c r="AR50" s="591">
        <f>SUM(AR46:AR49)</f>
        <v>3529.652</v>
      </c>
      <c r="AS50" s="759"/>
    </row>
    <row r="51" spans="1:45" ht="13.5" hidden="1" customHeight="1" outlineLevel="1">
      <c r="A51" s="774"/>
      <c r="D51" s="755"/>
      <c r="F51" s="755"/>
      <c r="J51" s="766"/>
      <c r="L51" s="757"/>
      <c r="P51" s="758"/>
      <c r="S51" s="759"/>
      <c r="U51" s="759"/>
      <c r="W51" s="759"/>
      <c r="Y51" s="760"/>
      <c r="AA51" s="754"/>
      <c r="AC51" s="761"/>
      <c r="AG51" s="758"/>
      <c r="AJ51" s="759"/>
      <c r="AL51" s="759"/>
      <c r="AN51" s="760"/>
      <c r="AP51" s="759"/>
      <c r="AQ51" s="759"/>
      <c r="AR51" s="762"/>
      <c r="AS51" s="759"/>
    </row>
    <row r="52" spans="1:45" ht="13.5" hidden="1" customHeight="1" outlineLevel="1">
      <c r="A52" s="753">
        <v>1995</v>
      </c>
      <c r="J52" s="766"/>
      <c r="AA52" s="754"/>
      <c r="AR52" s="782"/>
    </row>
    <row r="53" spans="1:45" ht="13.5" hidden="1" customHeight="1" outlineLevel="1">
      <c r="A53" s="398" t="s">
        <v>112</v>
      </c>
      <c r="D53" s="755">
        <f>'qtrP&amp;L'!AB10</f>
        <v>0.39080459770115539</v>
      </c>
      <c r="E53" s="398" t="s">
        <v>156</v>
      </c>
      <c r="F53" s="755">
        <f>'qtrP&amp;L'!AC10</f>
        <v>-1.2</v>
      </c>
      <c r="G53" s="398" t="s">
        <v>156</v>
      </c>
      <c r="H53" s="756">
        <f>D53-F53</f>
        <v>1.5908045977011553</v>
      </c>
      <c r="I53" s="398" t="s">
        <v>156</v>
      </c>
      <c r="J53" s="766"/>
      <c r="L53" s="757"/>
      <c r="N53" s="756"/>
      <c r="O53" s="398" t="s">
        <v>156</v>
      </c>
      <c r="P53" s="758"/>
      <c r="Q53" s="398" t="s">
        <v>156</v>
      </c>
      <c r="S53" s="591">
        <f>'qtrP&amp;L'!AA10</f>
        <v>4367</v>
      </c>
      <c r="U53" s="591">
        <f>S53-AR53</f>
        <v>3574</v>
      </c>
      <c r="W53" s="759"/>
      <c r="Y53" s="760"/>
      <c r="Z53" s="398" t="s">
        <v>156</v>
      </c>
      <c r="AA53" s="776">
        <f>(AA56-AA49)*1/4+AA49</f>
        <v>113.325</v>
      </c>
      <c r="AC53" s="706">
        <f>AVERAGEA(AA53,AA49)</f>
        <v>113.16249999999999</v>
      </c>
      <c r="AE53" s="777">
        <f>(AC53/AC46-1)*100</f>
        <v>-0.54926947160277573</v>
      </c>
      <c r="AF53" s="398" t="s">
        <v>156</v>
      </c>
      <c r="AG53" s="758"/>
      <c r="AH53" s="398" t="s">
        <v>156</v>
      </c>
      <c r="AJ53" s="591">
        <f>U53</f>
        <v>3574</v>
      </c>
      <c r="AL53" s="759">
        <f>AJ53/AC53</f>
        <v>31.582900695901913</v>
      </c>
      <c r="AN53" s="760">
        <f>(AL53/AL46-1)*100</f>
        <v>-1.756716431521621</v>
      </c>
      <c r="AO53" s="398" t="s">
        <v>156</v>
      </c>
      <c r="AP53" s="762"/>
      <c r="AQ53" s="759"/>
      <c r="AR53" s="779">
        <v>793</v>
      </c>
      <c r="AS53" s="759"/>
    </row>
    <row r="54" spans="1:45" ht="13.5" hidden="1" customHeight="1" outlineLevel="1">
      <c r="A54" s="398" t="s">
        <v>113</v>
      </c>
      <c r="D54" s="755">
        <f>'qtrP&amp;L'!AB11</f>
        <v>4.5497406883545422</v>
      </c>
      <c r="F54" s="755">
        <f>'qtrP&amp;L'!AC11</f>
        <v>2.2000000000000002</v>
      </c>
      <c r="H54" s="756">
        <f>D54-F54</f>
        <v>2.349740688354542</v>
      </c>
      <c r="J54" s="766"/>
      <c r="L54" s="757"/>
      <c r="N54" s="756"/>
      <c r="P54" s="758"/>
      <c r="S54" s="706">
        <f>'qtrP&amp;L'!AA11</f>
        <v>4435</v>
      </c>
      <c r="U54" s="706">
        <f>S54-AR54</f>
        <v>3638</v>
      </c>
      <c r="W54" s="586"/>
      <c r="Y54" s="760"/>
      <c r="AA54" s="776">
        <f>(AA56-AA49)*1/4+AA53</f>
        <v>113.65</v>
      </c>
      <c r="AC54" s="706">
        <f>AVERAGEA(AA53:AA54)</f>
        <v>113.48750000000001</v>
      </c>
      <c r="AE54" s="777">
        <f>(AC54/AC47-1)*100</f>
        <v>-6.6042927903142701E-2</v>
      </c>
      <c r="AG54" s="758"/>
      <c r="AJ54" s="706">
        <f>U54</f>
        <v>3638</v>
      </c>
      <c r="AL54" s="586">
        <f>AJ54/AC54</f>
        <v>32.056393875977527</v>
      </c>
      <c r="AN54" s="760">
        <f>(AL54/AL47-1)*100</f>
        <v>3.0400291406934121</v>
      </c>
      <c r="AP54" s="763"/>
      <c r="AQ54" s="586"/>
      <c r="AR54" s="780">
        <v>797</v>
      </c>
      <c r="AS54" s="586"/>
    </row>
    <row r="55" spans="1:45" ht="13.5" hidden="1" customHeight="1" outlineLevel="1">
      <c r="A55" s="398" t="s">
        <v>114</v>
      </c>
      <c r="D55" s="755">
        <f>'qtrP&amp;L'!AB12</f>
        <v>-0.40784618372499137</v>
      </c>
      <c r="F55" s="755">
        <f>'qtrP&amp;L'!AC12</f>
        <v>-3.1</v>
      </c>
      <c r="H55" s="756">
        <f>D55-F55</f>
        <v>2.6921538162750087</v>
      </c>
      <c r="J55" s="766"/>
      <c r="L55" s="757"/>
      <c r="N55" s="756"/>
      <c r="P55" s="758"/>
      <c r="S55" s="706">
        <f>'qtrP&amp;L'!AA12</f>
        <v>5128</v>
      </c>
      <c r="U55" s="706">
        <f>S55-AR55</f>
        <v>4164</v>
      </c>
      <c r="W55" s="586"/>
      <c r="Y55" s="760"/>
      <c r="AA55" s="776">
        <f>(AA56-AA49)*1/4+AA54</f>
        <v>113.97500000000001</v>
      </c>
      <c r="AC55" s="706">
        <f>AVERAGEA(AA54:AA55)</f>
        <v>113.8125</v>
      </c>
      <c r="AE55" s="777">
        <f>(AC55/AC48-1)*100</f>
        <v>0.41910223888825815</v>
      </c>
      <c r="AG55" s="758"/>
      <c r="AJ55" s="706">
        <f>U55</f>
        <v>4164</v>
      </c>
      <c r="AL55" s="586">
        <f>AJ55/AC55</f>
        <v>36.586490939044481</v>
      </c>
      <c r="AN55" s="760">
        <f>(AL55/AL48-1)*100</f>
        <v>-2.2023250753784196</v>
      </c>
      <c r="AP55" s="763"/>
      <c r="AQ55" s="586"/>
      <c r="AR55" s="780">
        <v>964</v>
      </c>
      <c r="AS55" s="586"/>
    </row>
    <row r="56" spans="1:45" ht="13.5" hidden="1" customHeight="1" outlineLevel="1">
      <c r="A56" s="398" t="s">
        <v>115</v>
      </c>
      <c r="D56" s="764">
        <f>'qtrP&amp;L'!AB13</f>
        <v>-0.10543756589848075</v>
      </c>
      <c r="F56" s="764">
        <f>'qtrP&amp;L'!AC13</f>
        <v>-2.5</v>
      </c>
      <c r="H56" s="765">
        <f>D56-F56</f>
        <v>2.3945624341015193</v>
      </c>
      <c r="J56" s="766">
        <f>J49-38+43</f>
        <v>1238</v>
      </c>
      <c r="L56" s="767"/>
      <c r="N56" s="765"/>
      <c r="P56" s="768"/>
      <c r="S56" s="769">
        <f>'qtrP&amp;L'!AA13</f>
        <v>6632</v>
      </c>
      <c r="U56" s="769">
        <f>S56-AR56</f>
        <v>5447</v>
      </c>
      <c r="W56" s="770"/>
      <c r="Y56" s="771"/>
      <c r="AA56" s="754">
        <v>114.3</v>
      </c>
      <c r="AC56" s="769">
        <f>AVERAGEA(AA55:AA56)</f>
        <v>114.1375</v>
      </c>
      <c r="AE56" s="778">
        <f>(AC56/AC49-1)*100</f>
        <v>0.90617747817438588</v>
      </c>
      <c r="AG56" s="768"/>
      <c r="AJ56" s="769">
        <f>U56</f>
        <v>5447</v>
      </c>
      <c r="AL56" s="770">
        <f>AJ56/AC56</f>
        <v>47.72314094841748</v>
      </c>
      <c r="AN56" s="771">
        <f>(AL56/AL49-1)*100</f>
        <v>-0.39237597349583986</v>
      </c>
      <c r="AP56" s="773"/>
      <c r="AQ56" s="509"/>
      <c r="AR56" s="781">
        <v>1185</v>
      </c>
      <c r="AS56" s="509"/>
    </row>
    <row r="57" spans="1:45" ht="13.5" hidden="1" customHeight="1" outlineLevel="1">
      <c r="A57" s="774" t="s">
        <v>116</v>
      </c>
      <c r="D57" s="755">
        <f>'qtrP&amp;L'!AB14</f>
        <v>0.89303238469087276</v>
      </c>
      <c r="F57" s="755">
        <f>'qtrP&amp;L'!AC14</f>
        <v>-1.359799630386149</v>
      </c>
      <c r="H57" s="756">
        <f>D57-F57</f>
        <v>2.252832015077022</v>
      </c>
      <c r="J57" s="766"/>
      <c r="L57" s="706">
        <f>AVERAGE(J56,J49)</f>
        <v>1235.5</v>
      </c>
      <c r="N57" s="756">
        <f>(L57/L50-1)*100</f>
        <v>-0.32271077047196783</v>
      </c>
      <c r="P57" s="758">
        <f>(H57/N57)*100</f>
        <v>-698.09632067198504</v>
      </c>
      <c r="S57" s="591">
        <f>SUM(S53:S56)</f>
        <v>20562</v>
      </c>
      <c r="U57" s="591">
        <f>S57-AR57</f>
        <v>16823</v>
      </c>
      <c r="W57" s="759">
        <f>U57/L57</f>
        <v>13.616349656009712</v>
      </c>
      <c r="Y57" s="760">
        <f>(W57/W50-1)*100</f>
        <v>0.160930792788605</v>
      </c>
      <c r="AA57" s="754"/>
      <c r="AC57" s="706">
        <f>AVERAGEA(AC53:AC56)</f>
        <v>113.64999999999999</v>
      </c>
      <c r="AE57" s="777">
        <f>(AC57/AC50-1)*100</f>
        <v>0.17628911414717674</v>
      </c>
      <c r="AG57" s="758"/>
      <c r="AJ57" s="591">
        <f>SUM(AJ53:AJ56)</f>
        <v>16823</v>
      </c>
      <c r="AL57" s="759">
        <f>AJ57/AC57</f>
        <v>148.02463704355478</v>
      </c>
      <c r="AN57" s="760">
        <f>(AL57/AL50-1)*100</f>
        <v>-0.3379925886913826</v>
      </c>
      <c r="AP57" s="759"/>
      <c r="AQ57" s="759"/>
      <c r="AR57" s="591">
        <f>SUM(AR53:AR56)</f>
        <v>3739</v>
      </c>
      <c r="AS57" s="759"/>
    </row>
    <row r="58" spans="1:45" ht="13.5" hidden="1" customHeight="1" outlineLevel="1">
      <c r="A58" s="753"/>
      <c r="J58" s="766"/>
      <c r="L58" s="757"/>
      <c r="P58" s="758"/>
      <c r="Y58" s="760"/>
      <c r="AA58" s="754"/>
      <c r="AC58" s="761"/>
      <c r="AG58" s="758"/>
      <c r="AN58" s="760"/>
      <c r="AR58" s="782"/>
    </row>
    <row r="59" spans="1:45" ht="13.5" hidden="1" customHeight="1" outlineLevel="1">
      <c r="A59" s="753" t="s">
        <v>352</v>
      </c>
      <c r="J59" s="766"/>
      <c r="AA59" s="754"/>
      <c r="AR59" s="782"/>
    </row>
    <row r="60" spans="1:45" ht="13.5" hidden="1" customHeight="1" outlineLevel="1">
      <c r="A60" s="398" t="s">
        <v>112</v>
      </c>
      <c r="D60" s="783" t="s">
        <v>147</v>
      </c>
      <c r="E60" s="398" t="s">
        <v>156</v>
      </c>
      <c r="F60" s="783" t="s">
        <v>147</v>
      </c>
      <c r="G60" s="398" t="s">
        <v>156</v>
      </c>
      <c r="H60" s="783" t="s">
        <v>147</v>
      </c>
      <c r="I60" s="398" t="s">
        <v>156</v>
      </c>
      <c r="J60" s="766"/>
      <c r="L60" s="757"/>
      <c r="N60" s="783"/>
      <c r="O60" s="398" t="s">
        <v>156</v>
      </c>
      <c r="P60" s="758"/>
      <c r="Q60" s="398" t="s">
        <v>156</v>
      </c>
      <c r="S60" s="591">
        <f>'qtrP&amp;L'!AE10</f>
        <v>6056</v>
      </c>
      <c r="U60" s="591">
        <f>S60-AR60</f>
        <v>5252</v>
      </c>
      <c r="W60" s="759"/>
      <c r="Y60" s="760"/>
      <c r="Z60" s="398" t="s">
        <v>156</v>
      </c>
      <c r="AA60" s="754"/>
      <c r="AC60" s="761"/>
      <c r="AF60" s="398" t="s">
        <v>156</v>
      </c>
      <c r="AG60" s="758"/>
      <c r="AH60" s="398" t="s">
        <v>156</v>
      </c>
      <c r="AJ60" s="591">
        <f>U60</f>
        <v>5252</v>
      </c>
      <c r="AL60" s="759"/>
      <c r="AN60" s="760"/>
      <c r="AO60" s="398" t="s">
        <v>156</v>
      </c>
      <c r="AP60" s="762"/>
      <c r="AQ60" s="759"/>
      <c r="AR60" s="779">
        <v>804</v>
      </c>
      <c r="AS60" s="759"/>
    </row>
    <row r="61" spans="1:45" ht="13.5" hidden="1" customHeight="1" outlineLevel="1">
      <c r="A61" s="398" t="s">
        <v>113</v>
      </c>
      <c r="D61" s="783" t="s">
        <v>147</v>
      </c>
      <c r="F61" s="783" t="s">
        <v>147</v>
      </c>
      <c r="H61" s="783" t="s">
        <v>147</v>
      </c>
      <c r="J61" s="766"/>
      <c r="L61" s="757"/>
      <c r="N61" s="783"/>
      <c r="P61" s="758"/>
      <c r="S61" s="706">
        <f>'qtrP&amp;L'!AE11</f>
        <v>6013</v>
      </c>
      <c r="U61" s="706">
        <f>S61-AR61</f>
        <v>5255</v>
      </c>
      <c r="W61" s="586"/>
      <c r="Y61" s="760"/>
      <c r="AA61" s="754"/>
      <c r="AC61" s="761"/>
      <c r="AG61" s="758"/>
      <c r="AJ61" s="706">
        <f>U61</f>
        <v>5255</v>
      </c>
      <c r="AL61" s="586"/>
      <c r="AN61" s="760"/>
      <c r="AP61" s="763"/>
      <c r="AQ61" s="586"/>
      <c r="AR61" s="780">
        <v>758</v>
      </c>
      <c r="AS61" s="586"/>
    </row>
    <row r="62" spans="1:45" ht="13.5" hidden="1" customHeight="1" outlineLevel="1">
      <c r="A62" s="398" t="s">
        <v>114</v>
      </c>
      <c r="D62" s="783" t="s">
        <v>147</v>
      </c>
      <c r="F62" s="783" t="s">
        <v>147</v>
      </c>
      <c r="H62" s="783" t="s">
        <v>147</v>
      </c>
      <c r="J62" s="766"/>
      <c r="L62" s="757"/>
      <c r="N62" s="783"/>
      <c r="P62" s="758"/>
      <c r="S62" s="706">
        <f>'qtrP&amp;L'!AE12</f>
        <v>7031</v>
      </c>
      <c r="U62" s="706">
        <f>S62-AR62</f>
        <v>6076</v>
      </c>
      <c r="W62" s="586"/>
      <c r="Y62" s="760"/>
      <c r="AA62" s="754"/>
      <c r="AC62" s="761"/>
      <c r="AG62" s="758"/>
      <c r="AJ62" s="706">
        <f>U62</f>
        <v>6076</v>
      </c>
      <c r="AL62" s="586"/>
      <c r="AN62" s="760"/>
      <c r="AP62" s="763"/>
      <c r="AQ62" s="586"/>
      <c r="AR62" s="780">
        <v>955</v>
      </c>
      <c r="AS62" s="586"/>
    </row>
    <row r="63" spans="1:45" ht="13.5" hidden="1" customHeight="1" outlineLevel="1">
      <c r="A63" s="398" t="s">
        <v>115</v>
      </c>
      <c r="D63" s="784" t="s">
        <v>147</v>
      </c>
      <c r="F63" s="784" t="s">
        <v>147</v>
      </c>
      <c r="H63" s="784" t="s">
        <v>147</v>
      </c>
      <c r="J63" s="766">
        <f>J56+36-46</f>
        <v>1228</v>
      </c>
      <c r="L63" s="767"/>
      <c r="N63" s="784"/>
      <c r="P63" s="768"/>
      <c r="S63" s="769">
        <f>'qtrP&amp;L'!AE13</f>
        <v>8932</v>
      </c>
      <c r="U63" s="769">
        <f>S63-AR63</f>
        <v>7677</v>
      </c>
      <c r="W63" s="770"/>
      <c r="Y63" s="771"/>
      <c r="AA63" s="754"/>
      <c r="AC63" s="772"/>
      <c r="AE63" s="584"/>
      <c r="AG63" s="768"/>
      <c r="AJ63" s="769">
        <f>U63</f>
        <v>7677</v>
      </c>
      <c r="AL63" s="770"/>
      <c r="AN63" s="771"/>
      <c r="AP63" s="773"/>
      <c r="AQ63" s="509"/>
      <c r="AR63" s="781">
        <v>1255</v>
      </c>
      <c r="AS63" s="509"/>
    </row>
    <row r="64" spans="1:45" ht="13.5" hidden="1" customHeight="1" outlineLevel="1">
      <c r="A64" s="774" t="s">
        <v>116</v>
      </c>
      <c r="D64" s="783" t="s">
        <v>147</v>
      </c>
      <c r="F64" s="783" t="s">
        <v>147</v>
      </c>
      <c r="H64" s="783" t="s">
        <v>147</v>
      </c>
      <c r="J64" s="766"/>
      <c r="L64" s="706">
        <f>AVERAGE(J63,J56)</f>
        <v>1233</v>
      </c>
      <c r="N64" s="783">
        <f>(L64/L57-1)*100</f>
        <v>-0.20234722784298054</v>
      </c>
      <c r="P64" s="783" t="s">
        <v>147</v>
      </c>
      <c r="S64" s="591">
        <f>SUM(S60:S63)</f>
        <v>28032</v>
      </c>
      <c r="U64" s="591">
        <f>S64-AR64</f>
        <v>24260</v>
      </c>
      <c r="W64" s="759">
        <f>U64/L64</f>
        <v>19.67558799675588</v>
      </c>
      <c r="Y64" s="760">
        <f>(W64/W57-1)*100</f>
        <v>44.499726386446483</v>
      </c>
      <c r="AA64" s="785" t="s">
        <v>147</v>
      </c>
      <c r="AC64" s="761"/>
      <c r="AG64" s="758"/>
      <c r="AJ64" s="591">
        <f>SUM(AJ60:AJ63)</f>
        <v>24260</v>
      </c>
      <c r="AL64" s="759"/>
      <c r="AN64" s="760"/>
      <c r="AP64" s="759"/>
      <c r="AQ64" s="759"/>
      <c r="AR64" s="591">
        <f>SUM(AR60:AR63)</f>
        <v>3772</v>
      </c>
      <c r="AS64" s="759"/>
    </row>
    <row r="65" spans="1:45" ht="13.5" hidden="1" customHeight="1" outlineLevel="1">
      <c r="A65" s="774"/>
      <c r="D65" s="755"/>
      <c r="F65" s="755"/>
      <c r="J65" s="766"/>
      <c r="L65" s="757"/>
      <c r="P65" s="758"/>
      <c r="S65" s="759"/>
      <c r="U65" s="759"/>
      <c r="W65" s="759"/>
      <c r="Y65" s="760"/>
      <c r="AA65" s="754"/>
      <c r="AC65" s="761"/>
      <c r="AG65" s="758"/>
      <c r="AJ65" s="759"/>
      <c r="AL65" s="759"/>
      <c r="AN65" s="760"/>
      <c r="AP65" s="759"/>
      <c r="AQ65" s="759"/>
      <c r="AR65" s="762"/>
      <c r="AS65" s="759"/>
    </row>
    <row r="66" spans="1:45" ht="13.5" hidden="1" customHeight="1" outlineLevel="1">
      <c r="A66" s="753">
        <v>1996</v>
      </c>
      <c r="J66" s="766"/>
      <c r="AA66" s="754"/>
      <c r="AR66" s="782"/>
    </row>
    <row r="67" spans="1:45" ht="13.5" hidden="1" customHeight="1" outlineLevel="1">
      <c r="A67" s="398" t="s">
        <v>112</v>
      </c>
      <c r="D67" s="755">
        <f>'qtrP&amp;L'!AJ10</f>
        <v>1.9464163040989302</v>
      </c>
      <c r="E67" s="398" t="s">
        <v>156</v>
      </c>
      <c r="F67" s="755">
        <f>'qtrP&amp;L'!AK10</f>
        <v>-0.8</v>
      </c>
      <c r="G67" s="398" t="s">
        <v>156</v>
      </c>
      <c r="H67" s="756">
        <f>D67-F67</f>
        <v>2.74641630409893</v>
      </c>
      <c r="I67" s="398" t="s">
        <v>156</v>
      </c>
      <c r="J67" s="766"/>
      <c r="L67" s="757"/>
      <c r="N67" s="756"/>
      <c r="O67" s="398" t="s">
        <v>156</v>
      </c>
      <c r="P67" s="758"/>
      <c r="Q67" s="398" t="s">
        <v>156</v>
      </c>
      <c r="S67" s="591">
        <f>'qtrP&amp;L'!AI10</f>
        <v>4452</v>
      </c>
      <c r="U67" s="591">
        <f>S67-AR67</f>
        <v>3648</v>
      </c>
      <c r="W67" s="759"/>
      <c r="Y67" s="760"/>
      <c r="Z67" s="398" t="s">
        <v>156</v>
      </c>
      <c r="AA67" s="776">
        <f>(AA70-AA56)*1/4+AA56</f>
        <v>115.02500000000001</v>
      </c>
      <c r="AC67" s="706">
        <f>AVERAGEA(AA67,AA56)</f>
        <v>114.66249999999999</v>
      </c>
      <c r="AE67" s="777">
        <f>(AC67/AC53-1)*100</f>
        <v>1.3255274494642588</v>
      </c>
      <c r="AF67" s="398" t="s">
        <v>156</v>
      </c>
      <c r="AG67" s="758">
        <f>(H67/AE67)*100</f>
        <v>207.1942233417312</v>
      </c>
      <c r="AH67" s="398" t="s">
        <v>156</v>
      </c>
      <c r="AJ67" s="591">
        <f>U67</f>
        <v>3648</v>
      </c>
      <c r="AL67" s="759">
        <f>AJ67/AC67</f>
        <v>31.815109560667178</v>
      </c>
      <c r="AN67" s="760">
        <f>(AL67/AL53-1)*100</f>
        <v>0.73523602851144343</v>
      </c>
      <c r="AO67" s="398" t="s">
        <v>156</v>
      </c>
      <c r="AP67" s="762"/>
      <c r="AQ67" s="759"/>
      <c r="AR67" s="779">
        <v>804</v>
      </c>
      <c r="AS67" s="759"/>
    </row>
    <row r="68" spans="1:45" ht="13.5" hidden="1" customHeight="1" outlineLevel="1">
      <c r="A68" s="398" t="s">
        <v>113</v>
      </c>
      <c r="D68" s="755">
        <f>'qtrP&amp;L'!AJ11</f>
        <v>1.6234498308906442</v>
      </c>
      <c r="F68" s="755">
        <f>'qtrP&amp;L'!AK11</f>
        <v>0.4</v>
      </c>
      <c r="H68" s="756">
        <f>D68-F68</f>
        <v>1.2234498308906443</v>
      </c>
      <c r="J68" s="766"/>
      <c r="L68" s="757"/>
      <c r="N68" s="756"/>
      <c r="P68" s="758"/>
      <c r="S68" s="706">
        <f>'qtrP&amp;L'!AI11</f>
        <v>4507</v>
      </c>
      <c r="U68" s="706">
        <f>S68-AR68</f>
        <v>3749</v>
      </c>
      <c r="W68" s="586"/>
      <c r="Y68" s="760"/>
      <c r="AA68" s="776">
        <f>(AA70-AA56)*1/4+AA67</f>
        <v>115.75</v>
      </c>
      <c r="AC68" s="706">
        <f>AVERAGEA(AA67:AA68)</f>
        <v>115.3875</v>
      </c>
      <c r="AE68" s="777">
        <f>(AC68/AC54-1)*100</f>
        <v>1.674193193082929</v>
      </c>
      <c r="AG68" s="758">
        <f>(H68/AE68)*100</f>
        <v>73.076980359580418</v>
      </c>
      <c r="AJ68" s="706">
        <f>U68</f>
        <v>3749</v>
      </c>
      <c r="AL68" s="586">
        <f>AJ68/AC68</f>
        <v>32.490521070306578</v>
      </c>
      <c r="AN68" s="760">
        <f>(AL68/AL54-1)*100</f>
        <v>1.3542608566909919</v>
      </c>
      <c r="AP68" s="763"/>
      <c r="AQ68" s="586"/>
      <c r="AR68" s="780">
        <v>758</v>
      </c>
      <c r="AS68" s="586"/>
    </row>
    <row r="69" spans="1:45" ht="13.5" hidden="1" customHeight="1" outlineLevel="1">
      <c r="A69" s="398" t="s">
        <v>114</v>
      </c>
      <c r="D69" s="755">
        <f>'qtrP&amp;L'!AJ12</f>
        <v>7.9758190327612999</v>
      </c>
      <c r="F69" s="755">
        <f>'qtrP&amp;L'!AK12</f>
        <v>6.2</v>
      </c>
      <c r="H69" s="756">
        <f>D69-F69</f>
        <v>1.7758190327612997</v>
      </c>
      <c r="J69" s="766"/>
      <c r="L69" s="757"/>
      <c r="N69" s="756"/>
      <c r="P69" s="758"/>
      <c r="S69" s="706">
        <f>'qtrP&amp;L'!AI12</f>
        <v>5537</v>
      </c>
      <c r="U69" s="706">
        <f>S69-AR69</f>
        <v>4582</v>
      </c>
      <c r="W69" s="586"/>
      <c r="Y69" s="760"/>
      <c r="AA69" s="776">
        <f>(AA70-AA56)*1/4+AA68</f>
        <v>116.47499999999999</v>
      </c>
      <c r="AC69" s="706">
        <f>AVERAGEA(AA68:AA69)</f>
        <v>116.1125</v>
      </c>
      <c r="AE69" s="777">
        <f>(AC69/AC55-1)*100</f>
        <v>2.0208676551345395</v>
      </c>
      <c r="AG69" s="758">
        <f>(H69/AE69)*100</f>
        <v>87.874088550498101</v>
      </c>
      <c r="AJ69" s="706">
        <f>U69</f>
        <v>4582</v>
      </c>
      <c r="AL69" s="586">
        <f>AJ69/AC69</f>
        <v>39.461728926687478</v>
      </c>
      <c r="AN69" s="760">
        <f>(AL69/AL55-1)*100</f>
        <v>7.8587421582281047</v>
      </c>
      <c r="AP69" s="763"/>
      <c r="AQ69" s="586"/>
      <c r="AR69" s="780">
        <v>955</v>
      </c>
      <c r="AS69" s="586"/>
    </row>
    <row r="70" spans="1:45" ht="13.5" hidden="1" customHeight="1" outlineLevel="1">
      <c r="A70" s="398" t="s">
        <v>115</v>
      </c>
      <c r="D70" s="764">
        <f>'qtrP&amp;L'!AJ13</f>
        <v>22.979493365500602</v>
      </c>
      <c r="F70" s="764">
        <f>'qtrP&amp;L'!AK13</f>
        <v>5.6</v>
      </c>
      <c r="H70" s="765">
        <f>D70-F70</f>
        <v>17.379493365500601</v>
      </c>
      <c r="J70" s="766">
        <f>J63</f>
        <v>1228</v>
      </c>
      <c r="L70" s="767"/>
      <c r="N70" s="765"/>
      <c r="P70" s="768"/>
      <c r="S70" s="769">
        <f>'qtrP&amp;L'!AI13</f>
        <v>8156</v>
      </c>
      <c r="U70" s="769">
        <f>S70-AR70</f>
        <v>6901</v>
      </c>
      <c r="W70" s="770"/>
      <c r="Y70" s="771"/>
      <c r="AA70" s="754">
        <v>117.2</v>
      </c>
      <c r="AC70" s="769">
        <f>AVERAGEA(AA69:AA70)</f>
        <v>116.83750000000001</v>
      </c>
      <c r="AE70" s="778">
        <f>(AC70/AC56-1)*100</f>
        <v>2.3655678458000207</v>
      </c>
      <c r="AG70" s="768">
        <f>(H70/AE70)*100</f>
        <v>734.68589777956515</v>
      </c>
      <c r="AJ70" s="769">
        <f>U70</f>
        <v>6901</v>
      </c>
      <c r="AL70" s="770">
        <f>AJ70/AC70</f>
        <v>59.064940622659677</v>
      </c>
      <c r="AN70" s="771">
        <f>(AL70/AL56-1)*100</f>
        <v>23.765828168144274</v>
      </c>
      <c r="AP70" s="773"/>
      <c r="AQ70" s="509"/>
      <c r="AR70" s="781">
        <v>1255</v>
      </c>
      <c r="AS70" s="509"/>
    </row>
    <row r="71" spans="1:45" ht="13.5" hidden="1" customHeight="1" outlineLevel="1">
      <c r="A71" s="774" t="s">
        <v>116</v>
      </c>
      <c r="D71" s="755">
        <f>'qtrP&amp;L'!AJ14</f>
        <v>10.164380896799919</v>
      </c>
      <c r="F71" s="755">
        <f>'qtrP&amp;L'!AK14</f>
        <v>3.4540325784664283</v>
      </c>
      <c r="H71" s="756">
        <f>D71-F71</f>
        <v>6.7103483183334909</v>
      </c>
      <c r="J71" s="766"/>
      <c r="L71" s="706">
        <f>AVERAGE(J70,J56)</f>
        <v>1233</v>
      </c>
      <c r="N71" s="756">
        <f>(L71/L57-1)*100</f>
        <v>-0.20234722784298054</v>
      </c>
      <c r="P71" s="758">
        <f>(H71/N71)*100</f>
        <v>-3316.2541389203789</v>
      </c>
      <c r="S71" s="591">
        <f>SUM(S67:S70)</f>
        <v>22652</v>
      </c>
      <c r="U71" s="591">
        <f>S71-AR71</f>
        <v>18880</v>
      </c>
      <c r="W71" s="759">
        <f>U71/L71</f>
        <v>15.312246553122465</v>
      </c>
      <c r="Y71" s="760">
        <f>(W71/W57-1)*100</f>
        <v>12.454857138339225</v>
      </c>
      <c r="AC71" s="706">
        <f>AVERAGEA(AC67:AC70)</f>
        <v>115.75</v>
      </c>
      <c r="AE71" s="777">
        <f>(AC71/AC57-1)*100</f>
        <v>1.8477782666080245</v>
      </c>
      <c r="AG71" s="758">
        <f>(H71/AE71)*100</f>
        <v>363.1576601802829</v>
      </c>
      <c r="AJ71" s="591">
        <f>SUM(AJ67:AJ70)</f>
        <v>18880</v>
      </c>
      <c r="AL71" s="759">
        <f>AJ71/AC71</f>
        <v>163.11015118790496</v>
      </c>
      <c r="AN71" s="760">
        <f>(AL71/AL57-1)*100</f>
        <v>10.191218465822981</v>
      </c>
      <c r="AP71" s="759"/>
      <c r="AQ71" s="759"/>
      <c r="AR71" s="591">
        <f>SUM(AR67:AR70)</f>
        <v>3772</v>
      </c>
      <c r="AS71" s="759"/>
    </row>
    <row r="72" spans="1:45" ht="13.5" hidden="1" customHeight="1" outlineLevel="1">
      <c r="A72" s="774"/>
      <c r="D72" s="755"/>
      <c r="F72" s="755"/>
      <c r="J72" s="766"/>
      <c r="L72" s="757"/>
      <c r="P72" s="758"/>
      <c r="S72" s="759"/>
      <c r="U72" s="759"/>
      <c r="W72" s="759"/>
      <c r="Y72" s="760"/>
      <c r="AA72" s="754"/>
      <c r="AC72" s="706"/>
      <c r="AG72" s="758"/>
      <c r="AJ72" s="759"/>
      <c r="AL72" s="759"/>
      <c r="AN72" s="760"/>
      <c r="AP72" s="759"/>
      <c r="AQ72" s="759"/>
      <c r="AR72" s="762"/>
      <c r="AS72" s="759"/>
    </row>
    <row r="73" spans="1:45" ht="13.5" hidden="1" customHeight="1" outlineLevel="1">
      <c r="A73" s="753">
        <f>A80-1</f>
        <v>1997</v>
      </c>
      <c r="J73" s="766"/>
      <c r="AA73" s="754"/>
      <c r="AC73" s="706"/>
      <c r="AR73" s="782"/>
    </row>
    <row r="74" spans="1:45" ht="13.5" hidden="1" customHeight="1" outlineLevel="1">
      <c r="A74" s="398" t="s">
        <v>112</v>
      </c>
      <c r="D74" s="755">
        <f>'qtrP&amp;L'!AN10</f>
        <v>6.9567371202113648</v>
      </c>
      <c r="E74" s="398" t="s">
        <v>156</v>
      </c>
      <c r="F74" s="755">
        <f>'qtrP&amp;L'!AO10</f>
        <v>4.5</v>
      </c>
      <c r="G74" s="398" t="s">
        <v>156</v>
      </c>
      <c r="H74" s="756">
        <f>D74-F74</f>
        <v>2.4567371202113648</v>
      </c>
      <c r="I74" s="398" t="s">
        <v>156</v>
      </c>
      <c r="J74" s="766"/>
      <c r="L74" s="757"/>
      <c r="N74" s="756"/>
      <c r="O74" s="398" t="s">
        <v>156</v>
      </c>
      <c r="P74" s="758"/>
      <c r="Q74" s="398" t="s">
        <v>156</v>
      </c>
      <c r="S74" s="591">
        <f>'qtrP&amp;L'!AM10</f>
        <v>6477.3</v>
      </c>
      <c r="U74" s="591">
        <f>S74-AR74</f>
        <v>5641.3</v>
      </c>
      <c r="W74" s="759"/>
      <c r="Y74" s="760"/>
      <c r="Z74" s="398" t="s">
        <v>156</v>
      </c>
      <c r="AA74" s="776">
        <f>(AA77-AA70)*1/4+AA70</f>
        <v>117.5</v>
      </c>
      <c r="AC74" s="706">
        <f>AVERAGEA(AA74,AA70)</f>
        <v>117.35</v>
      </c>
      <c r="AE74" s="777">
        <f>(AC74/AC67-1)*100</f>
        <v>2.343835168429087</v>
      </c>
      <c r="AF74" s="398" t="s">
        <v>156</v>
      </c>
      <c r="AG74" s="758">
        <f>(H74/AE74)*100</f>
        <v>104.81697490092481</v>
      </c>
      <c r="AH74" s="398" t="s">
        <v>156</v>
      </c>
      <c r="AJ74" s="591">
        <f>U74</f>
        <v>5641.3</v>
      </c>
      <c r="AL74" s="759">
        <f>AJ74/AC74</f>
        <v>48.072432893054966</v>
      </c>
      <c r="AN74" s="760">
        <f>(AL74/AL67-1)*100</f>
        <v>51.099378744515199</v>
      </c>
      <c r="AO74" s="398" t="s">
        <v>156</v>
      </c>
      <c r="AP74" s="762"/>
      <c r="AQ74" s="759"/>
      <c r="AR74" s="779">
        <v>836</v>
      </c>
      <c r="AS74" s="759"/>
    </row>
    <row r="75" spans="1:45" ht="13.5" hidden="1" customHeight="1" outlineLevel="1">
      <c r="A75" s="398" t="s">
        <v>113</v>
      </c>
      <c r="D75" s="755">
        <f>'qtrP&amp;L'!AN11</f>
        <v>6.1965740894728061</v>
      </c>
      <c r="F75" s="755">
        <f>'qtrP&amp;L'!AO11</f>
        <v>2</v>
      </c>
      <c r="H75" s="756">
        <f>D75-F75</f>
        <v>4.1965740894728061</v>
      </c>
      <c r="J75" s="766"/>
      <c r="L75" s="757"/>
      <c r="N75" s="756"/>
      <c r="P75" s="758"/>
      <c r="S75" s="706">
        <f>'qtrP&amp;L'!AM11</f>
        <v>6385.6</v>
      </c>
      <c r="U75" s="706">
        <f>S75-AR75</f>
        <v>5598.3</v>
      </c>
      <c r="W75" s="586"/>
      <c r="Y75" s="760"/>
      <c r="AA75" s="776">
        <f>(AA77-AA70)*1/4+AA74</f>
        <v>117.8</v>
      </c>
      <c r="AC75" s="706">
        <f>AVERAGEA(AA74:AA75)</f>
        <v>117.65</v>
      </c>
      <c r="AE75" s="777">
        <f>(AC75/AC68-1)*100</f>
        <v>1.9607843137254832</v>
      </c>
      <c r="AG75" s="758">
        <f>(H75/AE75)*100</f>
        <v>214.02527856311386</v>
      </c>
      <c r="AJ75" s="706">
        <f>U75</f>
        <v>5598.3</v>
      </c>
      <c r="AL75" s="586">
        <f>AJ75/AC75</f>
        <v>47.584360390990227</v>
      </c>
      <c r="AN75" s="760">
        <f>(AL75/AL68-1)*100</f>
        <v>46.456131891581329</v>
      </c>
      <c r="AP75" s="763"/>
      <c r="AQ75" s="586"/>
      <c r="AR75" s="780">
        <v>787.3</v>
      </c>
      <c r="AS75" s="586"/>
    </row>
    <row r="76" spans="1:45" ht="13.5" hidden="1" customHeight="1" outlineLevel="1">
      <c r="A76" s="398" t="s">
        <v>114</v>
      </c>
      <c r="D76" s="755">
        <f>'qtrP&amp;L'!AN12</f>
        <v>1.0283032285592464</v>
      </c>
      <c r="F76" s="755">
        <f>'qtrP&amp;L'!AO12</f>
        <v>-2.5</v>
      </c>
      <c r="H76" s="756">
        <f>D76-F76</f>
        <v>3.5283032285592464</v>
      </c>
      <c r="J76" s="766"/>
      <c r="L76" s="757"/>
      <c r="N76" s="756"/>
      <c r="P76" s="758"/>
      <c r="S76" s="706">
        <f>'qtrP&amp;L'!AM12</f>
        <v>7103.3</v>
      </c>
      <c r="U76" s="706">
        <f>S76-AR76</f>
        <v>6165.3</v>
      </c>
      <c r="W76" s="586"/>
      <c r="Y76" s="760"/>
      <c r="AA76" s="776">
        <f>(AA77-AA70)*1/4+AA75</f>
        <v>118.1</v>
      </c>
      <c r="AC76" s="706">
        <f>AVERAGEA(AA75:AA76)</f>
        <v>117.94999999999999</v>
      </c>
      <c r="AE76" s="777">
        <f>(AC76/AC69-1)*100</f>
        <v>1.582516955538793</v>
      </c>
      <c r="AG76" s="758">
        <f>(H76/AE76)*100</f>
        <v>222.95516115705561</v>
      </c>
      <c r="AJ76" s="706">
        <f>U76</f>
        <v>6165.3</v>
      </c>
      <c r="AL76" s="586">
        <f>AJ76/AC76</f>
        <v>52.270453582026292</v>
      </c>
      <c r="AN76" s="760">
        <f>(AL76/AL69-1)*100</f>
        <v>32.458599771781493</v>
      </c>
      <c r="AP76" s="763"/>
      <c r="AQ76" s="586"/>
      <c r="AR76" s="780">
        <v>938</v>
      </c>
      <c r="AS76" s="586"/>
    </row>
    <row r="77" spans="1:45" ht="13.5" hidden="1" customHeight="1" outlineLevel="1">
      <c r="A77" s="398" t="s">
        <v>115</v>
      </c>
      <c r="D77" s="764">
        <f>'qtrP&amp;L'!AN13</f>
        <v>6.5270935960591192</v>
      </c>
      <c r="F77" s="764">
        <f>'qtrP&amp;L'!AO13</f>
        <v>-2.8</v>
      </c>
      <c r="H77" s="765">
        <f>D77-F77</f>
        <v>9.3270935960591181</v>
      </c>
      <c r="J77" s="766">
        <f>J70+34-59</f>
        <v>1203</v>
      </c>
      <c r="L77" s="767"/>
      <c r="N77" s="765"/>
      <c r="P77" s="768"/>
      <c r="S77" s="769">
        <f>'qtrP&amp;L'!AM13</f>
        <v>9515</v>
      </c>
      <c r="U77" s="769">
        <f>S77-AR77</f>
        <v>8161</v>
      </c>
      <c r="W77" s="770"/>
      <c r="Y77" s="771"/>
      <c r="AA77" s="754">
        <v>118.4</v>
      </c>
      <c r="AC77" s="769">
        <f>AVERAGEA(AA76:AA77)</f>
        <v>118.25</v>
      </c>
      <c r="AE77" s="778">
        <f>(AC77/AC70-1)*100</f>
        <v>1.2089440462180301</v>
      </c>
      <c r="AG77" s="768">
        <f>(H77/AE77)*100</f>
        <v>771.50746763154996</v>
      </c>
      <c r="AJ77" s="769">
        <f>U77</f>
        <v>8161</v>
      </c>
      <c r="AL77" s="770">
        <f>AJ77/AC77</f>
        <v>69.014799154334042</v>
      </c>
      <c r="AN77" s="771">
        <f>(AL77/AL70-1)*100</f>
        <v>16.845625216555614</v>
      </c>
      <c r="AP77" s="773"/>
      <c r="AQ77" s="509"/>
      <c r="AR77" s="781">
        <v>1354</v>
      </c>
      <c r="AS77" s="509"/>
    </row>
    <row r="78" spans="1:45" ht="13.5" hidden="1" customHeight="1" outlineLevel="1">
      <c r="A78" s="774" t="s">
        <v>116</v>
      </c>
      <c r="D78" s="755">
        <f>'qtrP&amp;L'!AN14</f>
        <v>5.1698059360730575</v>
      </c>
      <c r="F78" s="755">
        <f>'qtrP&amp;L'!AO14</f>
        <v>-8.4162110090498482E-2</v>
      </c>
      <c r="H78" s="756">
        <f>D78-F78</f>
        <v>5.2539680461635561</v>
      </c>
      <c r="J78" s="766"/>
      <c r="L78" s="706">
        <f>AVERAGE(J77,J70)</f>
        <v>1215.5</v>
      </c>
      <c r="N78" s="756">
        <f>(L78/L71-1)*100</f>
        <v>-1.4193025141930216</v>
      </c>
      <c r="P78" s="758">
        <f>(H78/N78)*100</f>
        <v>-370.17957719541033</v>
      </c>
      <c r="S78" s="591">
        <f>SUM(S74:S77)</f>
        <v>29481.200000000001</v>
      </c>
      <c r="U78" s="591">
        <f>S78-AR78</f>
        <v>25565.9</v>
      </c>
      <c r="W78" s="759">
        <f>U78/L78</f>
        <v>21.033237350884409</v>
      </c>
      <c r="Y78" s="760">
        <f>(W78/W71-1)*100</f>
        <v>37.362190962078799</v>
      </c>
      <c r="AA78" s="754"/>
      <c r="AC78" s="706">
        <f>AVERAGEA(AC74:AC77)</f>
        <v>117.8</v>
      </c>
      <c r="AE78" s="777">
        <f>(AC78/AC71-1)*100</f>
        <v>1.7710583153347725</v>
      </c>
      <c r="AG78" s="758">
        <f>(H78/AE78)*100</f>
        <v>296.6569762650887</v>
      </c>
      <c r="AJ78" s="591">
        <f>SUM(AJ74:AJ77)</f>
        <v>25565.9</v>
      </c>
      <c r="AL78" s="759">
        <f>AJ78/AC78</f>
        <v>217.02801358234296</v>
      </c>
      <c r="AN78" s="760">
        <f>(AL78/AL71-1)*100</f>
        <v>33.056104725403593</v>
      </c>
      <c r="AP78" s="759"/>
      <c r="AQ78" s="759"/>
      <c r="AR78" s="591">
        <f>SUM(AR74:AR77)</f>
        <v>3915.3</v>
      </c>
      <c r="AS78" s="759"/>
    </row>
    <row r="79" spans="1:45" ht="13.5" hidden="1" customHeight="1" outlineLevel="1">
      <c r="J79" s="766"/>
      <c r="L79" s="757"/>
      <c r="P79" s="758"/>
      <c r="Y79" s="760"/>
      <c r="AA79" s="754"/>
      <c r="AC79" s="706"/>
      <c r="AG79" s="758"/>
      <c r="AN79" s="760"/>
      <c r="AR79" s="782"/>
    </row>
    <row r="80" spans="1:45" ht="13.5" hidden="1" customHeight="1" outlineLevel="1">
      <c r="A80" s="753">
        <f>A87-1</f>
        <v>1998</v>
      </c>
      <c r="J80" s="766"/>
      <c r="AA80" s="754"/>
      <c r="AC80" s="706"/>
      <c r="AR80" s="782"/>
    </row>
    <row r="81" spans="1:45" ht="13.5" hidden="1" customHeight="1" outlineLevel="1">
      <c r="A81" s="398" t="s">
        <v>112</v>
      </c>
      <c r="D81" s="755">
        <f>'qtrP&amp;L'!AR10</f>
        <v>4.2872801939079608</v>
      </c>
      <c r="E81" s="398" t="s">
        <v>156</v>
      </c>
      <c r="F81" s="755">
        <f>'qtrP&amp;L'!AS10</f>
        <v>1.9</v>
      </c>
      <c r="G81" s="398" t="s">
        <v>156</v>
      </c>
      <c r="H81" s="756">
        <f>D81-F81</f>
        <v>2.3872801939079609</v>
      </c>
      <c r="I81" s="398" t="s">
        <v>156</v>
      </c>
      <c r="J81" s="766"/>
      <c r="L81" s="757"/>
      <c r="N81" s="756"/>
      <c r="O81" s="398" t="s">
        <v>156</v>
      </c>
      <c r="P81" s="758"/>
      <c r="Q81" s="398" t="s">
        <v>156</v>
      </c>
      <c r="S81" s="591">
        <f>'qtrP&amp;L'!AQ10</f>
        <v>6755</v>
      </c>
      <c r="U81" s="591">
        <f>S81-AR81</f>
        <v>5907</v>
      </c>
      <c r="W81" s="759"/>
      <c r="Y81" s="760"/>
      <c r="Z81" s="398" t="s">
        <v>156</v>
      </c>
      <c r="AA81" s="776">
        <f>(AA84-AA77)*1/4+AA77</f>
        <v>117.80000000000001</v>
      </c>
      <c r="AC81" s="706">
        <f>AVERAGEA(AA81,AA77)</f>
        <v>118.10000000000001</v>
      </c>
      <c r="AE81" s="777">
        <f>(AC81/AC74-1)*100</f>
        <v>0.63911376224969896</v>
      </c>
      <c r="AF81" s="398" t="s">
        <v>156</v>
      </c>
      <c r="AG81" s="758">
        <f>(H81/AE81)*100</f>
        <v>373.52977434012143</v>
      </c>
      <c r="AH81" s="398" t="s">
        <v>156</v>
      </c>
      <c r="AJ81" s="591">
        <f>U81</f>
        <v>5907</v>
      </c>
      <c r="AL81" s="759">
        <f>AJ81/AC81</f>
        <v>50.016934801016085</v>
      </c>
      <c r="AN81" s="760">
        <f>(AL81/AL74-1)*100</f>
        <v>4.0449417492286699</v>
      </c>
      <c r="AO81" s="398" t="s">
        <v>156</v>
      </c>
      <c r="AP81" s="762"/>
      <c r="AQ81" s="759"/>
      <c r="AR81" s="779">
        <v>848</v>
      </c>
      <c r="AS81" s="759"/>
    </row>
    <row r="82" spans="1:45" ht="13.5" hidden="1" customHeight="1" outlineLevel="1">
      <c r="A82" s="398" t="s">
        <v>113</v>
      </c>
      <c r="D82" s="755">
        <f>'qtrP&amp;L'!AR11</f>
        <v>1.5096467050864426</v>
      </c>
      <c r="F82" s="755">
        <f>'qtrP&amp;L'!AS11</f>
        <v>-2.5</v>
      </c>
      <c r="H82" s="756">
        <f>D82-F82</f>
        <v>4.0096467050864426</v>
      </c>
      <c r="J82" s="766"/>
      <c r="L82" s="757"/>
      <c r="N82" s="756"/>
      <c r="P82" s="758"/>
      <c r="S82" s="706">
        <f>'qtrP&amp;L'!AQ11</f>
        <v>6482</v>
      </c>
      <c r="U82" s="706">
        <f>S82-AR82</f>
        <v>5682.5</v>
      </c>
      <c r="W82" s="586"/>
      <c r="Y82" s="760"/>
      <c r="AA82" s="776">
        <f>(AA84-AA77)*1/4+AA81</f>
        <v>117.20000000000002</v>
      </c>
      <c r="AC82" s="706">
        <f>AVERAGEA(AA81:AA82)</f>
        <v>117.50000000000001</v>
      </c>
      <c r="AE82" s="777">
        <f>(AC82/AC75-1)*100</f>
        <v>-0.12749681257967493</v>
      </c>
      <c r="AG82" s="758">
        <f>(H82/AE82)*100</f>
        <v>-3144.8995656897273</v>
      </c>
      <c r="AJ82" s="706">
        <f>U82</f>
        <v>5682.5</v>
      </c>
      <c r="AL82" s="586">
        <f>AJ82/AC82</f>
        <v>48.361702127659569</v>
      </c>
      <c r="AN82" s="760">
        <f>(AL82/AL75-1)*100</f>
        <v>1.6336076187261961</v>
      </c>
      <c r="AP82" s="763"/>
      <c r="AQ82" s="586"/>
      <c r="AR82" s="780">
        <v>799.5</v>
      </c>
      <c r="AS82" s="586"/>
    </row>
    <row r="83" spans="1:45" ht="13.5" hidden="1" customHeight="1" outlineLevel="1">
      <c r="A83" s="398" t="s">
        <v>114</v>
      </c>
      <c r="D83" s="755">
        <f>'qtrP&amp;L'!AR12</f>
        <v>0.36180366871736425</v>
      </c>
      <c r="F83" s="755">
        <f>'qtrP&amp;L'!AS12</f>
        <v>-4</v>
      </c>
      <c r="H83" s="756">
        <f>D83-F83</f>
        <v>4.3618036687173642</v>
      </c>
      <c r="J83" s="766"/>
      <c r="L83" s="757"/>
      <c r="N83" s="756"/>
      <c r="P83" s="758"/>
      <c r="S83" s="706">
        <f>'qtrP&amp;L'!AQ12</f>
        <v>7129</v>
      </c>
      <c r="U83" s="706">
        <f>S83-AR83</f>
        <v>6163</v>
      </c>
      <c r="W83" s="586"/>
      <c r="Y83" s="760"/>
      <c r="AA83" s="776">
        <f>(AA84-AA77)*1/4+AA82</f>
        <v>116.60000000000002</v>
      </c>
      <c r="AC83" s="706">
        <f>AVERAGEA(AA82:AA83)</f>
        <v>116.90000000000002</v>
      </c>
      <c r="AE83" s="777">
        <f>(AC83/AC76-1)*100</f>
        <v>-0.89020771513350638</v>
      </c>
      <c r="AG83" s="758">
        <f>(H83/AE83)*100</f>
        <v>-489.97594545259756</v>
      </c>
      <c r="AJ83" s="706">
        <f>U83</f>
        <v>6163</v>
      </c>
      <c r="AL83" s="586">
        <f>AJ83/AC83</f>
        <v>52.7202737382378</v>
      </c>
      <c r="AN83" s="760">
        <f>(AL83/AL76-1)*100</f>
        <v>0.86056294787191234</v>
      </c>
      <c r="AP83" s="763"/>
      <c r="AQ83" s="586"/>
      <c r="AR83" s="780">
        <v>966</v>
      </c>
      <c r="AS83" s="586"/>
    </row>
    <row r="84" spans="1:45" ht="13.5" hidden="1" customHeight="1" outlineLevel="1">
      <c r="A84" s="398" t="s">
        <v>115</v>
      </c>
      <c r="D84" s="764">
        <f>'qtrP&amp;L'!AR13</f>
        <v>-4.6558066211245368</v>
      </c>
      <c r="F84" s="764">
        <f>'qtrP&amp;L'!AS13</f>
        <v>-2.8</v>
      </c>
      <c r="H84" s="765">
        <f>D84-F84</f>
        <v>-1.855806621124537</v>
      </c>
      <c r="J84" s="766">
        <f>J77+33-67</f>
        <v>1169</v>
      </c>
      <c r="L84" s="767"/>
      <c r="N84" s="765"/>
      <c r="P84" s="768"/>
      <c r="S84" s="769">
        <f>'qtrP&amp;L'!AQ13</f>
        <v>9072</v>
      </c>
      <c r="U84" s="769">
        <f>S84-AR84</f>
        <v>7796</v>
      </c>
      <c r="W84" s="770"/>
      <c r="Y84" s="771"/>
      <c r="AA84" s="754">
        <v>116</v>
      </c>
      <c r="AC84" s="769">
        <f>AVERAGEA(AA83:AA84)</f>
        <v>116.30000000000001</v>
      </c>
      <c r="AE84" s="778">
        <f>(AC84/AC77-1)*100</f>
        <v>-1.6490486257928039</v>
      </c>
      <c r="AG84" s="768">
        <f>(H84/AE84)*100</f>
        <v>112.53801689639874</v>
      </c>
      <c r="AJ84" s="769">
        <f>U84</f>
        <v>7796</v>
      </c>
      <c r="AL84" s="770">
        <f>AJ84/AC84</f>
        <v>67.033533963886498</v>
      </c>
      <c r="AN84" s="771">
        <f>(AL84/AL77-1)*100</f>
        <v>-2.8707830997478534</v>
      </c>
      <c r="AP84" s="773"/>
      <c r="AQ84" s="509"/>
      <c r="AR84" s="781">
        <v>1276</v>
      </c>
      <c r="AS84" s="509"/>
    </row>
    <row r="85" spans="1:45" ht="13.5" hidden="1" customHeight="1" outlineLevel="1">
      <c r="A85" s="774" t="s">
        <v>116</v>
      </c>
      <c r="D85" s="755">
        <f>'qtrP&amp;L'!AR14</f>
        <v>-0.14653406238552824</v>
      </c>
      <c r="F85" s="755">
        <f>'qtrP&amp;L'!AS14</f>
        <v>-1.9</v>
      </c>
      <c r="H85" s="756">
        <f>D85-F85</f>
        <v>1.7534659376144717</v>
      </c>
      <c r="J85" s="766"/>
      <c r="L85" s="706">
        <f>AVERAGE(J84,J77)</f>
        <v>1186</v>
      </c>
      <c r="N85" s="756">
        <f>(L85/L78-1)*100</f>
        <v>-2.4269847799259558</v>
      </c>
      <c r="P85" s="758">
        <f>(H85/N85)*100</f>
        <v>-72.248740582047148</v>
      </c>
      <c r="S85" s="591">
        <f>SUM(S81:S84)</f>
        <v>29438</v>
      </c>
      <c r="U85" s="591">
        <f>S85-AR85</f>
        <v>25548.5</v>
      </c>
      <c r="W85" s="759">
        <f>U85/L85</f>
        <v>21.541736930860033</v>
      </c>
      <c r="Y85" s="760">
        <f>(W85/W78-1)*100</f>
        <v>2.4176001606060149</v>
      </c>
      <c r="AA85" s="754"/>
      <c r="AC85" s="706">
        <f>AVERAGEA(AC81:AC84)</f>
        <v>117.20000000000002</v>
      </c>
      <c r="AE85" s="777">
        <f>(AC85/AC78-1)*100</f>
        <v>-0.50933786078096732</v>
      </c>
      <c r="AG85" s="758">
        <f>(H85/AE85)*100</f>
        <v>-344.26381241831973</v>
      </c>
      <c r="AJ85" s="591">
        <f>SUM(AJ81:AJ84)</f>
        <v>25548.5</v>
      </c>
      <c r="AL85" s="759">
        <f>AJ85/AC85</f>
        <v>217.99061433447096</v>
      </c>
      <c r="AN85" s="760">
        <f>(AL85/AL78-1)*100</f>
        <v>0.44353755823451912</v>
      </c>
      <c r="AP85" s="759"/>
      <c r="AQ85" s="759"/>
      <c r="AR85" s="591">
        <f>SUM(AR81:AR84)</f>
        <v>3889.5</v>
      </c>
      <c r="AS85" s="759"/>
    </row>
    <row r="86" spans="1:45" ht="13.5" hidden="1" customHeight="1" outlineLevel="1">
      <c r="A86" s="774"/>
      <c r="D86" s="755"/>
      <c r="F86" s="755"/>
      <c r="J86" s="766"/>
      <c r="L86" s="757"/>
      <c r="P86" s="758"/>
      <c r="S86" s="759"/>
      <c r="U86" s="759"/>
      <c r="W86" s="759"/>
      <c r="Y86" s="760"/>
      <c r="AA86" s="754"/>
      <c r="AC86" s="706"/>
      <c r="AG86" s="758"/>
      <c r="AJ86" s="759"/>
      <c r="AL86" s="759"/>
      <c r="AN86" s="760"/>
      <c r="AP86" s="759"/>
      <c r="AQ86" s="759"/>
      <c r="AR86" s="762"/>
      <c r="AS86" s="759"/>
    </row>
    <row r="87" spans="1:45" ht="13.5" hidden="1" customHeight="1" outlineLevel="1">
      <c r="A87" s="753">
        <f>A94-1</f>
        <v>1999</v>
      </c>
      <c r="J87" s="766"/>
      <c r="AA87" s="754"/>
      <c r="AC87" s="706"/>
      <c r="AR87" s="782"/>
    </row>
    <row r="88" spans="1:45" ht="13.5" hidden="1" customHeight="1" outlineLevel="1">
      <c r="A88" s="398" t="s">
        <v>112</v>
      </c>
      <c r="D88" s="755">
        <f>'qtrP&amp;L'!AV10</f>
        <v>8.6454478164322843</v>
      </c>
      <c r="E88" s="398" t="s">
        <v>156</v>
      </c>
      <c r="F88" s="755">
        <f>'qtrP&amp;L'!AW10</f>
        <v>-0.5</v>
      </c>
      <c r="G88" s="398" t="s">
        <v>156</v>
      </c>
      <c r="H88" s="756">
        <f>D88-F88</f>
        <v>9.1454478164322843</v>
      </c>
      <c r="I88" s="398" t="s">
        <v>156</v>
      </c>
      <c r="J88" s="766"/>
      <c r="L88" s="757"/>
      <c r="N88" s="756"/>
      <c r="O88" s="398" t="s">
        <v>156</v>
      </c>
      <c r="P88" s="758"/>
      <c r="Q88" s="398" t="s">
        <v>156</v>
      </c>
      <c r="S88" s="591">
        <f>'qtrP&amp;L'!AU10</f>
        <v>7339</v>
      </c>
      <c r="U88" s="591">
        <f>S88-AR88</f>
        <v>6344</v>
      </c>
      <c r="W88" s="759"/>
      <c r="Y88" s="760"/>
      <c r="Z88" s="398" t="s">
        <v>156</v>
      </c>
      <c r="AA88" s="776">
        <f>(AA91-AA84)*1/4+AA84</f>
        <v>115.675</v>
      </c>
      <c r="AC88" s="706">
        <f>AVERAGEA(AA88,AA84)</f>
        <v>115.83750000000001</v>
      </c>
      <c r="AE88" s="777">
        <f>(AC88/AC81-1)*100</f>
        <v>-1.9157493649449631</v>
      </c>
      <c r="AF88" s="398" t="s">
        <v>156</v>
      </c>
      <c r="AG88" s="758">
        <f>(H88/AE88)*100</f>
        <v>-477.3822705505645</v>
      </c>
      <c r="AH88" s="398" t="s">
        <v>156</v>
      </c>
      <c r="AJ88" s="591">
        <f>U88</f>
        <v>6344</v>
      </c>
      <c r="AL88" s="759">
        <f>AJ88/AC88</f>
        <v>54.766375310240633</v>
      </c>
      <c r="AN88" s="760">
        <f>(AL88/AL81-1)*100</f>
        <v>9.4956648745457848</v>
      </c>
      <c r="AO88" s="398" t="s">
        <v>156</v>
      </c>
      <c r="AP88" s="762"/>
      <c r="AQ88" s="759"/>
      <c r="AR88" s="779">
        <v>995</v>
      </c>
      <c r="AS88" s="759"/>
    </row>
    <row r="89" spans="1:45" ht="13.5" hidden="1" customHeight="1" outlineLevel="1">
      <c r="A89" s="398" t="s">
        <v>113</v>
      </c>
      <c r="D89" s="755">
        <f>'qtrP&amp;L'!AV11</f>
        <v>9.5958037642702934</v>
      </c>
      <c r="F89" s="755">
        <f>'qtrP&amp;L'!AW11</f>
        <v>0</v>
      </c>
      <c r="H89" s="756">
        <f>D89-F89</f>
        <v>9.5958037642702934</v>
      </c>
      <c r="J89" s="766"/>
      <c r="L89" s="757"/>
      <c r="N89" s="756"/>
      <c r="P89" s="758"/>
      <c r="S89" s="706">
        <f>'qtrP&amp;L'!AU11</f>
        <v>7104</v>
      </c>
      <c r="U89" s="706">
        <f>S89-AR89</f>
        <v>6224</v>
      </c>
      <c r="W89" s="586"/>
      <c r="Y89" s="760"/>
      <c r="AA89" s="776">
        <f>(AA91-AA84)*1/4+AA88</f>
        <v>115.35</v>
      </c>
      <c r="AC89" s="706">
        <f>AVERAGEA(AA88:AA89)</f>
        <v>115.51249999999999</v>
      </c>
      <c r="AE89" s="777">
        <f>(AC89/AC82-1)*100</f>
        <v>-1.6914893617021476</v>
      </c>
      <c r="AG89" s="758">
        <f>(H89/AE89)*100</f>
        <v>-567.29909046628734</v>
      </c>
      <c r="AJ89" s="706">
        <f>U89</f>
        <v>6224</v>
      </c>
      <c r="AL89" s="586">
        <f>AJ89/AC89</f>
        <v>53.881614543880538</v>
      </c>
      <c r="AN89" s="760">
        <f>(AL89/AL82-1)*100</f>
        <v>11.413809219638615</v>
      </c>
      <c r="AP89" s="763"/>
      <c r="AQ89" s="586"/>
      <c r="AR89" s="780">
        <v>880</v>
      </c>
      <c r="AS89" s="586"/>
    </row>
    <row r="90" spans="1:45" ht="13.5" hidden="1" customHeight="1" outlineLevel="1">
      <c r="A90" s="398" t="s">
        <v>114</v>
      </c>
      <c r="D90" s="755">
        <f>'qtrP&amp;L'!AV12</f>
        <v>7.1538785243372205</v>
      </c>
      <c r="F90" s="755">
        <f>'qtrP&amp;L'!AW12</f>
        <v>-3</v>
      </c>
      <c r="H90" s="756">
        <f>D90-F90</f>
        <v>10.15387852433722</v>
      </c>
      <c r="J90" s="766"/>
      <c r="L90" s="757"/>
      <c r="N90" s="756"/>
      <c r="P90" s="758"/>
      <c r="S90" s="706">
        <f>'qtrP&amp;L'!AU12</f>
        <v>7639</v>
      </c>
      <c r="U90" s="706">
        <f>S90-AR90</f>
        <v>6588</v>
      </c>
      <c r="W90" s="586"/>
      <c r="Y90" s="760"/>
      <c r="AA90" s="776">
        <f>(AA91-AA84)*1/4+AA89</f>
        <v>115.02499999999999</v>
      </c>
      <c r="AC90" s="706">
        <f>AVERAGEA(AA89:AA90)</f>
        <v>115.1875</v>
      </c>
      <c r="AE90" s="777">
        <f>(AC90/AC83-1)*100</f>
        <v>-1.464927288280593</v>
      </c>
      <c r="AG90" s="758">
        <f>(H90/AE90)*100</f>
        <v>-693.1319121138755</v>
      </c>
      <c r="AJ90" s="706">
        <f>U90</f>
        <v>6588</v>
      </c>
      <c r="AL90" s="586">
        <f>AJ90/AC90</f>
        <v>57.193705914270211</v>
      </c>
      <c r="AN90" s="760">
        <f>(AL90/AL83-1)*100</f>
        <v>8.4852218299235496</v>
      </c>
      <c r="AP90" s="763"/>
      <c r="AQ90" s="586"/>
      <c r="AR90" s="780">
        <v>1051</v>
      </c>
      <c r="AS90" s="586"/>
    </row>
    <row r="91" spans="1:45" ht="13.5" hidden="1" customHeight="1" outlineLevel="1">
      <c r="A91" s="398" t="s">
        <v>115</v>
      </c>
      <c r="D91" s="764">
        <f>'qtrP&amp;L'!AV13</f>
        <v>6.4925044091710848</v>
      </c>
      <c r="F91" s="764">
        <f>'qtrP&amp;L'!AW13</f>
        <v>-1.4</v>
      </c>
      <c r="H91" s="765">
        <f>D91-F91</f>
        <v>7.8925044091710852</v>
      </c>
      <c r="J91" s="766">
        <f>J84+26-19</f>
        <v>1176</v>
      </c>
      <c r="L91" s="767"/>
      <c r="N91" s="765"/>
      <c r="P91" s="768"/>
      <c r="S91" s="769">
        <f>'qtrP&amp;L'!AU13</f>
        <v>9661</v>
      </c>
      <c r="U91" s="769">
        <f>S91-AR91</f>
        <v>8297</v>
      </c>
      <c r="W91" s="770"/>
      <c r="Y91" s="771"/>
      <c r="AA91" s="754">
        <v>114.7</v>
      </c>
      <c r="AC91" s="769">
        <f>AVERAGEA(AA90:AA91)</f>
        <v>114.8625</v>
      </c>
      <c r="AE91" s="778">
        <f>(AC91/AC84-1)*100</f>
        <v>-1.2360275150472999</v>
      </c>
      <c r="AG91" s="768">
        <f>(H91/AE91)*100</f>
        <v>-638.53792193849813</v>
      </c>
      <c r="AJ91" s="769">
        <f>U91</f>
        <v>8297</v>
      </c>
      <c r="AL91" s="770">
        <f>AJ91/AC91</f>
        <v>72.234193056915885</v>
      </c>
      <c r="AN91" s="771">
        <f>(AL91/AL84-1)*100</f>
        <v>7.7582946705915479</v>
      </c>
      <c r="AP91" s="773"/>
      <c r="AQ91" s="509"/>
      <c r="AR91" s="781">
        <v>1364</v>
      </c>
      <c r="AS91" s="509"/>
    </row>
    <row r="92" spans="1:45" ht="13.5" hidden="1" customHeight="1" outlineLevel="1">
      <c r="A92" s="774" t="s">
        <v>116</v>
      </c>
      <c r="D92" s="755">
        <f>'qtrP&amp;L'!AV14</f>
        <v>7.8300156260615594</v>
      </c>
      <c r="F92" s="755">
        <f>'qtrP&amp;L'!AW14</f>
        <v>-1.1000000000000001</v>
      </c>
      <c r="H92" s="756">
        <f>D92-F92</f>
        <v>8.9300156260615591</v>
      </c>
      <c r="J92" s="766"/>
      <c r="L92" s="706">
        <f>AVERAGE(J91,J84)</f>
        <v>1172.5</v>
      </c>
      <c r="N92" s="756">
        <f>(L92/L85-1)*100</f>
        <v>-1.1382799325463711</v>
      </c>
      <c r="P92" s="758">
        <f>(H92/N92)*100</f>
        <v>-784.51840981548435</v>
      </c>
      <c r="S92" s="591">
        <f>SUM(S88:S91)</f>
        <v>31743</v>
      </c>
      <c r="U92" s="591">
        <f>S92-AR92</f>
        <v>27453</v>
      </c>
      <c r="W92" s="759">
        <f>U92/L92</f>
        <v>23.414072494669508</v>
      </c>
      <c r="Y92" s="760">
        <f>(W92/W85-1)*100</f>
        <v>8.6916647892363095</v>
      </c>
      <c r="AA92" s="754"/>
      <c r="AC92" s="706">
        <f>AVERAGEA(AC88:AC91)</f>
        <v>115.35000000000001</v>
      </c>
      <c r="AE92" s="777">
        <f>(AC92/AC85-1)*100</f>
        <v>-1.5784982935153624</v>
      </c>
      <c r="AG92" s="758">
        <f>(H92/AE92)*100</f>
        <v>-565.72855749968221</v>
      </c>
      <c r="AJ92" s="591">
        <f>SUM(AJ88:AJ91)</f>
        <v>27453</v>
      </c>
      <c r="AL92" s="759">
        <f>AJ92/AC92</f>
        <v>237.99739921976592</v>
      </c>
      <c r="AN92" s="760">
        <f>(AL92/AL85-1)*100</f>
        <v>9.1778193966634891</v>
      </c>
      <c r="AP92" s="759"/>
      <c r="AQ92" s="759"/>
      <c r="AR92" s="591">
        <f>SUM(AR88:AR91)</f>
        <v>4290</v>
      </c>
      <c r="AS92" s="759"/>
    </row>
    <row r="93" spans="1:45" ht="13.5" hidden="1" customHeight="1" outlineLevel="1">
      <c r="J93" s="766"/>
      <c r="L93" s="757"/>
      <c r="P93" s="758"/>
      <c r="Y93" s="760"/>
      <c r="AA93" s="754"/>
      <c r="AC93" s="706"/>
      <c r="AG93" s="758"/>
      <c r="AN93" s="760"/>
      <c r="AR93" s="782"/>
    </row>
    <row r="94" spans="1:45" ht="13.5" hidden="1" customHeight="1" outlineLevel="1">
      <c r="A94" s="753">
        <f>A101-1</f>
        <v>2000</v>
      </c>
      <c r="J94" s="766"/>
      <c r="AA94" s="754"/>
      <c r="AC94" s="706"/>
      <c r="AR94" s="782"/>
    </row>
    <row r="95" spans="1:45" ht="13.5" hidden="1" customHeight="1" outlineLevel="1">
      <c r="A95" s="398" t="s">
        <v>112</v>
      </c>
      <c r="D95" s="755">
        <f>'qtrP&amp;L'!AZ10</f>
        <v>2.5752827360675745</v>
      </c>
      <c r="E95" s="398" t="s">
        <v>156</v>
      </c>
      <c r="F95" s="755">
        <f>'qtrP&amp;L'!BA10</f>
        <v>-3.1</v>
      </c>
      <c r="G95" s="398" t="s">
        <v>156</v>
      </c>
      <c r="H95" s="756">
        <f>D95-F95</f>
        <v>5.6752827360675742</v>
      </c>
      <c r="I95" s="398" t="s">
        <v>156</v>
      </c>
      <c r="J95" s="766"/>
      <c r="L95" s="757"/>
      <c r="N95" s="756"/>
      <c r="O95" s="398" t="s">
        <v>156</v>
      </c>
      <c r="P95" s="758"/>
      <c r="Q95" s="398" t="s">
        <v>156</v>
      </c>
      <c r="S95" s="591">
        <f>'qtrP&amp;L'!AY10</f>
        <v>7528</v>
      </c>
      <c r="U95" s="591">
        <f>S95-AR95</f>
        <v>6531</v>
      </c>
      <c r="W95" s="759"/>
      <c r="Y95" s="760"/>
      <c r="Z95" s="398" t="s">
        <v>156</v>
      </c>
      <c r="AA95" s="776">
        <f>(AA98-AA91)*1/4+AA91</f>
        <v>114.1</v>
      </c>
      <c r="AC95" s="706">
        <f>AVERAGEA(AA95,AA91)</f>
        <v>114.4</v>
      </c>
      <c r="AE95" s="777">
        <f>(AC95/AC88-1)*100</f>
        <v>-1.2409625553037706</v>
      </c>
      <c r="AF95" s="398" t="s">
        <v>156</v>
      </c>
      <c r="AG95" s="758">
        <f>(H95/AE95)*100</f>
        <v>-457.32908795772192</v>
      </c>
      <c r="AH95" s="398" t="s">
        <v>156</v>
      </c>
      <c r="AJ95" s="591">
        <f>U95</f>
        <v>6531</v>
      </c>
      <c r="AL95" s="759">
        <f>AJ95/AC95</f>
        <v>57.089160839160833</v>
      </c>
      <c r="AN95" s="760">
        <f>(AL95/AL88-1)*100</f>
        <v>4.2412621170601073</v>
      </c>
      <c r="AO95" s="398" t="s">
        <v>156</v>
      </c>
      <c r="AP95" s="762"/>
      <c r="AQ95" s="759"/>
      <c r="AR95" s="779">
        <v>997</v>
      </c>
      <c r="AS95" s="759"/>
    </row>
    <row r="96" spans="1:45" ht="13.5" hidden="1" customHeight="1" outlineLevel="1">
      <c r="A96" s="398" t="s">
        <v>113</v>
      </c>
      <c r="D96" s="755">
        <f>'qtrP&amp;L'!AZ11</f>
        <v>1.449887387387383</v>
      </c>
      <c r="F96" s="755">
        <f>'qtrP&amp;L'!BA11</f>
        <v>-1.5</v>
      </c>
      <c r="H96" s="756">
        <f>D96-F96</f>
        <v>2.949887387387383</v>
      </c>
      <c r="J96" s="766"/>
      <c r="L96" s="757"/>
      <c r="N96" s="756"/>
      <c r="P96" s="758"/>
      <c r="S96" s="706">
        <f>'qtrP&amp;L'!AY11</f>
        <v>7207</v>
      </c>
      <c r="U96" s="706">
        <f>S96-AR96</f>
        <v>6311</v>
      </c>
      <c r="W96" s="586"/>
      <c r="Y96" s="760"/>
      <c r="AA96" s="776">
        <f>(AA98-AA91)*1/4+AA95</f>
        <v>113.5</v>
      </c>
      <c r="AC96" s="706">
        <f>AVERAGEA(AA95:AA96)</f>
        <v>113.8</v>
      </c>
      <c r="AE96" s="777">
        <f>(AC96/AC89-1)*100</f>
        <v>-1.4825235364138045</v>
      </c>
      <c r="AG96" s="758">
        <f>(H96/AE96)*100</f>
        <v>-198.97744048793336</v>
      </c>
      <c r="AJ96" s="706">
        <f>U96</f>
        <v>6311</v>
      </c>
      <c r="AL96" s="586">
        <f>AJ96/AC96</f>
        <v>55.456942003514939</v>
      </c>
      <c r="AN96" s="760">
        <f>(AL96/AL89-1)*100</f>
        <v>2.9236827310574975</v>
      </c>
      <c r="AP96" s="763"/>
      <c r="AQ96" s="586"/>
      <c r="AR96" s="780">
        <v>896</v>
      </c>
      <c r="AS96" s="586"/>
    </row>
    <row r="97" spans="1:45" ht="13.5" hidden="1" customHeight="1" outlineLevel="1">
      <c r="A97" s="398" t="s">
        <v>114</v>
      </c>
      <c r="D97" s="755">
        <f>'qtrP&amp;L'!AZ12</f>
        <v>-1.3221625867260167</v>
      </c>
      <c r="F97" s="755">
        <f>'qtrP&amp;L'!BA12</f>
        <v>-3.7</v>
      </c>
      <c r="H97" s="756">
        <f>D97-F97</f>
        <v>2.3778374132739835</v>
      </c>
      <c r="J97" s="766"/>
      <c r="L97" s="757"/>
      <c r="N97" s="756"/>
      <c r="P97" s="758"/>
      <c r="S97" s="706">
        <f>'qtrP&amp;L'!AY12</f>
        <v>7538</v>
      </c>
      <c r="U97" s="706">
        <f>S97-AR97</f>
        <v>6551</v>
      </c>
      <c r="W97" s="586"/>
      <c r="Y97" s="760"/>
      <c r="AA97" s="776">
        <f>(AA98-AA91)*1/4+AA96</f>
        <v>112.9</v>
      </c>
      <c r="AC97" s="706">
        <f>AVERAGEA(AA96:AA97)</f>
        <v>113.2</v>
      </c>
      <c r="AE97" s="777">
        <f>(AC97/AC90-1)*100</f>
        <v>-1.7254476397178475</v>
      </c>
      <c r="AG97" s="758">
        <f>(H97/AE97)*100</f>
        <v>-137.80988530389814</v>
      </c>
      <c r="AJ97" s="706">
        <f>U97</f>
        <v>6551</v>
      </c>
      <c r="AL97" s="586">
        <f>AJ97/AC97</f>
        <v>57.871024734982328</v>
      </c>
      <c r="AN97" s="760">
        <f>(AL97/AL90-1)*100</f>
        <v>1.1842541235697723</v>
      </c>
      <c r="AP97" s="763"/>
      <c r="AQ97" s="586"/>
      <c r="AR97" s="780">
        <v>987</v>
      </c>
      <c r="AS97" s="586"/>
    </row>
    <row r="98" spans="1:45" ht="13.5" hidden="1" customHeight="1" outlineLevel="1">
      <c r="A98" s="398" t="s">
        <v>115</v>
      </c>
      <c r="D98" s="764">
        <f>'qtrP&amp;L'!AZ13</f>
        <v>-0.91087879101542368</v>
      </c>
      <c r="F98" s="764">
        <f>'qtrP&amp;L'!BA13</f>
        <v>-1.6</v>
      </c>
      <c r="H98" s="765">
        <f>D98-F98</f>
        <v>0.68912120898457641</v>
      </c>
      <c r="J98" s="766">
        <f>J91+23-42</f>
        <v>1157</v>
      </c>
      <c r="L98" s="767"/>
      <c r="N98" s="765"/>
      <c r="P98" s="768"/>
      <c r="S98" s="769">
        <f>'qtrP&amp;L'!AY13</f>
        <v>9573</v>
      </c>
      <c r="U98" s="769">
        <f>S98-AR98</f>
        <v>8280</v>
      </c>
      <c r="W98" s="770"/>
      <c r="Y98" s="771"/>
      <c r="AA98" s="754">
        <v>112.3</v>
      </c>
      <c r="AC98" s="769">
        <f>AVERAGEA(AA97:AA98)</f>
        <v>112.6</v>
      </c>
      <c r="AE98" s="778">
        <f>(AC98/AC91-1)*100</f>
        <v>-1.9697464359560324</v>
      </c>
      <c r="AG98" s="768">
        <f>(H98/AE98)*100</f>
        <v>-34.985275079333036</v>
      </c>
      <c r="AJ98" s="769">
        <f>U98</f>
        <v>8280</v>
      </c>
      <c r="AL98" s="770">
        <f>AJ98/AC98</f>
        <v>73.53463587921847</v>
      </c>
      <c r="AN98" s="771">
        <f>(AL98/AL91-1)*100</f>
        <v>1.8003147363713445</v>
      </c>
      <c r="AP98" s="773"/>
      <c r="AQ98" s="509"/>
      <c r="AR98" s="781">
        <v>1293</v>
      </c>
      <c r="AS98" s="509"/>
    </row>
    <row r="99" spans="1:45" ht="13.5" hidden="1" customHeight="1" outlineLevel="1">
      <c r="A99" s="774" t="s">
        <v>116</v>
      </c>
      <c r="D99" s="755">
        <f>'qtrP&amp;L'!AZ14</f>
        <v>0.3244809879343391</v>
      </c>
      <c r="F99" s="755">
        <f>'qtrP&amp;L'!BA14</f>
        <v>-2.4</v>
      </c>
      <c r="H99" s="756">
        <f>D99-F99</f>
        <v>2.724480987934339</v>
      </c>
      <c r="J99" s="766"/>
      <c r="L99" s="706">
        <f>AVERAGE(J98,J91)</f>
        <v>1166.5</v>
      </c>
      <c r="N99" s="756">
        <f>(L99/L92-1)*100</f>
        <v>-0.51172707889125535</v>
      </c>
      <c r="P99" s="758">
        <f>(H99/N99)*100</f>
        <v>-532.40899305883818</v>
      </c>
      <c r="S99" s="591">
        <f>SUM(S95:S98)</f>
        <v>31846</v>
      </c>
      <c r="U99" s="591">
        <f>S99-AR99</f>
        <v>27673</v>
      </c>
      <c r="W99" s="759">
        <f>U99/L99</f>
        <v>23.723103300471497</v>
      </c>
      <c r="Y99" s="760">
        <f>(W99/W92-1)*100</f>
        <v>1.3198507259783332</v>
      </c>
      <c r="AA99" s="754"/>
      <c r="AC99" s="706">
        <f>AVERAGEA(AC95:AC98)</f>
        <v>113.5</v>
      </c>
      <c r="AE99" s="777">
        <f>(AC99/AC92-1)*100</f>
        <v>-1.6038144776766461</v>
      </c>
      <c r="AG99" s="758">
        <f>(H99/AE99)*100</f>
        <v>-169.87507132876976</v>
      </c>
      <c r="AJ99" s="591">
        <f>SUM(AJ95:AJ98)</f>
        <v>27673</v>
      </c>
      <c r="AL99" s="759">
        <f>AJ99/AC99</f>
        <v>243.81497797356829</v>
      </c>
      <c r="AN99" s="760">
        <f>(AL99/AL92-1)*100</f>
        <v>2.4443875323320041</v>
      </c>
      <c r="AP99" s="759"/>
      <c r="AQ99" s="759"/>
      <c r="AR99" s="591">
        <f>SUM(AR95:AR98)</f>
        <v>4173</v>
      </c>
      <c r="AS99" s="759"/>
    </row>
    <row r="100" spans="1:45" ht="13.5" hidden="1" customHeight="1" outlineLevel="1">
      <c r="A100" s="774"/>
      <c r="D100" s="755"/>
      <c r="F100" s="755"/>
      <c r="J100" s="766"/>
      <c r="L100" s="757"/>
      <c r="P100" s="758"/>
      <c r="S100" s="759"/>
      <c r="U100" s="759"/>
      <c r="W100" s="759"/>
      <c r="Y100" s="760"/>
      <c r="AA100" s="754"/>
      <c r="AC100" s="706"/>
      <c r="AG100" s="758"/>
      <c r="AJ100" s="759"/>
      <c r="AL100" s="759"/>
      <c r="AN100" s="760"/>
      <c r="AP100" s="759"/>
      <c r="AQ100" s="759"/>
      <c r="AR100" s="762"/>
      <c r="AS100" s="759"/>
    </row>
    <row r="101" spans="1:45" ht="13.5" hidden="1" customHeight="1" outlineLevel="1">
      <c r="A101" s="753">
        <f>A108-1</f>
        <v>2001</v>
      </c>
      <c r="J101" s="766"/>
      <c r="AA101" s="754"/>
      <c r="AC101" s="706"/>
      <c r="AR101" s="782"/>
    </row>
    <row r="102" spans="1:45" ht="13.5" hidden="1" customHeight="1" outlineLevel="1">
      <c r="A102" s="398" t="s">
        <v>112</v>
      </c>
      <c r="D102" s="755">
        <f>'qtrP&amp;L'!BD10</f>
        <v>-7.9702444208284984E-2</v>
      </c>
      <c r="E102" s="398" t="s">
        <v>156</v>
      </c>
      <c r="F102" s="755">
        <f>'qtrP&amp;L'!BE10</f>
        <v>-1.5</v>
      </c>
      <c r="G102" s="398" t="s">
        <v>156</v>
      </c>
      <c r="H102" s="756">
        <f>D102-F102</f>
        <v>1.420297555791715</v>
      </c>
      <c r="I102" s="398" t="s">
        <v>156</v>
      </c>
      <c r="J102" s="766"/>
      <c r="L102" s="757"/>
      <c r="N102" s="756"/>
      <c r="O102" s="398" t="s">
        <v>156</v>
      </c>
      <c r="P102" s="758"/>
      <c r="Q102" s="398" t="s">
        <v>156</v>
      </c>
      <c r="S102" s="591">
        <f>'qtrP&amp;L'!BC10</f>
        <v>7522</v>
      </c>
      <c r="U102" s="591">
        <f>S102-AR102</f>
        <v>6644</v>
      </c>
      <c r="W102" s="759"/>
      <c r="Y102" s="760"/>
      <c r="Z102" s="398" t="s">
        <v>156</v>
      </c>
      <c r="AA102" s="776">
        <f>(AA105-AA98)*1/4+AA98</f>
        <v>111.3</v>
      </c>
      <c r="AC102" s="706">
        <f>AVERAGEA(AA102,AA98)</f>
        <v>111.8</v>
      </c>
      <c r="AE102" s="777">
        <f>(AC102/AC95-1)*100</f>
        <v>-2.2727272727272818</v>
      </c>
      <c r="AF102" s="398" t="s">
        <v>156</v>
      </c>
      <c r="AG102" s="758">
        <f>(H102/AE102)*100</f>
        <v>-62.493092454835207</v>
      </c>
      <c r="AH102" s="398" t="s">
        <v>156</v>
      </c>
      <c r="AJ102" s="591">
        <f>U102</f>
        <v>6644</v>
      </c>
      <c r="AL102" s="759">
        <f>AJ102/AC102</f>
        <v>59.427549194991059</v>
      </c>
      <c r="AN102" s="760">
        <f>(AL102/AL95-1)*100</f>
        <v>4.0960286006274327</v>
      </c>
      <c r="AO102" s="398" t="s">
        <v>156</v>
      </c>
      <c r="AP102" s="762"/>
      <c r="AQ102" s="759"/>
      <c r="AR102" s="779">
        <v>878</v>
      </c>
      <c r="AS102" s="759"/>
    </row>
    <row r="103" spans="1:45" ht="13.5" hidden="1" customHeight="1" outlineLevel="1">
      <c r="A103" s="398" t="s">
        <v>113</v>
      </c>
      <c r="D103" s="755">
        <f>'qtrP&amp;L'!BD11</f>
        <v>5.5501595670870429E-2</v>
      </c>
      <c r="F103" s="755">
        <f>'qtrP&amp;L'!BE11</f>
        <v>-1.5</v>
      </c>
      <c r="H103" s="756">
        <f>D103-F103</f>
        <v>1.5555015956708704</v>
      </c>
      <c r="J103" s="766"/>
      <c r="L103" s="757"/>
      <c r="N103" s="756"/>
      <c r="P103" s="758"/>
      <c r="S103" s="706">
        <f>'qtrP&amp;L'!BC11</f>
        <v>7211</v>
      </c>
      <c r="U103" s="706">
        <f>S103-AR103</f>
        <v>6524</v>
      </c>
      <c r="W103" s="586"/>
      <c r="Y103" s="760"/>
      <c r="AA103" s="776">
        <f>(AA105-AA98)*1/4+AA102</f>
        <v>110.3</v>
      </c>
      <c r="AC103" s="706">
        <f>AVERAGEA(AA102:AA103)</f>
        <v>110.8</v>
      </c>
      <c r="AE103" s="777">
        <f>(AC103/AC96-1)*100</f>
        <v>-2.6362038664323406</v>
      </c>
      <c r="AG103" s="758">
        <f>(H103/AE103)*100</f>
        <v>-59.005360529114945</v>
      </c>
      <c r="AJ103" s="706">
        <f>U103</f>
        <v>6524</v>
      </c>
      <c r="AL103" s="586">
        <f>AJ103/AC103</f>
        <v>58.880866425992778</v>
      </c>
      <c r="AN103" s="760">
        <f>(AL103/AL96-1)*100</f>
        <v>6.1740231227694231</v>
      </c>
      <c r="AP103" s="763"/>
      <c r="AQ103" s="586"/>
      <c r="AR103" s="780">
        <v>687</v>
      </c>
      <c r="AS103" s="586"/>
    </row>
    <row r="104" spans="1:45" ht="13.5" hidden="1" customHeight="1" outlineLevel="1">
      <c r="A104" s="398" t="s">
        <v>114</v>
      </c>
      <c r="D104" s="755">
        <f>'qtrP&amp;L'!BD12</f>
        <v>2.5338286017511313</v>
      </c>
      <c r="F104" s="755">
        <f>'qtrP&amp;L'!BE12</f>
        <v>5.0999999999999996</v>
      </c>
      <c r="H104" s="756">
        <f>D104-F104</f>
        <v>-2.5661713982488683</v>
      </c>
      <c r="J104" s="766"/>
      <c r="L104" s="757"/>
      <c r="N104" s="756"/>
      <c r="P104" s="758"/>
      <c r="S104" s="706">
        <f>'qtrP&amp;L'!BC12</f>
        <v>7729</v>
      </c>
      <c r="U104" s="706">
        <f>S104-AR104</f>
        <v>6917</v>
      </c>
      <c r="W104" s="586"/>
      <c r="Y104" s="760"/>
      <c r="AA104" s="776">
        <f>(AA105-AA98)*1/4+AA103</f>
        <v>109.3</v>
      </c>
      <c r="AC104" s="706">
        <f>AVERAGEA(AA103:AA104)</f>
        <v>109.8</v>
      </c>
      <c r="AE104" s="777">
        <f>(AC104/AC97-1)*100</f>
        <v>-3.0035335689046039</v>
      </c>
      <c r="AG104" s="758">
        <f>(H104/AE104)*100</f>
        <v>85.438412435814968</v>
      </c>
      <c r="AJ104" s="706">
        <f>U104</f>
        <v>6917</v>
      </c>
      <c r="AL104" s="586">
        <f>AJ104/AC104</f>
        <v>62.996357012750458</v>
      </c>
      <c r="AN104" s="760">
        <f>(AL104/AL97-1)*100</f>
        <v>8.856474032107343</v>
      </c>
      <c r="AP104" s="763"/>
      <c r="AQ104" s="586"/>
      <c r="AR104" s="780">
        <v>812</v>
      </c>
      <c r="AS104" s="586"/>
    </row>
    <row r="105" spans="1:45" ht="13.5" hidden="1" customHeight="1" outlineLevel="1">
      <c r="A105" s="398" t="s">
        <v>115</v>
      </c>
      <c r="D105" s="764">
        <f>'qtrP&amp;L'!BD13</f>
        <v>-0.32382743131724734</v>
      </c>
      <c r="F105" s="764">
        <f>'qtrP&amp;L'!BE13</f>
        <v>1</v>
      </c>
      <c r="H105" s="765">
        <f>D105-F105</f>
        <v>-1.3238274313172473</v>
      </c>
      <c r="J105" s="766">
        <f>J98+15-49</f>
        <v>1123</v>
      </c>
      <c r="L105" s="767"/>
      <c r="N105" s="765"/>
      <c r="P105" s="768"/>
      <c r="S105" s="769">
        <f>'qtrP&amp;L'!BC13</f>
        <v>9542</v>
      </c>
      <c r="U105" s="769">
        <f>S105-AR105</f>
        <v>8570</v>
      </c>
      <c r="W105" s="770"/>
      <c r="Y105" s="771"/>
      <c r="AA105" s="754">
        <v>108.3</v>
      </c>
      <c r="AC105" s="769">
        <f>AVERAGEA(AA104:AA105)</f>
        <v>108.8</v>
      </c>
      <c r="AE105" s="778">
        <f>(AC105/AC98-1)*100</f>
        <v>-3.3747779751332141</v>
      </c>
      <c r="AG105" s="768">
        <f>(H105/AE105)*100</f>
        <v>39.227097043768971</v>
      </c>
      <c r="AJ105" s="769">
        <f>U105</f>
        <v>8570</v>
      </c>
      <c r="AL105" s="770">
        <f>AJ105/AC105</f>
        <v>78.768382352941174</v>
      </c>
      <c r="AN105" s="771">
        <f>(AL105/AL98-1)*100</f>
        <v>7.1173895282750754</v>
      </c>
      <c r="AP105" s="773"/>
      <c r="AQ105" s="509"/>
      <c r="AR105" s="781">
        <v>972</v>
      </c>
      <c r="AS105" s="509"/>
    </row>
    <row r="106" spans="1:45" ht="13.5" hidden="1" customHeight="1" outlineLevel="1">
      <c r="A106" s="774" t="s">
        <v>116</v>
      </c>
      <c r="D106" s="755">
        <f>'qtrP&amp;L'!BD14</f>
        <v>0.49613766250078406</v>
      </c>
      <c r="F106" s="755">
        <f>'qtrP&amp;L'!BE14</f>
        <v>3.125</v>
      </c>
      <c r="H106" s="756">
        <f>D106-F106</f>
        <v>-2.6288623374992159</v>
      </c>
      <c r="J106" s="766"/>
      <c r="L106" s="706">
        <f>AVERAGE(J105,J98)</f>
        <v>1140</v>
      </c>
      <c r="N106" s="756">
        <f>(L106/L99-1)*100</f>
        <v>-2.2717531075867936</v>
      </c>
      <c r="P106" s="758">
        <f>(H106/N106)*100</f>
        <v>115.71954402614497</v>
      </c>
      <c r="S106" s="591">
        <f>SUM(S102:S105)</f>
        <v>32004</v>
      </c>
      <c r="U106" s="591">
        <f>S106-AR106</f>
        <v>28655</v>
      </c>
      <c r="W106" s="759">
        <f>U106/L106</f>
        <v>25.135964912280702</v>
      </c>
      <c r="Y106" s="760">
        <f>(W106/W99-1)*100</f>
        <v>5.9556357105317037</v>
      </c>
      <c r="AA106" s="754"/>
      <c r="AC106" s="706">
        <f>AVERAGEA(AC102:AC105)</f>
        <v>110.3</v>
      </c>
      <c r="AE106" s="777">
        <f>(AC106/AC99-1)*100</f>
        <v>-2.8193832599119006</v>
      </c>
      <c r="AG106" s="758">
        <f>(H106/AE106)*100</f>
        <v>93.242461033175104</v>
      </c>
      <c r="AJ106" s="591">
        <f>SUM(AJ102:AJ105)</f>
        <v>28655</v>
      </c>
      <c r="AL106" s="759">
        <f>AJ106/AC106</f>
        <v>259.79147778785131</v>
      </c>
      <c r="AN106" s="760">
        <f>(AL106/AL99-1)*100</f>
        <v>6.5527146638280076</v>
      </c>
      <c r="AP106" s="759"/>
      <c r="AQ106" s="759"/>
      <c r="AR106" s="591">
        <f>SUM(AR102:AR105)</f>
        <v>3349</v>
      </c>
      <c r="AS106" s="759"/>
    </row>
    <row r="107" spans="1:45" ht="13.5" hidden="1" customHeight="1" outlineLevel="1">
      <c r="J107" s="766"/>
      <c r="L107" s="757"/>
      <c r="P107" s="758"/>
      <c r="Y107" s="760"/>
      <c r="AA107" s="754"/>
      <c r="AC107" s="706"/>
      <c r="AG107" s="758"/>
      <c r="AN107" s="760"/>
      <c r="AR107" s="782"/>
    </row>
    <row r="108" spans="1:45" ht="13.5" hidden="1" customHeight="1" outlineLevel="1">
      <c r="A108" s="753">
        <v>2002</v>
      </c>
      <c r="J108" s="766"/>
      <c r="AA108" s="754"/>
      <c r="AC108" s="706"/>
      <c r="AR108" s="782"/>
    </row>
    <row r="109" spans="1:45" ht="13.5" hidden="1" customHeight="1" outlineLevel="1">
      <c r="A109" s="398" t="s">
        <v>112</v>
      </c>
      <c r="D109" s="755">
        <f>'qtrP&amp;L'!BH10</f>
        <v>2.7386333421962172</v>
      </c>
      <c r="E109" s="398" t="s">
        <v>156</v>
      </c>
      <c r="F109" s="755">
        <f>'qtrP&amp;L'!BI10</f>
        <v>4.4000000000000004</v>
      </c>
      <c r="G109" s="398" t="s">
        <v>156</v>
      </c>
      <c r="H109" s="756">
        <f>D109-F109</f>
        <v>-1.6613666578037831</v>
      </c>
      <c r="I109" s="398" t="s">
        <v>156</v>
      </c>
      <c r="J109" s="766"/>
      <c r="L109" s="757"/>
      <c r="N109" s="756"/>
      <c r="O109" s="398" t="s">
        <v>156</v>
      </c>
      <c r="P109" s="758"/>
      <c r="Q109" s="398" t="s">
        <v>156</v>
      </c>
      <c r="S109" s="591">
        <f>'qtrP&amp;L'!BG10</f>
        <v>7728</v>
      </c>
      <c r="U109" s="591">
        <f>S109-AR109</f>
        <v>7068</v>
      </c>
      <c r="W109" s="759"/>
      <c r="Y109" s="760"/>
      <c r="Z109" s="398" t="s">
        <v>156</v>
      </c>
      <c r="AA109" s="776">
        <f>(AA112-AA105)*1/4+AA105</f>
        <v>107.625</v>
      </c>
      <c r="AC109" s="706">
        <f>AVERAGEA(AA109,AA105)</f>
        <v>107.96250000000001</v>
      </c>
      <c r="AE109" s="777">
        <f>(AC109/AC102-1)*100</f>
        <v>-3.4324686940965909</v>
      </c>
      <c r="AF109" s="398" t="s">
        <v>156</v>
      </c>
      <c r="AG109" s="758">
        <f>(H109/AE109)*100</f>
        <v>48.401509405202212</v>
      </c>
      <c r="AH109" s="398" t="s">
        <v>156</v>
      </c>
      <c r="AJ109" s="591">
        <f>U109</f>
        <v>7068</v>
      </c>
      <c r="AL109" s="759">
        <f>AJ109/AC109</f>
        <v>65.467176102813468</v>
      </c>
      <c r="AN109" s="760">
        <f>(AL109/AL102-1)*100</f>
        <v>10.163008553500074</v>
      </c>
      <c r="AO109" s="398" t="s">
        <v>156</v>
      </c>
      <c r="AP109" s="762"/>
      <c r="AQ109" s="759"/>
      <c r="AR109" s="779">
        <v>660</v>
      </c>
      <c r="AS109" s="759"/>
    </row>
    <row r="110" spans="1:45" ht="13.5" hidden="1" customHeight="1" outlineLevel="1">
      <c r="A110" s="398" t="s">
        <v>113</v>
      </c>
      <c r="D110" s="755">
        <f>'qtrP&amp;L'!BH11</f>
        <v>-0.18028012758285472</v>
      </c>
      <c r="F110" s="755">
        <f>'qtrP&amp;L'!BI11</f>
        <v>-2.4</v>
      </c>
      <c r="H110" s="756">
        <f>D110-F110</f>
        <v>2.2197198724171452</v>
      </c>
      <c r="J110" s="766"/>
      <c r="L110" s="757"/>
      <c r="N110" s="756"/>
      <c r="P110" s="758"/>
      <c r="S110" s="706">
        <f>'qtrP&amp;L'!BG11</f>
        <v>7198</v>
      </c>
      <c r="U110" s="706">
        <f>S110-AR110</f>
        <v>6658.018</v>
      </c>
      <c r="W110" s="586"/>
      <c r="Y110" s="760"/>
      <c r="AA110" s="776">
        <f>(AA112-AA105)*1/4+AA109</f>
        <v>106.95</v>
      </c>
      <c r="AC110" s="706">
        <f>AVERAGEA(AA109:AA110)</f>
        <v>107.28749999999999</v>
      </c>
      <c r="AE110" s="777">
        <f>(AC110/AC103-1)*100</f>
        <v>-3.1701263537906144</v>
      </c>
      <c r="AG110" s="758">
        <f>(H110/AE110)*100</f>
        <v>-70.019917968347229</v>
      </c>
      <c r="AJ110" s="706">
        <f>U110</f>
        <v>6658.018</v>
      </c>
      <c r="AL110" s="586">
        <f>AJ110/AC110</f>
        <v>62.057723406734247</v>
      </c>
      <c r="AN110" s="760">
        <f>(AL110/AL103-1)*100</f>
        <v>5.3953978152384341</v>
      </c>
      <c r="AP110" s="763"/>
      <c r="AQ110" s="586"/>
      <c r="AR110" s="780">
        <v>539.98199999999997</v>
      </c>
      <c r="AS110" s="586"/>
    </row>
    <row r="111" spans="1:45" ht="13.5" hidden="1" customHeight="1" outlineLevel="1">
      <c r="A111" s="398" t="s">
        <v>114</v>
      </c>
      <c r="D111" s="755">
        <f>'qtrP&amp;L'!BH12</f>
        <v>1.8501746668391661</v>
      </c>
      <c r="F111" s="755">
        <f>'qtrP&amp;L'!BI12</f>
        <v>3.9</v>
      </c>
      <c r="H111" s="756">
        <f>D111-F111</f>
        <v>-2.0498253331608338</v>
      </c>
      <c r="J111" s="766"/>
      <c r="L111" s="757"/>
      <c r="N111" s="756"/>
      <c r="P111" s="758"/>
      <c r="S111" s="706">
        <f>'qtrP&amp;L'!BG12</f>
        <v>7872</v>
      </c>
      <c r="U111" s="706">
        <f>S111-AR111</f>
        <v>7232</v>
      </c>
      <c r="W111" s="586"/>
      <c r="Y111" s="760"/>
      <c r="AA111" s="776">
        <f>(AA112-AA105)*1/4+AA110</f>
        <v>106.27500000000001</v>
      </c>
      <c r="AC111" s="706">
        <f>AVERAGEA(AA110:AA111)</f>
        <v>106.61250000000001</v>
      </c>
      <c r="AE111" s="777">
        <f>(AC111/AC104-1)*100</f>
        <v>-2.9030054644808567</v>
      </c>
      <c r="AG111" s="758">
        <f>(H111/AE111)*100</f>
        <v>70.610453829352451</v>
      </c>
      <c r="AJ111" s="706">
        <f>U111</f>
        <v>7232</v>
      </c>
      <c r="AL111" s="586">
        <f>AJ111/AC111</f>
        <v>67.834447180208699</v>
      </c>
      <c r="AN111" s="760">
        <f>(AL111/AL104-1)*100</f>
        <v>7.6799522970495193</v>
      </c>
      <c r="AP111" s="763"/>
      <c r="AQ111" s="586"/>
      <c r="AR111" s="780">
        <v>640</v>
      </c>
      <c r="AS111" s="586"/>
    </row>
    <row r="112" spans="1:45" ht="13.5" hidden="1" customHeight="1" outlineLevel="1">
      <c r="A112" s="398" t="s">
        <v>115</v>
      </c>
      <c r="D112" s="764">
        <f>'qtrP&amp;L'!BH13</f>
        <v>7.3359882624179917E-2</v>
      </c>
      <c r="F112" s="764">
        <f>'qtrP&amp;L'!BI13</f>
        <v>1.9</v>
      </c>
      <c r="H112" s="765">
        <f>D112-F112</f>
        <v>-1.82664011737582</v>
      </c>
      <c r="J112" s="766">
        <f>J105+3-29</f>
        <v>1097</v>
      </c>
      <c r="L112" s="767"/>
      <c r="N112" s="765"/>
      <c r="P112" s="768"/>
      <c r="S112" s="769">
        <f>'qtrP&amp;L'!BG13</f>
        <v>9549</v>
      </c>
      <c r="U112" s="769">
        <f>S112-AR112</f>
        <v>8777</v>
      </c>
      <c r="W112" s="770"/>
      <c r="Y112" s="771"/>
      <c r="AA112" s="754">
        <v>105.6</v>
      </c>
      <c r="AC112" s="769">
        <f>AVERAGEA(AA111:AA112)</f>
        <v>105.9375</v>
      </c>
      <c r="AE112" s="778">
        <f>(AC112/AC105-1)*100</f>
        <v>-2.6309742647058765</v>
      </c>
      <c r="AG112" s="768">
        <f>(H112/AE112)*100</f>
        <v>69.428277649079362</v>
      </c>
      <c r="AJ112" s="769">
        <f>U112</f>
        <v>8777</v>
      </c>
      <c r="AL112" s="770">
        <f>AJ112/AC112</f>
        <v>82.850737463126848</v>
      </c>
      <c r="AN112" s="771">
        <f>(AL112/AL105-1)*100</f>
        <v>5.1827332087304612</v>
      </c>
      <c r="AP112" s="773"/>
      <c r="AQ112" s="509"/>
      <c r="AR112" s="781">
        <v>772</v>
      </c>
      <c r="AS112" s="509"/>
    </row>
    <row r="113" spans="1:45" ht="13.5" hidden="1" customHeight="1" outlineLevel="1">
      <c r="A113" s="774" t="s">
        <v>116</v>
      </c>
      <c r="D113" s="755">
        <f>'qtrP&amp;L'!BH14</f>
        <v>1.0717410323709542</v>
      </c>
      <c r="F113" s="755">
        <f>'qtrP&amp;L'!BI14</f>
        <v>2.8250000000000002</v>
      </c>
      <c r="H113" s="756">
        <f>D113-F113</f>
        <v>-1.753258967629046</v>
      </c>
      <c r="J113" s="766"/>
      <c r="L113" s="706">
        <f>AVERAGE(J112,J105)</f>
        <v>1110</v>
      </c>
      <c r="N113" s="756">
        <f>(L113/L106-1)*100</f>
        <v>-2.6315789473684181</v>
      </c>
      <c r="P113" s="758">
        <f>(H113/N113)*100</f>
        <v>66.623840769903822</v>
      </c>
      <c r="S113" s="591">
        <f>'qtrP&amp;L'!BG14</f>
        <v>32347</v>
      </c>
      <c r="U113" s="591">
        <f>S113-AR113</f>
        <v>29735.018</v>
      </c>
      <c r="W113" s="759">
        <f>U113/L113</f>
        <v>26.788304504504506</v>
      </c>
      <c r="Y113" s="760">
        <f>(W113/W106-1)*100</f>
        <v>6.5736071719948885</v>
      </c>
      <c r="AA113" s="754"/>
      <c r="AC113" s="706">
        <f>AVERAGEA(AC109:AC112)</f>
        <v>106.95</v>
      </c>
      <c r="AE113" s="777">
        <f>(AC113/AC106-1)*100</f>
        <v>-3.0371713508612785</v>
      </c>
      <c r="AG113" s="758">
        <f>(H113/AE113)*100</f>
        <v>57.726705710293835</v>
      </c>
      <c r="AJ113" s="591">
        <f>SUM(AJ109:AJ112)</f>
        <v>29735.018</v>
      </c>
      <c r="AL113" s="759">
        <f>AJ113/AC113</f>
        <v>278.0272837774661</v>
      </c>
      <c r="AN113" s="760">
        <f>(AL113/AL106-1)*100</f>
        <v>7.0194011539155943</v>
      </c>
      <c r="AP113" s="759"/>
      <c r="AQ113" s="759"/>
      <c r="AR113" s="591">
        <f>SUM(AR109:AR112)</f>
        <v>2611.982</v>
      </c>
      <c r="AS113" s="759"/>
    </row>
    <row r="114" spans="1:45" ht="13.5" hidden="1" customHeight="1" outlineLevel="1">
      <c r="A114" s="774"/>
      <c r="D114" s="755"/>
      <c r="F114" s="755"/>
      <c r="J114" s="766"/>
      <c r="L114" s="757"/>
      <c r="P114" s="758"/>
      <c r="S114" s="759"/>
      <c r="U114" s="759"/>
      <c r="W114" s="759"/>
      <c r="Y114" s="760"/>
      <c r="AA114" s="754"/>
      <c r="AC114" s="706"/>
      <c r="AG114" s="758"/>
      <c r="AJ114" s="759"/>
      <c r="AL114" s="759"/>
      <c r="AN114" s="760"/>
      <c r="AP114" s="759"/>
      <c r="AQ114" s="759"/>
      <c r="AR114" s="762"/>
      <c r="AS114" s="759"/>
    </row>
    <row r="115" spans="1:45" ht="13.5" hidden="1" customHeight="1" outlineLevel="1">
      <c r="A115" s="753" t="s">
        <v>354</v>
      </c>
      <c r="J115" s="766"/>
      <c r="AA115" s="754"/>
      <c r="AC115" s="706"/>
      <c r="AR115" s="782"/>
    </row>
    <row r="116" spans="1:45" ht="13.5" hidden="1" customHeight="1" outlineLevel="1">
      <c r="A116" s="398" t="s">
        <v>112</v>
      </c>
      <c r="D116" s="755">
        <f>'qtrP&amp;L'!BL10</f>
        <v>-46.214133900106269</v>
      </c>
      <c r="E116" s="398" t="s">
        <v>156</v>
      </c>
      <c r="F116" s="755">
        <f>'qtrP&amp;L'!BM10</f>
        <v>-1.5</v>
      </c>
      <c r="G116" s="398" t="s">
        <v>156</v>
      </c>
      <c r="H116" s="756">
        <f>D116-F116</f>
        <v>-44.714133900106269</v>
      </c>
      <c r="I116" s="398" t="s">
        <v>156</v>
      </c>
      <c r="J116" s="766"/>
      <c r="L116" s="757"/>
      <c r="N116" s="756"/>
      <c r="O116" s="398" t="s">
        <v>156</v>
      </c>
      <c r="P116" s="758"/>
      <c r="Q116" s="398" t="s">
        <v>156</v>
      </c>
      <c r="S116" s="591">
        <f>'qtrP&amp;L'!BK10</f>
        <v>4049</v>
      </c>
      <c r="U116" s="591">
        <f>S116-AR116</f>
        <v>3171</v>
      </c>
      <c r="W116" s="759"/>
      <c r="Y116" s="760"/>
      <c r="Z116" s="398" t="s">
        <v>156</v>
      </c>
      <c r="AA116" s="776">
        <f>(AA119-AA98)*1/4+AA98</f>
        <v>110.72499999999999</v>
      </c>
      <c r="AC116" s="706">
        <f>AVERAGEA(AA116,AA98)</f>
        <v>111.51249999999999</v>
      </c>
      <c r="AE116" s="777">
        <f>(AC116/AC95-1)*100</f>
        <v>-2.5240384615384803</v>
      </c>
      <c r="AF116" s="398" t="s">
        <v>156</v>
      </c>
      <c r="AG116" s="758">
        <f>(H116/AE116)*100</f>
        <v>1771.5314002327684</v>
      </c>
      <c r="AH116" s="398" t="s">
        <v>156</v>
      </c>
      <c r="AJ116" s="591">
        <f>U116</f>
        <v>3171</v>
      </c>
      <c r="AL116" s="759">
        <f>AJ116/AC116</f>
        <v>28.436273960318353</v>
      </c>
      <c r="AN116" s="760">
        <f>(AL116/AL95-1)*100</f>
        <v>-50.189714575709388</v>
      </c>
      <c r="AO116" s="398" t="s">
        <v>156</v>
      </c>
      <c r="AP116" s="762"/>
      <c r="AQ116" s="759"/>
      <c r="AR116" s="779">
        <v>878</v>
      </c>
      <c r="AS116" s="759"/>
    </row>
    <row r="117" spans="1:45" ht="13.5" hidden="1" customHeight="1" outlineLevel="1">
      <c r="A117" s="398" t="s">
        <v>113</v>
      </c>
      <c r="D117" s="755">
        <f>'qtrP&amp;L'!BL11</f>
        <v>-46.690717358124047</v>
      </c>
      <c r="F117" s="755">
        <f>'qtrP&amp;L'!BM11</f>
        <v>-1.5</v>
      </c>
      <c r="H117" s="756">
        <f>D117-F117</f>
        <v>-45.190717358124047</v>
      </c>
      <c r="J117" s="766"/>
      <c r="L117" s="757"/>
      <c r="N117" s="756"/>
      <c r="P117" s="758"/>
      <c r="S117" s="706">
        <f>'qtrP&amp;L'!BK11</f>
        <v>3842</v>
      </c>
      <c r="U117" s="706">
        <f>S117-AR117</f>
        <v>3155</v>
      </c>
      <c r="W117" s="586"/>
      <c r="Y117" s="760"/>
      <c r="AA117" s="776">
        <f>(AA119-AA98)*1/4+AA116</f>
        <v>109.14999999999999</v>
      </c>
      <c r="AC117" s="706">
        <f>AVERAGEA(AA116:AA117)</f>
        <v>109.9375</v>
      </c>
      <c r="AE117" s="777">
        <f>(AC117/AC96-1)*100</f>
        <v>-3.3941124780316301</v>
      </c>
      <c r="AG117" s="758">
        <f>(H117/AE117)*100</f>
        <v>1331.4443068879025</v>
      </c>
      <c r="AJ117" s="706">
        <f>U117</f>
        <v>3155</v>
      </c>
      <c r="AL117" s="586">
        <f>AJ117/AC117</f>
        <v>28.698123934053438</v>
      </c>
      <c r="AN117" s="760">
        <f>(AL117/AL96-1)*100</f>
        <v>-48.251521094988412</v>
      </c>
      <c r="AP117" s="763"/>
      <c r="AQ117" s="586"/>
      <c r="AR117" s="780">
        <v>687</v>
      </c>
      <c r="AS117" s="586"/>
    </row>
    <row r="118" spans="1:45" ht="13.5" hidden="1" customHeight="1" outlineLevel="1">
      <c r="A118" s="398" t="s">
        <v>114</v>
      </c>
      <c r="D118" s="755">
        <f>'qtrP&amp;L'!BL12</f>
        <v>-42.345449721411512</v>
      </c>
      <c r="F118" s="755">
        <f>'qtrP&amp;L'!BM12</f>
        <v>5.0999999999999996</v>
      </c>
      <c r="H118" s="756">
        <f>D118-F118</f>
        <v>-47.445449721411514</v>
      </c>
      <c r="J118" s="766"/>
      <c r="L118" s="757"/>
      <c r="N118" s="756"/>
      <c r="P118" s="758"/>
      <c r="S118" s="706">
        <f>'qtrP&amp;L'!BK12</f>
        <v>4346</v>
      </c>
      <c r="U118" s="706">
        <f>S118-AR118</f>
        <v>3534</v>
      </c>
      <c r="W118" s="586"/>
      <c r="Y118" s="760"/>
      <c r="AA118" s="776">
        <f>(AA119-AA98)*1/4+AA117</f>
        <v>107.57499999999999</v>
      </c>
      <c r="AC118" s="706">
        <f>AVERAGEA(AA117:AA118)</f>
        <v>108.36249999999998</v>
      </c>
      <c r="AE118" s="777">
        <f>(AC118/AC97-1)*100</f>
        <v>-4.2734098939929517</v>
      </c>
      <c r="AG118" s="758">
        <f>(H118/AE118)*100</f>
        <v>1110.2480430932835</v>
      </c>
      <c r="AJ118" s="706">
        <f>U118</f>
        <v>3534</v>
      </c>
      <c r="AL118" s="586">
        <f>AJ118/AC118</f>
        <v>32.612758103587502</v>
      </c>
      <c r="AN118" s="760">
        <f>(AL118/AL97-1)*100</f>
        <v>-43.645791217736139</v>
      </c>
      <c r="AP118" s="763"/>
      <c r="AQ118" s="586"/>
      <c r="AR118" s="780">
        <v>812</v>
      </c>
      <c r="AS118" s="586"/>
    </row>
    <row r="119" spans="1:45" ht="13.5" hidden="1" customHeight="1" outlineLevel="1">
      <c r="A119" s="398" t="s">
        <v>115</v>
      </c>
      <c r="D119" s="764">
        <f>'qtrP&amp;L'!BL13</f>
        <v>-38.83839966572652</v>
      </c>
      <c r="F119" s="764">
        <f>'qtrP&amp;L'!BM13</f>
        <v>1</v>
      </c>
      <c r="H119" s="765">
        <f>D119-F119</f>
        <v>-39.83839966572652</v>
      </c>
      <c r="J119" s="766">
        <f>1108+10-49</f>
        <v>1069</v>
      </c>
      <c r="L119" s="767"/>
      <c r="N119" s="765"/>
      <c r="P119" s="768"/>
      <c r="S119" s="769">
        <f>'qtrP&amp;L'!BK13</f>
        <v>5855</v>
      </c>
      <c r="U119" s="769">
        <f>S119-AR119</f>
        <v>4882</v>
      </c>
      <c r="W119" s="770"/>
      <c r="Y119" s="771"/>
      <c r="AA119" s="754">
        <v>106</v>
      </c>
      <c r="AC119" s="769">
        <f>AVERAGEA(AA118:AA119)</f>
        <v>106.78749999999999</v>
      </c>
      <c r="AE119" s="778">
        <f>(AC119/AC98-1)*100</f>
        <v>-5.1620781527531134</v>
      </c>
      <c r="AG119" s="768">
        <f>(H119/AE119)*100</f>
        <v>771.75119180400895</v>
      </c>
      <c r="AJ119" s="769">
        <f>U119</f>
        <v>4882</v>
      </c>
      <c r="AL119" s="770">
        <f>AJ119/AC119</f>
        <v>45.716961254828519</v>
      </c>
      <c r="AN119" s="771">
        <f>(AL119/AL98-1)*100</f>
        <v>-37.829349791138988</v>
      </c>
      <c r="AP119" s="773"/>
      <c r="AQ119" s="509"/>
      <c r="AR119" s="781">
        <v>973</v>
      </c>
      <c r="AS119" s="509"/>
    </row>
    <row r="120" spans="1:45" ht="13.5" hidden="1" customHeight="1" outlineLevel="1">
      <c r="A120" s="774" t="s">
        <v>116</v>
      </c>
      <c r="D120" s="755">
        <f>'qtrP&amp;L'!BL14</f>
        <v>-43.980405702443001</v>
      </c>
      <c r="F120" s="755">
        <f>'qtrP&amp;L'!BM14</f>
        <v>3.125</v>
      </c>
      <c r="H120" s="756">
        <f>D120-F120</f>
        <v>-47.105405702443001</v>
      </c>
      <c r="J120" s="766"/>
      <c r="L120" s="706">
        <f>AVERAGE(J119,J98)</f>
        <v>1113</v>
      </c>
      <c r="N120" s="756">
        <f>(L120/L99-1)*100</f>
        <v>-4.5863694813544793</v>
      </c>
      <c r="P120" s="758">
        <f>(H120/N120)*100</f>
        <v>1027.0739392878459</v>
      </c>
      <c r="S120" s="591">
        <f>'qtrP&amp;L'!BK14</f>
        <v>17840</v>
      </c>
      <c r="U120" s="591">
        <f>S120-AR120</f>
        <v>14490</v>
      </c>
      <c r="W120" s="759">
        <f>U120/L120</f>
        <v>13.018867924528301</v>
      </c>
      <c r="Y120" s="760">
        <f>(W120/W99-1)*100</f>
        <v>-45.121564579329089</v>
      </c>
      <c r="AA120" s="754"/>
      <c r="AC120" s="706">
        <f>AVERAGEA(AC116:AC119)</f>
        <v>109.15</v>
      </c>
      <c r="AE120" s="777">
        <f>(AC120/AC99-1)*100</f>
        <v>-3.8325991189427255</v>
      </c>
      <c r="AG120" s="758">
        <f>(H120/AE120)*100</f>
        <v>1229.0720798223654</v>
      </c>
      <c r="AJ120" s="591">
        <f>SUM(AJ116:AJ119)</f>
        <v>14742</v>
      </c>
      <c r="AL120" s="759">
        <f>AJ120/AC120</f>
        <v>135.06184150251946</v>
      </c>
      <c r="AN120" s="760">
        <f>(AL120/AL99-1)*100</f>
        <v>-44.604780795230155</v>
      </c>
      <c r="AP120" s="759"/>
      <c r="AQ120" s="759"/>
      <c r="AR120" s="591">
        <f>SUM(AR116:AR119)</f>
        <v>3350</v>
      </c>
      <c r="AS120" s="759"/>
    </row>
    <row r="121" spans="1:45" ht="13.5" hidden="1" customHeight="1" outlineLevel="1">
      <c r="A121" s="774"/>
      <c r="D121" s="755"/>
      <c r="F121" s="755"/>
      <c r="J121" s="766"/>
      <c r="L121" s="757"/>
      <c r="P121" s="758"/>
      <c r="S121" s="759"/>
      <c r="U121" s="759"/>
      <c r="W121" s="759"/>
      <c r="Y121" s="760"/>
      <c r="AA121" s="754"/>
      <c r="AC121" s="706"/>
      <c r="AG121" s="758"/>
      <c r="AJ121" s="759"/>
      <c r="AL121" s="759"/>
      <c r="AN121" s="760"/>
      <c r="AP121" s="759"/>
      <c r="AQ121" s="759"/>
      <c r="AR121" s="762"/>
      <c r="AS121" s="759"/>
    </row>
    <row r="122" spans="1:45" ht="13.5" hidden="1" customHeight="1" outlineLevel="1">
      <c r="A122" s="753" t="s">
        <v>355</v>
      </c>
      <c r="J122" s="766"/>
      <c r="AA122" s="754"/>
      <c r="AC122" s="706"/>
      <c r="AR122" s="782"/>
    </row>
    <row r="123" spans="1:45" ht="13.5" hidden="1" customHeight="1" outlineLevel="1">
      <c r="A123" s="398" t="s">
        <v>112</v>
      </c>
      <c r="D123" s="755">
        <f>'qtrP&amp;L'!BP10</f>
        <v>-1.4571499135589083</v>
      </c>
      <c r="E123" s="398" t="s">
        <v>156</v>
      </c>
      <c r="F123" s="755">
        <f>'qtrP&amp;L'!BQ10</f>
        <v>4.4000000000000004</v>
      </c>
      <c r="G123" s="398" t="s">
        <v>156</v>
      </c>
      <c r="H123" s="756">
        <f>D123-F123</f>
        <v>-5.8571499135589082</v>
      </c>
      <c r="I123" s="398" t="s">
        <v>156</v>
      </c>
      <c r="J123" s="766"/>
      <c r="L123" s="757"/>
      <c r="N123" s="756"/>
      <c r="O123" s="398" t="s">
        <v>156</v>
      </c>
      <c r="P123" s="758"/>
      <c r="Q123" s="398" t="s">
        <v>156</v>
      </c>
      <c r="S123" s="591">
        <f>'qtrP&amp;L'!BO10</f>
        <v>3990</v>
      </c>
      <c r="U123" s="591">
        <f>S123-AR123</f>
        <v>3330</v>
      </c>
      <c r="W123" s="759"/>
      <c r="Y123" s="760"/>
      <c r="Z123" s="398" t="s">
        <v>156</v>
      </c>
      <c r="AA123" s="776">
        <f>(AA126-AA119)*1/4+AA119</f>
        <v>105.325</v>
      </c>
      <c r="AC123" s="706">
        <f>AVERAGEA(AA123,AA119)</f>
        <v>105.66249999999999</v>
      </c>
      <c r="AE123" s="777">
        <f>(AC123/AC116-1)*100</f>
        <v>-5.2460486492545648</v>
      </c>
      <c r="AF123" s="398" t="s">
        <v>156</v>
      </c>
      <c r="AG123" s="758">
        <f>(H123/AE123)*100</f>
        <v>111.64879140781849</v>
      </c>
      <c r="AH123" s="398" t="s">
        <v>156</v>
      </c>
      <c r="AJ123" s="591">
        <f>U123</f>
        <v>3330</v>
      </c>
      <c r="AL123" s="759">
        <f>AJ123/AC123</f>
        <v>31.515438305926892</v>
      </c>
      <c r="AN123" s="760">
        <f>(AL123/AL116-1)*100</f>
        <v>10.828297511500228</v>
      </c>
      <c r="AO123" s="398" t="s">
        <v>156</v>
      </c>
      <c r="AP123" s="762"/>
      <c r="AQ123" s="759"/>
      <c r="AR123" s="779">
        <v>660</v>
      </c>
      <c r="AS123" s="759"/>
    </row>
    <row r="124" spans="1:45" ht="13.5" hidden="1" customHeight="1" outlineLevel="1">
      <c r="A124" s="398" t="s">
        <v>113</v>
      </c>
      <c r="D124" s="755">
        <f>'qtrP&amp;L'!BP11</f>
        <v>-6.1431025507548203</v>
      </c>
      <c r="F124" s="755">
        <f>'qtrP&amp;L'!BQ11</f>
        <v>-2.4</v>
      </c>
      <c r="H124" s="756">
        <f>D124-F124</f>
        <v>-3.7431025507548203</v>
      </c>
      <c r="J124" s="766"/>
      <c r="L124" s="757"/>
      <c r="N124" s="756"/>
      <c r="P124" s="758"/>
      <c r="S124" s="706">
        <f>'qtrP&amp;L'!BO11</f>
        <v>3605.982</v>
      </c>
      <c r="U124" s="706">
        <f>S124-AR124</f>
        <v>3066</v>
      </c>
      <c r="W124" s="586"/>
      <c r="Y124" s="760"/>
      <c r="AA124" s="776">
        <f>(AA126-AA119)*1/4+AA123</f>
        <v>104.65</v>
      </c>
      <c r="AC124" s="706">
        <f>AVERAGEA(AA123:AA124)</f>
        <v>104.98750000000001</v>
      </c>
      <c r="AE124" s="777">
        <f>(AC124/AC117-1)*100</f>
        <v>-4.502558271745305</v>
      </c>
      <c r="AG124" s="758">
        <f>(H124/AE124)*100</f>
        <v>83.132795287597688</v>
      </c>
      <c r="AJ124" s="706">
        <f>U124</f>
        <v>3066</v>
      </c>
      <c r="AL124" s="586">
        <f>AJ124/AC124</f>
        <v>29.203476604357657</v>
      </c>
      <c r="AN124" s="760">
        <f>(AL124/AL117-1)*100</f>
        <v>1.7609258063889133</v>
      </c>
      <c r="AP124" s="763"/>
      <c r="AQ124" s="586"/>
      <c r="AR124" s="780">
        <v>539.98199999999997</v>
      </c>
      <c r="AS124" s="586"/>
    </row>
    <row r="125" spans="1:45" ht="13.5" hidden="1" customHeight="1" outlineLevel="1">
      <c r="A125" s="398" t="s">
        <v>114</v>
      </c>
      <c r="D125" s="755">
        <f>'qtrP&amp;L'!BP12</f>
        <v>-1.1965025310630484</v>
      </c>
      <c r="F125" s="755">
        <f>'qtrP&amp;L'!BQ12</f>
        <v>3.9</v>
      </c>
      <c r="H125" s="756">
        <f>D125-F125</f>
        <v>-5.0965025310630487</v>
      </c>
      <c r="J125" s="766"/>
      <c r="L125" s="757"/>
      <c r="N125" s="756"/>
      <c r="P125" s="758"/>
      <c r="S125" s="706">
        <f>'qtrP&amp;L'!BO12</f>
        <v>4294</v>
      </c>
      <c r="U125" s="706">
        <f>S125-AR125</f>
        <v>3654</v>
      </c>
      <c r="W125" s="586"/>
      <c r="Y125" s="760"/>
      <c r="AA125" s="776">
        <f>(AA126-AA119)*1/4+AA124</f>
        <v>103.97500000000001</v>
      </c>
      <c r="AC125" s="706">
        <f>AVERAGEA(AA124:AA125)</f>
        <v>104.3125</v>
      </c>
      <c r="AE125" s="777">
        <f>(AC125/AC118-1)*100</f>
        <v>-3.7374553004960065</v>
      </c>
      <c r="AG125" s="758">
        <f>(H125/AE125)*100</f>
        <v>136.36290259810411</v>
      </c>
      <c r="AJ125" s="706">
        <f>U125</f>
        <v>3654</v>
      </c>
      <c r="AL125" s="586">
        <f>AJ125/AC125</f>
        <v>35.029358897543439</v>
      </c>
      <c r="AN125" s="760">
        <f>(AL125/AL118-1)*100</f>
        <v>7.4099859517557931</v>
      </c>
      <c r="AP125" s="763"/>
      <c r="AQ125" s="586"/>
      <c r="AR125" s="780">
        <v>640</v>
      </c>
      <c r="AS125" s="586"/>
    </row>
    <row r="126" spans="1:45" ht="13.5" hidden="1" customHeight="1" outlineLevel="1">
      <c r="A126" s="398" t="s">
        <v>115</v>
      </c>
      <c r="D126" s="764">
        <f>'qtrP&amp;L'!BP13</f>
        <v>-1.9128949615713098</v>
      </c>
      <c r="F126" s="764">
        <f>'qtrP&amp;L'!BQ13</f>
        <v>1.9</v>
      </c>
      <c r="H126" s="765">
        <f>D126-F126</f>
        <v>-3.8128949615713097</v>
      </c>
      <c r="J126" s="766">
        <f>J119+3-29</f>
        <v>1043</v>
      </c>
      <c r="L126" s="767"/>
      <c r="N126" s="765"/>
      <c r="P126" s="768"/>
      <c r="S126" s="769">
        <f>'qtrP&amp;L'!BO13</f>
        <v>5743</v>
      </c>
      <c r="U126" s="769">
        <f>S126-AR126</f>
        <v>4971</v>
      </c>
      <c r="W126" s="770"/>
      <c r="Y126" s="771"/>
      <c r="AA126" s="754">
        <v>103.3</v>
      </c>
      <c r="AC126" s="769">
        <f>AVERAGEA(AA125:AA126)</f>
        <v>103.6375</v>
      </c>
      <c r="AE126" s="778">
        <f>(AC126/AC119-1)*100</f>
        <v>-2.9497834484373042</v>
      </c>
      <c r="AG126" s="768">
        <f>(H126/AE126)*100</f>
        <v>129.26016530438031</v>
      </c>
      <c r="AJ126" s="769">
        <f>U126</f>
        <v>4971</v>
      </c>
      <c r="AL126" s="770">
        <f>AJ126/AC126</f>
        <v>47.965263538776988</v>
      </c>
      <c r="AN126" s="771">
        <f>(AL126/AL119-1)*100</f>
        <v>4.9178734155499226</v>
      </c>
      <c r="AP126" s="773"/>
      <c r="AQ126" s="509"/>
      <c r="AR126" s="781">
        <v>772</v>
      </c>
      <c r="AS126" s="509"/>
    </row>
    <row r="127" spans="1:45" ht="13.5" hidden="1" customHeight="1" outlineLevel="1">
      <c r="A127" s="774" t="s">
        <v>116</v>
      </c>
      <c r="D127" s="755">
        <f>'qtrP&amp;L'!BP14</f>
        <v>-2.556053811659198</v>
      </c>
      <c r="F127" s="755">
        <f>'qtrP&amp;L'!BQ14</f>
        <v>2.8250000000000002</v>
      </c>
      <c r="H127" s="756">
        <f>D127-F127</f>
        <v>-5.3810538116591982</v>
      </c>
      <c r="J127" s="766"/>
      <c r="L127" s="706">
        <f>AVERAGE(J126,J119)</f>
        <v>1056</v>
      </c>
      <c r="N127" s="756">
        <f>(L127/L120-1)*100</f>
        <v>-5.1212938005390836</v>
      </c>
      <c r="P127" s="758">
        <f>(H127/N127)*100</f>
        <v>105.07215600660855</v>
      </c>
      <c r="S127" s="591">
        <f>'qtrP&amp;L'!BO14</f>
        <v>17384</v>
      </c>
      <c r="U127" s="591">
        <f>S127-AR127</f>
        <v>14772.018</v>
      </c>
      <c r="W127" s="759">
        <f>U127/L127</f>
        <v>13.98865340909091</v>
      </c>
      <c r="Y127" s="760">
        <f>(W127/W120-1)*100</f>
        <v>7.4490769104084364</v>
      </c>
      <c r="AA127" s="754"/>
      <c r="AC127" s="706">
        <f>AVERAGEA(AC123:AC126)</f>
        <v>104.64999999999999</v>
      </c>
      <c r="AE127" s="777">
        <f>(AC127/AC120-1)*100</f>
        <v>-4.1227668346312534</v>
      </c>
      <c r="AG127" s="758">
        <f>(H127/AE127)*100</f>
        <v>130.52044967613327</v>
      </c>
      <c r="AJ127" s="591">
        <f>SUM(AJ123:AJ126)</f>
        <v>15021</v>
      </c>
      <c r="AL127" s="759">
        <f>AJ127/AC127</f>
        <v>143.53559483994269</v>
      </c>
      <c r="AN127" s="760">
        <f>(AL127/AL120-1)*100</f>
        <v>6.2739803064695732</v>
      </c>
      <c r="AP127" s="759"/>
      <c r="AQ127" s="759"/>
      <c r="AR127" s="591">
        <f>SUM(AR123:AR126)</f>
        <v>2611.982</v>
      </c>
      <c r="AS127" s="759"/>
    </row>
    <row r="128" spans="1:45" ht="13.5" hidden="1" customHeight="1" outlineLevel="1">
      <c r="J128" s="766"/>
      <c r="L128" s="757"/>
      <c r="P128" s="758"/>
      <c r="Y128" s="760"/>
      <c r="AA128" s="754"/>
      <c r="AC128" s="706"/>
      <c r="AG128" s="758"/>
      <c r="AN128" s="760"/>
      <c r="AR128" s="782"/>
    </row>
    <row r="129" spans="1:45" ht="13.5" hidden="1" customHeight="1" outlineLevel="1">
      <c r="A129" s="753">
        <v>2003</v>
      </c>
      <c r="J129" s="766"/>
      <c r="L129" s="757"/>
      <c r="P129" s="758"/>
      <c r="S129" s="759"/>
      <c r="U129" s="759"/>
      <c r="Y129" s="760"/>
      <c r="AA129" s="754"/>
      <c r="AC129" s="706"/>
      <c r="AG129" s="758"/>
      <c r="AJ129" s="759"/>
      <c r="AL129" s="759"/>
      <c r="AN129" s="760"/>
      <c r="AR129" s="782"/>
    </row>
    <row r="130" spans="1:45" ht="13.5" hidden="1" customHeight="1" outlineLevel="1">
      <c r="A130" s="398" t="s">
        <v>112</v>
      </c>
      <c r="D130" s="755">
        <f>'qtrP&amp;L'!BT10</f>
        <v>-8.045112781954888</v>
      </c>
      <c r="E130" s="398" t="s">
        <v>156</v>
      </c>
      <c r="F130" s="755">
        <f>'qtrP&amp;L'!BU10</f>
        <v>-4.5999999999999996</v>
      </c>
      <c r="G130" s="398" t="s">
        <v>156</v>
      </c>
      <c r="H130" s="756">
        <f>D130-F130</f>
        <v>-3.4451127819548883</v>
      </c>
      <c r="I130" s="398" t="s">
        <v>156</v>
      </c>
      <c r="J130" s="766">
        <v>1099</v>
      </c>
      <c r="K130" s="786">
        <f>J130-J126</f>
        <v>56</v>
      </c>
      <c r="L130" s="706">
        <f>AVERAGEA(J130,J126)</f>
        <v>1071</v>
      </c>
      <c r="N130" s="756"/>
      <c r="O130" s="398" t="s">
        <v>156</v>
      </c>
      <c r="P130" s="758"/>
      <c r="Q130" s="398" t="s">
        <v>156</v>
      </c>
      <c r="S130" s="591">
        <f>'qtrP&amp;L'!BS10</f>
        <v>3669</v>
      </c>
      <c r="U130" s="591">
        <f>S130-AR130</f>
        <v>3082</v>
      </c>
      <c r="W130" s="759">
        <f>U130/L130</f>
        <v>2.8776844070961718</v>
      </c>
      <c r="Y130" s="760"/>
      <c r="Z130" s="398" t="s">
        <v>156</v>
      </c>
      <c r="AA130" s="776">
        <f>(AA133-AA126)*1/4+AA126</f>
        <v>102.75</v>
      </c>
      <c r="AC130" s="706">
        <f>AVERAGEA(AA130,AA126)</f>
        <v>103.02500000000001</v>
      </c>
      <c r="AE130" s="777">
        <f>(AC130/AC123-1)*100</f>
        <v>-2.4961552111676166</v>
      </c>
      <c r="AF130" s="398" t="s">
        <v>156</v>
      </c>
      <c r="AG130" s="758">
        <f>(H130/AE130)*100</f>
        <v>138.01676941168179</v>
      </c>
      <c r="AH130" s="398" t="s">
        <v>156</v>
      </c>
      <c r="AJ130" s="591">
        <f>U130</f>
        <v>3082</v>
      </c>
      <c r="AL130" s="759">
        <f>AJ130/AC130</f>
        <v>29.915069157971363</v>
      </c>
      <c r="AN130" s="760">
        <f>(AL130/AL123-1)*100</f>
        <v>-5.0780482010766121</v>
      </c>
      <c r="AO130" s="398" t="s">
        <v>156</v>
      </c>
      <c r="AP130" s="762"/>
      <c r="AQ130" s="759"/>
      <c r="AR130" s="779">
        <v>587</v>
      </c>
      <c r="AS130" s="759"/>
    </row>
    <row r="131" spans="1:45" ht="13.5" hidden="1" customHeight="1" outlineLevel="1">
      <c r="A131" s="398" t="s">
        <v>113</v>
      </c>
      <c r="D131" s="755">
        <f>'qtrP&amp;L'!BT11</f>
        <v>-0.77598834381313875</v>
      </c>
      <c r="F131" s="755">
        <f>'qtrP&amp;L'!BU11</f>
        <v>2.5</v>
      </c>
      <c r="H131" s="756">
        <f>D131-F131</f>
        <v>-3.2759883438131387</v>
      </c>
      <c r="J131" s="766">
        <v>1096</v>
      </c>
      <c r="K131" s="786">
        <f>J131-J130</f>
        <v>-3</v>
      </c>
      <c r="L131" s="706">
        <f>AVERAGEA(J130:J131)</f>
        <v>1097.5</v>
      </c>
      <c r="N131" s="756"/>
      <c r="P131" s="758"/>
      <c r="S131" s="706">
        <f>'qtrP&amp;L'!BS11</f>
        <v>3578</v>
      </c>
      <c r="U131" s="706">
        <f>S131-AR131</f>
        <v>3017</v>
      </c>
      <c r="W131" s="586">
        <f>U131/L131</f>
        <v>2.7489749430523918</v>
      </c>
      <c r="Y131" s="760"/>
      <c r="AA131" s="776">
        <f>(AA133-AA126)*1/4+AA130</f>
        <v>102.2</v>
      </c>
      <c r="AC131" s="706">
        <f>AVERAGEA(AA130:AA131)</f>
        <v>102.47499999999999</v>
      </c>
      <c r="AE131" s="777">
        <f>(AC131/AC124-1)*100</f>
        <v>-2.3931420407191539</v>
      </c>
      <c r="AG131" s="758">
        <f>(H131/AE131)*100</f>
        <v>136.89067711286725</v>
      </c>
      <c r="AJ131" s="706">
        <f>U131</f>
        <v>3017</v>
      </c>
      <c r="AL131" s="586">
        <f>AJ131/AC131</f>
        <v>29.441327152964138</v>
      </c>
      <c r="AN131" s="760">
        <f>(AL131/AL124-1)*100</f>
        <v>0.81445970227733699</v>
      </c>
      <c r="AP131" s="763"/>
      <c r="AQ131" s="586"/>
      <c r="AR131" s="780">
        <v>561</v>
      </c>
      <c r="AS131" s="586"/>
    </row>
    <row r="132" spans="1:45" ht="13.5" hidden="1" customHeight="1" outlineLevel="1">
      <c r="A132" s="398" t="s">
        <v>114</v>
      </c>
      <c r="D132" s="755">
        <f>'qtrP&amp;L'!BT12</f>
        <v>-0.60549604098741883</v>
      </c>
      <c r="F132" s="755">
        <f>'qtrP&amp;L'!BU12</f>
        <v>1.7</v>
      </c>
      <c r="H132" s="756">
        <f>D132-F132</f>
        <v>-2.3054960409874186</v>
      </c>
      <c r="J132" s="766">
        <v>1096</v>
      </c>
      <c r="K132" s="786">
        <f>J132-J131</f>
        <v>0</v>
      </c>
      <c r="L132" s="706">
        <f>AVERAGEA(J131:J132)</f>
        <v>1096</v>
      </c>
      <c r="N132" s="756"/>
      <c r="P132" s="758"/>
      <c r="S132" s="706">
        <f>'qtrP&amp;L'!BS12</f>
        <v>4268</v>
      </c>
      <c r="U132" s="706">
        <f>S132-AR132</f>
        <v>3603</v>
      </c>
      <c r="W132" s="586">
        <f>U132/L132</f>
        <v>3.2874087591240877</v>
      </c>
      <c r="Y132" s="760"/>
      <c r="AA132" s="776">
        <f>(AA133-AA126)*1/4+AA131</f>
        <v>101.65</v>
      </c>
      <c r="AC132" s="706">
        <f>AVERAGEA(AA131:AA132)</f>
        <v>101.92500000000001</v>
      </c>
      <c r="AE132" s="777">
        <f>(AC132/AC125-1)*100</f>
        <v>-2.2887956860395353</v>
      </c>
      <c r="AG132" s="758">
        <f>(H132/AE132)*100</f>
        <v>100.72965686931983</v>
      </c>
      <c r="AJ132" s="706">
        <f>U132</f>
        <v>3603</v>
      </c>
      <c r="AL132" s="586">
        <f>AJ132/AC132</f>
        <v>35.349521707137598</v>
      </c>
      <c r="AN132" s="760">
        <f>(AL132/AL125-1)*100</f>
        <v>0.91398421116011264</v>
      </c>
      <c r="AP132" s="763"/>
      <c r="AQ132" s="586"/>
      <c r="AR132" s="780">
        <v>665</v>
      </c>
      <c r="AS132" s="586"/>
    </row>
    <row r="133" spans="1:45" ht="13.5" hidden="1" customHeight="1" outlineLevel="1">
      <c r="A133" s="398" t="s">
        <v>115</v>
      </c>
      <c r="D133" s="764">
        <f>'qtrP&amp;L'!BT13</f>
        <v>4.4401880550235084</v>
      </c>
      <c r="F133" s="764">
        <f>'qtrP&amp;L'!BU13</f>
        <v>2.8</v>
      </c>
      <c r="H133" s="765">
        <f>D133-F133</f>
        <v>1.6401880550235086</v>
      </c>
      <c r="J133" s="766">
        <v>1088</v>
      </c>
      <c r="K133" s="786">
        <f>J133-J132</f>
        <v>-8</v>
      </c>
      <c r="L133" s="769">
        <f>AVERAGEA(J132:J133)</f>
        <v>1092</v>
      </c>
      <c r="N133" s="765"/>
      <c r="P133" s="768"/>
      <c r="S133" s="769">
        <f>'qtrP&amp;L'!BS13</f>
        <v>5998</v>
      </c>
      <c r="U133" s="769">
        <f>S133-AR133</f>
        <v>5113</v>
      </c>
      <c r="W133" s="770">
        <f>U133/L133</f>
        <v>4.6822344322344325</v>
      </c>
      <c r="Y133" s="771"/>
      <c r="AA133" s="754">
        <v>101.1</v>
      </c>
      <c r="AC133" s="769">
        <f>AVERAGEA(AA132:AA133)</f>
        <v>101.375</v>
      </c>
      <c r="AE133" s="778">
        <f>(AC133/AC126-1)*100</f>
        <v>-2.1830900976963052</v>
      </c>
      <c r="AG133" s="768">
        <f>(H133/AE133)*100</f>
        <v>-75.131487095026856</v>
      </c>
      <c r="AJ133" s="769">
        <f>U133</f>
        <v>5113</v>
      </c>
      <c r="AL133" s="770">
        <f>AJ133/AC133</f>
        <v>50.436498150431568</v>
      </c>
      <c r="AN133" s="771">
        <f>(AL133/AL126-1)*100</f>
        <v>5.1521339180316206</v>
      </c>
      <c r="AP133" s="773"/>
      <c r="AQ133" s="509"/>
      <c r="AR133" s="781">
        <v>885</v>
      </c>
      <c r="AS133" s="509"/>
    </row>
    <row r="134" spans="1:45" ht="13.5" hidden="1" customHeight="1" outlineLevel="1">
      <c r="A134" s="774" t="s">
        <v>116</v>
      </c>
      <c r="D134" s="755">
        <f>'qtrP&amp;L'!BT14</f>
        <v>0.74206166589967371</v>
      </c>
      <c r="F134" s="755">
        <f>'qtrP&amp;L'!BU14</f>
        <v>0.8</v>
      </c>
      <c r="H134" s="756">
        <f>D134-F134</f>
        <v>-5.7938334100326339E-2</v>
      </c>
      <c r="J134" s="766"/>
      <c r="L134" s="706">
        <f>AVERAGEA(L130:L133)</f>
        <v>1089.125</v>
      </c>
      <c r="N134" s="756">
        <f>(L134/L127-1)*100</f>
        <v>3.1368371212121104</v>
      </c>
      <c r="P134" s="758">
        <f>(H134/N134)*100</f>
        <v>-1.8470303640738059</v>
      </c>
      <c r="S134" s="591">
        <f>'qtrP&amp;L'!BS14</f>
        <v>17513</v>
      </c>
      <c r="U134" s="591">
        <f>S134-AR134</f>
        <v>14815</v>
      </c>
      <c r="W134" s="759">
        <f>U134/L134</f>
        <v>13.602662687937565</v>
      </c>
      <c r="Y134" s="760">
        <f>(W134/W127-1)*100</f>
        <v>-2.7593129221608836</v>
      </c>
      <c r="AA134" s="754"/>
      <c r="AC134" s="706">
        <f>AVERAGEA(AC130:AC133)</f>
        <v>102.2</v>
      </c>
      <c r="AE134" s="777">
        <f>(AC134/AC127-1)*100</f>
        <v>-2.3411371237458067</v>
      </c>
      <c r="AG134" s="758">
        <f>(H134/AE134)*100</f>
        <v>2.4747945565710956</v>
      </c>
      <c r="AJ134" s="591">
        <f>SUM(AJ130:AJ133)</f>
        <v>14815</v>
      </c>
      <c r="AL134" s="759">
        <f>AJ134/AC134</f>
        <v>144.96086105675147</v>
      </c>
      <c r="AN134" s="760">
        <f>(AL134/AL127-1)*100</f>
        <v>0.99297057179308368</v>
      </c>
      <c r="AP134" s="759"/>
      <c r="AQ134" s="759"/>
      <c r="AR134" s="591">
        <f>SUM(AR130:AR133)</f>
        <v>2698</v>
      </c>
      <c r="AS134" s="759"/>
    </row>
    <row r="135" spans="1:45" ht="13.5" hidden="1" customHeight="1" outlineLevel="1">
      <c r="J135" s="766"/>
      <c r="L135" s="706"/>
      <c r="P135" s="758"/>
      <c r="Y135" s="760"/>
      <c r="AA135" s="754"/>
      <c r="AC135" s="706"/>
      <c r="AG135" s="758"/>
      <c r="AN135" s="760"/>
      <c r="AR135" s="782"/>
    </row>
    <row r="136" spans="1:45" ht="13.5" hidden="1" customHeight="1" outlineLevel="1">
      <c r="A136" s="753">
        <v>2004</v>
      </c>
      <c r="J136" s="766"/>
      <c r="L136" s="706"/>
      <c r="P136" s="758"/>
      <c r="Y136" s="760"/>
      <c r="AA136" s="754"/>
      <c r="AC136" s="706"/>
      <c r="AG136" s="758"/>
      <c r="AN136" s="760"/>
      <c r="AR136" s="782"/>
    </row>
    <row r="137" spans="1:45" ht="13.5" hidden="1" customHeight="1" outlineLevel="1">
      <c r="A137" s="398" t="s">
        <v>112</v>
      </c>
      <c r="D137" s="755">
        <f>'qtrP&amp;L'!BX10</f>
        <v>8.2583810302534708</v>
      </c>
      <c r="E137" s="398" t="s">
        <v>156</v>
      </c>
      <c r="F137" s="755">
        <f>'qtrP&amp;L'!BY10</f>
        <v>9.1</v>
      </c>
      <c r="G137" s="398" t="s">
        <v>156</v>
      </c>
      <c r="H137" s="756">
        <f>D137-F137</f>
        <v>-0.84161896974652883</v>
      </c>
      <c r="I137" s="398" t="s">
        <v>156</v>
      </c>
      <c r="J137" s="766">
        <v>1021</v>
      </c>
      <c r="K137" s="787">
        <f>J137-J133</f>
        <v>-67</v>
      </c>
      <c r="L137" s="706">
        <f>AVERAGEA(J137,J133)</f>
        <v>1054.5</v>
      </c>
      <c r="N137" s="756">
        <f>(L137/L130-1)*100</f>
        <v>-1.540616246498594</v>
      </c>
      <c r="O137" s="398" t="s">
        <v>156</v>
      </c>
      <c r="P137" s="758">
        <f>(H137/N137)*100</f>
        <v>54.62872221809306</v>
      </c>
      <c r="Q137" s="398" t="s">
        <v>156</v>
      </c>
      <c r="S137" s="591">
        <f>'qtrP&amp;L'!BW10</f>
        <v>3972</v>
      </c>
      <c r="U137" s="591">
        <f>S137-AR137</f>
        <v>3347</v>
      </c>
      <c r="W137" s="759">
        <f>U137/L137</f>
        <v>3.1740161213845424</v>
      </c>
      <c r="Y137" s="760">
        <f>(W137/W130-1)*100</f>
        <v>10.297575146101391</v>
      </c>
      <c r="Z137" s="398" t="s">
        <v>156</v>
      </c>
      <c r="AA137" s="776">
        <f>(AA140-AA133)*1/4+AA133</f>
        <v>101.14999999999999</v>
      </c>
      <c r="AC137" s="706">
        <f>AVERAGEA(AA137,AA133)</f>
        <v>101.125</v>
      </c>
      <c r="AE137" s="777">
        <f>(AC137/AC130-1)*100</f>
        <v>-1.844212569764625</v>
      </c>
      <c r="AF137" s="398" t="s">
        <v>156</v>
      </c>
      <c r="AG137" s="758">
        <f>(H137/AE137)*100</f>
        <v>45.635681241124168</v>
      </c>
      <c r="AH137" s="398" t="s">
        <v>156</v>
      </c>
      <c r="AJ137" s="591">
        <f>U137</f>
        <v>3347</v>
      </c>
      <c r="AL137" s="759">
        <f>AJ137/AC137</f>
        <v>33.097651421508033</v>
      </c>
      <c r="AN137" s="760">
        <f>(AL137/AL130-1)*100</f>
        <v>10.63872607725067</v>
      </c>
      <c r="AO137" s="398" t="s">
        <v>156</v>
      </c>
      <c r="AP137" s="762"/>
      <c r="AQ137" s="759"/>
      <c r="AR137" s="779">
        <v>625</v>
      </c>
      <c r="AS137" s="759"/>
    </row>
    <row r="138" spans="1:45" ht="13.5" hidden="1" customHeight="1" outlineLevel="1">
      <c r="A138" s="398" t="s">
        <v>113</v>
      </c>
      <c r="D138" s="755">
        <f>'qtrP&amp;L'!BX11</f>
        <v>5.5897149245388578</v>
      </c>
      <c r="F138" s="755">
        <f>'qtrP&amp;L'!BY11</f>
        <v>6.9</v>
      </c>
      <c r="H138" s="756">
        <f>D138-F138</f>
        <v>-1.3102850754611426</v>
      </c>
      <c r="J138" s="766">
        <v>1018</v>
      </c>
      <c r="K138" s="786">
        <f>J138-J137</f>
        <v>-3</v>
      </c>
      <c r="L138" s="706">
        <f>AVERAGEA(J137:J138)</f>
        <v>1019.5</v>
      </c>
      <c r="N138" s="756">
        <f>(L138/L131-1)*100</f>
        <v>-7.1070615034168565</v>
      </c>
      <c r="P138" s="758">
        <f>(H138/N138)*100</f>
        <v>18.436382952802617</v>
      </c>
      <c r="S138" s="706">
        <f>'qtrP&amp;L'!BW11</f>
        <v>3778</v>
      </c>
      <c r="U138" s="706">
        <f>S138-AR138</f>
        <v>3226</v>
      </c>
      <c r="W138" s="586">
        <f>U138/L138</f>
        <v>3.1642962236390386</v>
      </c>
      <c r="Y138" s="760">
        <f>(W138/W131-1)*100</f>
        <v>15.108223581168211</v>
      </c>
      <c r="AA138" s="776">
        <f>(AA140-AA133)*1/4+AA137</f>
        <v>101.19999999999999</v>
      </c>
      <c r="AC138" s="706">
        <f>AVERAGEA(AA137:AA138)</f>
        <v>101.17499999999998</v>
      </c>
      <c r="AE138" s="777">
        <f>(AC138/AC131-1)*100</f>
        <v>-1.2686020980727131</v>
      </c>
      <c r="AG138" s="758">
        <f>(H138/AE138)*100</f>
        <v>103.28574085221483</v>
      </c>
      <c r="AJ138" s="706">
        <f>U138</f>
        <v>3226</v>
      </c>
      <c r="AL138" s="586">
        <f>AJ138/AC138</f>
        <v>31.885347170743767</v>
      </c>
      <c r="AN138" s="760">
        <f>(AL138/AL131-1)*100</f>
        <v>8.3013242068931792</v>
      </c>
      <c r="AP138" s="763"/>
      <c r="AQ138" s="586"/>
      <c r="AR138" s="780">
        <v>552</v>
      </c>
      <c r="AS138" s="586"/>
    </row>
    <row r="139" spans="1:45" ht="13.5" hidden="1" customHeight="1" outlineLevel="1">
      <c r="A139" s="398" t="s">
        <v>114</v>
      </c>
      <c r="D139" s="755">
        <f>'qtrP&amp;L'!BX12</f>
        <v>2.8819119025304651</v>
      </c>
      <c r="F139" s="755">
        <f>'qtrP&amp;L'!BY12</f>
        <v>2.6202364955657078</v>
      </c>
      <c r="H139" s="756">
        <f>D139-F139</f>
        <v>0.26167540696475733</v>
      </c>
      <c r="J139" s="766">
        <v>1018</v>
      </c>
      <c r="K139" s="786">
        <f>J139-J138</f>
        <v>0</v>
      </c>
      <c r="L139" s="706">
        <f>AVERAGEA(J138:J139)</f>
        <v>1018</v>
      </c>
      <c r="N139" s="756">
        <f>(L139/L132-1)*100</f>
        <v>-7.1167883211678884</v>
      </c>
      <c r="P139" s="758">
        <f>(H139/N139)*100</f>
        <v>-3.6768749491458181</v>
      </c>
      <c r="S139" s="706">
        <f>'qtrP&amp;L'!BW12</f>
        <v>4391</v>
      </c>
      <c r="U139" s="706">
        <f>S139-AR139</f>
        <v>3701</v>
      </c>
      <c r="W139" s="586">
        <f>U139/L139</f>
        <v>3.6355599214145382</v>
      </c>
      <c r="Y139" s="760">
        <f>(W139/W132-1)*100</f>
        <v>10.590443349162747</v>
      </c>
      <c r="AA139" s="776">
        <f>(AA140-AA133)*1/4+AA138</f>
        <v>101.24999999999999</v>
      </c>
      <c r="AC139" s="706">
        <f>AVERAGEA(AA138:AA139)</f>
        <v>101.22499999999999</v>
      </c>
      <c r="AE139" s="777">
        <f>(AC139/AC132-1)*100</f>
        <v>-0.68677949472653044</v>
      </c>
      <c r="AG139" s="758">
        <f>(H139/AE139)*100</f>
        <v>-38.101808364117531</v>
      </c>
      <c r="AJ139" s="706">
        <f>U139</f>
        <v>3701</v>
      </c>
      <c r="AL139" s="586">
        <f>AJ139/AC139</f>
        <v>36.56211410224747</v>
      </c>
      <c r="AN139" s="760">
        <f>(AL139/AL132-1)*100</f>
        <v>3.4302936406209739</v>
      </c>
      <c r="AP139" s="763"/>
      <c r="AQ139" s="586"/>
      <c r="AR139" s="780">
        <v>690</v>
      </c>
      <c r="AS139" s="586"/>
    </row>
    <row r="140" spans="1:45" ht="13.5" hidden="1" customHeight="1" outlineLevel="1">
      <c r="A140" s="398" t="s">
        <v>115</v>
      </c>
      <c r="D140" s="764">
        <f>'qtrP&amp;L'!BX13</f>
        <v>-0.71690563521173978</v>
      </c>
      <c r="F140" s="764">
        <f>'qtrP&amp;L'!BY13</f>
        <v>2.8</v>
      </c>
      <c r="H140" s="765">
        <f>D140-F140</f>
        <v>-3.5169056352117396</v>
      </c>
      <c r="J140" s="766">
        <v>1017</v>
      </c>
      <c r="K140" s="786">
        <f>J140-J139</f>
        <v>-1</v>
      </c>
      <c r="L140" s="769">
        <f>AVERAGEA(J139:J140)</f>
        <v>1017.5</v>
      </c>
      <c r="N140" s="765">
        <f>(L140/L133-1)*100</f>
        <v>-6.8223443223443203</v>
      </c>
      <c r="P140" s="768">
        <f>(H140/N140)*100</f>
        <v>51.549811458405649</v>
      </c>
      <c r="S140" s="769">
        <f>'qtrP&amp;L'!BW13</f>
        <v>5955</v>
      </c>
      <c r="U140" s="769">
        <f>S140-AR140</f>
        <v>5083</v>
      </c>
      <c r="W140" s="770">
        <f>U140/L140</f>
        <v>4.9955773955773957</v>
      </c>
      <c r="Y140" s="771">
        <f>(W140/W133-1)*100</f>
        <v>6.6921673375809787</v>
      </c>
      <c r="AA140" s="754">
        <v>101.3</v>
      </c>
      <c r="AC140" s="769">
        <f>AVERAGEA(AA139:AA140)</f>
        <v>101.27499999999999</v>
      </c>
      <c r="AE140" s="778">
        <f>(AC140/AC133-1)*100</f>
        <v>-9.8643649815055579E-2</v>
      </c>
      <c r="AG140" s="768">
        <f>(H140/AE140)*100</f>
        <v>3565.2630876954518</v>
      </c>
      <c r="AJ140" s="769">
        <f>U140</f>
        <v>5083</v>
      </c>
      <c r="AL140" s="770">
        <f>AJ140/AC140</f>
        <v>50.190076524314989</v>
      </c>
      <c r="AN140" s="771">
        <f>(AL140/AL133-1)*100</f>
        <v>-0.48857798450162582</v>
      </c>
      <c r="AP140" s="773"/>
      <c r="AQ140" s="509"/>
      <c r="AR140" s="781">
        <v>872</v>
      </c>
      <c r="AS140" s="509"/>
    </row>
    <row r="141" spans="1:45" ht="13.5" hidden="1" customHeight="1" outlineLevel="1">
      <c r="A141" s="774" t="s">
        <v>116</v>
      </c>
      <c r="D141" s="755">
        <f>'qtrP&amp;L'!BX14</f>
        <v>3.3289556329583636</v>
      </c>
      <c r="F141" s="755">
        <f>'qtrP&amp;L'!BY14</f>
        <v>4.9000000000000004</v>
      </c>
      <c r="H141" s="756">
        <f>D141-F141</f>
        <v>-1.5710443670416367</v>
      </c>
      <c r="J141" s="766"/>
      <c r="L141" s="706">
        <f>AVERAGEA(L137:L140)</f>
        <v>1027.375</v>
      </c>
      <c r="N141" s="756">
        <f>(L141/L134-1)*100</f>
        <v>-5.6696889705038505</v>
      </c>
      <c r="P141" s="758">
        <f>(H141/N141)*100</f>
        <v>27.709533542578473</v>
      </c>
      <c r="S141" s="591">
        <f>SUM(S137:S140)</f>
        <v>18096</v>
      </c>
      <c r="U141" s="591">
        <f>S141-AR141</f>
        <v>15357</v>
      </c>
      <c r="W141" s="759">
        <f>U141/L141</f>
        <v>14.947803869083829</v>
      </c>
      <c r="Y141" s="760">
        <f>(W141/W134-1)*100</f>
        <v>9.8888078900838607</v>
      </c>
      <c r="AA141" s="754"/>
      <c r="AC141" s="706">
        <f>AVERAGEA(AC137:AC140)</f>
        <v>101.19999999999999</v>
      </c>
      <c r="AE141" s="777">
        <f>(AC141/AC134-1)*100</f>
        <v>-0.97847358121332384</v>
      </c>
      <c r="AG141" s="758">
        <f>(H141/AE141)*100</f>
        <v>160.56073431165254</v>
      </c>
      <c r="AJ141" s="591">
        <f>SUM(AJ137:AJ140)</f>
        <v>15357</v>
      </c>
      <c r="AL141" s="759">
        <f>AJ141/AC141</f>
        <v>151.74901185770753</v>
      </c>
      <c r="AN141" s="760">
        <f>(AL141/AL134-1)*100</f>
        <v>4.6827472956983529</v>
      </c>
      <c r="AP141" s="759"/>
      <c r="AQ141" s="759"/>
      <c r="AR141" s="591">
        <f>SUM(AR137:AR140)</f>
        <v>2739</v>
      </c>
      <c r="AS141" s="759"/>
    </row>
    <row r="142" spans="1:45" ht="13.5" hidden="1" customHeight="1" outlineLevel="1">
      <c r="J142" s="766"/>
      <c r="L142" s="706"/>
      <c r="P142" s="758"/>
      <c r="Y142" s="760"/>
      <c r="AA142" s="754"/>
      <c r="AC142" s="706"/>
      <c r="AG142" s="758"/>
      <c r="AN142" s="760"/>
      <c r="AR142" s="782"/>
    </row>
    <row r="143" spans="1:45" ht="13.5" hidden="1" customHeight="1" outlineLevel="1">
      <c r="A143" s="753">
        <v>2005</v>
      </c>
      <c r="J143" s="766"/>
      <c r="L143" s="706"/>
      <c r="P143" s="758"/>
      <c r="Y143" s="760"/>
      <c r="AA143" s="754"/>
      <c r="AC143" s="706"/>
      <c r="AG143" s="758"/>
      <c r="AN143" s="760"/>
      <c r="AR143" s="782"/>
    </row>
    <row r="144" spans="1:45" ht="13.5" hidden="1" customHeight="1" outlineLevel="1">
      <c r="A144" s="398" t="s">
        <v>112</v>
      </c>
      <c r="D144" s="755">
        <f>'qtrP&amp;L'!CB10</f>
        <v>3.6757301107754214</v>
      </c>
      <c r="E144" s="398" t="s">
        <v>156</v>
      </c>
      <c r="F144" s="755">
        <f>'qtrP&amp;L'!CC10</f>
        <v>3</v>
      </c>
      <c r="G144" s="398" t="s">
        <v>156</v>
      </c>
      <c r="H144" s="756">
        <f>D144-F144</f>
        <v>0.67573011077542144</v>
      </c>
      <c r="I144" s="398" t="s">
        <v>156</v>
      </c>
      <c r="J144" s="766">
        <v>1015</v>
      </c>
      <c r="K144" s="786">
        <f>J144-J140</f>
        <v>-2</v>
      </c>
      <c r="L144" s="706">
        <f>AVERAGEA(J144,J140)</f>
        <v>1016</v>
      </c>
      <c r="N144" s="756">
        <f>(L144/L137-1)*100</f>
        <v>-3.6510194404931195</v>
      </c>
      <c r="O144" s="398" t="s">
        <v>156</v>
      </c>
      <c r="P144" s="758">
        <f>(H144/N144)*100</f>
        <v>-18.507984462667089</v>
      </c>
      <c r="Q144" s="398" t="s">
        <v>156</v>
      </c>
      <c r="S144" s="591">
        <f>'qtrP&amp;L'!CA10</f>
        <v>4118</v>
      </c>
      <c r="U144" s="591">
        <f>S144-AR144</f>
        <v>3459</v>
      </c>
      <c r="W144" s="759">
        <f>U144/L144</f>
        <v>3.4045275590551181</v>
      </c>
      <c r="Y144" s="760">
        <f>(W144/W137-1)*100</f>
        <v>7.2624532722922686</v>
      </c>
      <c r="Z144" s="398" t="s">
        <v>156</v>
      </c>
      <c r="AA144" s="776">
        <f>(AA147-AA140)*1/4+AA140</f>
        <v>101.325</v>
      </c>
      <c r="AC144" s="706">
        <f>AVERAGEA(AA144,AA140)</f>
        <v>101.3125</v>
      </c>
      <c r="AE144" s="777">
        <f>(AC144/AC137-1)*100</f>
        <v>0.18541409147094789</v>
      </c>
      <c r="AF144" s="398" t="s">
        <v>156</v>
      </c>
      <c r="AG144" s="758">
        <f>(H144/AE144)*100</f>
        <v>364.44377307821833</v>
      </c>
      <c r="AH144" s="398" t="s">
        <v>156</v>
      </c>
      <c r="AJ144" s="591">
        <f>U144</f>
        <v>3459</v>
      </c>
      <c r="AL144" s="759">
        <f>AJ144/AC144</f>
        <v>34.141887723627391</v>
      </c>
      <c r="AN144" s="760">
        <f>(AL144/AL137-1)*100</f>
        <v>3.1550163146644827</v>
      </c>
      <c r="AO144" s="398" t="s">
        <v>156</v>
      </c>
      <c r="AP144" s="788"/>
      <c r="AQ144" s="759"/>
      <c r="AR144" s="779">
        <v>659</v>
      </c>
      <c r="AS144" s="759"/>
    </row>
    <row r="145" spans="1:46" ht="13.5" hidden="1" customHeight="1" outlineLevel="1">
      <c r="A145" s="398" t="s">
        <v>113</v>
      </c>
      <c r="D145" s="755">
        <f>'qtrP&amp;L'!CB11</f>
        <v>5.3732133403917359</v>
      </c>
      <c r="F145" s="755">
        <f>'qtrP&amp;L'!CC11</f>
        <v>4.2</v>
      </c>
      <c r="H145" s="756">
        <f>D145-F145</f>
        <v>1.1732133403917357</v>
      </c>
      <c r="J145" s="766">
        <v>1015</v>
      </c>
      <c r="K145" s="786">
        <f>J145-J144</f>
        <v>0</v>
      </c>
      <c r="L145" s="706">
        <f>AVERAGEA(J144:J145)</f>
        <v>1015</v>
      </c>
      <c r="N145" s="756">
        <f>(L145/L138-1)*100</f>
        <v>-0.44139283962726372</v>
      </c>
      <c r="P145" s="758">
        <f>(H145/N145)*100</f>
        <v>-265.79800011764149</v>
      </c>
      <c r="S145" s="706">
        <f>'qtrP&amp;L'!CA11</f>
        <v>3981</v>
      </c>
      <c r="U145" s="706">
        <f>S145-AR145</f>
        <v>3390</v>
      </c>
      <c r="W145" s="586">
        <f>U145/L145</f>
        <v>3.3399014778325125</v>
      </c>
      <c r="Y145" s="760">
        <f>(W145/W138-1)*100</f>
        <v>5.5495832811607748</v>
      </c>
      <c r="AA145" s="776">
        <f>(AA147-AA140)*1/4+AA144</f>
        <v>101.35000000000001</v>
      </c>
      <c r="AC145" s="706">
        <f>AVERAGEA(AA144:AA145)</f>
        <v>101.33750000000001</v>
      </c>
      <c r="AE145" s="777">
        <f>(AC145/AC138-1)*100</f>
        <v>0.16061279960466468</v>
      </c>
      <c r="AG145" s="758">
        <f>(H145/AE145)*100</f>
        <v>730.46067516381311</v>
      </c>
      <c r="AJ145" s="706">
        <f>U145</f>
        <v>3390</v>
      </c>
      <c r="AL145" s="586">
        <f>AJ145/AC145</f>
        <v>33.452571851486368</v>
      </c>
      <c r="AN145" s="760">
        <f>(AL145/AL138-1)*100</f>
        <v>4.9151877580326353</v>
      </c>
      <c r="AP145" s="788"/>
      <c r="AQ145" s="586"/>
      <c r="AR145" s="780">
        <v>591</v>
      </c>
      <c r="AS145" s="586"/>
    </row>
    <row r="146" spans="1:46" ht="13.5" hidden="1" customHeight="1" outlineLevel="1">
      <c r="A146" s="398" t="s">
        <v>114</v>
      </c>
      <c r="D146" s="755">
        <f>'qtrP&amp;L'!CB12</f>
        <v>2.0040992940104863</v>
      </c>
      <c r="F146" s="755">
        <f>'qtrP&amp;L'!CC12</f>
        <v>2.5</v>
      </c>
      <c r="H146" s="756">
        <f>D146-F146</f>
        <v>-0.49590070598951375</v>
      </c>
      <c r="J146" s="766">
        <v>1017</v>
      </c>
      <c r="K146" s="786">
        <f>J146-J145</f>
        <v>2</v>
      </c>
      <c r="L146" s="706">
        <f>AVERAGEA(J145:J146)</f>
        <v>1016</v>
      </c>
      <c r="N146" s="756">
        <f>(L146/L139-1)*100</f>
        <v>-0.19646365422396617</v>
      </c>
      <c r="P146" s="758">
        <f>(H146/N146)*100</f>
        <v>252.41345934866558</v>
      </c>
      <c r="S146" s="706">
        <f>'qtrP&amp;L'!CA12</f>
        <v>4479</v>
      </c>
      <c r="U146" s="706">
        <f>S146-AR146</f>
        <v>3796</v>
      </c>
      <c r="W146" s="586">
        <f>U146/L146</f>
        <v>3.7362204724409449</v>
      </c>
      <c r="Y146" s="760">
        <f>(W146/W139-1)*100</f>
        <v>2.7687771128041661</v>
      </c>
      <c r="AA146" s="776">
        <f>(AA147-AA140)*1/4+AA145</f>
        <v>101.37500000000001</v>
      </c>
      <c r="AC146" s="706">
        <f>AVERAGEA(AA145:AA146)</f>
        <v>101.36250000000001</v>
      </c>
      <c r="AE146" s="777">
        <f>(AC146/AC139-1)*100</f>
        <v>0.13583600889111036</v>
      </c>
      <c r="AG146" s="758">
        <f>(H146/AE146)*100</f>
        <v>-365.07308337293722</v>
      </c>
      <c r="AJ146" s="706">
        <f>U146</f>
        <v>3796</v>
      </c>
      <c r="AL146" s="586">
        <f>AJ146/AC146</f>
        <v>37.449747194475272</v>
      </c>
      <c r="AN146" s="760">
        <f>(AL146/AL139-1)*100</f>
        <v>2.4277400637870539</v>
      </c>
      <c r="AP146" s="788"/>
      <c r="AQ146" s="586"/>
      <c r="AR146" s="780">
        <v>683</v>
      </c>
      <c r="AS146" s="586"/>
    </row>
    <row r="147" spans="1:46" ht="13.5" hidden="1" customHeight="1" outlineLevel="1">
      <c r="A147" s="398" t="s">
        <v>115</v>
      </c>
      <c r="D147" s="764">
        <f>'qtrP&amp;L'!CB13</f>
        <v>4.1659781696053777</v>
      </c>
      <c r="F147" s="764">
        <f>'qtrP&amp;L'!CC13</f>
        <v>2.6</v>
      </c>
      <c r="H147" s="765">
        <f>D147-F147</f>
        <v>1.5659781696053776</v>
      </c>
      <c r="J147" s="766">
        <v>1019</v>
      </c>
      <c r="K147" s="786">
        <f>J147-J146</f>
        <v>2</v>
      </c>
      <c r="L147" s="769">
        <f>AVERAGEA(J146:J147)</f>
        <v>1018</v>
      </c>
      <c r="N147" s="765">
        <f>(L147/L140-1)*100</f>
        <v>4.9140049140050657E-2</v>
      </c>
      <c r="P147" s="768">
        <f>(H147/N147)*100</f>
        <v>3186.7655751468451</v>
      </c>
      <c r="S147" s="769">
        <f>'qtrP&amp;L'!CA13</f>
        <v>6203.0839999999998</v>
      </c>
      <c r="U147" s="769">
        <f>S147-AR147</f>
        <v>5299</v>
      </c>
      <c r="W147" s="770">
        <f>U147/L147</f>
        <v>5.2053045186640468</v>
      </c>
      <c r="Y147" s="771">
        <f>(W147/W140-1)*100</f>
        <v>4.1982559067611058</v>
      </c>
      <c r="AA147" s="754">
        <v>101.4</v>
      </c>
      <c r="AC147" s="769">
        <f>AVERAGEA(AA146:AA147)</f>
        <v>101.38750000000002</v>
      </c>
      <c r="AE147" s="778">
        <f>(AC147/AC140-1)*100</f>
        <v>0.11108368304124649</v>
      </c>
      <c r="AG147" s="768">
        <f>(H147/AE147)*100</f>
        <v>1409.7283477933604</v>
      </c>
      <c r="AJ147" s="769">
        <f>U147</f>
        <v>5299</v>
      </c>
      <c r="AL147" s="770">
        <f>AJ147/AC147</f>
        <v>52.264825545555411</v>
      </c>
      <c r="AN147" s="771">
        <f>(AL147/AL140-1)*100</f>
        <v>4.1337833390935108</v>
      </c>
      <c r="AP147" s="789"/>
      <c r="AQ147" s="509"/>
      <c r="AR147" s="781">
        <v>904.08399999999995</v>
      </c>
      <c r="AS147" s="509"/>
    </row>
    <row r="148" spans="1:46" ht="13.5" hidden="1" customHeight="1" outlineLevel="1">
      <c r="A148" s="774" t="s">
        <v>116</v>
      </c>
      <c r="D148" s="755">
        <f>'qtrP&amp;L'!CB14</f>
        <v>3.7858311229000741</v>
      </c>
      <c r="F148" s="755">
        <f>'qtrP&amp;L'!CC14</f>
        <v>2.9</v>
      </c>
      <c r="H148" s="756">
        <f>D148-F148</f>
        <v>0.88583112290007415</v>
      </c>
      <c r="J148" s="766"/>
      <c r="L148" s="706">
        <f>AVERAGEA(L144:L147)</f>
        <v>1016.25</v>
      </c>
      <c r="N148" s="756">
        <f>(L148/L141-1)*100</f>
        <v>-1.0828567952305579</v>
      </c>
      <c r="P148" s="758">
        <f>(H148/N148)*100</f>
        <v>-81.805011226019616</v>
      </c>
      <c r="S148" s="591">
        <f>SUM(S144:S147)</f>
        <v>18781.083999999999</v>
      </c>
      <c r="U148" s="591">
        <f>S148-AR148</f>
        <v>15944</v>
      </c>
      <c r="W148" s="759">
        <f>U148/L148</f>
        <v>15.689052890528906</v>
      </c>
      <c r="Y148" s="760">
        <f>(W148/W141-1)*100</f>
        <v>4.958915891171034</v>
      </c>
      <c r="AA148" s="754"/>
      <c r="AC148" s="706">
        <f>AVERAGEA(AC144:AC147)</f>
        <v>101.35000000000002</v>
      </c>
      <c r="AE148" s="777">
        <f>(AC148/AC141-1)*100</f>
        <v>0.14822134387355579</v>
      </c>
      <c r="AG148" s="758">
        <f>(H148/AE148)*100</f>
        <v>597.64073091643013</v>
      </c>
      <c r="AJ148" s="591">
        <f>SUM(AJ144:AJ147)</f>
        <v>15944</v>
      </c>
      <c r="AL148" s="759">
        <f>AJ148/AC148</f>
        <v>157.31623088307842</v>
      </c>
      <c r="AN148" s="760">
        <f>(AL148/AL141-1)*100</f>
        <v>3.6687019949699362</v>
      </c>
      <c r="AP148" s="762"/>
      <c r="AQ148" s="759"/>
      <c r="AR148" s="591">
        <f>SUM(AR144:AR147)</f>
        <v>2837.0839999999998</v>
      </c>
      <c r="AS148" s="759"/>
    </row>
    <row r="149" spans="1:46" ht="13.5" hidden="1" customHeight="1" outlineLevel="1">
      <c r="J149" s="766"/>
      <c r="L149" s="706"/>
      <c r="P149" s="758"/>
      <c r="Y149" s="760"/>
      <c r="AA149" s="754"/>
      <c r="AC149" s="706"/>
      <c r="AG149" s="758"/>
      <c r="AN149" s="760"/>
      <c r="AR149" s="782"/>
    </row>
    <row r="150" spans="1:46" ht="13.5" hidden="1" customHeight="1" outlineLevel="1">
      <c r="A150" s="753">
        <v>2006</v>
      </c>
      <c r="J150" s="766"/>
      <c r="L150" s="706"/>
      <c r="P150" s="758"/>
      <c r="Y150" s="760"/>
      <c r="AA150" s="754"/>
      <c r="AC150" s="706"/>
      <c r="AG150" s="758"/>
      <c r="AN150" s="760"/>
      <c r="AR150" s="782"/>
    </row>
    <row r="151" spans="1:46" ht="13.5" hidden="1" customHeight="1" outlineLevel="1">
      <c r="A151" s="398" t="s">
        <v>112</v>
      </c>
      <c r="D151" s="755">
        <f>'qtrP&amp;L'!CF10</f>
        <v>2.4526469159786402</v>
      </c>
      <c r="E151" s="398" t="s">
        <v>156</v>
      </c>
      <c r="F151" s="755">
        <f>'qtrP&amp;L'!CG10</f>
        <v>2.6</v>
      </c>
      <c r="G151" s="398" t="s">
        <v>156</v>
      </c>
      <c r="H151" s="756">
        <f>D151-F151</f>
        <v>-0.14735308402135994</v>
      </c>
      <c r="I151" s="398" t="s">
        <v>156</v>
      </c>
      <c r="J151" s="766">
        <v>1021</v>
      </c>
      <c r="K151" s="786">
        <f>J151-J147</f>
        <v>2</v>
      </c>
      <c r="L151" s="706">
        <f>AVERAGEA(J151,J147)</f>
        <v>1020</v>
      </c>
      <c r="N151" s="756">
        <f>(L151/L144-1)*100</f>
        <v>0.3937007874015741</v>
      </c>
      <c r="O151" s="398" t="s">
        <v>156</v>
      </c>
      <c r="P151" s="758">
        <f>(H151/N151)*100</f>
        <v>-37.427683341425485</v>
      </c>
      <c r="Q151" s="398" t="s">
        <v>156</v>
      </c>
      <c r="S151" s="591">
        <f>'qtrP&amp;L'!CE10</f>
        <v>4219</v>
      </c>
      <c r="U151" s="591">
        <f>S151-AR151</f>
        <v>3535</v>
      </c>
      <c r="W151" s="759">
        <f>U151/L151</f>
        <v>3.465686274509804</v>
      </c>
      <c r="Y151" s="760">
        <f>(W151/W144-1)*100</f>
        <v>1.7963936080358733</v>
      </c>
      <c r="Z151" s="398" t="s">
        <v>156</v>
      </c>
      <c r="AA151" s="776">
        <f>(AA154-AA147)*1/4+AA147</f>
        <v>101.825</v>
      </c>
      <c r="AC151" s="706">
        <f>AVERAGEA(AA151,AA147)</f>
        <v>101.61250000000001</v>
      </c>
      <c r="AE151" s="777">
        <f>(AC151/AC144-1)*100</f>
        <v>0.29611351017890808</v>
      </c>
      <c r="AF151" s="398" t="s">
        <v>156</v>
      </c>
      <c r="AG151" s="758">
        <f>(H151/AE151)*100</f>
        <v>-49.762364416379057</v>
      </c>
      <c r="AH151" s="398" t="s">
        <v>156</v>
      </c>
      <c r="AJ151" s="591">
        <f>U151</f>
        <v>3535</v>
      </c>
      <c r="AL151" s="759">
        <f>AJ151/AC151</f>
        <v>34.789026940583092</v>
      </c>
      <c r="AN151" s="760">
        <f>(AL151/AL144-1)*100</f>
        <v>1.8954406452103001</v>
      </c>
      <c r="AO151" s="398" t="s">
        <v>156</v>
      </c>
      <c r="AP151" s="762"/>
      <c r="AQ151" s="759"/>
      <c r="AR151" s="779">
        <v>684</v>
      </c>
      <c r="AS151" s="759"/>
      <c r="AT151" s="790"/>
    </row>
    <row r="152" spans="1:46" ht="13.5" hidden="1" customHeight="1" outlineLevel="1">
      <c r="A152" s="398" t="s">
        <v>113</v>
      </c>
      <c r="D152" s="755">
        <f>'qtrP&amp;L'!CF11</f>
        <v>6.4327555890479671</v>
      </c>
      <c r="F152" s="755">
        <f>'qtrP&amp;L'!CG11</f>
        <v>7.6</v>
      </c>
      <c r="H152" s="756">
        <f>D152-F152</f>
        <v>-1.1672444109520326</v>
      </c>
      <c r="J152" s="766">
        <v>1021</v>
      </c>
      <c r="K152" s="786">
        <f>J152-J151</f>
        <v>0</v>
      </c>
      <c r="L152" s="706">
        <f>AVERAGEA(J151:J152)</f>
        <v>1021</v>
      </c>
      <c r="N152" s="756">
        <f>(L152/L145-1)*100</f>
        <v>0.59113300492610321</v>
      </c>
      <c r="P152" s="758">
        <f>(H152/N152)*100</f>
        <v>-197.4588461860539</v>
      </c>
      <c r="S152" s="706">
        <f>'qtrP&amp;L'!CE11</f>
        <v>4237.0879999999997</v>
      </c>
      <c r="U152" s="706">
        <f>S152-AR152</f>
        <v>3630</v>
      </c>
      <c r="W152" s="586">
        <f>U152/L152</f>
        <v>3.555337904015671</v>
      </c>
      <c r="Y152" s="760">
        <f>(W152/W145-1)*100</f>
        <v>6.4503826718556256</v>
      </c>
      <c r="AA152" s="776">
        <f>(AA154-AA147)*1/4+AA151</f>
        <v>102.25</v>
      </c>
      <c r="AC152" s="706">
        <f>AVERAGEA(AA151:AA152)</f>
        <v>102.03749999999999</v>
      </c>
      <c r="AE152" s="777">
        <f>(AC152/AC145-1)*100</f>
        <v>0.69076107067964632</v>
      </c>
      <c r="AG152" s="758">
        <f>(H152/AE152)*100</f>
        <v>-168.97947213550552</v>
      </c>
      <c r="AJ152" s="706">
        <f>U152</f>
        <v>3630</v>
      </c>
      <c r="AL152" s="586">
        <f>AJ152/AC152</f>
        <v>35.575156192576259</v>
      </c>
      <c r="AN152" s="760">
        <f>(AL152/AL145-1)*100</f>
        <v>6.3450557718347067</v>
      </c>
      <c r="AP152" s="763"/>
      <c r="AQ152" s="586"/>
      <c r="AR152" s="780">
        <v>607.08799999999997</v>
      </c>
      <c r="AS152" s="586"/>
      <c r="AT152" s="790"/>
    </row>
    <row r="153" spans="1:46" ht="13.5" hidden="1" customHeight="1" outlineLevel="1">
      <c r="A153" s="398" t="s">
        <v>114</v>
      </c>
      <c r="D153" s="755">
        <f>'qtrP&amp;L'!CF12</f>
        <v>6.7425764679615918</v>
      </c>
      <c r="F153" s="755">
        <f>'qtrP&amp;L'!CG12</f>
        <v>6.5</v>
      </c>
      <c r="H153" s="756">
        <f>D153-F153</f>
        <v>0.24257646796159182</v>
      </c>
      <c r="J153" s="766">
        <v>1037</v>
      </c>
      <c r="K153" s="786">
        <f>J153-J152</f>
        <v>16</v>
      </c>
      <c r="L153" s="706">
        <f>AVERAGEA(J152:J153)</f>
        <v>1029</v>
      </c>
      <c r="N153" s="756">
        <f>(L153/L146-1)*100</f>
        <v>1.2795275590551158</v>
      </c>
      <c r="P153" s="758">
        <f>(H153/N153)*100</f>
        <v>18.958283957613673</v>
      </c>
      <c r="S153" s="706">
        <f>'qtrP&amp;L'!CE12</f>
        <v>4781</v>
      </c>
      <c r="U153" s="706">
        <f>S153-AR153</f>
        <v>4062</v>
      </c>
      <c r="W153" s="586">
        <f>U153/L153</f>
        <v>3.9475218658892128</v>
      </c>
      <c r="Y153" s="760">
        <f>(W153/W146-1)*100</f>
        <v>5.6554851354963187</v>
      </c>
      <c r="AA153" s="776">
        <f>(AA154-AA147)*1/4+AA152</f>
        <v>102.675</v>
      </c>
      <c r="AC153" s="706">
        <f>AVERAGEA(AA152:AA153)</f>
        <v>102.46250000000001</v>
      </c>
      <c r="AE153" s="777">
        <f>(AC153/AC146-1)*100</f>
        <v>1.0852139597977484</v>
      </c>
      <c r="AG153" s="758">
        <f>(H153/AE153)*100</f>
        <v>22.352870212506375</v>
      </c>
      <c r="AJ153" s="706">
        <f>U153</f>
        <v>4062</v>
      </c>
      <c r="AL153" s="586">
        <f>AJ153/AC153</f>
        <v>39.643772111748198</v>
      </c>
      <c r="AN153" s="760">
        <f>(AL153/AL146-1)*100</f>
        <v>5.8585840536637734</v>
      </c>
      <c r="AP153" s="763"/>
      <c r="AQ153" s="586"/>
      <c r="AR153" s="780">
        <v>719</v>
      </c>
      <c r="AS153" s="586"/>
      <c r="AT153" s="790"/>
    </row>
    <row r="154" spans="1:46" ht="13.5" hidden="1" customHeight="1" outlineLevel="1">
      <c r="A154" s="398" t="s">
        <v>115</v>
      </c>
      <c r="D154" s="764">
        <f>'qtrP&amp;L'!CF13</f>
        <v>7.4949170444894797</v>
      </c>
      <c r="F154" s="764">
        <f>'qtrP&amp;L'!CG13</f>
        <v>3.2</v>
      </c>
      <c r="H154" s="765">
        <f>D154-F154</f>
        <v>4.2949170444894795</v>
      </c>
      <c r="J154" s="766">
        <v>1033</v>
      </c>
      <c r="K154" s="786">
        <f>J154-J153</f>
        <v>-4</v>
      </c>
      <c r="L154" s="769">
        <f>AVERAGEA(J153:J154)</f>
        <v>1035</v>
      </c>
      <c r="N154" s="765">
        <f>(L154/L147-1)*100</f>
        <v>1.6699410609037235</v>
      </c>
      <c r="P154" s="768">
        <f>(H154/N154)*100</f>
        <v>257.18973831119496</v>
      </c>
      <c r="S154" s="769">
        <f>'qtrP&amp;L'!CE13</f>
        <v>6668</v>
      </c>
      <c r="U154" s="769">
        <f>S154-AR154</f>
        <v>5724</v>
      </c>
      <c r="W154" s="770">
        <f>U154/L154</f>
        <v>5.5304347826086957</v>
      </c>
      <c r="Y154" s="771">
        <f>(W154/W147-1)*100</f>
        <v>6.2461333967853028</v>
      </c>
      <c r="AA154" s="754">
        <v>103.1</v>
      </c>
      <c r="AC154" s="769">
        <f>AVERAGEA(AA153:AA154)</f>
        <v>102.88749999999999</v>
      </c>
      <c r="AE154" s="778">
        <f>(AC154/AC147-1)*100</f>
        <v>1.4794723215386218</v>
      </c>
      <c r="AG154" s="768">
        <f>(H154/AE154)*100</f>
        <v>290.30060123212382</v>
      </c>
      <c r="AJ154" s="769">
        <f>U154</f>
        <v>5724</v>
      </c>
      <c r="AL154" s="770">
        <f>AJ154/AC154</f>
        <v>55.633580366905605</v>
      </c>
      <c r="AN154" s="771">
        <f>(AL154/AL147-1)*100</f>
        <v>6.4455487724031535</v>
      </c>
      <c r="AP154" s="770"/>
      <c r="AQ154" s="509"/>
      <c r="AR154" s="781">
        <v>944</v>
      </c>
      <c r="AS154" s="509"/>
      <c r="AT154" s="790"/>
    </row>
    <row r="155" spans="1:46" ht="13.5" hidden="1" customHeight="1" outlineLevel="1">
      <c r="A155" s="774" t="s">
        <v>116</v>
      </c>
      <c r="D155" s="755">
        <f>'qtrP&amp;L'!CF14</f>
        <v>5.9847663745074664</v>
      </c>
      <c r="F155" s="755">
        <f>'qtrP&amp;L'!CG14</f>
        <v>4.9625677213785737</v>
      </c>
      <c r="H155" s="756">
        <f>D155-F155</f>
        <v>1.0221986531288927</v>
      </c>
      <c r="J155" s="766"/>
      <c r="L155" s="706">
        <f>AVERAGEA(L151:L154)</f>
        <v>1026.25</v>
      </c>
      <c r="N155" s="756">
        <f>(L155/L148-1)*100</f>
        <v>0.98400984009840986</v>
      </c>
      <c r="P155" s="758">
        <f>(H155/N155)*100</f>
        <v>103.88093812422279</v>
      </c>
      <c r="S155" s="591">
        <f>SUM(S151:S154)</f>
        <v>19905.088</v>
      </c>
      <c r="U155" s="591">
        <f>S155-AR155</f>
        <v>16951</v>
      </c>
      <c r="W155" s="759">
        <f>U155/L155</f>
        <v>16.517417783191231</v>
      </c>
      <c r="Y155" s="760">
        <f>(W155/W148-1)*100</f>
        <v>5.2798910070753102</v>
      </c>
      <c r="AA155" s="754"/>
      <c r="AC155" s="706">
        <f>AVERAGEA(AC151:AC154)</f>
        <v>102.25</v>
      </c>
      <c r="AE155" s="777">
        <f>(AC155/AC148-1)*100</f>
        <v>0.88801184015785406</v>
      </c>
      <c r="AG155" s="758">
        <f>(H155/AE155)*100</f>
        <v>115.11092610512776</v>
      </c>
      <c r="AJ155" s="591">
        <f>SUM(AJ151:AJ154)</f>
        <v>16951</v>
      </c>
      <c r="AL155" s="759">
        <f>AJ155/AC155</f>
        <v>165.77995110024449</v>
      </c>
      <c r="AN155" s="760">
        <f>(AL155/AL148-1)*100</f>
        <v>5.3800680131069978</v>
      </c>
      <c r="AP155" s="762"/>
      <c r="AQ155" s="759"/>
      <c r="AR155" s="591">
        <f>SUM(AR151:AR154)</f>
        <v>2954.0879999999997</v>
      </c>
      <c r="AS155" s="759"/>
    </row>
    <row r="156" spans="1:46" ht="13.5" hidden="1" customHeight="1" outlineLevel="1">
      <c r="J156" s="766"/>
      <c r="L156" s="706"/>
      <c r="P156" s="758"/>
      <c r="Y156" s="760"/>
      <c r="AA156" s="754"/>
      <c r="AC156" s="706"/>
      <c r="AG156" s="758"/>
      <c r="AN156" s="760"/>
      <c r="AR156" s="782"/>
    </row>
    <row r="157" spans="1:46" ht="13.5" hidden="1" customHeight="1" outlineLevel="1">
      <c r="A157" s="753">
        <v>2007</v>
      </c>
      <c r="J157" s="766"/>
      <c r="L157" s="706"/>
      <c r="P157" s="758"/>
      <c r="Y157" s="760"/>
      <c r="AA157" s="754"/>
      <c r="AC157" s="706"/>
      <c r="AG157" s="758"/>
      <c r="AN157" s="760"/>
      <c r="AR157" s="782"/>
    </row>
    <row r="158" spans="1:46" ht="13.5" hidden="1" customHeight="1" outlineLevel="1">
      <c r="A158" s="398" t="s">
        <v>112</v>
      </c>
      <c r="D158" s="755">
        <f>'qtrP&amp;L'!CJ10</f>
        <v>3.0812988859919344</v>
      </c>
      <c r="E158" s="398" t="s">
        <v>156</v>
      </c>
      <c r="F158" s="755">
        <f>'qtrP&amp;L'!CK10</f>
        <v>3.4</v>
      </c>
      <c r="G158" s="398" t="s">
        <v>156</v>
      </c>
      <c r="H158" s="756">
        <f>D158-F158</f>
        <v>-0.31870111400806556</v>
      </c>
      <c r="I158" s="398" t="s">
        <v>156</v>
      </c>
      <c r="J158" s="766">
        <v>1039</v>
      </c>
      <c r="K158" s="786">
        <f>J158-J133</f>
        <v>-49</v>
      </c>
      <c r="L158" s="706">
        <f>AVERAGEA(J158,J133)</f>
        <v>1063.5</v>
      </c>
      <c r="N158" s="756">
        <f>(L158/L130-1)*100</f>
        <v>-0.70028011204481544</v>
      </c>
      <c r="O158" s="398" t="s">
        <v>156</v>
      </c>
      <c r="P158" s="758">
        <f>(H158/N158)*100</f>
        <v>45.510519080351926</v>
      </c>
      <c r="Q158" s="398" t="s">
        <v>156</v>
      </c>
      <c r="S158" s="591">
        <f>'qtrP&amp;L'!CI10</f>
        <v>4349</v>
      </c>
      <c r="U158" s="591">
        <f>S158-AR158</f>
        <v>3689</v>
      </c>
      <c r="W158" s="759">
        <f>U158/L158</f>
        <v>3.468735307945463</v>
      </c>
      <c r="Y158" s="760">
        <f>(W158/W151-1)*100</f>
        <v>8.7977768157632141E-2</v>
      </c>
      <c r="Z158" s="398" t="s">
        <v>156</v>
      </c>
      <c r="AA158" s="776">
        <f>(AA161-AA154)*1/4+AA154</f>
        <v>103.97499999999999</v>
      </c>
      <c r="AC158" s="706">
        <f>AVERAGEA(AA158,AA133)</f>
        <v>102.53749999999999</v>
      </c>
      <c r="AE158" s="777">
        <f>(AC158/AC130-1)*100</f>
        <v>-0.4731861198738252</v>
      </c>
      <c r="AF158" s="398" t="s">
        <v>156</v>
      </c>
      <c r="AG158" s="758">
        <f>(H158/AE158)*100</f>
        <v>67.35216876037002</v>
      </c>
      <c r="AH158" s="398" t="s">
        <v>156</v>
      </c>
      <c r="AJ158" s="591">
        <f>U158</f>
        <v>3689</v>
      </c>
      <c r="AL158" s="759">
        <f>AJ158/AC158</f>
        <v>35.977081555528464</v>
      </c>
      <c r="AN158" s="760">
        <f>(AL158/AL130-1)*100</f>
        <v>20.264076160231028</v>
      </c>
      <c r="AO158" s="398" t="s">
        <v>156</v>
      </c>
      <c r="AP158" s="762"/>
      <c r="AQ158" s="759"/>
      <c r="AR158" s="779">
        <v>660</v>
      </c>
      <c r="AS158" s="759"/>
      <c r="AT158" s="790"/>
    </row>
    <row r="159" spans="1:46" ht="13.5" hidden="1" customHeight="1" outlineLevel="1">
      <c r="A159" s="398" t="s">
        <v>113</v>
      </c>
      <c r="D159" s="755">
        <f>'qtrP&amp;L'!CJ11</f>
        <v>3.6088936552651329</v>
      </c>
      <c r="F159" s="755">
        <f>'qtrP&amp;L'!CK11</f>
        <v>2.9</v>
      </c>
      <c r="H159" s="756">
        <f>D159-F159</f>
        <v>0.70889365526513304</v>
      </c>
      <c r="J159" s="766">
        <v>1048</v>
      </c>
      <c r="K159" s="786">
        <f>J159-J158</f>
        <v>9</v>
      </c>
      <c r="L159" s="706">
        <f>AVERAGEA(J158:J159)</f>
        <v>1043.5</v>
      </c>
      <c r="N159" s="756">
        <f>(L159/L131-1)*100</f>
        <v>-4.9202733485193662</v>
      </c>
      <c r="P159" s="758">
        <f>(H159/N159)*100</f>
        <v>-14.407607160249682</v>
      </c>
      <c r="S159" s="706">
        <f>'qtrP&amp;L'!CI11</f>
        <v>4390</v>
      </c>
      <c r="U159" s="706">
        <f>S159-AR159</f>
        <v>3797.07</v>
      </c>
      <c r="W159" s="586">
        <f>U159/L159</f>
        <v>3.6387829420220412</v>
      </c>
      <c r="Y159" s="760">
        <f>(W159/W152-1)*100</f>
        <v>2.3470353665152599</v>
      </c>
      <c r="AA159" s="776">
        <f>(AA161-AA154)*1/4+AA158</f>
        <v>104.85</v>
      </c>
      <c r="AC159" s="706">
        <f>AVERAGEA(AA158:AA159)</f>
        <v>104.41249999999999</v>
      </c>
      <c r="AE159" s="777">
        <f>(AC159/AC131-1)*100</f>
        <v>1.8907050500122091</v>
      </c>
      <c r="AG159" s="758">
        <f>(H159/AE159)*100</f>
        <v>37.493614102345333</v>
      </c>
      <c r="AJ159" s="706">
        <f>U159</f>
        <v>3797.07</v>
      </c>
      <c r="AL159" s="586">
        <f>AJ159/AC159</f>
        <v>36.366048126421646</v>
      </c>
      <c r="AN159" s="760">
        <f>(AL159/AL131-1)*100</f>
        <v>23.520410399571023</v>
      </c>
      <c r="AP159" s="763"/>
      <c r="AQ159" s="586"/>
      <c r="AR159" s="780">
        <v>592.92999999999995</v>
      </c>
      <c r="AS159" s="586"/>
      <c r="AT159" s="790"/>
    </row>
    <row r="160" spans="1:46" ht="13.5" hidden="1" customHeight="1" outlineLevel="1">
      <c r="A160" s="398" t="s">
        <v>114</v>
      </c>
      <c r="D160" s="755">
        <f>'qtrP&amp;L'!CJ12</f>
        <v>-1.1085546956703607</v>
      </c>
      <c r="F160" s="755">
        <f>'qtrP&amp;L'!CK12</f>
        <v>-2.4</v>
      </c>
      <c r="H160" s="756">
        <f>D160-F160</f>
        <v>1.2914453043296392</v>
      </c>
      <c r="J160" s="766">
        <v>1067</v>
      </c>
      <c r="K160" s="786">
        <f>J160-J159</f>
        <v>19</v>
      </c>
      <c r="L160" s="706">
        <f>AVERAGEA(J159:J160)</f>
        <v>1057.5</v>
      </c>
      <c r="N160" s="756">
        <f>(L160/L132-1)*100</f>
        <v>-3.5127737226277378</v>
      </c>
      <c r="P160" s="758">
        <f>(H160/N160)*100</f>
        <v>-36.764261131046347</v>
      </c>
      <c r="S160" s="706">
        <f>'qtrP&amp;L'!CI12</f>
        <v>4728</v>
      </c>
      <c r="U160" s="706">
        <f>S160-AR160</f>
        <v>4035</v>
      </c>
      <c r="W160" s="586">
        <f>U160/L160</f>
        <v>3.8156028368794326</v>
      </c>
      <c r="Y160" s="760">
        <f>(W160/W153-1)*100</f>
        <v>-3.3418188294205731</v>
      </c>
      <c r="AA160" s="776">
        <f>(AA161-AA154)*1/4+AA159</f>
        <v>105.72499999999999</v>
      </c>
      <c r="AC160" s="706">
        <f>AVERAGEA(AA159:AA160)</f>
        <v>105.28749999999999</v>
      </c>
      <c r="AE160" s="777">
        <f>(AC160/AC132-1)*100</f>
        <v>3.2989943585969961</v>
      </c>
      <c r="AG160" s="758">
        <f>(H160/AE160)*100</f>
        <v>39.146635730497827</v>
      </c>
      <c r="AJ160" s="706">
        <f>U160</f>
        <v>4035</v>
      </c>
      <c r="AL160" s="586">
        <f>AJ160/AC160</f>
        <v>38.323637658791405</v>
      </c>
      <c r="AN160" s="760">
        <f>(AL160/AL132-1)*100</f>
        <v>8.4134545759732013</v>
      </c>
      <c r="AP160" s="763"/>
      <c r="AQ160" s="586"/>
      <c r="AR160" s="780">
        <v>693</v>
      </c>
      <c r="AS160" s="586"/>
      <c r="AT160" s="790"/>
    </row>
    <row r="161" spans="1:46" ht="13.5" hidden="1" customHeight="1" outlineLevel="1">
      <c r="A161" s="398" t="s">
        <v>115</v>
      </c>
      <c r="D161" s="764">
        <f>'qtrP&amp;L'!CJ13</f>
        <v>-4.1691661667666473</v>
      </c>
      <c r="F161" s="764">
        <f>'qtrP&amp;L'!CK13</f>
        <v>-2.2999999999999998</v>
      </c>
      <c r="H161" s="765">
        <f>D161-F161</f>
        <v>-1.8691661667666475</v>
      </c>
      <c r="J161" s="766">
        <v>1067</v>
      </c>
      <c r="K161" s="786">
        <f>J161-J160</f>
        <v>0</v>
      </c>
      <c r="L161" s="769">
        <f>AVERAGEA(J160:J161)</f>
        <v>1067</v>
      </c>
      <c r="N161" s="765">
        <f>(L161/L133-1)*100</f>
        <v>-2.2893772893772923</v>
      </c>
      <c r="P161" s="768">
        <f>(H161/N161)*100</f>
        <v>81.645178164367067</v>
      </c>
      <c r="S161" s="769">
        <f>'qtrP&amp;L'!CI13</f>
        <v>6390</v>
      </c>
      <c r="U161" s="769">
        <f>S161-AR161</f>
        <v>5491</v>
      </c>
      <c r="W161" s="770">
        <f>U161/L161</f>
        <v>5.1462043111527649</v>
      </c>
      <c r="Y161" s="771">
        <f>(W161/W154-1)*100</f>
        <v>-6.9475635562000093</v>
      </c>
      <c r="AA161" s="754">
        <v>106.6</v>
      </c>
      <c r="AC161" s="769">
        <f>AVERAGEA(AA160:AA161)</f>
        <v>106.16249999999999</v>
      </c>
      <c r="AE161" s="778">
        <f>(AC161/AC133-1)*100</f>
        <v>4.7225647348951849</v>
      </c>
      <c r="AG161" s="768">
        <f>(H161/AE161)*100</f>
        <v>-39.579471573048387</v>
      </c>
      <c r="AJ161" s="769">
        <f>U161</f>
        <v>5491</v>
      </c>
      <c r="AL161" s="770">
        <f>AJ161/AC161</f>
        <v>51.722595078299776</v>
      </c>
      <c r="AN161" s="771">
        <f>(AL161/AL133-1)*100</f>
        <v>2.5499330346692606</v>
      </c>
      <c r="AP161" s="773"/>
      <c r="AQ161" s="509"/>
      <c r="AR161" s="781">
        <v>899</v>
      </c>
      <c r="AS161" s="509"/>
      <c r="AT161" s="790"/>
    </row>
    <row r="162" spans="1:46" ht="13.5" hidden="1" customHeight="1" outlineLevel="1">
      <c r="A162" s="774" t="s">
        <v>116</v>
      </c>
      <c r="D162" s="755">
        <f>'qtrP&amp;L'!CJ14</f>
        <v>-0.24158647276515399</v>
      </c>
      <c r="F162" s="755">
        <f>'qtrP&amp;L'!CK14</f>
        <v>0.37257893941683046</v>
      </c>
      <c r="H162" s="756">
        <f>D162-F162</f>
        <v>-0.61416541218198439</v>
      </c>
      <c r="J162" s="766"/>
      <c r="L162" s="706">
        <f>AVERAGEA(L158:L161)</f>
        <v>1057.875</v>
      </c>
      <c r="N162" s="756">
        <f>(L162/L134-1)*100</f>
        <v>-2.8692757947893943</v>
      </c>
      <c r="P162" s="758">
        <f>(H162/N162)*100</f>
        <v>21.404892945366527</v>
      </c>
      <c r="S162" s="591">
        <f>SUM(S158:S161)</f>
        <v>19857</v>
      </c>
      <c r="U162" s="591">
        <f>S162-AR162</f>
        <v>17012.07</v>
      </c>
      <c r="W162" s="759">
        <f>U162/L162</f>
        <v>16.081361219425734</v>
      </c>
      <c r="Y162" s="760">
        <f>(W162/W155-1)*100</f>
        <v>-2.6399802286846907</v>
      </c>
      <c r="AA162" s="754"/>
      <c r="AC162" s="706">
        <f>AVERAGEA(AC158:AC161)</f>
        <v>104.6</v>
      </c>
      <c r="AE162" s="777">
        <f>(AC162/AC134-1)*100</f>
        <v>2.3483365949119372</v>
      </c>
      <c r="AG162" s="758">
        <f>(H162/AE162)*100</f>
        <v>-26.153210468749506</v>
      </c>
      <c r="AJ162" s="591">
        <f>SUM(AJ158:AJ161)</f>
        <v>17012.07</v>
      </c>
      <c r="AL162" s="759">
        <f>SUM(AL158:AL161)</f>
        <v>162.38936241904128</v>
      </c>
      <c r="AN162" s="760">
        <f>(AL162/AL134-1)*100</f>
        <v>12.022901378508388</v>
      </c>
      <c r="AP162" s="759"/>
      <c r="AQ162" s="759"/>
      <c r="AR162" s="591">
        <f>SUM(AR158:AR161)</f>
        <v>2844.93</v>
      </c>
      <c r="AS162" s="759"/>
    </row>
    <row r="163" spans="1:46" ht="13.5" hidden="1" customHeight="1" outlineLevel="1">
      <c r="J163" s="766"/>
      <c r="L163" s="706"/>
      <c r="P163" s="758"/>
      <c r="Y163" s="760"/>
      <c r="AA163" s="754"/>
      <c r="AC163" s="706"/>
      <c r="AG163" s="758"/>
      <c r="AN163" s="760"/>
      <c r="AR163" s="782"/>
    </row>
    <row r="164" spans="1:46" ht="13.5" hidden="1" customHeight="1" outlineLevel="1">
      <c r="A164" s="753">
        <v>2008</v>
      </c>
      <c r="J164" s="766"/>
      <c r="L164" s="706"/>
      <c r="P164" s="758"/>
      <c r="Y164" s="760"/>
      <c r="AA164" s="754"/>
      <c r="AC164" s="706"/>
      <c r="AG164" s="758"/>
      <c r="AN164" s="760"/>
      <c r="AR164" s="782"/>
    </row>
    <row r="165" spans="1:46" ht="13.5" hidden="1" customHeight="1" outlineLevel="1">
      <c r="A165" s="398" t="s">
        <v>112</v>
      </c>
      <c r="D165" s="755">
        <f>'qtrP&amp;L'!CN10</f>
        <v>-5.1046217521269259</v>
      </c>
      <c r="E165" s="398" t="s">
        <v>156</v>
      </c>
      <c r="F165" s="755">
        <f>'qtrP&amp;L'!CO10</f>
        <v>-7.4</v>
      </c>
      <c r="G165" s="398" t="s">
        <v>156</v>
      </c>
      <c r="H165" s="756">
        <f>D165-F165</f>
        <v>2.2953782478730744</v>
      </c>
      <c r="I165" s="398" t="s">
        <v>156</v>
      </c>
      <c r="J165" s="766">
        <v>1078</v>
      </c>
      <c r="K165" s="786">
        <f>J165-J161</f>
        <v>11</v>
      </c>
      <c r="L165" s="706">
        <f>AVERAGEA(J165,J161)</f>
        <v>1072.5</v>
      </c>
      <c r="N165" s="756">
        <f>(L165/L158-1)*100</f>
        <v>0.84626234132580969</v>
      </c>
      <c r="O165" s="398" t="s">
        <v>156</v>
      </c>
      <c r="P165" s="758">
        <f>(H165/N165)*100</f>
        <v>271.23719629033542</v>
      </c>
      <c r="Q165" s="398" t="s">
        <v>156</v>
      </c>
      <c r="S165" s="591">
        <f>'qtrP&amp;L'!CM10</f>
        <v>4127</v>
      </c>
      <c r="U165" s="591">
        <f>S165-AR165</f>
        <v>3495.5142415</v>
      </c>
      <c r="W165" s="759">
        <f>U165/L165</f>
        <v>3.2592207379953382</v>
      </c>
      <c r="Y165" s="760">
        <f>(W165/W158-1)*100</f>
        <v>-6.0400852573043622</v>
      </c>
      <c r="Z165" s="398" t="s">
        <v>156</v>
      </c>
      <c r="AA165" s="776">
        <f>(AA168-AA161)*1/4+AA161</f>
        <v>107.425</v>
      </c>
      <c r="AC165" s="706">
        <f>AVERAGEA(AA165,AA161)</f>
        <v>107.01249999999999</v>
      </c>
      <c r="AE165" s="777">
        <f>(AC165/AC158-1)*100</f>
        <v>4.3642569791539687</v>
      </c>
      <c r="AF165" s="398" t="s">
        <v>156</v>
      </c>
      <c r="AG165" s="758">
        <f>(H165/AE165)*100</f>
        <v>52.594937897493935</v>
      </c>
      <c r="AH165" s="398" t="s">
        <v>156</v>
      </c>
      <c r="AJ165" s="591">
        <f>U165</f>
        <v>3495.5142415</v>
      </c>
      <c r="AL165" s="759">
        <f>AJ165/AC165</f>
        <v>32.664541446092748</v>
      </c>
      <c r="AN165" s="760">
        <f>(AL165/AL158-1)*100</f>
        <v>-9.2073619265726432</v>
      </c>
      <c r="AO165" s="398" t="s">
        <v>156</v>
      </c>
      <c r="AP165" s="591"/>
      <c r="AQ165" s="759"/>
      <c r="AR165" s="591">
        <v>631.48575849999997</v>
      </c>
      <c r="AS165" s="759"/>
      <c r="AT165" s="790"/>
    </row>
    <row r="166" spans="1:46" ht="13.5" hidden="1" customHeight="1" outlineLevel="1">
      <c r="A166" s="398" t="s">
        <v>113</v>
      </c>
      <c r="D166" s="755">
        <f>'qtrP&amp;L'!CN11</f>
        <v>-2.448828881633458</v>
      </c>
      <c r="F166" s="755">
        <f>'qtrP&amp;L'!CO11</f>
        <v>-4.3</v>
      </c>
      <c r="H166" s="756">
        <f>D166-F166</f>
        <v>1.8511711183665418</v>
      </c>
      <c r="J166" s="766">
        <v>1083</v>
      </c>
      <c r="K166" s="786">
        <f>J166-J165</f>
        <v>5</v>
      </c>
      <c r="L166" s="706">
        <f>AVERAGEA(J165:J166)</f>
        <v>1080.5</v>
      </c>
      <c r="N166" s="756">
        <f>(L166/L159-1)*100</f>
        <v>3.5457594633445222</v>
      </c>
      <c r="P166" s="758">
        <f>(H166/N166)*100</f>
        <v>52.208028703121123</v>
      </c>
      <c r="S166" s="706">
        <f>'qtrP&amp;L'!CM11</f>
        <v>4282.4964120962914</v>
      </c>
      <c r="U166" s="706">
        <f>S166-AR166</f>
        <v>3729.4193825442912</v>
      </c>
      <c r="W166" s="586">
        <f>U166/L166</f>
        <v>3.4515681467323382</v>
      </c>
      <c r="Y166" s="760">
        <f>(W166/W159-1)*100</f>
        <v>-5.1449838661074221</v>
      </c>
      <c r="AA166" s="776">
        <f>(AA168-AA161)*1/4+AA165</f>
        <v>108.25</v>
      </c>
      <c r="AC166" s="706">
        <f>AVERAGEA(AA165:AA166)</f>
        <v>107.83750000000001</v>
      </c>
      <c r="AE166" s="777">
        <f>(AC166/AC159-1)*100</f>
        <v>3.2802585897282466</v>
      </c>
      <c r="AG166" s="758">
        <f>(H166/AE166)*100</f>
        <v>56.433694714290873</v>
      </c>
      <c r="AJ166" s="706">
        <f>U166</f>
        <v>3729.4193825442912</v>
      </c>
      <c r="AL166" s="586">
        <f>AJ166/AC166</f>
        <v>34.583696604096822</v>
      </c>
      <c r="AN166" s="760">
        <f>(AL166/AL159-1)*100</f>
        <v>-4.9011416256413698</v>
      </c>
      <c r="AP166" s="706"/>
      <c r="AQ166" s="586"/>
      <c r="AR166" s="706">
        <v>553.077029552</v>
      </c>
      <c r="AS166" s="586"/>
      <c r="AT166" s="790"/>
    </row>
    <row r="167" spans="1:46" ht="13.5" hidden="1" customHeight="1" outlineLevel="1">
      <c r="A167" s="398" t="s">
        <v>114</v>
      </c>
      <c r="D167" s="755">
        <f>'qtrP&amp;L'!CN12</f>
        <v>-8.6756692259225439</v>
      </c>
      <c r="F167" s="755">
        <f>'qtrP&amp;L'!CO12</f>
        <v>-10.1</v>
      </c>
      <c r="H167" s="756">
        <f>D167-F167</f>
        <v>1.4243307740774558</v>
      </c>
      <c r="J167" s="766">
        <v>1093</v>
      </c>
      <c r="K167" s="786">
        <f>J167-J166</f>
        <v>10</v>
      </c>
      <c r="L167" s="706">
        <f>AVERAGEA(J166:J167)</f>
        <v>1088</v>
      </c>
      <c r="N167" s="756">
        <f>(L167/L160-1)*100</f>
        <v>2.8841607565011751</v>
      </c>
      <c r="P167" s="758">
        <f>(H167/N167)*100</f>
        <v>49.384583396292228</v>
      </c>
      <c r="S167" s="706">
        <f>'qtrP&amp;L'!CM12</f>
        <v>4317.814358998382</v>
      </c>
      <c r="U167" s="706">
        <f>S167-AR167</f>
        <v>3683.509098598382</v>
      </c>
      <c r="W167" s="586">
        <f>U167/L167</f>
        <v>3.385578215623513</v>
      </c>
      <c r="Y167" s="760">
        <f>(W167/W160-1)*100</f>
        <v>-11.270162006893059</v>
      </c>
      <c r="AA167" s="776">
        <f>(AA168-AA161)*1/4+AA166</f>
        <v>109.075</v>
      </c>
      <c r="AC167" s="706">
        <f>AVERAGEA(AA166:AA167)</f>
        <v>108.66249999999999</v>
      </c>
      <c r="AE167" s="777">
        <f>(AC167/AC160-1)*100</f>
        <v>3.205508726107098</v>
      </c>
      <c r="AG167" s="758">
        <f>(H167/AE167)*100</f>
        <v>44.433844852053227</v>
      </c>
      <c r="AJ167" s="706">
        <f>U167</f>
        <v>3683.509098598382</v>
      </c>
      <c r="AL167" s="586">
        <f>AJ167/AC167</f>
        <v>33.898622787055167</v>
      </c>
      <c r="AN167" s="760">
        <f>(AL167/AL160-1)*100</f>
        <v>-11.546437504533557</v>
      </c>
      <c r="AP167" s="706"/>
      <c r="AQ167" s="586"/>
      <c r="AR167" s="706">
        <v>634.30526040000007</v>
      </c>
      <c r="AS167" s="586"/>
      <c r="AT167" s="790"/>
    </row>
    <row r="168" spans="1:46" ht="13.5" hidden="1" customHeight="1" outlineLevel="1">
      <c r="A168" s="398" t="s">
        <v>115</v>
      </c>
      <c r="D168" s="764">
        <f>'qtrP&amp;L'!CN13</f>
        <v>-9.8713347791671744</v>
      </c>
      <c r="F168" s="764">
        <f>'qtrP&amp;L'!CO13</f>
        <v>-10.8</v>
      </c>
      <c r="H168" s="765">
        <f>D168-F168</f>
        <v>0.92866522083282632</v>
      </c>
      <c r="J168" s="766">
        <v>1093</v>
      </c>
      <c r="K168" s="786">
        <f>J168-J167</f>
        <v>0</v>
      </c>
      <c r="L168" s="769">
        <f>AVERAGEA(J167:J168)</f>
        <v>1093</v>
      </c>
      <c r="N168" s="765">
        <f>(L168/L161-1)*100</f>
        <v>2.4367385192127555</v>
      </c>
      <c r="P168" s="768">
        <f>(H168/N168)*100</f>
        <v>38.110991947254682</v>
      </c>
      <c r="S168" s="769">
        <f>'qtrP&amp;L'!CM13</f>
        <v>5759.2217076112174</v>
      </c>
      <c r="U168" s="769">
        <f>S168-AR168</f>
        <v>4975.8843721153235</v>
      </c>
      <c r="W168" s="770">
        <f>U168/L168</f>
        <v>4.5525017128228029</v>
      </c>
      <c r="Y168" s="771">
        <f>(W168/W161-1)*100</f>
        <v>-11.536708658132754</v>
      </c>
      <c r="AA168" s="754">
        <v>109.9</v>
      </c>
      <c r="AC168" s="769">
        <f>AVERAGEA(AA167:AA168)</f>
        <v>109.48750000000001</v>
      </c>
      <c r="AE168" s="778">
        <f>(AC168/AC161-1)*100</f>
        <v>3.1319910514541638</v>
      </c>
      <c r="AG168" s="768">
        <f>(H168/AE168)*100</f>
        <v>29.650953836590716</v>
      </c>
      <c r="AJ168" s="769">
        <f>U168</f>
        <v>4975.8843721153235</v>
      </c>
      <c r="AL168" s="770">
        <f>AJ168/AC168</f>
        <v>45.4470544319244</v>
      </c>
      <c r="AN168" s="771">
        <f>(AL168/AL161-1)*100</f>
        <v>-12.13307382755101</v>
      </c>
      <c r="AP168" s="769"/>
      <c r="AQ168" s="509"/>
      <c r="AR168" s="769">
        <v>783.33733549589419</v>
      </c>
      <c r="AS168" s="509"/>
      <c r="AT168" s="790"/>
    </row>
    <row r="169" spans="1:46" ht="13.5" hidden="1" customHeight="1" outlineLevel="1">
      <c r="A169" s="774" t="s">
        <v>116</v>
      </c>
      <c r="D169" s="755">
        <f>'qtrP&amp;L'!CN14</f>
        <v>-6.9016846517304327</v>
      </c>
      <c r="F169" s="755">
        <f>'qtrP&amp;L'!CO14</f>
        <v>-8.5</v>
      </c>
      <c r="H169" s="756">
        <f>D169-F169</f>
        <v>1.5983153482695673</v>
      </c>
      <c r="J169" s="766"/>
      <c r="L169" s="706">
        <f>AVERAGEA(L165:L168)</f>
        <v>1083.5</v>
      </c>
      <c r="N169" s="756">
        <f>(L169/L162-1)*100</f>
        <v>2.4223088739217857</v>
      </c>
      <c r="P169" s="758">
        <f>(H169/N169)*100</f>
        <v>65.98313557270879</v>
      </c>
      <c r="S169" s="591">
        <f>SUM(S165:S168)</f>
        <v>18486.532478705889</v>
      </c>
      <c r="U169" s="591">
        <f>S169-AR169</f>
        <v>15884.327094757995</v>
      </c>
      <c r="W169" s="759">
        <f>U169/L169</f>
        <v>14.660200364335944</v>
      </c>
      <c r="Y169" s="760">
        <f>(W169/W162-1)*100</f>
        <v>-8.8373169142738739</v>
      </c>
      <c r="AA169" s="754"/>
      <c r="AC169" s="706">
        <f>AVERAGEA(AC165:AC168)</f>
        <v>108.25</v>
      </c>
      <c r="AE169" s="777">
        <f>(AC169/AC162-1)*100</f>
        <v>3.4894837476099561</v>
      </c>
      <c r="AG169" s="758">
        <f>(H169/AE169)*100</f>
        <v>45.803776829861945</v>
      </c>
      <c r="AJ169" s="591">
        <f>SUM(AJ165:AJ168)</f>
        <v>15884.327094757999</v>
      </c>
      <c r="AL169" s="759">
        <f>SUM(AL165:AL168)</f>
        <v>146.59391526916914</v>
      </c>
      <c r="AN169" s="760">
        <f>(AL169/AL162-1)*100</f>
        <v>-9.7268976948825081</v>
      </c>
      <c r="AP169" s="591"/>
      <c r="AQ169" s="759"/>
      <c r="AR169" s="591">
        <f>SUM(AR165:AR168)</f>
        <v>2602.205383947894</v>
      </c>
      <c r="AS169" s="759"/>
    </row>
    <row r="170" spans="1:46" ht="13.5" hidden="1" customHeight="1" outlineLevel="1">
      <c r="J170" s="766"/>
      <c r="L170" s="706"/>
      <c r="P170" s="758"/>
      <c r="Y170" s="760"/>
      <c r="AA170" s="754"/>
      <c r="AC170" s="706"/>
      <c r="AG170" s="758"/>
      <c r="AN170" s="760"/>
      <c r="AR170" s="782"/>
    </row>
    <row r="171" spans="1:46" ht="13.5" customHeight="1" collapsed="1">
      <c r="A171" s="753">
        <v>2009</v>
      </c>
      <c r="J171" s="766"/>
      <c r="L171" s="706"/>
      <c r="P171" s="758"/>
      <c r="Y171" s="760"/>
      <c r="AA171" s="754"/>
      <c r="AC171" s="706"/>
      <c r="AG171" s="758"/>
      <c r="AN171" s="760"/>
      <c r="AR171" s="782"/>
    </row>
    <row r="172" spans="1:46" ht="13.5" customHeight="1">
      <c r="A172" s="398" t="s">
        <v>112</v>
      </c>
      <c r="D172" s="755">
        <f>'qtrP&amp;L'!CR10</f>
        <v>-5.8290496571691826</v>
      </c>
      <c r="E172" s="398" t="s">
        <v>156</v>
      </c>
      <c r="F172" s="755">
        <f>'qtrP&amp;L'!CS10</f>
        <v>-7.5</v>
      </c>
      <c r="G172" s="398" t="s">
        <v>156</v>
      </c>
      <c r="H172" s="756">
        <f>D172-F172</f>
        <v>1.6709503428308174</v>
      </c>
      <c r="I172" s="398" t="s">
        <v>156</v>
      </c>
      <c r="J172" s="766">
        <v>1101</v>
      </c>
      <c r="K172" s="757">
        <f>J172-J168</f>
        <v>8</v>
      </c>
      <c r="L172" s="706">
        <f>AVERAGEA(J172,J168)</f>
        <v>1097</v>
      </c>
      <c r="N172" s="756">
        <f>(L172/L165-1)*100</f>
        <v>2.2843822843822803</v>
      </c>
      <c r="O172" s="398" t="s">
        <v>156</v>
      </c>
      <c r="P172" s="758">
        <f>(H172/N172)*100</f>
        <v>73.146703783104286</v>
      </c>
      <c r="Q172" s="398" t="s">
        <v>156</v>
      </c>
      <c r="S172" s="591">
        <f>'qtrP&amp;L'!CQ10</f>
        <v>3886.4351206486276</v>
      </c>
      <c r="U172" s="591">
        <f>S172-AR172</f>
        <v>3307.3303005993776</v>
      </c>
      <c r="W172" s="759">
        <f>U172/L172</f>
        <v>3.0148863268909549</v>
      </c>
      <c r="Y172" s="760">
        <f>(W172/W165-1)*100</f>
        <v>-7.496712580893405</v>
      </c>
      <c r="Z172" s="398" t="s">
        <v>156</v>
      </c>
      <c r="AA172" s="706">
        <f>(AA175-AA168)*1/4+AA168</f>
        <v>110.35000000000001</v>
      </c>
      <c r="AC172" s="706">
        <f>AVERAGEA(AA172,AA168)</f>
        <v>110.125</v>
      </c>
      <c r="AE172" s="777">
        <f>(AC172/AC165-1)*100</f>
        <v>2.9085387221119197</v>
      </c>
      <c r="AF172" s="398" t="s">
        <v>156</v>
      </c>
      <c r="AG172" s="758">
        <f>(H172/AE172)*100</f>
        <v>57.449822831223074</v>
      </c>
      <c r="AH172" s="398" t="s">
        <v>156</v>
      </c>
      <c r="AJ172" s="591">
        <f>U172</f>
        <v>3307.3303005993776</v>
      </c>
      <c r="AL172" s="759">
        <f>AJ172/AC172</f>
        <v>30.03251124267312</v>
      </c>
      <c r="AN172" s="760">
        <f>(AL172/AL165-1)*100</f>
        <v>-8.0577595364788586</v>
      </c>
      <c r="AO172" s="398" t="s">
        <v>156</v>
      </c>
      <c r="AP172" s="591"/>
      <c r="AQ172" s="678"/>
      <c r="AR172" s="591">
        <v>579.10482004924995</v>
      </c>
      <c r="AS172" s="759"/>
      <c r="AT172" s="790"/>
    </row>
    <row r="173" spans="1:46" ht="13.5" customHeight="1">
      <c r="A173" s="398" t="s">
        <v>113</v>
      </c>
      <c r="D173" s="755">
        <f>'qtrP&amp;L'!CR11</f>
        <v>-7.9357029009820668</v>
      </c>
      <c r="F173" s="755">
        <f>'qtrP&amp;L'!CS11</f>
        <v>-9.5</v>
      </c>
      <c r="H173" s="756">
        <f>D173-F173</f>
        <v>1.5642970990179332</v>
      </c>
      <c r="J173" s="766">
        <v>1106</v>
      </c>
      <c r="K173" s="757">
        <f>J173-J172</f>
        <v>5</v>
      </c>
      <c r="L173" s="706">
        <f>AVERAGEA(J172:J173)</f>
        <v>1103.5</v>
      </c>
      <c r="N173" s="756">
        <f>(L173/L166-1)*100</f>
        <v>2.1286441462285977</v>
      </c>
      <c r="P173" s="758">
        <f>(H173/N173)*100</f>
        <v>73.487957195168562</v>
      </c>
      <c r="S173" s="706">
        <f>'qtrP&amp;L'!CQ11</f>
        <v>3942.6502200871132</v>
      </c>
      <c r="U173" s="706">
        <f>S173-AR173</f>
        <v>3430.7152181536171</v>
      </c>
      <c r="W173" s="586">
        <f>U173/L173</f>
        <v>3.1089399348922675</v>
      </c>
      <c r="Y173" s="760">
        <f>(W173/W166-1)*100</f>
        <v>-9.9267404633005203</v>
      </c>
      <c r="AA173" s="706">
        <f>(AA175-AA168)*1/4+AA172</f>
        <v>110.80000000000001</v>
      </c>
      <c r="AC173" s="706">
        <f>AVERAGEA(AA172:AA173)</f>
        <v>110.57500000000002</v>
      </c>
      <c r="AE173" s="777">
        <f>(AC173/AC166-1)*100</f>
        <v>2.538541787411619</v>
      </c>
      <c r="AG173" s="758">
        <f>(H173/AE173)*100</f>
        <v>61.621877046701769</v>
      </c>
      <c r="AJ173" s="706">
        <f>U173</f>
        <v>3430.7152181536171</v>
      </c>
      <c r="AL173" s="586">
        <f>AJ173/AC173</f>
        <v>31.0261380796167</v>
      </c>
      <c r="AN173" s="760">
        <f>(AL173/AL166-1)*100</f>
        <v>-10.286808160521188</v>
      </c>
      <c r="AP173" s="706"/>
      <c r="AQ173" s="678"/>
      <c r="AR173" s="706">
        <v>511.93500193349598</v>
      </c>
      <c r="AS173" s="586"/>
      <c r="AT173" s="790"/>
    </row>
    <row r="174" spans="1:46" ht="13.5" customHeight="1">
      <c r="A174" s="398" t="s">
        <v>114</v>
      </c>
      <c r="D174" s="755">
        <f>'qtrP&amp;L'!CR12</f>
        <v>-3.1826326148638007</v>
      </c>
      <c r="F174" s="755">
        <f>'qtrP&amp;L'!CS12</f>
        <v>-4.5999999999999996</v>
      </c>
      <c r="H174" s="756">
        <f>D174-F174</f>
        <v>1.417367385136199</v>
      </c>
      <c r="J174" s="766">
        <v>1109</v>
      </c>
      <c r="K174" s="757">
        <f>J174-J173</f>
        <v>3</v>
      </c>
      <c r="L174" s="706">
        <f>AVERAGEA(J173:J174)</f>
        <v>1107.5</v>
      </c>
      <c r="N174" s="756">
        <f>(L174/L167-1)*100</f>
        <v>1.7922794117646967</v>
      </c>
      <c r="P174" s="758">
        <f>(H174/N174)*100</f>
        <v>79.081831539907299</v>
      </c>
      <c r="S174" s="706">
        <f>'qtrP&amp;L'!CQ12</f>
        <v>4180.3941909596269</v>
      </c>
      <c r="U174" s="706">
        <f>S174-AR174</f>
        <v>3581.0023289978672</v>
      </c>
      <c r="W174" s="586">
        <f>U174/L174</f>
        <v>3.2334106808107155</v>
      </c>
      <c r="Y174" s="760">
        <f>(W174/W167-1)*100</f>
        <v>-4.4945803972445848</v>
      </c>
      <c r="AA174" s="706">
        <f>(AA175-AA168)*1/4+AA173</f>
        <v>111.25000000000001</v>
      </c>
      <c r="AC174" s="706">
        <f>AVERAGEA(AA173:AA174)</f>
        <v>111.02500000000001</v>
      </c>
      <c r="AE174" s="777">
        <f>(AC174/AC167-1)*100</f>
        <v>2.1741631197515376</v>
      </c>
      <c r="AG174" s="758">
        <f>(H174/AE174)*100</f>
        <v>65.191400417930694</v>
      </c>
      <c r="AJ174" s="706">
        <f>U174</f>
        <v>3581.0023289978672</v>
      </c>
      <c r="AL174" s="586">
        <f>AJ174/AC174</f>
        <v>32.254017824795021</v>
      </c>
      <c r="AN174" s="760">
        <f>(AL174/AL167-1)*100</f>
        <v>-4.851539168984087</v>
      </c>
      <c r="AP174" s="706"/>
      <c r="AQ174" s="678"/>
      <c r="AR174" s="706">
        <v>599.39186196176001</v>
      </c>
      <c r="AS174" s="586"/>
      <c r="AT174" s="790"/>
    </row>
    <row r="175" spans="1:46" ht="13.5" customHeight="1">
      <c r="A175" s="398" t="s">
        <v>115</v>
      </c>
      <c r="D175" s="764">
        <f>'qtrP&amp;L'!CR13</f>
        <v>-3.6328121790261347</v>
      </c>
      <c r="F175" s="764">
        <f>'qtrP&amp;L'!CS13</f>
        <v>-4.5</v>
      </c>
      <c r="H175" s="765">
        <f>D175-F175</f>
        <v>0.86718782097386526</v>
      </c>
      <c r="J175" s="766">
        <v>1108</v>
      </c>
      <c r="K175" s="757">
        <f>J175-J174</f>
        <v>-1</v>
      </c>
      <c r="L175" s="769">
        <f>AVERAGEA(J174:J175)</f>
        <v>1108.5</v>
      </c>
      <c r="N175" s="765">
        <f>(L175/L168-1)*100</f>
        <v>1.418115279048493</v>
      </c>
      <c r="P175" s="768">
        <f>(H175/N175)*100</f>
        <v>61.150728278995679</v>
      </c>
      <c r="S175" s="769">
        <f>'qtrP&amp;L'!CQ13</f>
        <v>5550</v>
      </c>
      <c r="U175" s="769">
        <f>S175-AR175</f>
        <v>4795.2333441086239</v>
      </c>
      <c r="W175" s="770">
        <f>U175/L175</f>
        <v>4.3258758178697558</v>
      </c>
      <c r="Y175" s="771">
        <f>(W175/W168-1)*100</f>
        <v>-4.9780518327916523</v>
      </c>
      <c r="AA175" s="754">
        <v>111.7</v>
      </c>
      <c r="AC175" s="769">
        <f>AVERAGEA(AA174:AA175)</f>
        <v>111.47500000000001</v>
      </c>
      <c r="AE175" s="778">
        <f>(AC175/AC168-1)*100</f>
        <v>1.8152757164059841</v>
      </c>
      <c r="AG175" s="768">
        <f>(H175/AE175)*100</f>
        <v>47.77168631389987</v>
      </c>
      <c r="AJ175" s="769">
        <f>U175</f>
        <v>4795.2333441086239</v>
      </c>
      <c r="AL175" s="770">
        <f>AJ175/AC175</f>
        <v>43.016221970025775</v>
      </c>
      <c r="AN175" s="771">
        <f>(AL175/AL168-1)*100</f>
        <v>-5.3487128974217484</v>
      </c>
      <c r="AP175" s="769"/>
      <c r="AQ175" s="678"/>
      <c r="AR175" s="769">
        <v>754.7666558913761</v>
      </c>
      <c r="AS175" s="509"/>
      <c r="AT175" s="790"/>
    </row>
    <row r="176" spans="1:46" ht="13.5" customHeight="1">
      <c r="A176" s="774" t="s">
        <v>116</v>
      </c>
      <c r="D176" s="755">
        <f>'qtrP&amp;L'!CR14</f>
        <v>-5.0147476173715511</v>
      </c>
      <c r="F176" s="755">
        <f>'qtrP&amp;L'!CS14</f>
        <v>-6.3080360850075161</v>
      </c>
      <c r="H176" s="756">
        <f>D176-F176</f>
        <v>1.2932884676359651</v>
      </c>
      <c r="J176" s="766"/>
      <c r="L176" s="706">
        <f>AVERAGEA(L172:L175)</f>
        <v>1104.125</v>
      </c>
      <c r="N176" s="756">
        <f>(L176/L169-1)*100</f>
        <v>1.9035532994923887</v>
      </c>
      <c r="P176" s="758">
        <f>(H176/N176)*100</f>
        <v>67.940754166475926</v>
      </c>
      <c r="S176" s="591">
        <f>SUM(S172:S175)</f>
        <v>17559.479531695368</v>
      </c>
      <c r="U176" s="591">
        <f>S176-AR176</f>
        <v>15114.281191859485</v>
      </c>
      <c r="W176" s="759">
        <f>U176/L176</f>
        <v>13.688922170822584</v>
      </c>
      <c r="Y176" s="760">
        <f>(W176/W169-1)*100</f>
        <v>-6.6252722976160694</v>
      </c>
      <c r="AA176" s="754"/>
      <c r="AC176" s="706">
        <f>AVERAGEA(AC172:AC175)</f>
        <v>110.80000000000001</v>
      </c>
      <c r="AE176" s="777">
        <f>(AC176/AC169-1)*100</f>
        <v>2.3556581986143188</v>
      </c>
      <c r="AG176" s="758">
        <f>(H176/AE176)*100</f>
        <v>54.901363381016942</v>
      </c>
      <c r="AJ176" s="591">
        <f>SUM(AJ172:AJ175)</f>
        <v>15114.281191859485</v>
      </c>
      <c r="AL176" s="759">
        <f>SUM(AL172:AL175)</f>
        <v>136.32888911711063</v>
      </c>
      <c r="AN176" s="760">
        <f>(AL176/AL169-1)*100</f>
        <v>-7.002354861189386</v>
      </c>
      <c r="AP176" s="591"/>
      <c r="AQ176" s="678"/>
      <c r="AR176" s="591">
        <f>SUM(AR172:AR175)</f>
        <v>2445.1983398358821</v>
      </c>
      <c r="AS176" s="759"/>
    </row>
    <row r="177" spans="1:46" ht="13.5" customHeight="1">
      <c r="J177" s="766"/>
      <c r="L177" s="706"/>
      <c r="P177" s="758"/>
      <c r="Y177" s="760"/>
      <c r="AA177" s="754"/>
      <c r="AC177" s="706"/>
      <c r="AG177" s="758"/>
      <c r="AN177" s="760"/>
      <c r="AR177" s="782"/>
    </row>
    <row r="178" spans="1:46" ht="13.5" customHeight="1">
      <c r="A178" s="753">
        <v>2010</v>
      </c>
      <c r="J178" s="766"/>
      <c r="L178" s="706"/>
      <c r="P178" s="758"/>
      <c r="Y178" s="760"/>
      <c r="AA178" s="754"/>
      <c r="AC178" s="706"/>
      <c r="AG178" s="758"/>
      <c r="AN178" s="760"/>
      <c r="AR178" s="782"/>
    </row>
    <row r="179" spans="1:46" ht="13.5" customHeight="1">
      <c r="A179" s="398" t="s">
        <v>112</v>
      </c>
      <c r="D179" s="755">
        <f>'qtrP&amp;L'!CV10</f>
        <v>1.095216516679387</v>
      </c>
      <c r="E179" s="398" t="s">
        <v>156</v>
      </c>
      <c r="F179" s="755">
        <f>'qtrP&amp;L'!CW10</f>
        <v>1.6</v>
      </c>
      <c r="G179" s="398" t="s">
        <v>156</v>
      </c>
      <c r="H179" s="756">
        <f>D179-F179</f>
        <v>-0.50478348332061307</v>
      </c>
      <c r="I179" s="398" t="s">
        <v>156</v>
      </c>
      <c r="J179" s="766">
        <v>1109</v>
      </c>
      <c r="K179" s="757">
        <f>J179-J175</f>
        <v>1</v>
      </c>
      <c r="L179" s="706">
        <f>AVERAGEA(J179,J175)</f>
        <v>1108.5</v>
      </c>
      <c r="N179" s="756">
        <f>(L179/L172-1)*100</f>
        <v>1.0483135824977285</v>
      </c>
      <c r="O179" s="398" t="s">
        <v>156</v>
      </c>
      <c r="P179" s="758">
        <f>(H179/N179)*100</f>
        <v>-48.151954887192048</v>
      </c>
      <c r="Q179" s="398" t="s">
        <v>156</v>
      </c>
      <c r="S179" s="591">
        <f>'qtrP&amp;L'!CU10</f>
        <v>3929</v>
      </c>
      <c r="U179" s="591">
        <f>S179-AR179</f>
        <v>3393.9333629542525</v>
      </c>
      <c r="W179" s="759">
        <f>U179/L179</f>
        <v>3.0617351041535881</v>
      </c>
      <c r="Y179" s="760">
        <f>(W179/W172-1)*100</f>
        <v>1.5539152121514688</v>
      </c>
      <c r="Z179" s="398" t="s">
        <v>156</v>
      </c>
      <c r="AA179" s="706">
        <f>(AA182-AA175)*1/4+AA175</f>
        <v>111.675</v>
      </c>
      <c r="AC179" s="706">
        <f>AVERAGEA(AA179,AA175)</f>
        <v>111.6875</v>
      </c>
      <c r="AE179" s="777">
        <f>(AC179/AC172-1)*100</f>
        <v>1.4188422247445986</v>
      </c>
      <c r="AF179" s="398" t="s">
        <v>156</v>
      </c>
      <c r="AG179" s="758">
        <f>(H179/AE179)*100</f>
        <v>-35.577139904437054</v>
      </c>
      <c r="AH179" s="398" t="s">
        <v>156</v>
      </c>
      <c r="AJ179" s="591">
        <f>U179</f>
        <v>3393.9333629542525</v>
      </c>
      <c r="AL179" s="759">
        <f>AJ179/AC179</f>
        <v>30.387763742175736</v>
      </c>
      <c r="AN179" s="760">
        <f>(AL179/AL172-1)*100</f>
        <v>1.1828930875345423</v>
      </c>
      <c r="AO179" s="398" t="s">
        <v>156</v>
      </c>
      <c r="AP179" s="591"/>
      <c r="AQ179" s="678"/>
      <c r="AR179" s="591">
        <v>535.06663704574726</v>
      </c>
      <c r="AS179" s="759"/>
      <c r="AT179" s="790"/>
    </row>
    <row r="180" spans="1:46" ht="13.5" customHeight="1">
      <c r="A180" s="398" t="s">
        <v>113</v>
      </c>
      <c r="D180" s="755">
        <f>'qtrP&amp;L'!CV11</f>
        <v>-0.11794655441208501</v>
      </c>
      <c r="F180" s="755">
        <f>'qtrP&amp;L'!CW11</f>
        <v>0.9</v>
      </c>
      <c r="H180" s="756">
        <f>D180-F180</f>
        <v>-1.0179465544120849</v>
      </c>
      <c r="J180" s="766">
        <v>1107</v>
      </c>
      <c r="K180" s="757">
        <f>J180-J179</f>
        <v>-2</v>
      </c>
      <c r="L180" s="706">
        <f>AVERAGEA(J179:J180)</f>
        <v>1108</v>
      </c>
      <c r="N180" s="756">
        <f>(L180/L173-1)*100</f>
        <v>0.40779338468508453</v>
      </c>
      <c r="P180" s="758">
        <f>(H180/N180)*100</f>
        <v>-249.62311617639082</v>
      </c>
      <c r="S180" s="706">
        <f>'qtrP&amp;L'!CU11</f>
        <v>3938</v>
      </c>
      <c r="U180" s="706">
        <f>S180-AR180</f>
        <v>3470.7177416133745</v>
      </c>
      <c r="W180" s="586">
        <f>U180/L180</f>
        <v>3.1324167343080997</v>
      </c>
      <c r="Y180" s="760">
        <f>(W180/W173-1)*100</f>
        <v>0.75513840432706036</v>
      </c>
      <c r="AA180" s="706">
        <f>(AA182-AA175)*1/4+AA179</f>
        <v>111.64999999999999</v>
      </c>
      <c r="AC180" s="706">
        <f>AVERAGEA(AA179:AA180)</f>
        <v>111.66249999999999</v>
      </c>
      <c r="AE180" s="777">
        <f>(AC180/AC173-1)*100</f>
        <v>0.98349536513675506</v>
      </c>
      <c r="AG180" s="758">
        <f>(H180/AE180)*100</f>
        <v>-103.50293356700664</v>
      </c>
      <c r="AJ180" s="706">
        <f>U180</f>
        <v>3470.7177416133745</v>
      </c>
      <c r="AL180" s="586">
        <f>AJ180/AC180</f>
        <v>31.082214186619275</v>
      </c>
      <c r="AN180" s="760">
        <f>(AL180/AL173-1)*100</f>
        <v>0.18073827576825519</v>
      </c>
      <c r="AP180" s="706"/>
      <c r="AQ180" s="678"/>
      <c r="AR180" s="706">
        <v>467.28225838662553</v>
      </c>
      <c r="AS180" s="586"/>
      <c r="AT180" s="790"/>
    </row>
    <row r="181" spans="1:46" ht="13.5" customHeight="1">
      <c r="A181" s="398" t="s">
        <v>114</v>
      </c>
      <c r="D181" s="755">
        <f>'qtrP&amp;L'!CV12</f>
        <v>0.20586118550693921</v>
      </c>
      <c r="F181" s="755">
        <f>'qtrP&amp;L'!CW12</f>
        <v>1.9</v>
      </c>
      <c r="H181" s="756">
        <f>D181-F181</f>
        <v>-1.6941388144930607</v>
      </c>
      <c r="J181" s="766">
        <v>1107</v>
      </c>
      <c r="K181" s="757">
        <f>J181-J180</f>
        <v>0</v>
      </c>
      <c r="L181" s="706">
        <f>AVERAGEA(J180:J181)</f>
        <v>1107</v>
      </c>
      <c r="N181" s="756">
        <f>(L181/L174-1)*100</f>
        <v>-4.5146726862299591E-2</v>
      </c>
      <c r="P181" s="758">
        <f>(H181/N181)*100</f>
        <v>3752.5174741023698</v>
      </c>
      <c r="S181" s="706">
        <f>'qtrP&amp;L'!CU12</f>
        <v>4189</v>
      </c>
      <c r="U181" s="706">
        <f>S181-AR181</f>
        <v>3643.4343764266546</v>
      </c>
      <c r="W181" s="586">
        <f>U181/L181</f>
        <v>3.291268632725072</v>
      </c>
      <c r="Y181" s="760">
        <f>(W181/W174-1)*100</f>
        <v>1.7893783878962566</v>
      </c>
      <c r="AA181" s="706">
        <f>(AA182-AA175)*1/4+AA180</f>
        <v>111.62499999999999</v>
      </c>
      <c r="AC181" s="706">
        <f>AVERAGEA(AA180:AA181)</f>
        <v>111.63749999999999</v>
      </c>
      <c r="AE181" s="777">
        <f>(AC181/AC174-1)*100</f>
        <v>0.55167755010130382</v>
      </c>
      <c r="AG181" s="758">
        <f>(H181/AE181)*100</f>
        <v>-307.08859082302121</v>
      </c>
      <c r="AJ181" s="706">
        <f>U181</f>
        <v>3643.4343764266546</v>
      </c>
      <c r="AL181" s="586">
        <f>AJ181/AC181</f>
        <v>32.636294940558997</v>
      </c>
      <c r="AN181" s="760">
        <f>(AL181/AL174-1)*100</f>
        <v>1.1852077401349526</v>
      </c>
      <c r="AP181" s="706"/>
      <c r="AQ181" s="678"/>
      <c r="AR181" s="706">
        <v>545.56562357334542</v>
      </c>
      <c r="AS181" s="586"/>
      <c r="AT181" s="790"/>
    </row>
    <row r="182" spans="1:46" ht="13.5" customHeight="1">
      <c r="A182" s="398" t="s">
        <v>115</v>
      </c>
      <c r="D182" s="764">
        <f>'qtrP&amp;L'!CV13</f>
        <v>2.7567567567567508</v>
      </c>
      <c r="F182" s="764">
        <f>'qtrP&amp;L'!CW13</f>
        <v>4.5</v>
      </c>
      <c r="H182" s="765">
        <f>D182-F182</f>
        <v>-1.7432432432432492</v>
      </c>
      <c r="J182" s="766">
        <v>1106</v>
      </c>
      <c r="K182" s="757">
        <f>J182-J181</f>
        <v>-1</v>
      </c>
      <c r="L182" s="769">
        <f>AVERAGEA(J181:J182)</f>
        <v>1106.5</v>
      </c>
      <c r="N182" s="765">
        <f>(L182/L175-1)*100</f>
        <v>-0.18042399639152107</v>
      </c>
      <c r="P182" s="768">
        <f>(H182/N182)*100</f>
        <v>966.19256756756556</v>
      </c>
      <c r="S182" s="769">
        <f>'qtrP&amp;L'!CU13</f>
        <v>5703</v>
      </c>
      <c r="U182" s="769">
        <f>S182-AR182</f>
        <v>5013.0353915667802</v>
      </c>
      <c r="W182" s="770">
        <f>U182/L182</f>
        <v>4.5305335667119566</v>
      </c>
      <c r="Y182" s="771">
        <f>(W182/W175-1)*100</f>
        <v>4.7310130354824453</v>
      </c>
      <c r="AA182" s="754">
        <v>111.6</v>
      </c>
      <c r="AC182" s="769">
        <f>AVERAGEA(AA181:AA182)</f>
        <v>111.61249999999998</v>
      </c>
      <c r="AE182" s="778">
        <f>(AC182/AC175-1)*100</f>
        <v>0.12334604171335695</v>
      </c>
      <c r="AG182" s="768">
        <f>(H182/AE182)*100</f>
        <v>-1413.2948402952086</v>
      </c>
      <c r="AJ182" s="769">
        <f>U182</f>
        <v>5013.0353915667802</v>
      </c>
      <c r="AL182" s="770">
        <f>AJ182/AC182</f>
        <v>44.914641205660487</v>
      </c>
      <c r="AN182" s="771">
        <f>(AL182/AL175-1)*100</f>
        <v>4.4132635287161159</v>
      </c>
      <c r="AP182" s="769"/>
      <c r="AQ182" s="678"/>
      <c r="AR182" s="769">
        <v>689.96460843321938</v>
      </c>
      <c r="AS182" s="509"/>
      <c r="AT182" s="790"/>
    </row>
    <row r="183" spans="1:46" ht="13.5" customHeight="1">
      <c r="A183" s="774" t="s">
        <v>116</v>
      </c>
      <c r="D183" s="755">
        <f>'qtrP&amp;L'!CV14</f>
        <v>1.1362550236440283</v>
      </c>
      <c r="F183" s="755">
        <f>'qtrP&amp;L'!CW14</f>
        <v>2.4532615502896973</v>
      </c>
      <c r="H183" s="756">
        <f>D183-F183</f>
        <v>-1.317006526645669</v>
      </c>
      <c r="J183" s="766"/>
      <c r="L183" s="706">
        <f>AVERAGEA(L179:L182)</f>
        <v>1107.5</v>
      </c>
      <c r="N183" s="756">
        <f>(L183/L176-1)*100</f>
        <v>0.30567191214763145</v>
      </c>
      <c r="P183" s="758">
        <f>(H183/N183)*100</f>
        <v>-430.85624629115074</v>
      </c>
      <c r="S183" s="591">
        <f>SUM(S179:S182)</f>
        <v>17759</v>
      </c>
      <c r="U183" s="591">
        <f>S183-AR183</f>
        <v>15521.120872561063</v>
      </c>
      <c r="W183" s="759">
        <f>U183/L183</f>
        <v>14.014556092605925</v>
      </c>
      <c r="Y183" s="760">
        <f>(W183/W176-1)*100</f>
        <v>2.3788134501737224</v>
      </c>
      <c r="AA183" s="754"/>
      <c r="AC183" s="706">
        <f>AVERAGEA(AC179:AC182)</f>
        <v>111.64999999999998</v>
      </c>
      <c r="AE183" s="777">
        <f>(AC183/AC176-1)*100</f>
        <v>0.76714801444039971</v>
      </c>
      <c r="AG183" s="758">
        <f>(H183/AE183)*100</f>
        <v>-171.67567429687821</v>
      </c>
      <c r="AJ183" s="591">
        <f>SUM(AJ179:AJ182)</f>
        <v>15521.120872561061</v>
      </c>
      <c r="AL183" s="759">
        <f>SUM(AL179:AL182)</f>
        <v>139.0209140750145</v>
      </c>
      <c r="AN183" s="760">
        <f>(AL183/AL176-1)*100</f>
        <v>1.9746548037894884</v>
      </c>
      <c r="AP183" s="591"/>
      <c r="AQ183" s="678"/>
      <c r="AR183" s="591">
        <f>SUM(AR179:AR182)</f>
        <v>2237.8791274389378</v>
      </c>
      <c r="AS183" s="759"/>
    </row>
    <row r="184" spans="1:46" ht="13.5" customHeight="1">
      <c r="J184" s="766"/>
      <c r="L184" s="706"/>
      <c r="P184" s="758"/>
      <c r="Y184" s="760"/>
      <c r="AA184" s="754"/>
      <c r="AC184" s="706"/>
      <c r="AG184" s="758"/>
      <c r="AN184" s="760"/>
      <c r="AR184" s="782"/>
    </row>
    <row r="185" spans="1:46" ht="13.5" customHeight="1">
      <c r="A185" s="753">
        <v>2011</v>
      </c>
      <c r="J185" s="766"/>
      <c r="L185" s="706"/>
      <c r="P185" s="758"/>
      <c r="Y185" s="760"/>
      <c r="AA185" s="754"/>
      <c r="AC185" s="706"/>
      <c r="AG185" s="758"/>
      <c r="AN185" s="760"/>
      <c r="AR185" s="782"/>
    </row>
    <row r="186" spans="1:46" ht="13.5" customHeight="1">
      <c r="A186" s="398" t="s">
        <v>112</v>
      </c>
      <c r="D186" s="755">
        <f>'qtrP&amp;L'!CZ10</f>
        <v>0.35632476457114759</v>
      </c>
      <c r="E186" s="398" t="s">
        <v>156</v>
      </c>
      <c r="F186" s="755">
        <f>'qtrP&amp;L'!DA10</f>
        <v>3.8</v>
      </c>
      <c r="G186" s="398" t="s">
        <v>156</v>
      </c>
      <c r="H186" s="756">
        <f>D186-F186</f>
        <v>-3.4436752354288522</v>
      </c>
      <c r="I186" s="398" t="s">
        <v>156</v>
      </c>
      <c r="J186" s="766">
        <v>1108</v>
      </c>
      <c r="K186" s="757">
        <f>J186-J182</f>
        <v>2</v>
      </c>
      <c r="L186" s="706">
        <f>AVERAGEA(J186,J182)</f>
        <v>1107</v>
      </c>
      <c r="N186" s="756">
        <f>(L186/L179-1)*100</f>
        <v>-0.13531799729363803</v>
      </c>
      <c r="O186" s="398" t="s">
        <v>156</v>
      </c>
      <c r="P186" s="758">
        <f>(H186/N186)*100</f>
        <v>2544.87599898196</v>
      </c>
      <c r="Q186" s="398" t="s">
        <v>156</v>
      </c>
      <c r="R186" s="758"/>
      <c r="S186" s="591">
        <f>'qtrP&amp;L'!CY10</f>
        <v>3943</v>
      </c>
      <c r="U186" s="591">
        <f>S186-AR186</f>
        <v>3400.1106090039748</v>
      </c>
      <c r="W186" s="759">
        <f>U186/L186</f>
        <v>3.0714639647732382</v>
      </c>
      <c r="Y186" s="760">
        <f>(W186/W179-1)*100</f>
        <v>0.31775644491425226</v>
      </c>
      <c r="Z186" s="398" t="s">
        <v>156</v>
      </c>
      <c r="AA186" s="706">
        <f>(AA189-AA182)*1/4+AA182</f>
        <v>111.5</v>
      </c>
      <c r="AC186" s="706">
        <f>AVERAGEA(AA186,AA182)</f>
        <v>111.55</v>
      </c>
      <c r="AE186" s="777">
        <f>(AC186/AC179-1)*100</f>
        <v>-0.12311135982092658</v>
      </c>
      <c r="AF186" s="398" t="s">
        <v>156</v>
      </c>
      <c r="AG186" s="758">
        <f>(H186/AE186)*100</f>
        <v>2797.2034753233984</v>
      </c>
      <c r="AH186" s="398" t="s">
        <v>156</v>
      </c>
      <c r="AJ186" s="591">
        <f>U186</f>
        <v>3400.1106090039748</v>
      </c>
      <c r="AL186" s="759">
        <f>AJ186/AC186</f>
        <v>30.480597122402283</v>
      </c>
      <c r="AN186" s="760">
        <f>(AL186/AL179-1)*100</f>
        <v>0.30549592597266528</v>
      </c>
      <c r="AO186" s="398" t="s">
        <v>156</v>
      </c>
      <c r="AP186" s="591">
        <v>376</v>
      </c>
      <c r="AQ186" s="678"/>
      <c r="AR186" s="591">
        <v>542.88939099602544</v>
      </c>
      <c r="AS186" s="759"/>
      <c r="AT186" s="790"/>
    </row>
    <row r="187" spans="1:46" ht="13.5" customHeight="1">
      <c r="A187" s="398" t="s">
        <v>113</v>
      </c>
      <c r="D187" s="755">
        <f>'qtrP&amp;L'!CZ11</f>
        <v>-0.81259522600304335</v>
      </c>
      <c r="F187" s="755">
        <f>'qtrP&amp;L'!DA11</f>
        <v>1.5</v>
      </c>
      <c r="H187" s="756">
        <f>D187-F187</f>
        <v>-2.3125952260030433</v>
      </c>
      <c r="J187" s="766">
        <v>1103</v>
      </c>
      <c r="K187" s="757">
        <f>J187-J186</f>
        <v>-5</v>
      </c>
      <c r="L187" s="706">
        <f>AVERAGEA(J186:J187)</f>
        <v>1105.5</v>
      </c>
      <c r="N187" s="756">
        <f>(L187/L180-1)*100</f>
        <v>-0.2256317689530718</v>
      </c>
      <c r="P187" s="758">
        <f>(H187/N187)*100</f>
        <v>1024.9422041645341</v>
      </c>
      <c r="R187" s="758"/>
      <c r="S187" s="706">
        <f>'qtrP&amp;L'!CY11</f>
        <v>3906</v>
      </c>
      <c r="U187" s="706">
        <f>S187-AR187</f>
        <v>3458.0913695021186</v>
      </c>
      <c r="W187" s="586">
        <f>U187/L187</f>
        <v>3.128079031661799</v>
      </c>
      <c r="Y187" s="760">
        <f>(W187/W180-1)*100</f>
        <v>-0.13847782763997118</v>
      </c>
      <c r="AA187" s="706">
        <f>(AA189-AA182)*1/4+AA186</f>
        <v>111.4</v>
      </c>
      <c r="AC187" s="706">
        <f>AVERAGEA(AA186:AA187)</f>
        <v>111.45</v>
      </c>
      <c r="AE187" s="777">
        <f>(AC187/AC180-1)*100</f>
        <v>-0.19030560841821753</v>
      </c>
      <c r="AG187" s="758">
        <f>(H187/AE187)*100</f>
        <v>1215.200773757997</v>
      </c>
      <c r="AJ187" s="706">
        <f>U187</f>
        <v>3458.0913695021186</v>
      </c>
      <c r="AL187" s="586">
        <f>AJ187/AC187</f>
        <v>31.028186357129819</v>
      </c>
      <c r="AN187" s="760">
        <f>(AL187/AL180-1)*100</f>
        <v>-0.17382233184891627</v>
      </c>
      <c r="AP187" s="706">
        <v>326</v>
      </c>
      <c r="AQ187" s="678"/>
      <c r="AR187" s="706">
        <v>447.90863049788129</v>
      </c>
      <c r="AS187" s="586"/>
      <c r="AT187" s="790"/>
    </row>
    <row r="188" spans="1:46" ht="13.5" customHeight="1">
      <c r="A188" s="398" t="s">
        <v>114</v>
      </c>
      <c r="D188" s="755">
        <f>'qtrP&amp;L'!CZ12</f>
        <v>-4.8460253043685846</v>
      </c>
      <c r="F188" s="755">
        <f>'qtrP&amp;L'!DA12</f>
        <v>-1.6</v>
      </c>
      <c r="H188" s="756">
        <f>D188-F188</f>
        <v>-3.2460253043685845</v>
      </c>
      <c r="J188" s="766">
        <v>1104</v>
      </c>
      <c r="K188" s="757">
        <f>J188-J187</f>
        <v>1</v>
      </c>
      <c r="L188" s="706">
        <f>AVERAGEA(J187:J188)</f>
        <v>1103.5</v>
      </c>
      <c r="N188" s="756">
        <f>(L188/L181-1)*100</f>
        <v>-0.31616982836495389</v>
      </c>
      <c r="P188" s="758">
        <f>(H188/N188)*100</f>
        <v>1026.6714319817092</v>
      </c>
      <c r="R188" s="758"/>
      <c r="S188" s="706">
        <f>'qtrP&amp;L'!CY12</f>
        <v>3986</v>
      </c>
      <c r="U188" s="706">
        <f>S188-AR188</f>
        <v>3481.4525344945596</v>
      </c>
      <c r="W188" s="586">
        <f>U188/L188</f>
        <v>3.1549184725822923</v>
      </c>
      <c r="Y188" s="760">
        <f>(W188/W181-1)*100</f>
        <v>-4.1427842986455303</v>
      </c>
      <c r="AA188" s="706">
        <f>(AA189-AA182)*1/4+AA187</f>
        <v>111.30000000000001</v>
      </c>
      <c r="AC188" s="706">
        <f>AVERAGEA(AA187:AA188)</f>
        <v>111.35000000000001</v>
      </c>
      <c r="AE188" s="777">
        <f>(AC188/AC181-1)*100</f>
        <v>-0.25752995185307492</v>
      </c>
      <c r="AG188" s="758">
        <f>(H188/AE188)*100</f>
        <v>1260.4457388399214</v>
      </c>
      <c r="AJ188" s="706">
        <f>U188</f>
        <v>3481.4525344945596</v>
      </c>
      <c r="AL188" s="586">
        <f>AJ188/AC188</f>
        <v>31.265851230305877</v>
      </c>
      <c r="AN188" s="760">
        <f>(AL188/AL181-1)*100</f>
        <v>-4.1991399843307349</v>
      </c>
      <c r="AP188" s="706">
        <v>340.54450200961514</v>
      </c>
      <c r="AQ188" s="678"/>
      <c r="AR188" s="706">
        <v>504.54746550544036</v>
      </c>
      <c r="AS188" s="586"/>
      <c r="AT188" s="790"/>
    </row>
    <row r="189" spans="1:46" ht="13.5" customHeight="1">
      <c r="A189" s="398" t="s">
        <v>115</v>
      </c>
      <c r="D189" s="764">
        <f>'qtrP&amp;L'!CZ13</f>
        <v>-4.8746273890934555</v>
      </c>
      <c r="F189" s="764">
        <f>'qtrP&amp;L'!DA13</f>
        <v>-1.8</v>
      </c>
      <c r="H189" s="765">
        <f>D189-F189</f>
        <v>-3.0746273890934557</v>
      </c>
      <c r="J189" s="766">
        <v>1102</v>
      </c>
      <c r="K189" s="757">
        <f>J189-J188</f>
        <v>-2</v>
      </c>
      <c r="L189" s="769">
        <f>AVERAGEA(J188:J189)</f>
        <v>1103</v>
      </c>
      <c r="N189" s="765">
        <f>(L189/L182-1)*100</f>
        <v>-0.31631269769543113</v>
      </c>
      <c r="P189" s="768">
        <f>(H189/N189)*100</f>
        <v>972.02148743770329</v>
      </c>
      <c r="R189" s="758"/>
      <c r="S189" s="769">
        <f>'qtrP&amp;L'!CY13</f>
        <v>5425</v>
      </c>
      <c r="U189" s="769">
        <f>S189-AR189</f>
        <v>4784.1925433185834</v>
      </c>
      <c r="W189" s="770">
        <f>U189/L189</f>
        <v>4.3374365759914628</v>
      </c>
      <c r="Y189" s="771">
        <f>(W189/W182-1)*100</f>
        <v>-4.2621247117397338</v>
      </c>
      <c r="AA189" s="754">
        <v>111.2</v>
      </c>
      <c r="AC189" s="769">
        <f>AVERAGEA(AA188:AA189)</f>
        <v>111.25</v>
      </c>
      <c r="AE189" s="778">
        <f>(AC189/AC182-1)*100</f>
        <v>-0.32478441034828887</v>
      </c>
      <c r="AG189" s="768">
        <f>(H189/AE189)*100</f>
        <v>946.66717093850639</v>
      </c>
      <c r="AJ189" s="769">
        <f>U189</f>
        <v>4784.1925433185834</v>
      </c>
      <c r="AL189" s="770">
        <f>AJ189/AC189</f>
        <v>43.003977917470415</v>
      </c>
      <c r="AN189" s="771">
        <f>(AL189/AL182-1)*100</f>
        <v>-4.2539876461247905</v>
      </c>
      <c r="AP189" s="769">
        <v>480</v>
      </c>
      <c r="AQ189" s="678"/>
      <c r="AR189" s="769">
        <v>640.8074566814164</v>
      </c>
      <c r="AS189" s="509"/>
      <c r="AT189" s="790"/>
    </row>
    <row r="190" spans="1:46" ht="13.5" customHeight="1">
      <c r="A190" s="774" t="s">
        <v>116</v>
      </c>
      <c r="D190" s="755">
        <f>'qtrP&amp;L'!CZ14</f>
        <v>-2.809842896559489</v>
      </c>
      <c r="F190" s="755">
        <f>'qtrP&amp;L'!DA14</f>
        <v>0.2</v>
      </c>
      <c r="H190" s="756">
        <f>D190-F190</f>
        <v>-3.0098428965594892</v>
      </c>
      <c r="J190" s="791"/>
      <c r="K190" s="757">
        <f>J189-J182</f>
        <v>-4</v>
      </c>
      <c r="L190" s="706">
        <f>AVERAGEA(L186:L189)</f>
        <v>1104.75</v>
      </c>
      <c r="N190" s="756">
        <f>(L190/L183-1)*100</f>
        <v>-0.2483069977426644</v>
      </c>
      <c r="P190" s="758">
        <f>(H190/N190)*100</f>
        <v>1212.1458210689543</v>
      </c>
      <c r="S190" s="591">
        <f>SUM(S186:S189)</f>
        <v>17260</v>
      </c>
      <c r="U190" s="591">
        <f>S190-AR190</f>
        <v>15123.847056319237</v>
      </c>
      <c r="W190" s="759">
        <f>U190/L190</f>
        <v>13.689836665597861</v>
      </c>
      <c r="Y190" s="760">
        <f>(W190/W183-1)*100</f>
        <v>-2.3170154292606271</v>
      </c>
      <c r="AA190" s="754"/>
      <c r="AC190" s="706">
        <f>AVERAGEA(AC186:AC189)</f>
        <v>111.4</v>
      </c>
      <c r="AE190" s="777">
        <f>(AC190/AC183-1)*100</f>
        <v>-0.22391401701743474</v>
      </c>
      <c r="AG190" s="758">
        <f>(H190/AE190)*100</f>
        <v>1344.1958376036514</v>
      </c>
      <c r="AJ190" s="591">
        <f>SUM(AJ186:AJ189)</f>
        <v>15123.847056319235</v>
      </c>
      <c r="AL190" s="759">
        <f>SUM(AL186:AL189)</f>
        <v>135.77861262730841</v>
      </c>
      <c r="AN190" s="760">
        <f>(AL190/AL183-1)*100</f>
        <v>-2.3322400584681713</v>
      </c>
      <c r="AP190" s="591">
        <f>SUM(AP186:AP189)</f>
        <v>1522.5445020096151</v>
      </c>
      <c r="AQ190" s="678"/>
      <c r="AR190" s="591">
        <f>SUM(AR186:AR189)</f>
        <v>2136.1529436807632</v>
      </c>
      <c r="AS190" s="759"/>
    </row>
    <row r="191" spans="1:46" ht="13.5" customHeight="1">
      <c r="J191" s="791"/>
      <c r="L191" s="706"/>
      <c r="P191" s="758"/>
      <c r="Y191" s="760"/>
      <c r="AA191" s="754"/>
      <c r="AC191" s="706"/>
      <c r="AG191" s="758"/>
      <c r="AN191" s="760"/>
      <c r="AR191" s="782"/>
    </row>
    <row r="192" spans="1:46" ht="13.5" customHeight="1">
      <c r="A192" s="753">
        <v>2012</v>
      </c>
      <c r="J192" s="791"/>
      <c r="L192" s="706"/>
      <c r="P192" s="758"/>
      <c r="Y192" s="760"/>
      <c r="AA192" s="754"/>
      <c r="AC192" s="706"/>
      <c r="AG192" s="758"/>
      <c r="AN192" s="760"/>
      <c r="AP192" s="759"/>
      <c r="AR192" s="782"/>
    </row>
    <row r="193" spans="1:49" ht="13.5" customHeight="1">
      <c r="A193" s="398" t="s">
        <v>112</v>
      </c>
      <c r="D193" s="755">
        <f>'qtrP&amp;L'!DD10</f>
        <v>-20.060867359878266</v>
      </c>
      <c r="E193" s="398" t="s">
        <v>156</v>
      </c>
      <c r="F193" s="755">
        <f>'qtrP&amp;L'!DE10</f>
        <v>-18.899999999999999</v>
      </c>
      <c r="G193" s="398" t="s">
        <v>156</v>
      </c>
      <c r="H193" s="756">
        <f>D193-F193</f>
        <v>-1.1608673598782673</v>
      </c>
      <c r="I193" s="398" t="s">
        <v>156</v>
      </c>
      <c r="J193" s="706">
        <f>stores!E135</f>
        <v>1103</v>
      </c>
      <c r="K193" s="757">
        <f>J193-J189</f>
        <v>1</v>
      </c>
      <c r="L193" s="706">
        <f>AVERAGEA(J193,J189)</f>
        <v>1102.5</v>
      </c>
      <c r="N193" s="756">
        <f>(L193/L186-1)*100</f>
        <v>-0.40650406504064707</v>
      </c>
      <c r="O193" s="398" t="s">
        <v>156</v>
      </c>
      <c r="P193" s="758">
        <f>(H193/N193)*100</f>
        <v>285.57337053005608</v>
      </c>
      <c r="Q193" s="398" t="s">
        <v>156</v>
      </c>
      <c r="R193" s="758"/>
      <c r="S193" s="591">
        <f>'qtrP&amp;L'!DC10</f>
        <v>3152</v>
      </c>
      <c r="U193" s="591">
        <f>S193-AP193-AR193</f>
        <v>2880.5</v>
      </c>
      <c r="W193" s="759">
        <f>U193/L193</f>
        <v>2.6126984126984127</v>
      </c>
      <c r="Y193" s="760">
        <f>(W193/W186-1)*100</f>
        <v>-14.936380740143097</v>
      </c>
      <c r="Z193" s="398" t="s">
        <v>156</v>
      </c>
      <c r="AA193" s="706">
        <f>stores!E309</f>
        <v>111.30090744101634</v>
      </c>
      <c r="AC193" s="706">
        <f>AVERAGEA(AA193,AA189)</f>
        <v>111.25045372050818</v>
      </c>
      <c r="AE193" s="777">
        <f>(AC193/AC186-1)*100</f>
        <v>-0.26853095427326057</v>
      </c>
      <c r="AF193" s="398" t="s">
        <v>156</v>
      </c>
      <c r="AG193" s="758">
        <f>(H193/AE193)*100</f>
        <v>432.30299576448596</v>
      </c>
      <c r="AH193" s="398" t="s">
        <v>156</v>
      </c>
      <c r="AJ193" s="591">
        <f>U193</f>
        <v>2880.5</v>
      </c>
      <c r="AL193" s="759">
        <f>AJ193/AC193</f>
        <v>25.892029233755849</v>
      </c>
      <c r="AN193" s="760">
        <f>(AL193/AL186-1)*100</f>
        <v>-15.054061671495212</v>
      </c>
      <c r="AO193" s="398" t="s">
        <v>156</v>
      </c>
      <c r="AP193" s="591">
        <v>271.5</v>
      </c>
      <c r="AQ193" s="678">
        <f>AP193/AP186-1</f>
        <v>-0.27792553191489366</v>
      </c>
      <c r="AR193" s="762"/>
      <c r="AS193" s="759"/>
      <c r="AT193" s="790"/>
      <c r="AV193" s="792"/>
      <c r="AW193" s="591"/>
    </row>
    <row r="194" spans="1:49" ht="13.5" customHeight="1">
      <c r="A194" s="398" t="s">
        <v>113</v>
      </c>
      <c r="D194" s="755">
        <f>'qtrP&amp;L'!DD11</f>
        <v>-22.63184843830005</v>
      </c>
      <c r="F194" s="1373">
        <v>-21.7</v>
      </c>
      <c r="H194" s="756">
        <f>D194-F194</f>
        <v>-0.93184843830005093</v>
      </c>
      <c r="J194" s="706">
        <f>stores!E136</f>
        <v>1101</v>
      </c>
      <c r="K194" s="757">
        <f>J194-J193</f>
        <v>-2</v>
      </c>
      <c r="L194" s="706">
        <f>AVERAGEA(J193:J194)</f>
        <v>1102</v>
      </c>
      <c r="N194" s="756">
        <f>(L194/L187-1)*100</f>
        <v>-0.31659882406150919</v>
      </c>
      <c r="P194" s="758">
        <f>(H194/N194)*100</f>
        <v>294.33098529734599</v>
      </c>
      <c r="Q194" s="680"/>
      <c r="R194" s="758"/>
      <c r="S194" s="706">
        <f>'qtrP&amp;L'!DC11</f>
        <v>3022</v>
      </c>
      <c r="U194" s="706">
        <f>S194-AP194-AR194</f>
        <v>2801.5</v>
      </c>
      <c r="W194" s="586">
        <f>U194/L194</f>
        <v>2.5421960072595282</v>
      </c>
      <c r="Y194" s="760">
        <f>(W194/W187-1)*100</f>
        <v>-18.729802491307868</v>
      </c>
      <c r="AA194" s="706">
        <f>stores!E310</f>
        <v>111.09909255898366</v>
      </c>
      <c r="AC194" s="706">
        <f>AVERAGEA(AA193:AA194)</f>
        <v>111.19999999999999</v>
      </c>
      <c r="AE194" s="777">
        <f>(AC194/AC187-1)*100</f>
        <v>-0.22431583669808575</v>
      </c>
      <c r="AG194" s="758">
        <f>(H194/AE194)*100</f>
        <v>415.41803379413517</v>
      </c>
      <c r="AJ194" s="706">
        <f>U194</f>
        <v>2801.5</v>
      </c>
      <c r="AL194" s="586">
        <f>AJ194/AC194</f>
        <v>25.19334532374101</v>
      </c>
      <c r="AN194" s="760">
        <f>(AL194/AL187-1)*100</f>
        <v>-18.80496966928925</v>
      </c>
      <c r="AP194" s="706">
        <v>220.5</v>
      </c>
      <c r="AQ194" s="678">
        <f>AP194/AP187-1</f>
        <v>-0.32361963190184051</v>
      </c>
      <c r="AR194" s="763"/>
      <c r="AS194" s="586"/>
      <c r="AT194" s="790"/>
    </row>
    <row r="195" spans="1:49" ht="13.5" customHeight="1">
      <c r="A195" s="398" t="s">
        <v>114</v>
      </c>
      <c r="D195" s="755">
        <f>'qtrP&amp;L'!DD12</f>
        <v>-26.56798795785248</v>
      </c>
      <c r="F195" s="1373">
        <v>-26.1</v>
      </c>
      <c r="H195" s="756">
        <f>D195-F195</f>
        <v>-0.46798795785247904</v>
      </c>
      <c r="J195" s="706">
        <f>stores!E137</f>
        <v>1105</v>
      </c>
      <c r="K195" s="757">
        <f>J195-J194</f>
        <v>4</v>
      </c>
      <c r="L195" s="706">
        <f>AVERAGEA(J194:J195)</f>
        <v>1103</v>
      </c>
      <c r="N195" s="756">
        <f>(L195/L188-1)*100</f>
        <v>-4.5310376076124204E-2</v>
      </c>
      <c r="P195" s="758">
        <f>(H195/N195)*100</f>
        <v>1032.849422980358</v>
      </c>
      <c r="Q195" s="680"/>
      <c r="R195" s="758"/>
      <c r="S195" s="706">
        <f>'qtrP&amp;L'!DC12</f>
        <v>2927</v>
      </c>
      <c r="U195" s="706">
        <f>S195-AP195-AR195</f>
        <v>2712.5</v>
      </c>
      <c r="W195" s="586">
        <f>U195/L195</f>
        <v>2.4592021758839531</v>
      </c>
      <c r="Y195" s="760">
        <f>(W195/W188-1)*100</f>
        <v>-22.051799523329596</v>
      </c>
      <c r="AA195" s="706">
        <f>stores!E311</f>
        <v>111.502722323049</v>
      </c>
      <c r="AC195" s="706">
        <f>AVERAGEA(AA194:AA195)</f>
        <v>111.30090744101634</v>
      </c>
      <c r="AE195" s="777">
        <f>(AC195/AC188-1)*100</f>
        <v>-4.4088512782824996E-2</v>
      </c>
      <c r="AG195" s="758">
        <f>(H195/AE195)*100</f>
        <v>1061.4736771860157</v>
      </c>
      <c r="AJ195" s="706">
        <f>U195</f>
        <v>2712.5</v>
      </c>
      <c r="AL195" s="586">
        <f>AJ195/AC195</f>
        <v>24.370870484029819</v>
      </c>
      <c r="AN195" s="760">
        <f>(AL195/AL188-1)*100</f>
        <v>-22.052752363872241</v>
      </c>
      <c r="AP195" s="706">
        <v>214.5</v>
      </c>
      <c r="AQ195" s="678">
        <f>AP195/AP188-1</f>
        <v>-0.37012637486673128</v>
      </c>
      <c r="AR195" s="763"/>
      <c r="AS195" s="586"/>
      <c r="AT195" s="790"/>
    </row>
    <row r="196" spans="1:49" ht="13.5" customHeight="1">
      <c r="A196" s="398" t="s">
        <v>115</v>
      </c>
      <c r="D196" s="764">
        <f>'qtrP&amp;L'!DD13</f>
        <v>-28.405529953917053</v>
      </c>
      <c r="F196" s="1374">
        <v>-31.7</v>
      </c>
      <c r="H196" s="765">
        <f>D196-F196</f>
        <v>3.2944700460829459</v>
      </c>
      <c r="J196" s="706">
        <f>stores!E138</f>
        <v>1104</v>
      </c>
      <c r="K196" s="757">
        <f>J196-J195</f>
        <v>-1</v>
      </c>
      <c r="L196" s="769">
        <f>AVERAGEA(J195:J196)</f>
        <v>1104.5</v>
      </c>
      <c r="N196" s="765">
        <f>(L196/L189-1)*100</f>
        <v>0.13599274705349274</v>
      </c>
      <c r="P196" s="768">
        <f>(H196/N196)*100</f>
        <v>2422.5336405529529</v>
      </c>
      <c r="Q196" s="680"/>
      <c r="R196" s="758"/>
      <c r="S196" s="769">
        <f>'qtrP&amp;L'!DC13</f>
        <v>3884</v>
      </c>
      <c r="U196" s="769">
        <f>S196-AP196-AR196</f>
        <v>3568</v>
      </c>
      <c r="W196" s="770">
        <f>U196/L196</f>
        <v>3.2304210049796289</v>
      </c>
      <c r="Y196" s="771">
        <f>(W196/W189-1)*100</f>
        <v>-25.522346012835683</v>
      </c>
      <c r="AA196" s="706">
        <f>stores!E312</f>
        <v>111.6</v>
      </c>
      <c r="AC196" s="769">
        <f>AVERAGEA(AA195:AA196)</f>
        <v>111.5513611615245</v>
      </c>
      <c r="AE196" s="778">
        <f>(AC196/AC189-1)*100</f>
        <v>0.27088643732537943</v>
      </c>
      <c r="AG196" s="768">
        <f>(H196/AE196)*100</f>
        <v>1216.1812450306409</v>
      </c>
      <c r="AJ196" s="769">
        <f>U196</f>
        <v>3568</v>
      </c>
      <c r="AL196" s="770">
        <f>AJ196/AC196</f>
        <v>31.985266363837514</v>
      </c>
      <c r="AN196" s="771">
        <f>(AL196/AL189-1)*100</f>
        <v>-25.622540256110902</v>
      </c>
      <c r="AP196" s="769">
        <v>316</v>
      </c>
      <c r="AQ196" s="678">
        <f>AP196/AP189-1</f>
        <v>-0.34166666666666667</v>
      </c>
      <c r="AR196" s="794"/>
      <c r="AS196" s="509"/>
      <c r="AT196" s="790"/>
    </row>
    <row r="197" spans="1:49" ht="13.5" customHeight="1" thickBot="1">
      <c r="A197" s="774" t="s">
        <v>116</v>
      </c>
      <c r="D197" s="755">
        <f>'qtrP&amp;L'!DD14</f>
        <v>-24.768250289687131</v>
      </c>
      <c r="F197" s="1373">
        <v>-25.2</v>
      </c>
      <c r="H197" s="756">
        <f>D197-F197</f>
        <v>0.43174971031286802</v>
      </c>
      <c r="J197" s="766"/>
      <c r="K197" s="757">
        <f>J196-J189</f>
        <v>2</v>
      </c>
      <c r="L197" s="706">
        <f>AVERAGEA(L193:L196)</f>
        <v>1103</v>
      </c>
      <c r="N197" s="756">
        <f>(L197/L190-1)*100</f>
        <v>-0.15840687938447617</v>
      </c>
      <c r="P197" s="758">
        <f>(H197/N197)*100</f>
        <v>-272.55742426750902</v>
      </c>
      <c r="S197" s="591">
        <f>SUM(S193:S196)</f>
        <v>12985</v>
      </c>
      <c r="U197" s="591">
        <f>S197-AP197-AR197</f>
        <v>11962.5</v>
      </c>
      <c r="W197" s="759">
        <f>U197/L197</f>
        <v>10.845421577515866</v>
      </c>
      <c r="Y197" s="760">
        <f>(W197/W190-1)*100</f>
        <v>-20.777567750168437</v>
      </c>
      <c r="AA197" s="754"/>
      <c r="AC197" s="706">
        <f>AVERAGEA(AC193:AC196)</f>
        <v>111.32568058076225</v>
      </c>
      <c r="AE197" s="777">
        <f>(AC197/AC190-1)*100</f>
        <v>-6.6714020859737211E-2</v>
      </c>
      <c r="AG197" s="758">
        <f>(H197/AE197)*100</f>
        <v>-647.16487591206578</v>
      </c>
      <c r="AJ197" s="591">
        <f>SUM(AJ193:AJ196)</f>
        <v>11962.5</v>
      </c>
      <c r="AL197" s="759">
        <f>SUM(AL193:AL196)</f>
        <v>107.4415114053642</v>
      </c>
      <c r="AN197" s="760">
        <f>(AL197/AL190-1)*100</f>
        <v>-20.870077159887646</v>
      </c>
      <c r="AP197" s="591">
        <f>SUM(AP193:AP196)</f>
        <v>1022.5</v>
      </c>
      <c r="AQ197" s="678">
        <f>AP197/AP190-1</f>
        <v>-0.32842685474848421</v>
      </c>
      <c r="AR197" s="762"/>
      <c r="AS197" s="759"/>
    </row>
    <row r="198" spans="1:49" ht="13.5" customHeight="1" thickBot="1">
      <c r="J198" s="791"/>
      <c r="L198" s="706"/>
      <c r="P198" s="758"/>
      <c r="Q198" s="684" t="s">
        <v>506</v>
      </c>
      <c r="S198" s="1378">
        <v>163</v>
      </c>
      <c r="U198" s="678"/>
      <c r="Y198" s="760"/>
      <c r="AA198" s="754"/>
      <c r="AC198" s="706"/>
      <c r="AG198" s="758"/>
      <c r="AN198" s="760"/>
      <c r="AR198" s="782"/>
    </row>
    <row r="199" spans="1:49" ht="13.5" customHeight="1">
      <c r="A199" s="753">
        <v>2013</v>
      </c>
      <c r="J199" s="791"/>
      <c r="L199" s="706"/>
      <c r="P199" s="758"/>
      <c r="Y199" s="760"/>
      <c r="AA199" s="776"/>
      <c r="AC199" s="706"/>
      <c r="AG199" s="758"/>
      <c r="AN199" s="760"/>
      <c r="AP199" s="759"/>
      <c r="AR199" s="782"/>
    </row>
    <row r="200" spans="1:49" ht="13.5" customHeight="1">
      <c r="A200" s="398" t="s">
        <v>112</v>
      </c>
      <c r="C200" s="755"/>
      <c r="D200" s="755">
        <f>'qtrP&amp;L'!DH10</f>
        <v>-16.402284263959388</v>
      </c>
      <c r="E200" s="398" t="s">
        <v>156</v>
      </c>
      <c r="F200" s="1373">
        <v>-16.600000000000001</v>
      </c>
      <c r="G200" s="398" t="s">
        <v>156</v>
      </c>
      <c r="H200" s="756">
        <f>D200-F200</f>
        <v>0.19771573604061388</v>
      </c>
      <c r="I200" s="398" t="s">
        <v>156</v>
      </c>
      <c r="J200" s="706">
        <f>stores!E141</f>
        <v>1102</v>
      </c>
      <c r="K200" s="757">
        <f>J200-J196</f>
        <v>-2</v>
      </c>
      <c r="L200" s="706">
        <f>AVERAGEA(J200,J196)</f>
        <v>1103</v>
      </c>
      <c r="N200" s="756">
        <f>(L200/L193-1)*100</f>
        <v>4.5351473922905505E-2</v>
      </c>
      <c r="O200" s="398" t="s">
        <v>156</v>
      </c>
      <c r="P200" s="758">
        <f>(H200/N200)*100</f>
        <v>435.96319796952469</v>
      </c>
      <c r="Q200" s="398" t="s">
        <v>156</v>
      </c>
      <c r="S200" s="1342">
        <v>2635</v>
      </c>
      <c r="U200" s="591">
        <f>S200-AP200-AR200</f>
        <v>2416.9854999999998</v>
      </c>
      <c r="W200" s="759">
        <f>U200/L200</f>
        <v>2.1912833182230278</v>
      </c>
      <c r="Y200" s="760">
        <f>(W200/W193-1)*100</f>
        <v>-16.129496325607072</v>
      </c>
      <c r="Z200" s="398" t="s">
        <v>156</v>
      </c>
      <c r="AA200" s="706">
        <f>stores!E315</f>
        <v>111.39782608695653</v>
      </c>
      <c r="AC200" s="706">
        <f>AVERAGEA(AA200,AA196)</f>
        <v>111.49891304347827</v>
      </c>
      <c r="AE200" s="777">
        <f>(AC200/AC193-1)*100</f>
        <v>0.22333331205488527</v>
      </c>
      <c r="AF200" s="398" t="s">
        <v>156</v>
      </c>
      <c r="AG200" s="758">
        <f>(H200/AE200)*100</f>
        <v>88.529442482823271</v>
      </c>
      <c r="AH200" s="398" t="s">
        <v>156</v>
      </c>
      <c r="AJ200" s="591">
        <f>U200</f>
        <v>2416.9854999999998</v>
      </c>
      <c r="AL200" s="759">
        <f>AJ200/AC200</f>
        <v>21.677211320055758</v>
      </c>
      <c r="AN200" s="760">
        <f>(AL200/AL193-1)*100</f>
        <v>-16.27843795342686</v>
      </c>
      <c r="AO200" s="398" t="s">
        <v>156</v>
      </c>
      <c r="AP200" s="591">
        <v>218.01450000000003</v>
      </c>
      <c r="AQ200" s="678">
        <f>AP200/AP193-1</f>
        <v>-0.19699999999999995</v>
      </c>
      <c r="AR200" s="762"/>
      <c r="AS200" s="759"/>
      <c r="AT200" s="790"/>
    </row>
    <row r="201" spans="1:49" ht="13.5" customHeight="1">
      <c r="A201" s="398" t="s">
        <v>113</v>
      </c>
      <c r="C201" s="755"/>
      <c r="D201" s="755">
        <f>'qtrP&amp;L'!DH11</f>
        <v>-11.87954996690933</v>
      </c>
      <c r="F201" s="1373">
        <v>-11.9</v>
      </c>
      <c r="H201" s="756">
        <f>D201-F201</f>
        <v>2.0450033090670061E-2</v>
      </c>
      <c r="J201" s="706">
        <f>stores!E142</f>
        <v>1095</v>
      </c>
      <c r="K201" s="757">
        <f>J201-J200</f>
        <v>-7</v>
      </c>
      <c r="L201" s="706">
        <f>AVERAGEA(J200:J201)</f>
        <v>1098.5</v>
      </c>
      <c r="N201" s="756">
        <f>(L201/L194-1)*100</f>
        <v>-0.31760435571688284</v>
      </c>
      <c r="P201" s="758">
        <f>(H201/N201)*100</f>
        <v>-6.4388389902623118</v>
      </c>
      <c r="Q201" s="680"/>
      <c r="S201" s="1340">
        <v>2663</v>
      </c>
      <c r="U201" s="706">
        <f>S201-AP201-AR201</f>
        <v>2448</v>
      </c>
      <c r="W201" s="586">
        <f>U201/L201</f>
        <v>2.228493400091033</v>
      </c>
      <c r="Y201" s="760">
        <f>(W201/W194-1)*100</f>
        <v>-12.339827703004879</v>
      </c>
      <c r="AA201" s="706">
        <f>stores!E316</f>
        <v>110.69021739130434</v>
      </c>
      <c r="AC201" s="706">
        <f>AVERAGEA(AA200:AA201)</f>
        <v>111.04402173913044</v>
      </c>
      <c r="AE201" s="777">
        <f>(AC201/AC194-1)*100</f>
        <v>-0.14026822020642982</v>
      </c>
      <c r="AG201" s="758">
        <f>(H201/AE201)*100</f>
        <v>-14.5792347408231</v>
      </c>
      <c r="AJ201" s="706">
        <f>U201</f>
        <v>2448</v>
      </c>
      <c r="AL201" s="586">
        <f>AJ201/AC201</f>
        <v>22.045311054663983</v>
      </c>
      <c r="AN201" s="760">
        <f>(AL201/AL194-1)*100</f>
        <v>-12.495499222608075</v>
      </c>
      <c r="AP201" s="706">
        <v>215</v>
      </c>
      <c r="AQ201" s="678">
        <f>AP201/AP194-1</f>
        <v>-2.4943310657596363E-2</v>
      </c>
      <c r="AR201" s="763"/>
      <c r="AS201" s="586"/>
      <c r="AT201" s="790"/>
    </row>
    <row r="202" spans="1:49" ht="13.5" customHeight="1">
      <c r="A202" s="398" t="s">
        <v>114</v>
      </c>
      <c r="D202" s="755">
        <f>'qtrP&amp;L'!DH12</f>
        <v>-5.0563717116501543</v>
      </c>
      <c r="F202" s="1373">
        <v>-4.8</v>
      </c>
      <c r="H202" s="756">
        <f>D202-F202</f>
        <v>-0.25637171165015449</v>
      </c>
      <c r="J202" s="706">
        <f>stores!E143</f>
        <v>1095</v>
      </c>
      <c r="K202" s="757">
        <f>J202-J201</f>
        <v>0</v>
      </c>
      <c r="L202" s="706">
        <f>AVERAGEA(J201:J202)</f>
        <v>1095</v>
      </c>
      <c r="N202" s="756">
        <f>(L202/L195-1)*100</f>
        <v>-0.72529465095194645</v>
      </c>
      <c r="P202" s="758">
        <f>(H202/N202)*100</f>
        <v>35.347249743765182</v>
      </c>
      <c r="Q202" s="680"/>
      <c r="S202" s="1340">
        <v>2779</v>
      </c>
      <c r="U202" s="706">
        <f>S202-AP202-AR202</f>
        <v>2513</v>
      </c>
      <c r="W202" s="586">
        <f>U202/L202</f>
        <v>2.2949771689497718</v>
      </c>
      <c r="Y202" s="760">
        <f>(W202/W195-1)*100</f>
        <v>-6.6779790838120583</v>
      </c>
      <c r="AA202" s="706">
        <f>stores!E317</f>
        <v>110.69021739130434</v>
      </c>
      <c r="AC202" s="706">
        <f>AVERAGEA(AA201:AA202)</f>
        <v>110.69021739130434</v>
      </c>
      <c r="AE202" s="777">
        <f>(AC202/AC195-1)*100</f>
        <v>-0.54868380119508231</v>
      </c>
      <c r="AG202" s="758">
        <f>(H202/AE202)*100</f>
        <v>46.724855206542273</v>
      </c>
      <c r="AJ202" s="706">
        <f>U202</f>
        <v>2513</v>
      </c>
      <c r="AL202" s="586">
        <f>AJ202/AC202</f>
        <v>22.702999950900967</v>
      </c>
      <c r="AN202" s="760">
        <f>(AL202/AL195-1)*100</f>
        <v>-6.8437052103731961</v>
      </c>
      <c r="AP202" s="706">
        <v>266</v>
      </c>
      <c r="AQ202" s="678">
        <f>AP202/AP195-1</f>
        <v>0.24009324009324007</v>
      </c>
      <c r="AR202" s="763"/>
      <c r="AS202" s="586"/>
      <c r="AT202" s="790"/>
    </row>
    <row r="203" spans="1:49" ht="13.5" customHeight="1">
      <c r="A203" s="398" t="s">
        <v>115</v>
      </c>
      <c r="D203" s="764">
        <f>'qtrP&amp;L'!DH13</f>
        <v>-2.626158599382078</v>
      </c>
      <c r="F203" s="1374">
        <v>2</v>
      </c>
      <c r="H203" s="765">
        <f>D203-F203</f>
        <v>-4.6261585993820784</v>
      </c>
      <c r="J203" s="706">
        <f>stores!E144</f>
        <v>1095</v>
      </c>
      <c r="K203" s="757">
        <f>J203-J202</f>
        <v>0</v>
      </c>
      <c r="L203" s="769">
        <f>AVERAGEA(J202:J203)</f>
        <v>1095</v>
      </c>
      <c r="N203" s="765">
        <f>(L203/L196-1)*100</f>
        <v>-0.86011770031688695</v>
      </c>
      <c r="P203" s="768">
        <f>(H203/N203)*100</f>
        <v>537.85180768605233</v>
      </c>
      <c r="Q203" s="680"/>
      <c r="R203" s="758"/>
      <c r="S203" s="1341">
        <v>3782</v>
      </c>
      <c r="U203" s="769">
        <f>S203-AP203-AR203</f>
        <v>3402.0145000000002</v>
      </c>
      <c r="W203" s="770">
        <f>U203/L203</f>
        <v>3.1068625570776258</v>
      </c>
      <c r="Y203" s="771">
        <f>(W203/W196-1)*100</f>
        <v>-3.824840406607688</v>
      </c>
      <c r="AA203" s="706">
        <f>stores!E318</f>
        <v>110.69021739130434</v>
      </c>
      <c r="AC203" s="769">
        <f>AVERAGEA(AA202:AA203)</f>
        <v>110.69021739130434</v>
      </c>
      <c r="AE203" s="778">
        <f>(AC203/AC196-1)*100</f>
        <v>-0.77197065213147065</v>
      </c>
      <c r="AG203" s="768" t="s">
        <v>147</v>
      </c>
      <c r="AJ203" s="769">
        <f>U203</f>
        <v>3402.0145000000002</v>
      </c>
      <c r="AL203" s="770">
        <f>AJ203/AC203</f>
        <v>30.734554328079739</v>
      </c>
      <c r="AN203" s="771">
        <f>(AL203/AL196-1)*100</f>
        <v>-3.9102755047612403</v>
      </c>
      <c r="AP203" s="769">
        <v>379.9855</v>
      </c>
      <c r="AQ203" s="678">
        <f>AP203/AP196-1</f>
        <v>0.20248575949367087</v>
      </c>
      <c r="AR203" s="794"/>
      <c r="AS203" s="509"/>
      <c r="AT203" s="790"/>
    </row>
    <row r="204" spans="1:49" ht="13.5" customHeight="1">
      <c r="A204" s="774" t="s">
        <v>116</v>
      </c>
      <c r="D204" s="755">
        <f>'qtrP&amp;L'!DH14</f>
        <v>-8.6715440893338496</v>
      </c>
      <c r="F204" s="755">
        <f>SUMPRODUCT(F200:F203,S200:S203)/S204</f>
        <v>-6.8476178429884484</v>
      </c>
      <c r="H204" s="756">
        <f>D204-F204</f>
        <v>-1.8239262463454011</v>
      </c>
      <c r="J204" s="706"/>
      <c r="K204" s="757">
        <f>J203-J196</f>
        <v>-9</v>
      </c>
      <c r="L204" s="706">
        <f>AVERAGEA(L200:L203)</f>
        <v>1097.875</v>
      </c>
      <c r="N204" s="756">
        <f>(L204/L197-1)*100</f>
        <v>-0.46464188576609278</v>
      </c>
      <c r="P204" s="758">
        <f>(H204/N204)*100</f>
        <v>392.54451701833682</v>
      </c>
      <c r="S204" s="591">
        <f>SUM(S200:S203)</f>
        <v>11859</v>
      </c>
      <c r="U204" s="591">
        <f>S204-AP204-AR204</f>
        <v>10780</v>
      </c>
      <c r="W204" s="759">
        <f>U204/L204</f>
        <v>9.818968461801207</v>
      </c>
      <c r="Y204" s="760">
        <f>(W204/W197-1)*100</f>
        <v>-9.4643911108319259</v>
      </c>
      <c r="AA204" s="776"/>
      <c r="AC204" s="706">
        <f>AVERAGEA(AC200:AC203)</f>
        <v>110.98084239130435</v>
      </c>
      <c r="AE204" s="777">
        <f>(AC204/AC197-1)*100</f>
        <v>-0.30975619251457642</v>
      </c>
      <c r="AG204" s="758">
        <f>(H204/AE204)*100</f>
        <v>588.82640296515501</v>
      </c>
      <c r="AJ204" s="591">
        <f>SUM(AJ200:AJ203)</f>
        <v>10780</v>
      </c>
      <c r="AL204" s="759">
        <f>SUM(AL200:AL203)</f>
        <v>97.160076653700443</v>
      </c>
      <c r="AN204" s="760">
        <f>(AL204/AL197-1)*100</f>
        <v>-9.5693318319705174</v>
      </c>
      <c r="AP204" s="591">
        <f>SUM(AP200:AP203)</f>
        <v>1079</v>
      </c>
      <c r="AQ204" s="678">
        <f>AP204/AP197-1</f>
        <v>5.5256723716381462E-2</v>
      </c>
      <c r="AR204" s="795"/>
      <c r="AS204" s="759"/>
    </row>
    <row r="205" spans="1:49" ht="13.5" customHeight="1">
      <c r="J205" s="706"/>
      <c r="L205" s="706"/>
      <c r="P205" s="758"/>
      <c r="Q205" s="684"/>
      <c r="U205" s="678"/>
      <c r="Y205" s="760"/>
      <c r="AA205" s="754"/>
      <c r="AC205" s="706"/>
      <c r="AG205" s="758"/>
      <c r="AN205" s="760"/>
      <c r="AR205" s="782"/>
    </row>
    <row r="206" spans="1:49" ht="13.5" customHeight="1">
      <c r="A206" s="753">
        <v>2014</v>
      </c>
      <c r="J206" s="706"/>
      <c r="L206" s="706"/>
      <c r="P206" s="758"/>
      <c r="Y206" s="760"/>
      <c r="AA206" s="776"/>
      <c r="AC206" s="706"/>
      <c r="AG206" s="758"/>
      <c r="AN206" s="760"/>
      <c r="AP206" s="759"/>
      <c r="AR206" s="782"/>
    </row>
    <row r="207" spans="1:49" ht="13.5" customHeight="1">
      <c r="A207" s="398" t="s">
        <v>112</v>
      </c>
      <c r="C207" s="755"/>
      <c r="D207" s="755">
        <f>'qtrP&amp;L'!DL10</f>
        <v>6.299810246679316</v>
      </c>
      <c r="E207" s="398" t="s">
        <v>156</v>
      </c>
      <c r="F207" s="1373">
        <v>6.2</v>
      </c>
      <c r="G207" s="398" t="s">
        <v>156</v>
      </c>
      <c r="H207" s="756">
        <f>D207-F207</f>
        <v>9.9810246679315817E-2</v>
      </c>
      <c r="I207" s="398" t="s">
        <v>156</v>
      </c>
      <c r="J207" s="706">
        <f>stores!E147</f>
        <v>1092</v>
      </c>
      <c r="K207" s="757">
        <f>J207-J203</f>
        <v>-3</v>
      </c>
      <c r="L207" s="706">
        <f>AVERAGEA(J207,J203)</f>
        <v>1093.5</v>
      </c>
      <c r="N207" s="756">
        <f>(L207/L200-1)*100</f>
        <v>-0.86128739800543919</v>
      </c>
      <c r="P207" s="758">
        <f>(H207/N207)*100</f>
        <v>-11.58849495655636</v>
      </c>
      <c r="S207" s="1342">
        <v>2801</v>
      </c>
      <c r="U207" s="591">
        <f>S207-AP207-AR207</f>
        <v>2530.6620199999998</v>
      </c>
      <c r="W207" s="759">
        <f>U207/L207</f>
        <v>2.314277110196616</v>
      </c>
      <c r="Y207" s="760">
        <f>(W207/W200-1)*100</f>
        <v>5.6128658010926369</v>
      </c>
      <c r="Z207" s="398" t="s">
        <v>156</v>
      </c>
      <c r="AA207" s="706">
        <f>stores!E321</f>
        <v>110.38695652173912</v>
      </c>
      <c r="AC207" s="706">
        <f>AVERAGEA(AA207,AA203)</f>
        <v>110.53858695652173</v>
      </c>
      <c r="AE207" s="777">
        <f>(AC207/AC200-1)*100</f>
        <v>-0.86128739800546139</v>
      </c>
      <c r="AF207" s="398" t="s">
        <v>156</v>
      </c>
      <c r="AG207" s="758">
        <f>(H207/AE207)*100</f>
        <v>-11.58849495655606</v>
      </c>
      <c r="AH207" s="398" t="s">
        <v>156</v>
      </c>
      <c r="AJ207" s="591">
        <f>U207</f>
        <v>2530.6620199999998</v>
      </c>
      <c r="AL207" s="759">
        <f>AJ207/AC207</f>
        <v>22.893924100869754</v>
      </c>
      <c r="AN207" s="760">
        <f>(AL207/AL200-1)*100</f>
        <v>5.6128658010926591</v>
      </c>
      <c r="AO207" s="398" t="s">
        <v>156</v>
      </c>
      <c r="AP207" s="591">
        <f>AP200*(1+AQ207)</f>
        <v>270.33798000000002</v>
      </c>
      <c r="AQ207" s="678">
        <v>0.24</v>
      </c>
      <c r="AR207" s="762"/>
      <c r="AS207" s="759"/>
      <c r="AT207" s="790"/>
    </row>
    <row r="208" spans="1:49" ht="13.5" customHeight="1">
      <c r="A208" s="398" t="s">
        <v>113</v>
      </c>
      <c r="C208" s="755"/>
      <c r="D208" s="755">
        <f>'qtrP&amp;L'!DL11</f>
        <v>5.1070221554637696</v>
      </c>
      <c r="F208" s="1373">
        <v>6</v>
      </c>
      <c r="H208" s="756">
        <f>D208-F208</f>
        <v>-0.89297784453623041</v>
      </c>
      <c r="J208" s="706">
        <f>stores!E148</f>
        <v>1062</v>
      </c>
      <c r="K208" s="757">
        <f>J208-J207</f>
        <v>-30</v>
      </c>
      <c r="L208" s="706">
        <f>AVERAGEA(J208,J204)</f>
        <v>1062</v>
      </c>
      <c r="N208" s="756">
        <f>(L208/L201-1)*100</f>
        <v>-3.3227127901684139</v>
      </c>
      <c r="P208" s="758">
        <f>(H208/N208)*100</f>
        <v>26.874963348576671</v>
      </c>
      <c r="Q208" s="680"/>
      <c r="S208" s="1340">
        <v>2799</v>
      </c>
      <c r="U208" s="706">
        <f>S208-AP208-AR208</f>
        <v>2547.88</v>
      </c>
      <c r="W208" s="586">
        <f>U208/L208</f>
        <v>2.3991337099811676</v>
      </c>
      <c r="Y208" s="760">
        <f>(W208/W201-1)*100</f>
        <v>7.6572050822840243</v>
      </c>
      <c r="AA208" s="706">
        <f>stores!E322</f>
        <v>107.35434782608695</v>
      </c>
      <c r="AC208" s="706">
        <f>AVERAGEA(AA207:AA208)</f>
        <v>108.87065217391304</v>
      </c>
      <c r="AE208" s="777">
        <f>(AC208/AC201-1)*100</f>
        <v>-1.9572143832498945</v>
      </c>
      <c r="AG208" s="758">
        <f>(H208/AE208)*100</f>
        <v>45.624937777816044</v>
      </c>
      <c r="AJ208" s="706">
        <f>U208</f>
        <v>2547.88</v>
      </c>
      <c r="AL208" s="586">
        <f>AJ208/AC208</f>
        <v>23.402817463883149</v>
      </c>
      <c r="AN208" s="760">
        <f>(AL208/AL201-1)*100</f>
        <v>6.1578011117786824</v>
      </c>
      <c r="AP208" s="706">
        <f>AP201*(1+AQ208)</f>
        <v>251.11999999999998</v>
      </c>
      <c r="AQ208" s="678">
        <v>0.16800000000000001</v>
      </c>
      <c r="AR208" s="763"/>
      <c r="AS208" s="586"/>
      <c r="AT208" s="790"/>
    </row>
    <row r="209" spans="1:46" ht="13.5" customHeight="1">
      <c r="A209" s="398" t="s">
        <v>114</v>
      </c>
      <c r="D209" s="755">
        <f>'qtrP&amp;L'!DL12</f>
        <v>-0.53976250449802032</v>
      </c>
      <c r="F209" s="1373">
        <v>0</v>
      </c>
      <c r="H209" s="756">
        <f>D209-F209</f>
        <v>-0.53976250449802032</v>
      </c>
      <c r="J209" s="706">
        <f>stores!E149</f>
        <v>1063</v>
      </c>
      <c r="K209" s="757">
        <f>J209-J208</f>
        <v>1</v>
      </c>
      <c r="L209" s="706">
        <f>AVERAGEA(J208:J209)</f>
        <v>1062.5</v>
      </c>
      <c r="N209" s="756">
        <f>(L209/L202-1)*100</f>
        <v>-2.9680365296803624</v>
      </c>
      <c r="P209" s="758">
        <f>(H209/N209)*100</f>
        <v>18.185844382317935</v>
      </c>
      <c r="Q209" s="680"/>
      <c r="S209" s="1340">
        <v>2764</v>
      </c>
      <c r="U209" s="706">
        <f>S209-AP209-AR209</f>
        <v>2488.9560000000001</v>
      </c>
      <c r="W209" s="586">
        <f>U209/L209</f>
        <v>2.3425468235294118</v>
      </c>
      <c r="Y209" s="760">
        <f>(W209/W202-1)*100</f>
        <v>2.072772453828331</v>
      </c>
      <c r="AA209" s="706">
        <f>stores!E323</f>
        <v>107.45543478260869</v>
      </c>
      <c r="AC209" s="706">
        <f>AVERAGEA(AA208:AA209)</f>
        <v>107.40489130434781</v>
      </c>
      <c r="AE209" s="777">
        <f>(AC209/AC202-1)*100</f>
        <v>-2.9680365296803735</v>
      </c>
      <c r="AG209" s="758">
        <f>(H209/AE209)*100</f>
        <v>18.185844382317864</v>
      </c>
      <c r="AJ209" s="706">
        <f>U209</f>
        <v>2488.9560000000001</v>
      </c>
      <c r="AL209" s="586">
        <f>AJ209/AC209</f>
        <v>23.173581480075907</v>
      </c>
      <c r="AN209" s="760">
        <f>(AL209/AL202-1)*100</f>
        <v>2.0727724538283532</v>
      </c>
      <c r="AP209" s="706">
        <f>AP202*(1+AQ209)</f>
        <v>275.04399999999998</v>
      </c>
      <c r="AQ209" s="678">
        <v>3.4000000000000002E-2</v>
      </c>
      <c r="AR209" s="763"/>
      <c r="AS209" s="586"/>
      <c r="AT209" s="790"/>
    </row>
    <row r="210" spans="1:46" ht="13.5" customHeight="1">
      <c r="A210" s="398" t="s">
        <v>115</v>
      </c>
      <c r="D210" s="764">
        <f>'qtrP&amp;L'!DL13</f>
        <v>2.9349550502379751</v>
      </c>
      <c r="F210" s="1374">
        <v>4.4000000000000004</v>
      </c>
      <c r="H210" s="765">
        <f>D210-F210</f>
        <v>-1.4650449497620253</v>
      </c>
      <c r="J210" s="706">
        <f>stores!E150</f>
        <v>1063</v>
      </c>
      <c r="K210" s="757">
        <f>J210-J209</f>
        <v>0</v>
      </c>
      <c r="L210" s="769">
        <f>AVERAGEA(J209:J210)</f>
        <v>1063</v>
      </c>
      <c r="N210" s="765">
        <f>(L210/L203-1)*100</f>
        <v>-2.9223744292237397</v>
      </c>
      <c r="P210" s="758">
        <f>(H210/N210)*100</f>
        <v>50.132006874669379</v>
      </c>
      <c r="Q210" s="680"/>
      <c r="S210" s="1341">
        <v>3893</v>
      </c>
      <c r="U210" s="769">
        <f>S210-AP210-AR210</f>
        <v>3465.5163124999999</v>
      </c>
      <c r="W210" s="770">
        <f>U210/L210</f>
        <v>3.2601282337723423</v>
      </c>
      <c r="Y210" s="771">
        <f>(W210/W203-1)*100</f>
        <v>4.9331334707925167</v>
      </c>
      <c r="AA210" s="706">
        <f>stores!E324</f>
        <v>107.45543478260869</v>
      </c>
      <c r="AC210" s="769">
        <f>AVERAGEA(AA209:AA210)</f>
        <v>107.45543478260869</v>
      </c>
      <c r="AE210" s="778">
        <f>(AC210/AC203-1)*100</f>
        <v>-2.9223744292237397</v>
      </c>
      <c r="AG210" s="796" t="s">
        <v>147</v>
      </c>
      <c r="AJ210" s="769">
        <f>U210</f>
        <v>3465.5163124999999</v>
      </c>
      <c r="AL210" s="770">
        <f>AJ210/AC210</f>
        <v>32.250730914737154</v>
      </c>
      <c r="AN210" s="771">
        <f>(AL210/AL203-1)*100</f>
        <v>4.9331334707925389</v>
      </c>
      <c r="AP210" s="769">
        <f>AP203*(1+AQ210)</f>
        <v>427.48368749999997</v>
      </c>
      <c r="AQ210" s="678">
        <v>0.125</v>
      </c>
      <c r="AR210" s="794"/>
      <c r="AS210" s="509"/>
      <c r="AT210" s="797"/>
    </row>
    <row r="211" spans="1:46" ht="13.5" customHeight="1">
      <c r="A211" s="774" t="s">
        <v>116</v>
      </c>
      <c r="D211" s="755">
        <f>'qtrP&amp;L'!DL14</f>
        <v>3.3561008516738378</v>
      </c>
      <c r="F211" s="755">
        <v>4.4000000000000004</v>
      </c>
      <c r="H211" s="756">
        <f>D211-F211</f>
        <v>-1.0438991483261626</v>
      </c>
      <c r="J211" s="706"/>
      <c r="K211" s="757">
        <f>J210-J203</f>
        <v>-32</v>
      </c>
      <c r="L211" s="706">
        <f>AVERAGEA(L207:L210)</f>
        <v>1070.25</v>
      </c>
      <c r="N211" s="756">
        <f>(L211/L204-1)*100</f>
        <v>-2.5162245246498904</v>
      </c>
      <c r="P211" s="758">
        <f>(H211/N211)*100</f>
        <v>41.48672497623842</v>
      </c>
      <c r="S211" s="591">
        <f>SUM(S207:S210)</f>
        <v>12257</v>
      </c>
      <c r="U211" s="591">
        <f>S211-AP211-AR211</f>
        <v>11033.014332499999</v>
      </c>
      <c r="W211" s="759">
        <f>U211/L211</f>
        <v>10.308819745386591</v>
      </c>
      <c r="Y211" s="760">
        <f>(W211/W204-1)*100</f>
        <v>4.988826326218021</v>
      </c>
      <c r="AA211" s="776"/>
      <c r="AC211" s="706">
        <f>AVERAGEA(AC207:AC210)</f>
        <v>108.56739130434781</v>
      </c>
      <c r="AE211" s="777">
        <f>(AC211/AC204-1)*100</f>
        <v>-2.1746555846521853</v>
      </c>
      <c r="AG211" s="758">
        <f>(H211/AE211)*100</f>
        <v>48.002964501301662</v>
      </c>
      <c r="AJ211" s="591">
        <f>SUM(AJ207:AJ210)</f>
        <v>11033.014332499999</v>
      </c>
      <c r="AL211" s="759">
        <f>SUM(AL207:AL210)</f>
        <v>101.72105395956598</v>
      </c>
      <c r="AN211" s="760">
        <f>(AL211/AL204-1)*100</f>
        <v>4.6942915886345471</v>
      </c>
      <c r="AP211" s="591">
        <f>SUM(AP207:AP210)</f>
        <v>1223.9856675000001</v>
      </c>
      <c r="AQ211" s="678">
        <f>AP211/AP204-1</f>
        <v>0.13437040546802614</v>
      </c>
      <c r="AR211" s="795"/>
      <c r="AS211" s="759"/>
    </row>
    <row r="212" spans="1:46" ht="13.5" customHeight="1">
      <c r="J212" s="706"/>
      <c r="L212" s="706"/>
      <c r="P212" s="758"/>
      <c r="Q212" s="684"/>
      <c r="U212" s="678"/>
      <c r="Y212" s="760"/>
      <c r="AA212" s="754"/>
      <c r="AC212" s="706"/>
      <c r="AG212" s="758"/>
      <c r="AN212" s="760"/>
      <c r="AR212" s="782"/>
    </row>
    <row r="213" spans="1:46" ht="13.5" customHeight="1">
      <c r="A213" s="753">
        <v>2015</v>
      </c>
      <c r="J213" s="706"/>
      <c r="L213" s="706"/>
      <c r="P213" s="758"/>
      <c r="Y213" s="760"/>
      <c r="AA213" s="776"/>
      <c r="AC213" s="706"/>
      <c r="AG213" s="758"/>
      <c r="AN213" s="760"/>
      <c r="AP213" s="759"/>
      <c r="AR213" s="782"/>
    </row>
    <row r="214" spans="1:46" ht="13.5" customHeight="1">
      <c r="A214" s="398" t="s">
        <v>112</v>
      </c>
      <c r="C214" s="755"/>
      <c r="D214" s="755">
        <f>'qtrP&amp;L'!DQ10</f>
        <v>1.9992859692966825</v>
      </c>
      <c r="F214" s="1373">
        <v>3.4</v>
      </c>
      <c r="H214" s="756">
        <f>D214-F214</f>
        <v>-1.4007140307033175</v>
      </c>
      <c r="I214" s="398" t="s">
        <v>156</v>
      </c>
      <c r="J214" s="706">
        <f>stores!E153</f>
        <v>1023</v>
      </c>
      <c r="K214" s="757">
        <f>J214-J210</f>
        <v>-40</v>
      </c>
      <c r="L214" s="706">
        <f>AVERAGEA(J214,J210)</f>
        <v>1043</v>
      </c>
      <c r="N214" s="756">
        <f>(L214/L207-1)*100</f>
        <v>-4.6181984453589342</v>
      </c>
      <c r="P214" s="758">
        <f>(H214/N214)*100</f>
        <v>30.330312724239196</v>
      </c>
      <c r="S214" s="1340">
        <v>2857</v>
      </c>
      <c r="U214" s="591">
        <f>S214-AP214-AR214</f>
        <v>2546.1113230000001</v>
      </c>
      <c r="W214" s="759">
        <f>U214/L214</f>
        <v>2.4411422080536913</v>
      </c>
      <c r="Y214" s="760">
        <f>(W214/W207-1)*100</f>
        <v>5.4818455965412571</v>
      </c>
      <c r="Z214" s="398" t="s">
        <v>156</v>
      </c>
      <c r="AA214" s="706">
        <f>stores!E327</f>
        <v>103.41195652173913</v>
      </c>
      <c r="AC214" s="706">
        <f>AVERAGEA(AA214,AA210)</f>
        <v>105.43369565217391</v>
      </c>
      <c r="AE214" s="777">
        <f>(AC214/AC207-1)*100</f>
        <v>-4.6181984453589342</v>
      </c>
      <c r="AF214" s="398" t="s">
        <v>156</v>
      </c>
      <c r="AG214" s="758">
        <f>(H214/AE214)*100</f>
        <v>30.330312724239196</v>
      </c>
      <c r="AH214" s="398" t="s">
        <v>156</v>
      </c>
      <c r="AJ214" s="591">
        <f>U214</f>
        <v>2546.1113230000001</v>
      </c>
      <c r="AL214" s="759">
        <f>AJ214/AC214</f>
        <v>24.148933671068775</v>
      </c>
      <c r="AN214" s="760">
        <f>(AL214/AL207-1)*100</f>
        <v>5.4818455965412349</v>
      </c>
      <c r="AO214" s="398" t="s">
        <v>156</v>
      </c>
      <c r="AP214" s="591">
        <f>AP207*(1+AQ214)</f>
        <v>310.88867699999997</v>
      </c>
      <c r="AQ214" s="798">
        <v>0.15</v>
      </c>
      <c r="AR214" s="762"/>
      <c r="AS214" s="759"/>
      <c r="AT214" s="790"/>
    </row>
    <row r="215" spans="1:46" ht="13.5" customHeight="1">
      <c r="A215" s="398" t="s">
        <v>113</v>
      </c>
      <c r="C215" s="755"/>
      <c r="D215" s="755">
        <f>'qtrP&amp;L'!DQ11</f>
        <v>2.7152554483744096</v>
      </c>
      <c r="F215" s="1373">
        <v>4.0999999999999996</v>
      </c>
      <c r="H215" s="756">
        <f>D215-F215</f>
        <v>-1.3847445516255901</v>
      </c>
      <c r="I215" s="398" t="s">
        <v>156</v>
      </c>
      <c r="J215" s="706">
        <f>stores!E154</f>
        <v>1023</v>
      </c>
      <c r="K215" s="757">
        <f>J215-J214</f>
        <v>0</v>
      </c>
      <c r="L215" s="706">
        <f>AVERAGEA(J215,J214)</f>
        <v>1023</v>
      </c>
      <c r="N215" s="756">
        <f>(L215/L208-1)*100</f>
        <v>-3.672316384180796</v>
      </c>
      <c r="P215" s="758">
        <f>(H215/N215)*100</f>
        <v>37.707659328881398</v>
      </c>
      <c r="Q215" s="680"/>
      <c r="S215" s="1340">
        <v>2875</v>
      </c>
      <c r="U215" s="706">
        <f>S215-AP215-AR215</f>
        <v>2586.212</v>
      </c>
      <c r="W215" s="586">
        <f>U215/L215</f>
        <v>2.5280664711632452</v>
      </c>
      <c r="Y215" s="760">
        <f>(W215/W208-1)*100</f>
        <v>5.374138200204337</v>
      </c>
      <c r="AA215" s="706">
        <f>stores!E328</f>
        <v>103.41195652173913</v>
      </c>
      <c r="AC215" s="706">
        <f>AVERAGEA(AA214:AA215)</f>
        <v>103.41195652173913</v>
      </c>
      <c r="AE215" s="777">
        <f>(AC215/AC208-1)*100</f>
        <v>-5.0139275766016738</v>
      </c>
      <c r="AG215" s="758">
        <f>(H215/AE215)*100</f>
        <v>27.617960779643703</v>
      </c>
      <c r="AJ215" s="706">
        <f>U215</f>
        <v>2586.212</v>
      </c>
      <c r="AL215" s="586">
        <f>AJ215/AC215</f>
        <v>25.008829607206298</v>
      </c>
      <c r="AN215" s="760">
        <f>(AL215/AL208-1)*100</f>
        <v>6.8624734855179614</v>
      </c>
      <c r="AP215" s="706">
        <f>AP208*(1+AQ215)</f>
        <v>288.78799999999995</v>
      </c>
      <c r="AQ215" s="798">
        <v>0.15</v>
      </c>
      <c r="AR215" s="763"/>
      <c r="AS215" s="586"/>
      <c r="AT215" s="790"/>
    </row>
    <row r="216" spans="1:46" ht="13.5" customHeight="1">
      <c r="A216" s="398" t="s">
        <v>114</v>
      </c>
      <c r="D216" s="755">
        <f>'qtrP&amp;L'!DQ12</f>
        <v>4.8118668596237368</v>
      </c>
      <c r="F216" s="1373">
        <v>6.4</v>
      </c>
      <c r="H216" s="756">
        <f>D216-F216</f>
        <v>-1.5881331403762635</v>
      </c>
      <c r="J216" s="706">
        <f>stores!E155</f>
        <v>1023</v>
      </c>
      <c r="K216" s="757">
        <f>J216-J215</f>
        <v>0</v>
      </c>
      <c r="L216" s="706">
        <f>AVERAGEA(J215:J216)</f>
        <v>1023</v>
      </c>
      <c r="N216" s="756">
        <f>(L216/L209-1)*100</f>
        <v>-3.7176470588235255</v>
      </c>
      <c r="P216" s="758">
        <f>(H216/N216)*100</f>
        <v>42.718771181007128</v>
      </c>
      <c r="Q216" s="680"/>
      <c r="S216" s="1340">
        <v>2897</v>
      </c>
      <c r="U216" s="706">
        <f>S216-AP216-AR216</f>
        <v>2580.6994</v>
      </c>
      <c r="W216" s="586">
        <f>U216/L216</f>
        <v>2.5226778103616811</v>
      </c>
      <c r="Y216" s="760">
        <f>(W216/W209-1)*100</f>
        <v>7.6895362356460328</v>
      </c>
      <c r="AA216" s="706">
        <f>stores!E329</f>
        <v>103.41195652173913</v>
      </c>
      <c r="AC216" s="706">
        <f>AVERAGEA(AA215:AA216)</f>
        <v>103.41195652173913</v>
      </c>
      <c r="AE216" s="777">
        <f>(AC216/AC209-1)*100</f>
        <v>-3.7176470588235255</v>
      </c>
      <c r="AG216" s="758">
        <f>(H216/AE216)*100</f>
        <v>42.718771181007128</v>
      </c>
      <c r="AJ216" s="706">
        <f>U216</f>
        <v>2580.6994</v>
      </c>
      <c r="AL216" s="586">
        <f>AJ216/AC216</f>
        <v>24.955522425083299</v>
      </c>
      <c r="AN216" s="760">
        <f>(AL216/AL209-1)*100</f>
        <v>7.6895362356460106</v>
      </c>
      <c r="AP216" s="706">
        <f>AP209*(1+AQ216)</f>
        <v>316.30059999999997</v>
      </c>
      <c r="AQ216" s="798">
        <v>0.15</v>
      </c>
      <c r="AR216" s="799"/>
      <c r="AS216" s="586"/>
      <c r="AT216" s="790"/>
    </row>
    <row r="217" spans="1:46" ht="13.5" customHeight="1">
      <c r="A217" s="398" t="s">
        <v>115</v>
      </c>
      <c r="D217" s="764">
        <f>'qtrP&amp;L'!DQ13</f>
        <v>2.6457744669920347</v>
      </c>
      <c r="F217" s="1374">
        <v>4.0999999999999996</v>
      </c>
      <c r="H217" s="765">
        <f>D217-F217</f>
        <v>-1.454225533007965</v>
      </c>
      <c r="J217" s="706">
        <f>stores!E156</f>
        <v>1021</v>
      </c>
      <c r="K217" s="757">
        <f>J217-J216</f>
        <v>-2</v>
      </c>
      <c r="L217" s="769">
        <f>AVERAGEA(J216:J217)</f>
        <v>1022</v>
      </c>
      <c r="N217" s="765">
        <f>(L217/L210-1)*100</f>
        <v>-3.8570084666039506</v>
      </c>
      <c r="P217" s="758">
        <f>(H217/N217)*100</f>
        <v>37.703457111889435</v>
      </c>
      <c r="Q217" s="680"/>
      <c r="S217" s="1341">
        <v>3996</v>
      </c>
      <c r="U217" s="769">
        <f>S217-AP217-AR217</f>
        <v>3504.3937593750002</v>
      </c>
      <c r="W217" s="770">
        <f>U217/L217</f>
        <v>3.4289567117172215</v>
      </c>
      <c r="Y217" s="771">
        <f>(W217/W210-1)*100</f>
        <v>5.1785839647640275</v>
      </c>
      <c r="AA217" s="706">
        <f>stores!E330</f>
        <v>103.20978260869565</v>
      </c>
      <c r="AC217" s="769">
        <f>AVERAGEA(AA216:AA217)</f>
        <v>103.31086956521739</v>
      </c>
      <c r="AE217" s="778">
        <f>(AC217/AC210-1)*100</f>
        <v>-3.8570084666039506</v>
      </c>
      <c r="AG217" s="796" t="s">
        <v>147</v>
      </c>
      <c r="AJ217" s="769">
        <f>U217</f>
        <v>3504.3937593750002</v>
      </c>
      <c r="AL217" s="770">
        <f>AJ217/AC217</f>
        <v>33.920862094406921</v>
      </c>
      <c r="AN217" s="771">
        <f>(AL217/AL210-1)*100</f>
        <v>5.1785839647640053</v>
      </c>
      <c r="AP217" s="769">
        <f>AP210*(1+AQ217)</f>
        <v>491.60624062499994</v>
      </c>
      <c r="AQ217" s="798">
        <v>0.15</v>
      </c>
      <c r="AR217" s="794"/>
      <c r="AS217" s="509"/>
      <c r="AT217" s="797"/>
    </row>
    <row r="218" spans="1:46" ht="13.5" customHeight="1">
      <c r="A218" s="774" t="s">
        <v>116</v>
      </c>
      <c r="D218" s="755">
        <f>'qtrP&amp;L'!DQ14</f>
        <v>3.0023659949416581</v>
      </c>
      <c r="F218" s="755">
        <v>4.5</v>
      </c>
      <c r="H218" s="756">
        <f>D218-F218</f>
        <v>-1.4976340050583419</v>
      </c>
      <c r="J218" s="706"/>
      <c r="K218" s="757">
        <f>J217-J210</f>
        <v>-42</v>
      </c>
      <c r="L218" s="706">
        <f>AVERAGEA(L214:L217)</f>
        <v>1027.75</v>
      </c>
      <c r="N218" s="756">
        <f>(L218/L211-1)*100</f>
        <v>-3.9710348049521116</v>
      </c>
      <c r="P218" s="758">
        <f>(H218/N218)*100</f>
        <v>37.713948092086859</v>
      </c>
      <c r="S218" s="591">
        <f>SUM(S214:S217)</f>
        <v>12625</v>
      </c>
      <c r="U218" s="591">
        <f>S218-AP218-AR218</f>
        <v>11217.416482375</v>
      </c>
      <c r="W218" s="759">
        <f>U218/L218</f>
        <v>10.914538051447336</v>
      </c>
      <c r="Y218" s="760">
        <f>(W218/W211-1)*100</f>
        <v>5.8757289488140962</v>
      </c>
      <c r="AA218" s="776"/>
      <c r="AC218" s="706">
        <f>AVERAGEA(AC214:AC217)</f>
        <v>103.89211956521739</v>
      </c>
      <c r="AE218" s="777">
        <f>(AC218/AC211-1)*100</f>
        <v>-4.3063314711359268</v>
      </c>
      <c r="AG218" s="758">
        <f>(H218/AE218)*100</f>
        <v>34.777490193138689</v>
      </c>
      <c r="AJ218" s="591">
        <f>SUM(AJ214:AJ217)</f>
        <v>11217.416482375</v>
      </c>
      <c r="AL218" s="759">
        <f>SUM(AL214:AL217)</f>
        <v>108.03414779776529</v>
      </c>
      <c r="AN218" s="760">
        <f>(AL218/AL211-1)*100</f>
        <v>6.2062804035718733</v>
      </c>
      <c r="AP218" s="591">
        <f>SUM(AP214:AP217)</f>
        <v>1407.5835176249998</v>
      </c>
      <c r="AQ218" s="678">
        <f>AP218/AP211-1</f>
        <v>0.14999999999999969</v>
      </c>
      <c r="AR218" s="795"/>
      <c r="AS218" s="759"/>
    </row>
    <row r="219" spans="1:46" ht="13.5" customHeight="1">
      <c r="A219" s="774"/>
      <c r="D219" s="755"/>
      <c r="F219" s="755"/>
      <c r="H219" s="756"/>
      <c r="J219" s="706"/>
      <c r="K219" s="757"/>
      <c r="L219" s="706"/>
      <c r="N219" s="756"/>
      <c r="P219" s="758"/>
      <c r="S219" s="800"/>
      <c r="U219" s="591"/>
      <c r="W219" s="759"/>
      <c r="Y219" s="760"/>
      <c r="AA219" s="754"/>
      <c r="AC219" s="706"/>
      <c r="AE219" s="777"/>
      <c r="AG219" s="758"/>
      <c r="AJ219" s="591"/>
      <c r="AL219" s="759"/>
      <c r="AN219" s="760"/>
      <c r="AP219" s="591"/>
      <c r="AR219" s="762"/>
      <c r="AS219" s="759"/>
    </row>
    <row r="220" spans="1:46" ht="13.5" customHeight="1">
      <c r="A220" s="753">
        <v>2016</v>
      </c>
      <c r="F220" s="793"/>
      <c r="J220" s="706"/>
      <c r="L220" s="706"/>
      <c r="P220" s="758"/>
      <c r="Y220" s="760"/>
      <c r="AA220" s="776"/>
      <c r="AC220" s="706"/>
      <c r="AG220" s="758"/>
      <c r="AN220" s="760"/>
      <c r="AP220" s="759"/>
      <c r="AR220" s="782"/>
    </row>
    <row r="221" spans="1:46" ht="13.5" customHeight="1">
      <c r="A221" s="398" t="s">
        <v>112</v>
      </c>
      <c r="C221" s="755"/>
      <c r="D221" s="755">
        <f>'qtrP&amp;L'!$DV10</f>
        <v>-1.610080504025202</v>
      </c>
      <c r="F221" s="1373">
        <v>-0.4</v>
      </c>
      <c r="H221" s="756">
        <f>D221-F221</f>
        <v>-1.2100805040252021</v>
      </c>
      <c r="I221" s="398" t="s">
        <v>156</v>
      </c>
      <c r="J221" s="706">
        <f>stores!$E159</f>
        <v>1014</v>
      </c>
      <c r="K221" s="757">
        <f>J221-J217</f>
        <v>-7</v>
      </c>
      <c r="L221" s="706">
        <f>AVERAGEA(J221,J217)</f>
        <v>1017.5</v>
      </c>
      <c r="N221" s="756">
        <f>(L221/L214-1)*100</f>
        <v>-2.4448705656759384</v>
      </c>
      <c r="P221" s="758">
        <f>(H221/N221)*100</f>
        <v>49.49466532150133</v>
      </c>
      <c r="S221" s="1340">
        <v>2811</v>
      </c>
      <c r="U221" s="591">
        <f>S221-AP221-AR221</f>
        <v>2453.4780214500001</v>
      </c>
      <c r="W221" s="759">
        <f>U221/L221</f>
        <v>2.4112806107616711</v>
      </c>
      <c r="Y221" s="760">
        <f>(W221/W214-1)*100</f>
        <v>-1.2232633229437573</v>
      </c>
      <c r="Z221" s="398" t="s">
        <v>156</v>
      </c>
      <c r="AA221" s="706">
        <f>stores!$E333</f>
        <v>102.50217391304348</v>
      </c>
      <c r="AC221" s="706">
        <f>AVERAGEA(AA221,AA217)</f>
        <v>102.85597826086956</v>
      </c>
      <c r="AE221" s="777">
        <f>(AC221/AC214-1)*100</f>
        <v>-2.4448705656759384</v>
      </c>
      <c r="AF221" s="398" t="s">
        <v>156</v>
      </c>
      <c r="AG221" s="758">
        <f>(H221/AE221)*100</f>
        <v>49.49466532150133</v>
      </c>
      <c r="AH221" s="398" t="s">
        <v>156</v>
      </c>
      <c r="AJ221" s="591">
        <f>U221</f>
        <v>2453.4780214500001</v>
      </c>
      <c r="AL221" s="759">
        <f>AJ221/AC221</f>
        <v>23.853528622588573</v>
      </c>
      <c r="AN221" s="760">
        <f>(AL221/AL214-1)*100</f>
        <v>-1.2232633229437684</v>
      </c>
      <c r="AO221" s="398" t="s">
        <v>156</v>
      </c>
      <c r="AP221" s="591">
        <f>AP214*(1+AQ221)</f>
        <v>357.52197854999991</v>
      </c>
      <c r="AQ221" s="798">
        <v>0.15</v>
      </c>
      <c r="AR221" s="762"/>
      <c r="AS221" s="759"/>
      <c r="AT221" s="790"/>
    </row>
    <row r="222" spans="1:46" ht="13.5" customHeight="1">
      <c r="A222" s="398" t="s">
        <v>113</v>
      </c>
      <c r="C222" s="755"/>
      <c r="D222" s="755">
        <f>'qtrP&amp;L'!$DV11</f>
        <v>1.4956521739130535</v>
      </c>
      <c r="F222" s="1373">
        <v>2.2000000000000002</v>
      </c>
      <c r="H222" s="756">
        <f>D222-F222</f>
        <v>-0.70434782608694668</v>
      </c>
      <c r="I222" s="398" t="s">
        <v>156</v>
      </c>
      <c r="J222" s="706">
        <f>stores!$E160</f>
        <v>1014</v>
      </c>
      <c r="K222" s="757">
        <f>J222-J221</f>
        <v>0</v>
      </c>
      <c r="L222" s="706">
        <f>AVERAGEA(J222,J221)</f>
        <v>1014</v>
      </c>
      <c r="N222" s="756">
        <f>(L222/L215-1)*100</f>
        <v>-0.87976539589442737</v>
      </c>
      <c r="P222" s="758">
        <f>(H222/N222)*100</f>
        <v>80.060869565216336</v>
      </c>
      <c r="Q222" s="680"/>
      <c r="S222" s="1340">
        <v>2918</v>
      </c>
      <c r="U222" s="706">
        <f>S222-AP222-AR222</f>
        <v>2574.3422799999998</v>
      </c>
      <c r="W222" s="586">
        <f>U222/L222</f>
        <v>2.5387990927021695</v>
      </c>
      <c r="Y222" s="760">
        <f>(W222/W215-1)*100</f>
        <v>0.42453873983723245</v>
      </c>
      <c r="AA222" s="706">
        <f>stores!$E334</f>
        <v>102.50217391304348</v>
      </c>
      <c r="AC222" s="706">
        <f>AVERAGEA(AA221:AA222)</f>
        <v>102.50217391304348</v>
      </c>
      <c r="AE222" s="777">
        <f>(AC222/AC215-1)*100</f>
        <v>-0.87976539589442737</v>
      </c>
      <c r="AG222" s="758">
        <f>(H222/AE222)*100</f>
        <v>80.060869565216336</v>
      </c>
      <c r="AJ222" s="706">
        <f>U222</f>
        <v>2574.3422799999998</v>
      </c>
      <c r="AL222" s="586">
        <f>AJ222/AC222</f>
        <v>25.115001777268773</v>
      </c>
      <c r="AN222" s="760">
        <f>(AL222/AL215-1)*100</f>
        <v>0.42453873983723245</v>
      </c>
      <c r="AP222" s="706">
        <f>AP215*(1+AQ222)</f>
        <v>343.65771999999993</v>
      </c>
      <c r="AQ222" s="798">
        <v>0.19</v>
      </c>
      <c r="AR222" s="763"/>
      <c r="AS222" s="586"/>
      <c r="AT222" s="790"/>
    </row>
    <row r="223" spans="1:46" ht="13.5" customHeight="1">
      <c r="A223" s="398" t="s">
        <v>114</v>
      </c>
      <c r="D223" s="755">
        <f>'qtrP&amp;L'!$DV12</f>
        <v>-1.3807386952019329</v>
      </c>
      <c r="F223" s="1373">
        <v>-0.8</v>
      </c>
      <c r="H223" s="756">
        <f>D223-F223</f>
        <v>-0.58073869520193289</v>
      </c>
      <c r="J223" s="706">
        <f>stores!$E161</f>
        <v>1014</v>
      </c>
      <c r="K223" s="757">
        <f>J223-J222</f>
        <v>0</v>
      </c>
      <c r="L223" s="706">
        <f>AVERAGEA(J222:J223)</f>
        <v>1014</v>
      </c>
      <c r="N223" s="756">
        <f>(L223/L216-1)*100</f>
        <v>-0.87976539589442737</v>
      </c>
      <c r="P223" s="758">
        <f>(H223/N223)*100</f>
        <v>66.010631687953094</v>
      </c>
      <c r="Q223" s="680"/>
      <c r="S223" s="1340">
        <v>2857</v>
      </c>
      <c r="U223" s="706">
        <f>S223-AP223-AR223</f>
        <v>2480.6022860000003</v>
      </c>
      <c r="W223" s="586">
        <f>U223/L223</f>
        <v>2.4463533392504933</v>
      </c>
      <c r="Y223" s="760">
        <f>(W223/W216-1)*100</f>
        <v>-3.0255338512786611</v>
      </c>
      <c r="AA223" s="706">
        <f>stores!$E335</f>
        <v>102.50217391304348</v>
      </c>
      <c r="AC223" s="706">
        <f>AVERAGEA(AA222:AA223)</f>
        <v>102.50217391304348</v>
      </c>
      <c r="AE223" s="777">
        <f>(AC223/AC216-1)*100</f>
        <v>-0.87976539589442737</v>
      </c>
      <c r="AG223" s="758">
        <f>(H223/AE223)*100</f>
        <v>66.010631687953094</v>
      </c>
      <c r="AJ223" s="706">
        <f>U223</f>
        <v>2480.6022860000003</v>
      </c>
      <c r="AL223" s="586">
        <f>AJ223/AC223</f>
        <v>24.200484646348968</v>
      </c>
      <c r="AN223" s="760">
        <f>(AL223/AL216-1)*100</f>
        <v>-3.02553385127865</v>
      </c>
      <c r="AP223" s="706">
        <f>AP216*(1+AQ223)</f>
        <v>376.39771399999995</v>
      </c>
      <c r="AQ223" s="798">
        <v>0.19</v>
      </c>
      <c r="AR223" s="763"/>
      <c r="AS223" s="586"/>
      <c r="AT223" s="790"/>
    </row>
    <row r="224" spans="1:46" ht="13.5" customHeight="1">
      <c r="A224" s="398" t="s">
        <v>115</v>
      </c>
      <c r="D224" s="764">
        <f>'qtrP&amp;L'!$DV13</f>
        <v>-0.87587587587587556</v>
      </c>
      <c r="F224" s="1374">
        <v>-0.7</v>
      </c>
      <c r="H224" s="765">
        <f>D224-F224</f>
        <v>-0.17587587587587561</v>
      </c>
      <c r="J224" s="706">
        <f>stores!$E162</f>
        <v>1014</v>
      </c>
      <c r="K224" s="757">
        <f>J224-J223</f>
        <v>0</v>
      </c>
      <c r="L224" s="769">
        <f>AVERAGEA(J223:J224)</f>
        <v>1014</v>
      </c>
      <c r="N224" s="765">
        <f>(L224/L217-1)*100</f>
        <v>-0.78277886497064575</v>
      </c>
      <c r="P224" s="758">
        <f>(H224/N224)*100</f>
        <v>22.468143143143109</v>
      </c>
      <c r="Q224" s="680"/>
      <c r="S224" s="1341">
        <v>3961</v>
      </c>
      <c r="U224" s="769">
        <f>S224-AP224-AR224</f>
        <v>3375.9885736562501</v>
      </c>
      <c r="W224" s="770">
        <f>U224/L224</f>
        <v>3.329377291574211</v>
      </c>
      <c r="Y224" s="771">
        <f>(W224/W217-1)*100</f>
        <v>-2.90407341109713</v>
      </c>
      <c r="AA224" s="706">
        <f>stores!$E336</f>
        <v>103.3</v>
      </c>
      <c r="AC224" s="769">
        <f>AVERAGEA(AA223:AA224)</f>
        <v>102.90108695652174</v>
      </c>
      <c r="AE224" s="778">
        <f>(AC224/AC217-1)*100</f>
        <v>-0.39665004313700347</v>
      </c>
      <c r="AG224" s="796" t="s">
        <v>147</v>
      </c>
      <c r="AJ224" s="769">
        <f>U224</f>
        <v>3375.9885736562501</v>
      </c>
      <c r="AL224" s="770">
        <f>AJ224/AC224</f>
        <v>32.808094389544095</v>
      </c>
      <c r="AN224" s="771">
        <f>(AL224/AL217-1)*100</f>
        <v>-3.2804817924904861</v>
      </c>
      <c r="AP224" s="769">
        <f>AP217*(1+AQ224)</f>
        <v>585.01142634374992</v>
      </c>
      <c r="AQ224" s="798">
        <v>0.19</v>
      </c>
      <c r="AR224" s="794"/>
      <c r="AS224" s="509"/>
      <c r="AT224" s="797"/>
    </row>
    <row r="225" spans="1:46" ht="13.5" customHeight="1">
      <c r="A225" s="774" t="s">
        <v>116</v>
      </c>
      <c r="D225" s="755">
        <f>'qtrP&amp;L'!$DV$14</f>
        <v>-0.61782178217821837</v>
      </c>
      <c r="F225" s="755">
        <v>0</v>
      </c>
      <c r="H225" s="756">
        <f>D225-F225</f>
        <v>-0.61782178217821837</v>
      </c>
      <c r="J225" s="706"/>
      <c r="K225" s="757">
        <f>J224-J217</f>
        <v>-7</v>
      </c>
      <c r="L225" s="706">
        <f>AVERAGEA(L221:L224)</f>
        <v>1014.875</v>
      </c>
      <c r="N225" s="756">
        <f>(L225/L218-1)*100</f>
        <v>-1.252736560447576</v>
      </c>
      <c r="P225" s="758">
        <f>(H225/N225)*100</f>
        <v>49.317773719119671</v>
      </c>
      <c r="S225" s="591">
        <f>SUM(S221:S224)</f>
        <v>12547</v>
      </c>
      <c r="U225" s="591">
        <f>S225-AP225-AR225</f>
        <v>10884.411161106251</v>
      </c>
      <c r="W225" s="759">
        <f>U225/L225</f>
        <v>10.724878592049514</v>
      </c>
      <c r="Y225" s="760">
        <f>(W225/W218-1)*100</f>
        <v>-1.7376773850055094</v>
      </c>
      <c r="AA225" s="754"/>
      <c r="AC225" s="706">
        <f>AVERAGEA(AC221:AC224)</f>
        <v>102.69035326086956</v>
      </c>
      <c r="AE225" s="777">
        <f>(AC225/AC218-1)*100</f>
        <v>-1.1567444281406103</v>
      </c>
      <c r="AG225" s="758">
        <f>(H225/AE225)*100</f>
        <v>53.410396207511958</v>
      </c>
      <c r="AJ225" s="591">
        <f>SUM(AJ221:AJ224)</f>
        <v>10884.411161106251</v>
      </c>
      <c r="AL225" s="759">
        <f>SUM(AL221:AL224)</f>
        <v>105.97710943575041</v>
      </c>
      <c r="AN225" s="760">
        <f>(AL225/AL218-1)*100</f>
        <v>-1.9040631170299527</v>
      </c>
      <c r="AP225" s="591">
        <f>SUM(AP221:AP224)</f>
        <v>1662.5888388937497</v>
      </c>
      <c r="AQ225" s="678">
        <f>AP225/AP218-1</f>
        <v>0.18116532204001468</v>
      </c>
      <c r="AR225" s="795"/>
      <c r="AS225" s="759"/>
    </row>
    <row r="226" spans="1:46" ht="13.5" customHeight="1">
      <c r="A226" s="774"/>
      <c r="D226" s="755"/>
      <c r="F226" s="755"/>
      <c r="H226" s="756"/>
      <c r="J226" s="706"/>
      <c r="K226" s="757"/>
      <c r="L226" s="706"/>
      <c r="N226" s="756"/>
      <c r="P226" s="758"/>
      <c r="S226" s="800"/>
      <c r="U226" s="591"/>
      <c r="W226" s="759"/>
      <c r="Y226" s="760"/>
      <c r="AA226" s="754"/>
      <c r="AC226" s="706"/>
      <c r="AE226" s="777"/>
      <c r="AG226" s="758"/>
      <c r="AJ226" s="591"/>
      <c r="AL226" s="759"/>
      <c r="AN226" s="760"/>
      <c r="AP226" s="858"/>
      <c r="AR226" s="762"/>
      <c r="AS226" s="759"/>
    </row>
    <row r="227" spans="1:46" ht="13.5" customHeight="1">
      <c r="A227" s="753">
        <v>2017</v>
      </c>
      <c r="F227" s="793"/>
      <c r="J227" s="706"/>
      <c r="L227" s="706"/>
      <c r="P227" s="758"/>
      <c r="Y227" s="760"/>
      <c r="AA227" s="776"/>
      <c r="AC227" s="706"/>
      <c r="AG227" s="758"/>
      <c r="AN227" s="760"/>
      <c r="AP227" s="759"/>
      <c r="AR227" s="782"/>
    </row>
    <row r="228" spans="1:46" ht="13.5" customHeight="1">
      <c r="A228" s="398" t="s">
        <v>112</v>
      </c>
      <c r="C228" s="755"/>
      <c r="D228" s="755">
        <f>'qtrP&amp;L'!EA10</f>
        <v>-3.7353255069370372</v>
      </c>
      <c r="E228" s="507"/>
      <c r="F228" s="1373">
        <v>-3.5</v>
      </c>
      <c r="H228" s="756">
        <f>D228-F228</f>
        <v>-0.23532550693703724</v>
      </c>
      <c r="I228" s="398" t="s">
        <v>156</v>
      </c>
      <c r="J228" s="706">
        <f>stores!$E165</f>
        <v>1014</v>
      </c>
      <c r="K228" s="757">
        <f>J228-J224</f>
        <v>0</v>
      </c>
      <c r="L228" s="706">
        <f>AVERAGEA(J228,J224)</f>
        <v>1014</v>
      </c>
      <c r="N228" s="756">
        <f>(L228/L221-1)*100</f>
        <v>-0.34398034398034349</v>
      </c>
      <c r="P228" s="758">
        <f>(H228/N228)*100</f>
        <v>68.412486659553068</v>
      </c>
      <c r="S228" s="1340">
        <v>2706</v>
      </c>
      <c r="U228" s="591">
        <f>S228-AP228-AR228</f>
        <v>2280.5488455254999</v>
      </c>
      <c r="W228" s="759">
        <f>U228/L228</f>
        <v>2.2490619778357988</v>
      </c>
      <c r="Y228" s="760">
        <f>(W228/W221-1)*100</f>
        <v>-6.7274887958656553</v>
      </c>
      <c r="Z228" s="398" t="s">
        <v>156</v>
      </c>
      <c r="AA228" s="706">
        <f>stores!E339</f>
        <v>103.3</v>
      </c>
      <c r="AC228" s="706">
        <f>AVERAGEA(AA228,AA224)</f>
        <v>103.3</v>
      </c>
      <c r="AE228" s="777">
        <f>(AC228/AC221-1)*100</f>
        <v>0.43169268975720154</v>
      </c>
      <c r="AF228" s="398" t="s">
        <v>156</v>
      </c>
      <c r="AG228" s="758">
        <f>(H228/AE228)*100</f>
        <v>-54.512275171810806</v>
      </c>
      <c r="AH228" s="398" t="s">
        <v>156</v>
      </c>
      <c r="AJ228" s="591">
        <f>U228</f>
        <v>2280.5488455254999</v>
      </c>
      <c r="AL228" s="759">
        <f>AJ228/AC228</f>
        <v>22.076949133838333</v>
      </c>
      <c r="AN228" s="760">
        <f>(AL228/AL221-1)*100</f>
        <v>-7.447868685842451</v>
      </c>
      <c r="AO228" s="398" t="s">
        <v>156</v>
      </c>
      <c r="AP228" s="591">
        <f>AP221*(1+AQ228)</f>
        <v>425.4511544744999</v>
      </c>
      <c r="AQ228" s="1379">
        <v>0.19</v>
      </c>
      <c r="AR228" s="762"/>
      <c r="AS228" s="759"/>
      <c r="AT228" s="790"/>
    </row>
    <row r="229" spans="1:46" ht="13.5" customHeight="1">
      <c r="A229" s="398" t="s">
        <v>113</v>
      </c>
      <c r="C229" s="755"/>
      <c r="D229" s="755">
        <f>'qtrP&amp;L'!EA11</f>
        <v>1.5078821110349638</v>
      </c>
      <c r="E229" s="507"/>
      <c r="F229" s="1373">
        <v>-1.3</v>
      </c>
      <c r="H229" s="756">
        <f>D229-F229</f>
        <v>2.8078821110349637</v>
      </c>
      <c r="I229" s="398" t="s">
        <v>156</v>
      </c>
      <c r="J229" s="706">
        <f>stores!$E166</f>
        <v>887</v>
      </c>
      <c r="K229" s="757">
        <f>J229-J228</f>
        <v>-127</v>
      </c>
      <c r="L229" s="706">
        <f>AVERAGEA(J229,J228)</f>
        <v>950.5</v>
      </c>
      <c r="N229" s="756">
        <f>(L229/L222-1)*100</f>
        <v>-6.2623274161735747</v>
      </c>
      <c r="P229" s="758">
        <f>(H229/N229)*100</f>
        <v>-44.837676544715762</v>
      </c>
      <c r="Q229" s="680"/>
      <c r="S229" s="1340">
        <v>2962.0000000000005</v>
      </c>
      <c r="U229" s="706">
        <f>S229-AP229-AR229</f>
        <v>2553.0473132000006</v>
      </c>
      <c r="W229" s="586">
        <f>U229/L229</f>
        <v>2.6860045378221997</v>
      </c>
      <c r="Y229" s="760">
        <f>(W229/W222-1)*100</f>
        <v>5.7982313584078016</v>
      </c>
      <c r="AA229" s="706">
        <f>stores!E340</f>
        <v>96</v>
      </c>
      <c r="AC229" s="706">
        <f>AVERAGEA(AA228:AA229)</f>
        <v>99.65</v>
      </c>
      <c r="AE229" s="777">
        <f>(AC229/AC222-1)*100</f>
        <v>-2.782549680812707</v>
      </c>
      <c r="AG229" s="758">
        <f>(H229/AE229)*100</f>
        <v>-100.91040351936709</v>
      </c>
      <c r="AJ229" s="706">
        <f>U229</f>
        <v>2553.0473132000006</v>
      </c>
      <c r="AL229" s="586">
        <f>AJ229/AC229</f>
        <v>25.620143634721529</v>
      </c>
      <c r="AN229" s="760">
        <f>(AL229/AL222-1)*100</f>
        <v>2.011315236736122</v>
      </c>
      <c r="AP229" s="706">
        <f>AP222*(1+AQ229)</f>
        <v>408.95268679999987</v>
      </c>
      <c r="AQ229" s="1379">
        <v>0.19</v>
      </c>
      <c r="AR229" s="763"/>
      <c r="AS229" s="586"/>
      <c r="AT229" s="790"/>
    </row>
    <row r="230" spans="1:46" ht="13.5" customHeight="1">
      <c r="A230" s="398" t="s">
        <v>114</v>
      </c>
      <c r="D230" s="755">
        <f>'qtrP&amp;L'!EA12</f>
        <v>-1.7500875043752195</v>
      </c>
      <c r="E230" s="507"/>
      <c r="F230" s="1373">
        <v>1.7</v>
      </c>
      <c r="H230" s="756">
        <f>D230-F230</f>
        <v>-3.4500875043752197</v>
      </c>
      <c r="J230" s="706">
        <f>stores!$E167</f>
        <v>874</v>
      </c>
      <c r="K230" s="757">
        <f>J230-J229</f>
        <v>-13</v>
      </c>
      <c r="L230" s="706">
        <f>AVERAGEA(J229:J230)</f>
        <v>880.5</v>
      </c>
      <c r="N230" s="756">
        <f>(L230/L223-1)*100</f>
        <v>-13.165680473372776</v>
      </c>
      <c r="P230" s="758">
        <f>(H230/N230)*100</f>
        <v>26.20515902199606</v>
      </c>
      <c r="Q230" s="680"/>
      <c r="S230" s="1340">
        <v>2807</v>
      </c>
      <c r="U230" s="706">
        <f>S230-AP230-AR230</f>
        <v>2359.0867203400003</v>
      </c>
      <c r="W230" s="586">
        <f>U230/L230</f>
        <v>2.6792580583077799</v>
      </c>
      <c r="Y230" s="760">
        <f>(W230/W223-1)*100</f>
        <v>9.520485668216816</v>
      </c>
      <c r="AA230" s="706">
        <f>stores!E341</f>
        <v>96</v>
      </c>
      <c r="AC230" s="706">
        <f>AVERAGEA(AA229:AA230)</f>
        <v>96</v>
      </c>
      <c r="AE230" s="777">
        <f>(AC230/AC223-1)*100</f>
        <v>-6.3434497677673836</v>
      </c>
      <c r="AG230" s="758">
        <f>(H230/AE230)*100</f>
        <v>54.388189875893019</v>
      </c>
      <c r="AJ230" s="706">
        <f>U230</f>
        <v>2359.0867203400003</v>
      </c>
      <c r="AL230" s="586">
        <f>AJ230/AC230</f>
        <v>24.57382000354167</v>
      </c>
      <c r="AN230" s="760">
        <f>(AL230/AL223-1)*100</f>
        <v>1.5426771928264804</v>
      </c>
      <c r="AP230" s="706">
        <f>AP223*(1+AQ230)</f>
        <v>447.91327965999994</v>
      </c>
      <c r="AQ230" s="1379">
        <v>0.19</v>
      </c>
      <c r="AR230" s="763"/>
      <c r="AS230" s="586"/>
      <c r="AT230" s="790"/>
    </row>
    <row r="231" spans="1:46" ht="13.5" customHeight="1">
      <c r="A231" s="398" t="s">
        <v>115</v>
      </c>
      <c r="D231" s="764">
        <f>F231+H231</f>
        <v>2.6</v>
      </c>
      <c r="E231" s="584"/>
      <c r="F231" s="1374">
        <v>2.6</v>
      </c>
      <c r="H231" s="765">
        <v>0</v>
      </c>
      <c r="J231" s="706">
        <f>stores!$E168</f>
        <v>872</v>
      </c>
      <c r="K231" s="757">
        <f>J231-J230</f>
        <v>-2</v>
      </c>
      <c r="L231" s="769">
        <f>AVERAGEA(J230:J231)</f>
        <v>873</v>
      </c>
      <c r="N231" s="765">
        <f>(L231/L224-1)*100</f>
        <v>-13.905325443786987</v>
      </c>
      <c r="P231" s="1535">
        <v>0</v>
      </c>
      <c r="Q231" s="680"/>
      <c r="S231" s="1341">
        <v>4031</v>
      </c>
      <c r="U231" s="769">
        <f>S231-AP231-AR231</f>
        <v>3334.8364026509375</v>
      </c>
      <c r="W231" s="770">
        <f>U231/L231</f>
        <v>3.819972969817798</v>
      </c>
      <c r="Y231" s="771">
        <f>(W231/W224-1)*100</f>
        <v>14.735358455323077</v>
      </c>
      <c r="AA231" s="706">
        <f>stores!E342</f>
        <v>95.6</v>
      </c>
      <c r="AC231" s="769">
        <f>AVERAGEA(AA230:AA231)</f>
        <v>95.8</v>
      </c>
      <c r="AE231" s="778">
        <f>(AC231/AC224-1)*100</f>
        <v>-6.9008862457615505</v>
      </c>
      <c r="AG231" s="796" t="s">
        <v>147</v>
      </c>
      <c r="AJ231" s="769">
        <f>U231</f>
        <v>3334.8364026509375</v>
      </c>
      <c r="AL231" s="770">
        <f>AJ231/AC231</f>
        <v>34.81040086274465</v>
      </c>
      <c r="AN231" s="771">
        <f>(AL231/AL224-1)*100</f>
        <v>6.1030867853107962</v>
      </c>
      <c r="AP231" s="769">
        <f>AP224*(1+AQ231)</f>
        <v>696.16359734906234</v>
      </c>
      <c r="AQ231" s="1379">
        <v>0.19</v>
      </c>
      <c r="AR231" s="794"/>
      <c r="AS231" s="509"/>
      <c r="AT231" s="797"/>
    </row>
    <row r="232" spans="1:46" ht="13.5" customHeight="1">
      <c r="A232" s="774" t="s">
        <v>116</v>
      </c>
      <c r="D232" s="755">
        <f>'qtrP&amp;L'!$EA$14</f>
        <v>-0.32677133976248829</v>
      </c>
      <c r="F232" s="1373">
        <v>0.1</v>
      </c>
      <c r="H232" s="756">
        <f>D232-F232</f>
        <v>-0.42677133976248827</v>
      </c>
      <c r="J232" s="766"/>
      <c r="K232" s="757">
        <f>J231-J224</f>
        <v>-142</v>
      </c>
      <c r="L232" s="706">
        <f>AVERAGEA(L228:L231)</f>
        <v>929.5</v>
      </c>
      <c r="N232" s="756">
        <f>(L232/L225-1)*100</f>
        <v>-8.4123660549328747</v>
      </c>
      <c r="P232" s="758">
        <f>(H232/N232)*100</f>
        <v>5.0731427635895194</v>
      </c>
      <c r="S232" s="591">
        <f>SUM(S228:S231)</f>
        <v>12506</v>
      </c>
      <c r="U232" s="591">
        <f>S232-AP232-AR232</f>
        <v>10527.519281716439</v>
      </c>
      <c r="W232" s="759">
        <f>U232/L232</f>
        <v>11.32600245477831</v>
      </c>
      <c r="Y232" s="760">
        <f>(W232/W225-1)*100</f>
        <v>5.6049479494753252</v>
      </c>
      <c r="AA232" s="754"/>
      <c r="AC232" s="706">
        <f>AVERAGEA(AC228:AC231)</f>
        <v>98.6875</v>
      </c>
      <c r="AE232" s="777">
        <f>(AC232/AC225-1)*100</f>
        <v>-3.8979837285211261</v>
      </c>
      <c r="AG232" s="758">
        <f>(H232/AE232)*100</f>
        <v>10.948515167978986</v>
      </c>
      <c r="AJ232" s="591">
        <f>SUM(AJ228:AJ231)</f>
        <v>10527.519281716439</v>
      </c>
      <c r="AL232" s="759">
        <f>SUM(AL228:AL231)</f>
        <v>107.08131363484617</v>
      </c>
      <c r="AN232" s="760">
        <f>(AL232/AL225-1)*100</f>
        <v>1.0419270774366662</v>
      </c>
      <c r="AP232" s="591">
        <f>SUM(AP228:AP231)</f>
        <v>1978.4807182835621</v>
      </c>
      <c r="AQ232" s="678">
        <f>AP232/AP225-1</f>
        <v>0.18999999999999995</v>
      </c>
      <c r="AR232" s="795"/>
      <c r="AS232" s="759"/>
    </row>
    <row r="233" spans="1:46" ht="13.5" customHeight="1">
      <c r="A233" s="774"/>
      <c r="D233" s="755"/>
      <c r="F233" s="755"/>
      <c r="H233" s="756"/>
      <c r="J233" s="766"/>
      <c r="K233" s="757"/>
      <c r="L233" s="706"/>
      <c r="N233" s="756"/>
      <c r="P233" s="758"/>
      <c r="S233" s="800"/>
      <c r="U233" s="591"/>
      <c r="W233" s="759"/>
      <c r="Y233" s="760"/>
      <c r="AA233" s="754"/>
      <c r="AC233" s="706"/>
      <c r="AE233" s="777"/>
      <c r="AG233" s="758"/>
      <c r="AJ233" s="591"/>
      <c r="AL233" s="759"/>
      <c r="AN233" s="760"/>
      <c r="AP233" s="591"/>
      <c r="AR233" s="762"/>
      <c r="AS233" s="759"/>
    </row>
    <row r="234" spans="1:46" ht="13.5" customHeight="1">
      <c r="A234" s="1375">
        <v>2018</v>
      </c>
      <c r="F234" s="793"/>
      <c r="J234" s="706"/>
      <c r="L234" s="706"/>
      <c r="P234" s="758"/>
      <c r="Y234" s="760"/>
      <c r="AA234" s="776"/>
      <c r="AC234" s="706"/>
      <c r="AG234" s="758"/>
      <c r="AN234" s="760"/>
      <c r="AP234" s="759"/>
      <c r="AR234" s="782"/>
    </row>
    <row r="235" spans="1:46" ht="13.5" customHeight="1">
      <c r="A235" s="398" t="s">
        <v>112</v>
      </c>
      <c r="C235" s="755"/>
      <c r="D235" s="755">
        <f t="shared" ref="D235:D236" si="0">F235+H235</f>
        <v>-1.5999999999999996</v>
      </c>
      <c r="E235" s="507"/>
      <c r="F235" s="1530">
        <v>4</v>
      </c>
      <c r="G235" s="136"/>
      <c r="H235" s="1531">
        <v>-5.6</v>
      </c>
      <c r="I235" s="398" t="s">
        <v>156</v>
      </c>
      <c r="J235" s="706">
        <f>stores!$E171</f>
        <v>864</v>
      </c>
      <c r="K235" s="757">
        <f>J235-J231</f>
        <v>-8</v>
      </c>
      <c r="L235" s="706">
        <f>AVERAGEA(J235,J231)</f>
        <v>868</v>
      </c>
      <c r="N235" s="756">
        <f>(L235/L228-1)*100</f>
        <v>-14.398422090729779</v>
      </c>
      <c r="P235" s="758">
        <f>(H235/N235)*100</f>
        <v>38.893150684931513</v>
      </c>
      <c r="S235" s="706">
        <f>(S228)*(1+D235/100)</f>
        <v>2662.7040000000002</v>
      </c>
      <c r="U235" s="591">
        <f>S235-AP235-AR235</f>
        <v>2194.7077300780502</v>
      </c>
      <c r="W235" s="759">
        <f>U235/L235</f>
        <v>2.52846512681803</v>
      </c>
      <c r="Y235" s="760">
        <f>(W235/W228-1)*100</f>
        <v>12.423096905986197</v>
      </c>
      <c r="Z235" s="398" t="s">
        <v>156</v>
      </c>
      <c r="AA235" s="706">
        <f>stores!E345</f>
        <v>94.72293577981651</v>
      </c>
      <c r="AC235" s="706">
        <f>AVERAGEA(AA235,AA231)</f>
        <v>95.161467889908252</v>
      </c>
      <c r="AE235" s="777">
        <f>(AC235/AC228-1)*100</f>
        <v>-7.8785402808245308</v>
      </c>
      <c r="AF235" s="398" t="s">
        <v>156</v>
      </c>
      <c r="AG235" s="758">
        <f>(H235/AE235)*100</f>
        <v>71.079156803066184</v>
      </c>
      <c r="AH235" s="398" t="s">
        <v>156</v>
      </c>
      <c r="AJ235" s="591">
        <f>U235</f>
        <v>2194.7077300780502</v>
      </c>
      <c r="AL235" s="759">
        <f>AJ235/AC235</f>
        <v>23.062987349218854</v>
      </c>
      <c r="AN235" s="760">
        <f>(AL235/AL228-1)*100</f>
        <v>4.4663699200591767</v>
      </c>
      <c r="AO235" s="398" t="s">
        <v>156</v>
      </c>
      <c r="AP235" s="591">
        <f>AP228*(1+AQ235)</f>
        <v>467.99626992194993</v>
      </c>
      <c r="AQ235" s="1529">
        <v>0.1</v>
      </c>
      <c r="AR235" s="762"/>
      <c r="AS235" s="759"/>
      <c r="AT235" s="790"/>
    </row>
    <row r="236" spans="1:46" ht="13.5" customHeight="1">
      <c r="A236" s="398" t="s">
        <v>113</v>
      </c>
      <c r="C236" s="755"/>
      <c r="D236" s="755">
        <f t="shared" si="0"/>
        <v>-0.8</v>
      </c>
      <c r="E236" s="507"/>
      <c r="F236" s="1530">
        <v>1</v>
      </c>
      <c r="G236" s="136"/>
      <c r="H236" s="1531">
        <f>-2.1+0.3</f>
        <v>-1.8</v>
      </c>
      <c r="I236" s="398" t="s">
        <v>156</v>
      </c>
      <c r="J236" s="706">
        <f>stores!$E172</f>
        <v>857</v>
      </c>
      <c r="K236" s="757">
        <f>J236-J235</f>
        <v>-7</v>
      </c>
      <c r="L236" s="706">
        <f>AVERAGEA(J236,J235)</f>
        <v>860.5</v>
      </c>
      <c r="N236" s="756">
        <f>(L236/L229-1)*100</f>
        <v>-9.4687006838506065</v>
      </c>
      <c r="P236" s="1534">
        <f t="shared" ref="P236:P238" si="1">(H236/N236)*100</f>
        <v>19.009999999999998</v>
      </c>
      <c r="Q236" s="680"/>
      <c r="S236" s="706">
        <f>(S229)*(1+D236/100)</f>
        <v>2938.3040000000005</v>
      </c>
      <c r="U236" s="706">
        <f>S236-AP236-AR236</f>
        <v>2488.4560445200004</v>
      </c>
      <c r="W236" s="586">
        <f>U236/L236</f>
        <v>2.8918722190819297</v>
      </c>
      <c r="Y236" s="760">
        <f>(W236/W229-1)*100</f>
        <v>7.6644576865326774</v>
      </c>
      <c r="AA236" s="706">
        <f>stores!E346</f>
        <v>93.955504587155957</v>
      </c>
      <c r="AC236" s="706">
        <f>AVERAGEA(AA235:AA236)</f>
        <v>94.339220183486233</v>
      </c>
      <c r="AE236" s="777">
        <f>(AC236/AC229-1)*100</f>
        <v>-5.3294328314237527</v>
      </c>
      <c r="AG236" s="758">
        <f>(H236/AE236)*100</f>
        <v>33.774700928525107</v>
      </c>
      <c r="AJ236" s="706">
        <f>U236</f>
        <v>2488.4560445200004</v>
      </c>
      <c r="AL236" s="586">
        <f>AJ236/AC236</f>
        <v>26.377746600830992</v>
      </c>
      <c r="AN236" s="760">
        <f>(AL236/AL229-1)*100</f>
        <v>2.9570597921345199</v>
      </c>
      <c r="AP236" s="706">
        <f>AP229*(1+AQ236)</f>
        <v>449.84795547999988</v>
      </c>
      <c r="AQ236" s="1529">
        <v>0.1</v>
      </c>
      <c r="AR236" s="763"/>
      <c r="AS236" s="586"/>
      <c r="AT236" s="790"/>
    </row>
    <row r="237" spans="1:46" ht="13.5" customHeight="1">
      <c r="A237" s="398" t="s">
        <v>114</v>
      </c>
      <c r="D237" s="755">
        <f>F237+H237</f>
        <v>-2.8000000000000003</v>
      </c>
      <c r="E237" s="507"/>
      <c r="F237" s="1561">
        <v>-0.5</v>
      </c>
      <c r="G237" s="136"/>
      <c r="H237" s="1531">
        <f>-2.1-0.2</f>
        <v>-2.3000000000000003</v>
      </c>
      <c r="J237" s="706">
        <f>stores!$E173</f>
        <v>857</v>
      </c>
      <c r="K237" s="757">
        <f>J237-J236</f>
        <v>0</v>
      </c>
      <c r="L237" s="706">
        <f>AVERAGEA(J236:J237)</f>
        <v>857</v>
      </c>
      <c r="N237" s="756">
        <f>(L237/L230-1)*100</f>
        <v>-2.6689381033503712</v>
      </c>
      <c r="P237" s="1534">
        <f t="shared" si="1"/>
        <v>86.176595744680796</v>
      </c>
      <c r="Q237" s="680"/>
      <c r="S237" s="706">
        <f>(S230)*(1+D237/100)</f>
        <v>2728.404</v>
      </c>
      <c r="U237" s="706">
        <f>S237-AP237-AR237</f>
        <v>2235.6993923740001</v>
      </c>
      <c r="W237" s="586">
        <f>U237/L237</f>
        <v>2.6087507495612603</v>
      </c>
      <c r="Y237" s="760">
        <f>(W237/W230-1)*100</f>
        <v>-2.6315982713159047</v>
      </c>
      <c r="AA237" s="706">
        <f>stores!E347</f>
        <v>93.955504587155957</v>
      </c>
      <c r="AC237" s="706">
        <f>AVERAGEA(AA236:AA237)</f>
        <v>93.955504587155957</v>
      </c>
      <c r="AE237" s="777">
        <f>(AC237/AC230-1)*100</f>
        <v>-2.1296827217125447</v>
      </c>
      <c r="AG237" s="758">
        <f>(H237/AE237)*100</f>
        <v>107.9973076060127</v>
      </c>
      <c r="AJ237" s="706">
        <f>U237</f>
        <v>2235.6993923740001</v>
      </c>
      <c r="AL237" s="586">
        <f>AJ237/AC237</f>
        <v>23.795299724031583</v>
      </c>
      <c r="AN237" s="760">
        <f>(AL237/AL230-1)*100</f>
        <v>-3.1680881499005165</v>
      </c>
      <c r="AP237" s="706">
        <f>AP230*(1+AQ237)</f>
        <v>492.70460762599998</v>
      </c>
      <c r="AQ237" s="1529">
        <v>0.1</v>
      </c>
      <c r="AR237" s="763"/>
      <c r="AS237" s="586"/>
      <c r="AT237" s="790"/>
    </row>
    <row r="238" spans="1:46" ht="13.5" customHeight="1">
      <c r="A238" s="398" t="s">
        <v>115</v>
      </c>
      <c r="D238" s="764">
        <f>F238+H238</f>
        <v>-7.6</v>
      </c>
      <c r="E238" s="584"/>
      <c r="F238" s="1562">
        <v>-1</v>
      </c>
      <c r="G238" s="136"/>
      <c r="H238" s="1532">
        <f>-2.1-4.5</f>
        <v>-6.6</v>
      </c>
      <c r="J238" s="706">
        <f>stores!$E174</f>
        <v>857</v>
      </c>
      <c r="K238" s="757">
        <f>J238-J237</f>
        <v>0</v>
      </c>
      <c r="L238" s="769">
        <f>AVERAGEA(J237:J238)</f>
        <v>857</v>
      </c>
      <c r="N238" s="765">
        <f>(L238/L231-1)*100</f>
        <v>-1.8327605956471982</v>
      </c>
      <c r="P238" s="1534">
        <f t="shared" si="1"/>
        <v>360.1124999999991</v>
      </c>
      <c r="Q238" s="680"/>
      <c r="S238" s="769">
        <f>(S231)*(1+D238/100)</f>
        <v>3724.6440000000002</v>
      </c>
      <c r="U238" s="769">
        <f>S238-AP238-AR238</f>
        <v>2958.8640429160314</v>
      </c>
      <c r="W238" s="770">
        <f>U238/L238</f>
        <v>3.4525834806488116</v>
      </c>
      <c r="Y238" s="771">
        <f>(W238/W231-1)*100</f>
        <v>-9.6175939482239237</v>
      </c>
      <c r="AA238" s="706">
        <f>stores!E348</f>
        <v>93.955504587155957</v>
      </c>
      <c r="AC238" s="769">
        <f>AVERAGEA(AA237:AA238)</f>
        <v>93.955504587155957</v>
      </c>
      <c r="AE238" s="778">
        <f>(AC238/AC231-1)*100</f>
        <v>-1.9253605562046361</v>
      </c>
      <c r="AG238" s="796" t="s">
        <v>147</v>
      </c>
      <c r="AJ238" s="769">
        <f>U238</f>
        <v>2958.8640429160314</v>
      </c>
      <c r="AL238" s="770">
        <f>AJ238/AC238</f>
        <v>31.492184049432677</v>
      </c>
      <c r="AN238" s="771">
        <f>(AL238/AL231-1)*100</f>
        <v>-9.5322568286286273</v>
      </c>
      <c r="AP238" s="769">
        <f>AP231*(1+AQ238)</f>
        <v>765.77995708396861</v>
      </c>
      <c r="AQ238" s="1529">
        <v>0.1</v>
      </c>
      <c r="AR238" s="794"/>
      <c r="AS238" s="509"/>
      <c r="AT238" s="797"/>
    </row>
    <row r="239" spans="1:46" ht="13.5" customHeight="1">
      <c r="A239" s="774" t="s">
        <v>116</v>
      </c>
      <c r="D239" s="755">
        <f>'qtrP&amp;L'!$EF$14</f>
        <v>-3.6138173676635188</v>
      </c>
      <c r="F239" s="1533">
        <f>SUMPRODUCT(F235:F238,S235:S238)/S239</f>
        <v>0.70517956777370217</v>
      </c>
      <c r="G239" s="136"/>
      <c r="H239" s="1531">
        <f>D239-F239</f>
        <v>-4.3189969354372213</v>
      </c>
      <c r="J239" s="766"/>
      <c r="K239" s="757">
        <f>J238-J231</f>
        <v>-15</v>
      </c>
      <c r="L239" s="706">
        <f>AVERAGEA(L235:L238)</f>
        <v>860.625</v>
      </c>
      <c r="N239" s="756">
        <f>(L239/L232-1)*100</f>
        <v>-7.4098977945131761</v>
      </c>
      <c r="P239" s="1534">
        <f>(H239/N239)*100</f>
        <v>58.28686245355933</v>
      </c>
      <c r="S239" s="591">
        <f>SUM(S235:S238)</f>
        <v>12054.056</v>
      </c>
      <c r="U239" s="591">
        <f>S239-AP239-AR239</f>
        <v>9877.7272098880821</v>
      </c>
      <c r="W239" s="759">
        <f>U239/L239</f>
        <v>11.477388188686225</v>
      </c>
      <c r="Y239" s="760">
        <f>(W239/W232-1)*100</f>
        <v>1.3366210585981975</v>
      </c>
      <c r="AA239" s="754"/>
      <c r="AC239" s="706">
        <f>AVERAGEA(AC235:AC238)</f>
        <v>94.352924311926586</v>
      </c>
      <c r="AE239" s="777">
        <f>(AC239/AC232-1)*100</f>
        <v>-4.3922236231269558</v>
      </c>
      <c r="AG239" s="758">
        <f>(H239/AE239)*100</f>
        <v>98.332810576761972</v>
      </c>
      <c r="AJ239" s="591">
        <f>SUM(AJ235:AJ238)</f>
        <v>9877.7272098880821</v>
      </c>
      <c r="AL239" s="759">
        <f>SUM(AL235:AL238)</f>
        <v>104.72821772351411</v>
      </c>
      <c r="AN239" s="760">
        <f>(AL239/AL232-1)*100</f>
        <v>-2.1974850993668804</v>
      </c>
      <c r="AP239" s="591">
        <f>SUM(AP235:AP238)</f>
        <v>2176.3287901119184</v>
      </c>
      <c r="AQ239" s="678">
        <f>AP239/AP232-1</f>
        <v>0.10000000000000009</v>
      </c>
      <c r="AR239" s="795"/>
      <c r="AS239" s="759"/>
    </row>
    <row r="240" spans="1:46" ht="13.5" customHeight="1">
      <c r="A240" s="774"/>
      <c r="D240" s="755"/>
      <c r="F240" s="755"/>
      <c r="H240" s="756"/>
      <c r="J240" s="766"/>
      <c r="K240" s="757"/>
      <c r="L240" s="706"/>
      <c r="N240" s="756"/>
      <c r="P240" s="803"/>
      <c r="S240" s="800"/>
      <c r="U240" s="591"/>
      <c r="W240" s="759"/>
      <c r="Y240" s="760"/>
      <c r="AA240" s="754"/>
      <c r="AC240" s="706"/>
      <c r="AE240" s="777"/>
      <c r="AG240" s="758"/>
      <c r="AJ240" s="591"/>
      <c r="AL240" s="759"/>
      <c r="AN240" s="760"/>
      <c r="AP240" s="591"/>
      <c r="AR240" s="762"/>
      <c r="AS240" s="759"/>
    </row>
    <row r="241" spans="1:45" ht="13.5" customHeight="1">
      <c r="A241" s="774"/>
      <c r="D241" s="755"/>
      <c r="F241" s="755"/>
      <c r="H241" s="756"/>
      <c r="J241" s="766"/>
      <c r="K241" s="757"/>
      <c r="L241" s="706"/>
      <c r="N241" s="756"/>
      <c r="P241" s="803"/>
      <c r="S241" s="800"/>
      <c r="U241" s="591"/>
      <c r="W241" s="708"/>
      <c r="Y241" s="760"/>
      <c r="AA241" s="754"/>
      <c r="AC241" s="706"/>
      <c r="AE241" s="777"/>
      <c r="AG241" s="758"/>
      <c r="AJ241" s="591"/>
      <c r="AL241" s="759"/>
      <c r="AN241" s="760"/>
      <c r="AP241" s="591"/>
      <c r="AR241" s="762"/>
      <c r="AS241" s="759"/>
    </row>
    <row r="242" spans="1:45" ht="13.5" customHeight="1">
      <c r="A242" s="801" t="s">
        <v>90</v>
      </c>
      <c r="J242" s="766"/>
      <c r="L242" s="706"/>
      <c r="P242" s="792"/>
      <c r="Q242" s="792"/>
      <c r="S242" s="678"/>
      <c r="W242" s="708"/>
      <c r="AA242" s="754"/>
    </row>
    <row r="243" spans="1:45" ht="13.5" customHeight="1">
      <c r="A243" s="679" t="s">
        <v>139</v>
      </c>
      <c r="J243" s="766"/>
      <c r="P243" s="792"/>
      <c r="Q243" s="792"/>
      <c r="S243" s="678"/>
      <c r="AA243" s="754"/>
    </row>
    <row r="244" spans="1:45" ht="13.5" customHeight="1">
      <c r="F244" s="755"/>
      <c r="P244" s="792"/>
      <c r="Q244" s="792"/>
      <c r="S244" s="678"/>
    </row>
    <row r="245" spans="1:45" ht="13.5" customHeight="1">
      <c r="F245" s="755"/>
      <c r="H245" s="579"/>
      <c r="P245" s="792"/>
      <c r="Q245" s="792"/>
      <c r="S245" s="678"/>
    </row>
    <row r="246" spans="1:45" ht="13.5" customHeight="1">
      <c r="H246" s="579"/>
      <c r="P246" s="792"/>
      <c r="Q246" s="792"/>
      <c r="S246" s="678"/>
    </row>
    <row r="247" spans="1:45" ht="13.5" hidden="1" customHeight="1">
      <c r="F247" s="756">
        <f>F214+F221</f>
        <v>3</v>
      </c>
      <c r="H247" s="579"/>
      <c r="P247" s="792"/>
      <c r="Q247" s="792"/>
      <c r="S247" s="678"/>
    </row>
    <row r="248" spans="1:45" ht="13.5" hidden="1" customHeight="1">
      <c r="F248" s="756">
        <f>F215+F222</f>
        <v>6.3</v>
      </c>
      <c r="H248" s="579"/>
      <c r="P248" s="792"/>
      <c r="Q248" s="792"/>
      <c r="S248" s="678"/>
    </row>
    <row r="249" spans="1:45" ht="13.5" hidden="1" customHeight="1">
      <c r="F249" s="756">
        <f>F216+F223</f>
        <v>5.6000000000000005</v>
      </c>
      <c r="H249" s="579"/>
      <c r="S249" s="678"/>
    </row>
    <row r="250" spans="1:45" ht="13.5" hidden="1" customHeight="1">
      <c r="F250" s="756">
        <f>F217+F224</f>
        <v>3.3999999999999995</v>
      </c>
      <c r="H250" s="579"/>
      <c r="S250" s="678"/>
    </row>
    <row r="251" spans="1:45" ht="13.5" hidden="1" customHeight="1">
      <c r="F251" s="756"/>
      <c r="H251" s="579"/>
      <c r="S251" s="678"/>
    </row>
    <row r="252" spans="1:45" ht="13.5" hidden="1" customHeight="1">
      <c r="F252" s="755">
        <f>F228+F221</f>
        <v>-3.9</v>
      </c>
      <c r="H252" s="579"/>
      <c r="S252" s="678"/>
    </row>
    <row r="253" spans="1:45" ht="13.5" hidden="1" customHeight="1">
      <c r="F253" s="755">
        <f>F229+F222</f>
        <v>0.90000000000000013</v>
      </c>
      <c r="H253" s="579"/>
      <c r="S253" s="579"/>
    </row>
    <row r="254" spans="1:45" ht="13.5" hidden="1" customHeight="1">
      <c r="F254" s="755">
        <f>F230+F223</f>
        <v>0.89999999999999991</v>
      </c>
      <c r="H254" s="579"/>
    </row>
    <row r="255" spans="1:45" ht="13.5" hidden="1" customHeight="1">
      <c r="F255" s="755">
        <f>F231+F224</f>
        <v>1.9000000000000001</v>
      </c>
      <c r="H255" s="579"/>
    </row>
    <row r="256" spans="1:45" ht="13.5" customHeight="1">
      <c r="H256" s="579"/>
    </row>
    <row r="257" spans="6:8" ht="13.5" customHeight="1">
      <c r="H257" s="579"/>
    </row>
    <row r="258" spans="6:8" ht="13.5" customHeight="1">
      <c r="F258" s="756"/>
      <c r="H258" s="802"/>
    </row>
    <row r="259" spans="6:8" ht="13.5" customHeight="1">
      <c r="F259" s="756"/>
      <c r="H259" s="802"/>
    </row>
    <row r="260" spans="6:8" ht="13.5" customHeight="1">
      <c r="F260" s="756"/>
      <c r="H260" s="802"/>
    </row>
    <row r="261" spans="6:8" ht="13.5" customHeight="1">
      <c r="F261" s="756"/>
      <c r="H261" s="802"/>
    </row>
    <row r="263" spans="6:8" ht="13.5" customHeight="1">
      <c r="F263" s="756"/>
    </row>
    <row r="264" spans="6:8" ht="13.5" customHeight="1">
      <c r="F264" s="756"/>
    </row>
    <row r="265" spans="6:8" ht="13.5" customHeight="1">
      <c r="F265" s="756"/>
    </row>
    <row r="266" spans="6:8" ht="13.5" customHeight="1">
      <c r="F266" s="756"/>
    </row>
  </sheetData>
  <phoneticPr fontId="10" type="noConversion"/>
  <dataValidations count="1">
    <dataValidation type="custom" allowBlank="1" showInputMessage="1" showErrorMessage="1" sqref="AR46:AR49 S198 AR158:AR161 AR151:AR154 AR144:AR147 AR137:AR140 AR130:AR133 AR123:AR126 AR116:AR119 AR109:AR112 AR102:AR105 AR95:AR98 AR88:AR91 AR81:AR84 AR74:AR77 AR67:AR70 AR60:AR63 AR53:AR56 A1">
      <formula1>-1</formula1>
    </dataValidation>
  </dataValidations>
  <pageMargins left="0.75" right="0.75" top="1" bottom="1" header="0.5" footer="0.5"/>
  <pageSetup scale="43"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S51"/>
  <sheetViews>
    <sheetView showGridLines="0" workbookViewId="0"/>
  </sheetViews>
  <sheetFormatPr defaultRowHeight="12.75" outlineLevelRow="1" outlineLevelCol="1"/>
  <cols>
    <col min="1" max="1" width="28.85546875" style="398" customWidth="1"/>
    <col min="2" max="24" width="10" style="398" hidden="1" customWidth="1" outlineLevel="1"/>
    <col min="25" max="25" width="10" style="398" bestFit="1" customWidth="1" collapsed="1"/>
    <col min="26" max="27" width="10" style="398" bestFit="1" customWidth="1"/>
    <col min="28" max="28" width="9.5703125" style="398" customWidth="1"/>
    <col min="29" max="29" width="10" style="398" bestFit="1" customWidth="1"/>
    <col min="30" max="30" width="9" style="398" customWidth="1"/>
    <col min="31" max="35" width="9.5703125" style="398" customWidth="1"/>
    <col min="36" max="37" width="9.5703125" style="398" hidden="1" customWidth="1" outlineLevel="1"/>
    <col min="38" max="38" width="4.5703125" style="398" customWidth="1" collapsed="1"/>
    <col min="39" max="39" width="7.5703125" style="398" customWidth="1"/>
    <col min="40" max="40" width="2.42578125" style="398" customWidth="1"/>
    <col min="41" max="41" width="9.28515625" style="398" bestFit="1" customWidth="1"/>
    <col min="42" max="42" width="2.28515625" style="398" customWidth="1"/>
    <col min="43" max="43" width="2.42578125" style="398" customWidth="1"/>
    <col min="44" max="16384" width="9.140625" style="398"/>
  </cols>
  <sheetData>
    <row r="1" spans="1:45">
      <c r="A1" s="582" t="s">
        <v>442</v>
      </c>
    </row>
    <row r="2" spans="1:45">
      <c r="A2" s="686" t="s">
        <v>625</v>
      </c>
      <c r="B2" s="584"/>
      <c r="C2" s="584"/>
      <c r="D2" s="584"/>
      <c r="E2" s="584"/>
      <c r="F2" s="584"/>
      <c r="G2" s="584"/>
      <c r="H2" s="584"/>
      <c r="I2" s="584"/>
      <c r="J2" s="584"/>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584"/>
      <c r="AJ2" s="584"/>
      <c r="AK2" s="584"/>
      <c r="AL2" s="584"/>
      <c r="AM2" s="584"/>
      <c r="AN2" s="584"/>
      <c r="AO2" s="584"/>
      <c r="AP2" s="584"/>
    </row>
    <row r="3" spans="1:45">
      <c r="AA3" s="591"/>
      <c r="AE3" s="579"/>
      <c r="AF3" s="579"/>
      <c r="AG3" s="579"/>
      <c r="AH3" s="579"/>
      <c r="AI3" s="579"/>
      <c r="AJ3" s="579"/>
      <c r="AK3" s="579"/>
      <c r="AL3" s="579"/>
    </row>
    <row r="4" spans="1:45">
      <c r="I4" s="582"/>
      <c r="J4" s="582"/>
      <c r="AA4" s="591"/>
      <c r="AE4" s="579"/>
      <c r="AF4" s="579"/>
      <c r="AG4" s="579"/>
      <c r="AH4" s="579"/>
      <c r="AI4" s="579"/>
      <c r="AJ4" s="579"/>
      <c r="AK4" s="579"/>
      <c r="AL4" s="579"/>
      <c r="AM4" s="950"/>
      <c r="AN4" s="951" t="s">
        <v>80</v>
      </c>
      <c r="AO4" s="952"/>
      <c r="AP4" s="953"/>
    </row>
    <row r="5" spans="1:45">
      <c r="B5" s="954">
        <f>'yrP&amp;L'!B5</f>
        <v>1989</v>
      </c>
      <c r="C5" s="954">
        <f>'yrP&amp;L'!C5</f>
        <v>1990</v>
      </c>
      <c r="D5" s="954">
        <f>'yrP&amp;L'!D5</f>
        <v>1991</v>
      </c>
      <c r="E5" s="954">
        <f>'yrP&amp;L'!E5</f>
        <v>1992</v>
      </c>
      <c r="F5" s="954">
        <f>'yrP&amp;L'!F5</f>
        <v>1993</v>
      </c>
      <c r="G5" s="954">
        <f>'yrP&amp;L'!G5</f>
        <v>1994</v>
      </c>
      <c r="H5" s="954">
        <f>'yrP&amp;L'!H5</f>
        <v>1995</v>
      </c>
      <c r="I5" s="954">
        <f>'yrP&amp;L'!I5</f>
        <v>1996</v>
      </c>
      <c r="J5" s="954">
        <f>'yrP&amp;L'!J5</f>
        <v>1997</v>
      </c>
      <c r="K5" s="954">
        <f>'yrP&amp;L'!K5</f>
        <v>1998</v>
      </c>
      <c r="L5" s="954">
        <f>'yrP&amp;L'!L5</f>
        <v>1999</v>
      </c>
      <c r="M5" s="954">
        <f>'yrP&amp;L'!M5</f>
        <v>2000</v>
      </c>
      <c r="N5" s="954">
        <f>'yrP&amp;L'!N5</f>
        <v>2001</v>
      </c>
      <c r="O5" s="954">
        <f>'yrP&amp;L'!O5</f>
        <v>2002</v>
      </c>
      <c r="P5" s="954" t="str">
        <f>'yrP&amp;L'!P5</f>
        <v>2001R</v>
      </c>
      <c r="Q5" s="954" t="str">
        <f>'yrP&amp;L'!Q5</f>
        <v>2002R</v>
      </c>
      <c r="R5" s="954">
        <f>'yrP&amp;L'!R5</f>
        <v>2003</v>
      </c>
      <c r="S5" s="954">
        <f>'yrP&amp;L'!S5</f>
        <v>2004</v>
      </c>
      <c r="T5" s="954">
        <f>'yrP&amp;L'!T5</f>
        <v>2005</v>
      </c>
      <c r="U5" s="954">
        <f>'yrP&amp;L'!U5</f>
        <v>2006</v>
      </c>
      <c r="V5" s="954">
        <f>'yrP&amp;L'!V5</f>
        <v>2007</v>
      </c>
      <c r="W5" s="954">
        <f>'yrP&amp;L'!W5</f>
        <v>2008</v>
      </c>
      <c r="X5" s="954">
        <f>'yrP&amp;L'!X5</f>
        <v>2009</v>
      </c>
      <c r="Y5" s="954">
        <f>'yrP&amp;L'!Y5</f>
        <v>2010</v>
      </c>
      <c r="Z5" s="954">
        <f>'yrP&amp;L'!Z5</f>
        <v>2011</v>
      </c>
      <c r="AA5" s="954">
        <f>'yrP&amp;L'!AA5</f>
        <v>2012</v>
      </c>
      <c r="AB5" s="954">
        <f>'yrP&amp;L'!AB5</f>
        <v>2013</v>
      </c>
      <c r="AC5" s="954">
        <f>'yrP&amp;L'!AC5</f>
        <v>2014</v>
      </c>
      <c r="AD5" s="955" t="s">
        <v>718</v>
      </c>
      <c r="AE5" s="955" t="s">
        <v>719</v>
      </c>
      <c r="AF5" s="955" t="s">
        <v>720</v>
      </c>
      <c r="AG5" s="1380">
        <f>'yrP&amp;L'!AG5</f>
        <v>2018</v>
      </c>
      <c r="AH5" s="1380">
        <f>'yrP&amp;L'!AH5</f>
        <v>2019</v>
      </c>
      <c r="AI5" s="1380">
        <f>'yrP&amp;L'!AI5</f>
        <v>2020</v>
      </c>
      <c r="AJ5" s="1380">
        <f>'yrP&amp;L'!AJ5</f>
        <v>2021</v>
      </c>
      <c r="AK5" s="1380">
        <f>'yrP&amp;L'!AK5</f>
        <v>2022</v>
      </c>
      <c r="AL5" s="955"/>
      <c r="AM5" s="956" t="s">
        <v>693</v>
      </c>
      <c r="AN5" s="951"/>
      <c r="AO5" s="1381" t="s">
        <v>721</v>
      </c>
      <c r="AP5" s="953"/>
    </row>
    <row r="6" spans="1:45">
      <c r="AB6" s="709"/>
      <c r="AC6" s="709"/>
      <c r="AD6" s="709"/>
      <c r="AM6" s="588"/>
      <c r="AN6" s="601"/>
      <c r="AO6" s="601"/>
      <c r="AP6" s="957"/>
    </row>
    <row r="7" spans="1:45" outlineLevel="1">
      <c r="A7" s="398" t="s">
        <v>412</v>
      </c>
      <c r="B7" s="958" t="str">
        <f>IF(ISERROR((B11-B9)),"NA",B11-B9)</f>
        <v>NA</v>
      </c>
      <c r="C7" s="958" t="str">
        <f t="shared" ref="C7:AC7" si="0">IF(ISERROR((C11-C9)),"NA",C11-C9)</f>
        <v>NA</v>
      </c>
      <c r="D7" s="958" t="str">
        <f t="shared" si="0"/>
        <v>NA</v>
      </c>
      <c r="E7" s="958">
        <f t="shared" si="0"/>
        <v>14843</v>
      </c>
      <c r="F7" s="958">
        <f t="shared" si="0"/>
        <v>15469</v>
      </c>
      <c r="G7" s="958">
        <f t="shared" si="0"/>
        <v>16850.347999999998</v>
      </c>
      <c r="H7" s="958">
        <f t="shared" si="0"/>
        <v>16823</v>
      </c>
      <c r="I7" s="958">
        <f t="shared" si="0"/>
        <v>18880</v>
      </c>
      <c r="J7" s="958">
        <f t="shared" si="0"/>
        <v>25565.9</v>
      </c>
      <c r="K7" s="958">
        <f t="shared" si="0"/>
        <v>25548.5</v>
      </c>
      <c r="L7" s="958">
        <f t="shared" si="0"/>
        <v>27453</v>
      </c>
      <c r="M7" s="958">
        <f t="shared" si="0"/>
        <v>27673</v>
      </c>
      <c r="N7" s="958">
        <f t="shared" si="0"/>
        <v>28655</v>
      </c>
      <c r="O7" s="958">
        <f t="shared" si="0"/>
        <v>29735.018</v>
      </c>
      <c r="P7" s="958">
        <f t="shared" si="0"/>
        <v>14490</v>
      </c>
      <c r="Q7" s="958">
        <f t="shared" si="0"/>
        <v>14772.018</v>
      </c>
      <c r="R7" s="958">
        <f t="shared" si="0"/>
        <v>14815</v>
      </c>
      <c r="S7" s="958">
        <f t="shared" si="0"/>
        <v>15357</v>
      </c>
      <c r="T7" s="958">
        <f t="shared" si="0"/>
        <v>15944</v>
      </c>
      <c r="U7" s="958">
        <f t="shared" si="0"/>
        <v>16951</v>
      </c>
      <c r="V7" s="958">
        <f t="shared" si="0"/>
        <v>17012.07</v>
      </c>
      <c r="W7" s="958">
        <f t="shared" si="0"/>
        <v>15884.327094757995</v>
      </c>
      <c r="X7" s="958">
        <f t="shared" si="0"/>
        <v>15114.281191859485</v>
      </c>
      <c r="Y7" s="958">
        <f t="shared" si="0"/>
        <v>15521.120872561063</v>
      </c>
      <c r="Z7" s="958">
        <f t="shared" si="0"/>
        <v>15123.847056319237</v>
      </c>
      <c r="AA7" s="958">
        <f t="shared" si="0"/>
        <v>11962.5</v>
      </c>
      <c r="AB7" s="958">
        <f t="shared" si="0"/>
        <v>10780</v>
      </c>
      <c r="AC7" s="958">
        <f t="shared" si="0"/>
        <v>11033.014332499999</v>
      </c>
      <c r="AD7" s="958">
        <f t="shared" ref="AD7:AJ7" si="1">IF(ISERROR((AD11-AD9)),"NA",AD11-AD9)</f>
        <v>11217.416482375</v>
      </c>
      <c r="AE7" s="958">
        <f t="shared" si="1"/>
        <v>10884.411161106251</v>
      </c>
      <c r="AF7" s="958">
        <f>IF(ISERROR((AF11-AF9)),"NA",AF11-AF9)</f>
        <v>10527.519281716439</v>
      </c>
      <c r="AG7" s="958">
        <f>IF(ISERROR((AG11-AG9)),"NA",AG11-AG9)</f>
        <v>9877.7272098880821</v>
      </c>
      <c r="AH7" s="958">
        <f t="shared" si="1"/>
        <v>9375.029710494513</v>
      </c>
      <c r="AI7" s="958">
        <f t="shared" si="1"/>
        <v>8789.090484420849</v>
      </c>
      <c r="AJ7" s="958">
        <f t="shared" si="1"/>
        <v>8169.4074331349657</v>
      </c>
      <c r="AK7" s="958">
        <f t="shared" ref="AK7" si="2">IF(ISERROR((AK11-AK9)),"NA",AK11-AK9)</f>
        <v>7429.9922899440571</v>
      </c>
      <c r="AL7" s="959"/>
      <c r="AM7" s="960">
        <f>((AC7/Y7)^(1/4)-1)*100</f>
        <v>-8.1788399345373968</v>
      </c>
      <c r="AN7" s="507" t="s">
        <v>156</v>
      </c>
      <c r="AO7" s="509">
        <f>((AH7/AC7)^(1/5)-1)*100</f>
        <v>-3.2043826434499323</v>
      </c>
      <c r="AP7" s="961" t="s">
        <v>156</v>
      </c>
    </row>
    <row r="8" spans="1:45" outlineLevel="1">
      <c r="A8" s="774" t="s">
        <v>78</v>
      </c>
      <c r="C8" s="958" t="s">
        <v>147</v>
      </c>
      <c r="D8" s="958" t="s">
        <v>147</v>
      </c>
      <c r="E8" s="958" t="s">
        <v>147</v>
      </c>
      <c r="F8" s="962">
        <f t="shared" ref="F8:AH8" si="3">F7/E7-1</f>
        <v>4.2174762514316511E-2</v>
      </c>
      <c r="G8" s="962">
        <f t="shared" si="3"/>
        <v>8.9297821449350279E-2</v>
      </c>
      <c r="H8" s="962">
        <f t="shared" si="3"/>
        <v>-1.6229931868467773E-3</v>
      </c>
      <c r="I8" s="962">
        <f t="shared" si="3"/>
        <v>0.12227307852345004</v>
      </c>
      <c r="J8" s="962">
        <f t="shared" si="3"/>
        <v>0.35412605932203389</v>
      </c>
      <c r="K8" s="962">
        <f t="shared" si="3"/>
        <v>-6.8059407257325955E-4</v>
      </c>
      <c r="L8" s="962">
        <f t="shared" si="3"/>
        <v>7.454449380589856E-2</v>
      </c>
      <c r="M8" s="962">
        <f t="shared" si="3"/>
        <v>8.0136961352128555E-3</v>
      </c>
      <c r="N8" s="962">
        <f t="shared" si="3"/>
        <v>3.5485852636143456E-2</v>
      </c>
      <c r="O8" s="962">
        <f t="shared" si="3"/>
        <v>3.76903856220554E-2</v>
      </c>
      <c r="P8" s="962">
        <f t="shared" si="3"/>
        <v>-0.51269577169921332</v>
      </c>
      <c r="Q8" s="962">
        <f t="shared" si="3"/>
        <v>1.9462939958592163E-2</v>
      </c>
      <c r="R8" s="962">
        <f t="shared" si="3"/>
        <v>2.9096904701848558E-3</v>
      </c>
      <c r="S8" s="962">
        <f t="shared" si="3"/>
        <v>3.6584542693216315E-2</v>
      </c>
      <c r="T8" s="962">
        <f t="shared" si="3"/>
        <v>3.8223611382431466E-2</v>
      </c>
      <c r="U8" s="962">
        <f t="shared" si="3"/>
        <v>6.315855494229794E-2</v>
      </c>
      <c r="V8" s="962">
        <f t="shared" si="3"/>
        <v>3.6027373016340736E-3</v>
      </c>
      <c r="W8" s="962">
        <f t="shared" si="3"/>
        <v>-6.6290751521831504E-2</v>
      </c>
      <c r="X8" s="962">
        <f t="shared" si="3"/>
        <v>-4.8478345875453077E-2</v>
      </c>
      <c r="Y8" s="962">
        <f t="shared" si="3"/>
        <v>2.6917567268809339E-2</v>
      </c>
      <c r="Z8" s="962">
        <f t="shared" si="3"/>
        <v>-2.5595691155536615E-2</v>
      </c>
      <c r="AA8" s="962">
        <f t="shared" si="3"/>
        <v>-0.20903061532867873</v>
      </c>
      <c r="AB8" s="962">
        <f t="shared" si="3"/>
        <v>-9.8850574712643691E-2</v>
      </c>
      <c r="AC8" s="962">
        <f t="shared" si="3"/>
        <v>2.3470717300556387E-2</v>
      </c>
      <c r="AD8" s="962">
        <f t="shared" si="3"/>
        <v>1.671366902259952E-2</v>
      </c>
      <c r="AE8" s="962">
        <f t="shared" si="3"/>
        <v>-2.9686454255484995E-2</v>
      </c>
      <c r="AF8" s="962">
        <f t="shared" si="3"/>
        <v>-3.2789268441558828E-2</v>
      </c>
      <c r="AG8" s="962">
        <f t="shared" si="3"/>
        <v>-6.172318990257053E-2</v>
      </c>
      <c r="AH8" s="962">
        <f t="shared" si="3"/>
        <v>-5.0892020878076538E-2</v>
      </c>
      <c r="AI8" s="962">
        <f>AI7/AH7-1</f>
        <v>-6.2499986044604938E-2</v>
      </c>
      <c r="AJ8" s="962">
        <f>AJ7/AI7-1</f>
        <v>-7.0505936010592407E-2</v>
      </c>
      <c r="AK8" s="962">
        <f>AK7/AJ7-1</f>
        <v>-9.0510254169948068E-2</v>
      </c>
      <c r="AL8" s="962"/>
      <c r="AM8" s="500"/>
      <c r="AN8" s="507"/>
      <c r="AO8" s="507"/>
      <c r="AP8" s="961"/>
    </row>
    <row r="9" spans="1:45" outlineLevel="1">
      <c r="A9" s="398" t="s">
        <v>77</v>
      </c>
      <c r="B9" s="958" t="s">
        <v>147</v>
      </c>
      <c r="C9" s="958" t="s">
        <v>147</v>
      </c>
      <c r="D9" s="958" t="s">
        <v>147</v>
      </c>
      <c r="E9" s="958">
        <v>3166</v>
      </c>
      <c r="F9" s="958">
        <v>3514</v>
      </c>
      <c r="G9" s="958">
        <v>3529.652</v>
      </c>
      <c r="H9" s="958">
        <v>3739</v>
      </c>
      <c r="I9" s="958">
        <v>3772</v>
      </c>
      <c r="J9" s="958">
        <v>3915.3</v>
      </c>
      <c r="K9" s="958">
        <v>3889.5</v>
      </c>
      <c r="L9" s="958">
        <v>4290</v>
      </c>
      <c r="M9" s="958">
        <v>4173</v>
      </c>
      <c r="N9" s="958">
        <v>3349</v>
      </c>
      <c r="O9" s="958">
        <v>2611.982</v>
      </c>
      <c r="P9" s="958">
        <v>3350</v>
      </c>
      <c r="Q9" s="958">
        <v>2611.982</v>
      </c>
      <c r="R9" s="958">
        <v>2698</v>
      </c>
      <c r="S9" s="958">
        <v>2739</v>
      </c>
      <c r="T9" s="958">
        <v>2837.0839999999998</v>
      </c>
      <c r="U9" s="958">
        <v>2954.0879999999997</v>
      </c>
      <c r="V9" s="958">
        <v>2844.93</v>
      </c>
      <c r="W9" s="958">
        <v>2602.2053839478945</v>
      </c>
      <c r="X9" s="958">
        <v>2445.1983398358821</v>
      </c>
      <c r="Y9" s="958">
        <v>2237.8791274389378</v>
      </c>
      <c r="Z9" s="958">
        <v>2136.1529436807632</v>
      </c>
      <c r="AA9" s="958">
        <f>qtrSales!AP197</f>
        <v>1022.5</v>
      </c>
      <c r="AB9" s="958">
        <f>qtrSales!AP204</f>
        <v>1079</v>
      </c>
      <c r="AC9" s="958">
        <f>qtrSales!$AP211</f>
        <v>1223.9856675000001</v>
      </c>
      <c r="AD9" s="958">
        <f>qtrSales!$AP218</f>
        <v>1407.5835176249998</v>
      </c>
      <c r="AE9" s="958">
        <f>qtrSales!$AP$225</f>
        <v>1662.5888388937497</v>
      </c>
      <c r="AF9" s="958">
        <f>qtrSales!AP232</f>
        <v>1978.4807182835621</v>
      </c>
      <c r="AG9" s="958">
        <f>qtrSales!AP239</f>
        <v>2176.3287901119184</v>
      </c>
      <c r="AH9" s="958">
        <f>AG9*(1+AH10)</f>
        <v>2350.4350933208721</v>
      </c>
      <c r="AI9" s="958">
        <f>AH9*(1+AI10)</f>
        <v>2538.469900786542</v>
      </c>
      <c r="AJ9" s="958">
        <f>AI9*(1+AJ10)</f>
        <v>2690.7780948337345</v>
      </c>
      <c r="AK9" s="958">
        <f>AJ9*(1+AK10)</f>
        <v>2852.2247805237589</v>
      </c>
      <c r="AL9" s="959"/>
      <c r="AM9" s="960">
        <f>((AC9/Y9)^(1/4)-1)*100</f>
        <v>-14.002678123920676</v>
      </c>
      <c r="AN9" s="507" t="s">
        <v>156</v>
      </c>
      <c r="AO9" s="509">
        <f>((AH9/AC9)^(1/5)-1)*100</f>
        <v>13.939520138805751</v>
      </c>
      <c r="AP9" s="961" t="s">
        <v>156</v>
      </c>
    </row>
    <row r="10" spans="1:45" outlineLevel="1">
      <c r="A10" s="774" t="s">
        <v>78</v>
      </c>
      <c r="B10" s="958" t="s">
        <v>147</v>
      </c>
      <c r="C10" s="958" t="s">
        <v>147</v>
      </c>
      <c r="D10" s="958" t="s">
        <v>147</v>
      </c>
      <c r="E10" s="958" t="s">
        <v>147</v>
      </c>
      <c r="F10" s="962">
        <f t="shared" ref="F10:S10" si="4">F9/E9-1</f>
        <v>0.10991787744788373</v>
      </c>
      <c r="G10" s="962">
        <f t="shared" si="4"/>
        <v>4.4541832669322545E-3</v>
      </c>
      <c r="H10" s="962">
        <f t="shared" si="4"/>
        <v>5.9311229548975275E-2</v>
      </c>
      <c r="I10" s="962">
        <f t="shared" si="4"/>
        <v>8.8258892752073326E-3</v>
      </c>
      <c r="J10" s="962">
        <f t="shared" si="4"/>
        <v>3.7990455991516514E-2</v>
      </c>
      <c r="K10" s="962">
        <f t="shared" si="4"/>
        <v>-6.5895333690905167E-3</v>
      </c>
      <c r="L10" s="962">
        <f t="shared" si="4"/>
        <v>0.10296953335904369</v>
      </c>
      <c r="M10" s="962">
        <f t="shared" si="4"/>
        <v>-2.7272727272727226E-2</v>
      </c>
      <c r="N10" s="962">
        <f t="shared" si="4"/>
        <v>-0.19745986101126289</v>
      </c>
      <c r="O10" s="962">
        <f t="shared" si="4"/>
        <v>-0.22007106598984771</v>
      </c>
      <c r="P10" s="962">
        <f t="shared" si="4"/>
        <v>0.2825509517293765</v>
      </c>
      <c r="Q10" s="962">
        <f t="shared" si="4"/>
        <v>-0.22030388059701489</v>
      </c>
      <c r="R10" s="962">
        <f t="shared" si="4"/>
        <v>3.2932079930106717E-2</v>
      </c>
      <c r="S10" s="962">
        <f t="shared" si="4"/>
        <v>1.519644180874713E-2</v>
      </c>
      <c r="T10" s="962">
        <f t="shared" ref="T10:AA10" si="5">T9/S9-1</f>
        <v>3.581014968966767E-2</v>
      </c>
      <c r="U10" s="962">
        <f t="shared" si="5"/>
        <v>4.1240936116096583E-2</v>
      </c>
      <c r="V10" s="962">
        <f t="shared" si="5"/>
        <v>-3.6951505845458921E-2</v>
      </c>
      <c r="W10" s="962">
        <f t="shared" si="5"/>
        <v>-8.5318308728898562E-2</v>
      </c>
      <c r="X10" s="962">
        <f t="shared" si="5"/>
        <v>-6.0336146055393836E-2</v>
      </c>
      <c r="Y10" s="962">
        <f t="shared" si="5"/>
        <v>-8.4786255993801851E-2</v>
      </c>
      <c r="Z10" s="962">
        <f t="shared" si="5"/>
        <v>-4.5456513942552124E-2</v>
      </c>
      <c r="AA10" s="962">
        <f t="shared" si="5"/>
        <v>-0.52133577184873747</v>
      </c>
      <c r="AB10" s="962">
        <f t="shared" ref="AB10:AG10" si="6">AB9/AA9-1</f>
        <v>5.5256723716381462E-2</v>
      </c>
      <c r="AC10" s="962">
        <f t="shared" si="6"/>
        <v>0.13437040546802614</v>
      </c>
      <c r="AD10" s="962">
        <f t="shared" si="6"/>
        <v>0.14999999999999969</v>
      </c>
      <c r="AE10" s="962">
        <f t="shared" si="6"/>
        <v>0.18116532204001468</v>
      </c>
      <c r="AF10" s="962">
        <f t="shared" si="6"/>
        <v>0.18999999999999995</v>
      </c>
      <c r="AG10" s="962">
        <f t="shared" si="6"/>
        <v>0.10000000000000009</v>
      </c>
      <c r="AH10" s="1525">
        <v>0.08</v>
      </c>
      <c r="AI10" s="1525">
        <v>0.08</v>
      </c>
      <c r="AJ10" s="1525">
        <v>0.06</v>
      </c>
      <c r="AK10" s="1525">
        <v>0.06</v>
      </c>
      <c r="AL10" s="963"/>
      <c r="AM10" s="500"/>
      <c r="AN10" s="507"/>
      <c r="AO10" s="507"/>
      <c r="AP10" s="961"/>
    </row>
    <row r="11" spans="1:45">
      <c r="A11" s="398" t="s">
        <v>413</v>
      </c>
      <c r="B11" s="958">
        <f>'yrP&amp;L'!B7</f>
        <v>16103</v>
      </c>
      <c r="C11" s="958">
        <f>'yrP&amp;L'!C7</f>
        <v>16365</v>
      </c>
      <c r="D11" s="958">
        <f>'yrP&amp;L'!D7</f>
        <v>16201</v>
      </c>
      <c r="E11" s="958">
        <f>'yrP&amp;L'!E7</f>
        <v>18009</v>
      </c>
      <c r="F11" s="958">
        <f>'yrP&amp;L'!F7</f>
        <v>18983</v>
      </c>
      <c r="G11" s="958">
        <f>'yrP&amp;L'!G7</f>
        <v>20380</v>
      </c>
      <c r="H11" s="958">
        <f>'yrP&amp;L'!H7</f>
        <v>20562</v>
      </c>
      <c r="I11" s="958">
        <f>'yrP&amp;L'!I7</f>
        <v>22652</v>
      </c>
      <c r="J11" s="958">
        <f>'yrP&amp;L'!J7</f>
        <v>29481.200000000001</v>
      </c>
      <c r="K11" s="958">
        <f>'yrP&amp;L'!K7</f>
        <v>29438</v>
      </c>
      <c r="L11" s="958">
        <f>'yrP&amp;L'!L7</f>
        <v>31743</v>
      </c>
      <c r="M11" s="958">
        <f>'yrP&amp;L'!M7</f>
        <v>31846</v>
      </c>
      <c r="N11" s="958">
        <f>'yrP&amp;L'!N7</f>
        <v>32004</v>
      </c>
      <c r="O11" s="958">
        <f>'yrP&amp;L'!O7</f>
        <v>32347</v>
      </c>
      <c r="P11" s="958">
        <f>'yrP&amp;L'!P7</f>
        <v>17840</v>
      </c>
      <c r="Q11" s="958">
        <f>'yrP&amp;L'!Q7</f>
        <v>17384</v>
      </c>
      <c r="R11" s="958">
        <f>'yrP&amp;L'!R7</f>
        <v>17513</v>
      </c>
      <c r="S11" s="958">
        <f>'yrP&amp;L'!S7</f>
        <v>18096</v>
      </c>
      <c r="T11" s="958">
        <f>'yrP&amp;L'!T7</f>
        <v>18781.083999999999</v>
      </c>
      <c r="U11" s="958">
        <f>'yrP&amp;L'!U7</f>
        <v>19905.088</v>
      </c>
      <c r="V11" s="958">
        <f>'yrP&amp;L'!V7</f>
        <v>19857</v>
      </c>
      <c r="W11" s="958">
        <f>'yrP&amp;L'!W7</f>
        <v>18486.532478705889</v>
      </c>
      <c r="X11" s="958">
        <f>'yrP&amp;L'!X7</f>
        <v>17559.479531695368</v>
      </c>
      <c r="Y11" s="958">
        <f>'yrP&amp;L'!Y7</f>
        <v>17759</v>
      </c>
      <c r="Z11" s="958">
        <f>'yrP&amp;L'!Z7</f>
        <v>17260</v>
      </c>
      <c r="AA11" s="958">
        <f>'yrP&amp;L'!AA7</f>
        <v>12985</v>
      </c>
      <c r="AB11" s="958">
        <f>'yrP&amp;L'!AB7</f>
        <v>11859</v>
      </c>
      <c r="AC11" s="958">
        <f>'yrP&amp;L'!AC7</f>
        <v>12257</v>
      </c>
      <c r="AD11" s="958">
        <f>'yrP&amp;L'!AD7</f>
        <v>12625</v>
      </c>
      <c r="AE11" s="958">
        <f>'yrP&amp;L'!AE7</f>
        <v>12547</v>
      </c>
      <c r="AF11" s="958">
        <f>'yrP&amp;L'!AF7</f>
        <v>12506</v>
      </c>
      <c r="AG11" s="958">
        <f>'yrP&amp;L'!AG7</f>
        <v>12054.056</v>
      </c>
      <c r="AH11" s="958">
        <f>(AG11-AH45)*(1+AH39)*(AH41)*(AH27/AG27)</f>
        <v>11725.464803815385</v>
      </c>
      <c r="AI11" s="958">
        <f>(AH11-AI45)*(1+AI39)*(AI41)*(AI27/AH27)</f>
        <v>11327.560385207391</v>
      </c>
      <c r="AJ11" s="958">
        <f>(AI11-AJ45)*(1+AJ39)*(AJ41)*(AJ27/AI27)</f>
        <v>10860.185527968701</v>
      </c>
      <c r="AK11" s="958">
        <f>(AJ11-AK45)*(1+AK39)*(AK41)*(AK27/AJ27)</f>
        <v>10282.217070467816</v>
      </c>
      <c r="AL11" s="964"/>
      <c r="AM11" s="965">
        <f>((AE11/Z11)^(1/4)-1)*100</f>
        <v>-7.6632091480021147</v>
      </c>
      <c r="AN11" s="507" t="s">
        <v>156</v>
      </c>
      <c r="AO11" s="509">
        <f>((AJ11/AE11)^(1/5)-1)*100</f>
        <v>-2.846272173934794</v>
      </c>
      <c r="AP11" s="961" t="s">
        <v>156</v>
      </c>
      <c r="AS11" s="587"/>
    </row>
    <row r="12" spans="1:45">
      <c r="A12" s="774" t="s">
        <v>78</v>
      </c>
      <c r="C12" s="962">
        <f t="shared" ref="C12:AH12" si="7">C11/B11-1</f>
        <v>1.6270260199962694E-2</v>
      </c>
      <c r="D12" s="962">
        <f t="shared" si="7"/>
        <v>-1.0021387106630031E-2</v>
      </c>
      <c r="E12" s="962">
        <f t="shared" si="7"/>
        <v>0.11159804950311702</v>
      </c>
      <c r="F12" s="962">
        <f t="shared" si="7"/>
        <v>5.4084069076572927E-2</v>
      </c>
      <c r="G12" s="962">
        <f t="shared" si="7"/>
        <v>7.3592161407575185E-2</v>
      </c>
      <c r="H12" s="962">
        <f t="shared" si="7"/>
        <v>8.9303238469087276E-3</v>
      </c>
      <c r="I12" s="962">
        <f t="shared" si="7"/>
        <v>0.10164380896799918</v>
      </c>
      <c r="J12" s="962">
        <f t="shared" si="7"/>
        <v>0.30148331273176754</v>
      </c>
      <c r="K12" s="962">
        <f t="shared" si="7"/>
        <v>-1.4653406238552824E-3</v>
      </c>
      <c r="L12" s="962">
        <f t="shared" si="7"/>
        <v>7.8300156260615594E-2</v>
      </c>
      <c r="M12" s="962">
        <f t="shared" si="7"/>
        <v>3.244809879343391E-3</v>
      </c>
      <c r="N12" s="962">
        <f t="shared" si="7"/>
        <v>4.9613766250078406E-3</v>
      </c>
      <c r="O12" s="962">
        <f t="shared" si="7"/>
        <v>1.0717410323709542E-2</v>
      </c>
      <c r="P12" s="962">
        <f t="shared" si="7"/>
        <v>-0.44848053915355368</v>
      </c>
      <c r="Q12" s="962">
        <f t="shared" si="7"/>
        <v>-2.556053811659198E-2</v>
      </c>
      <c r="R12" s="962">
        <f t="shared" si="7"/>
        <v>7.4206166589967371E-3</v>
      </c>
      <c r="S12" s="962">
        <f t="shared" si="7"/>
        <v>3.3289556329583636E-2</v>
      </c>
      <c r="T12" s="962">
        <f t="shared" si="7"/>
        <v>3.7858311229000741E-2</v>
      </c>
      <c r="U12" s="962">
        <f t="shared" si="7"/>
        <v>5.9847663745074664E-2</v>
      </c>
      <c r="V12" s="962">
        <f t="shared" si="7"/>
        <v>-2.4158647276515399E-3</v>
      </c>
      <c r="W12" s="962">
        <f t="shared" si="7"/>
        <v>-6.9016846517304331E-2</v>
      </c>
      <c r="X12" s="962">
        <f t="shared" si="7"/>
        <v>-5.0147476173715511E-2</v>
      </c>
      <c r="Y12" s="962">
        <f t="shared" si="7"/>
        <v>1.1362550236440283E-2</v>
      </c>
      <c r="Z12" s="962">
        <f t="shared" si="7"/>
        <v>-2.809842896559489E-2</v>
      </c>
      <c r="AA12" s="962">
        <f t="shared" si="7"/>
        <v>-0.24768250289687133</v>
      </c>
      <c r="AB12" s="962">
        <f t="shared" si="7"/>
        <v>-8.6715440893338491E-2</v>
      </c>
      <c r="AC12" s="962">
        <f t="shared" si="7"/>
        <v>3.3561008516738378E-2</v>
      </c>
      <c r="AD12" s="962">
        <f t="shared" si="7"/>
        <v>3.0023659949416581E-2</v>
      </c>
      <c r="AE12" s="962">
        <f t="shared" si="7"/>
        <v>-6.1782178217821837E-3</v>
      </c>
      <c r="AF12" s="962">
        <f t="shared" si="7"/>
        <v>-3.2677133976248829E-3</v>
      </c>
      <c r="AG12" s="962">
        <f t="shared" si="7"/>
        <v>-3.6138173676635188E-2</v>
      </c>
      <c r="AH12" s="962">
        <f t="shared" si="7"/>
        <v>-2.7259803354540257E-2</v>
      </c>
      <c r="AI12" s="962">
        <f>AI11/AH11-1</f>
        <v>-3.3935065710872125E-2</v>
      </c>
      <c r="AJ12" s="962">
        <f>AJ11/AI11-1</f>
        <v>-4.1259974905897057E-2</v>
      </c>
      <c r="AK12" s="962">
        <f>AK11/AJ11-1</f>
        <v>-5.3219022457067444E-2</v>
      </c>
      <c r="AL12" s="962"/>
      <c r="AM12" s="500"/>
      <c r="AN12" s="507"/>
      <c r="AO12" s="507"/>
      <c r="AP12" s="961"/>
      <c r="AS12" s="895"/>
    </row>
    <row r="13" spans="1:45">
      <c r="AA13" s="591"/>
      <c r="AM13" s="500"/>
      <c r="AN13" s="507"/>
      <c r="AO13" s="507"/>
      <c r="AP13" s="961"/>
    </row>
    <row r="14" spans="1:45">
      <c r="A14" s="398" t="s">
        <v>81</v>
      </c>
      <c r="B14" s="841">
        <v>1355</v>
      </c>
      <c r="C14" s="706">
        <f>B17</f>
        <v>1328</v>
      </c>
      <c r="D14" s="706">
        <f t="shared" ref="D14:O14" si="8">C17</f>
        <v>1312</v>
      </c>
      <c r="E14" s="706">
        <f t="shared" si="8"/>
        <v>1283</v>
      </c>
      <c r="F14" s="706">
        <f t="shared" si="8"/>
        <v>1266</v>
      </c>
      <c r="G14" s="706">
        <f t="shared" si="8"/>
        <v>1246</v>
      </c>
      <c r="H14" s="706">
        <f t="shared" si="8"/>
        <v>1233</v>
      </c>
      <c r="I14" s="706">
        <f t="shared" si="8"/>
        <v>1238</v>
      </c>
      <c r="J14" s="706">
        <f t="shared" si="8"/>
        <v>1228</v>
      </c>
      <c r="K14" s="706">
        <f t="shared" si="8"/>
        <v>1203</v>
      </c>
      <c r="L14" s="706">
        <f t="shared" si="8"/>
        <v>1169</v>
      </c>
      <c r="M14" s="706">
        <f t="shared" si="8"/>
        <v>1176</v>
      </c>
      <c r="N14" s="706">
        <f t="shared" si="8"/>
        <v>1157</v>
      </c>
      <c r="O14" s="706">
        <f t="shared" si="8"/>
        <v>1123</v>
      </c>
      <c r="P14" s="780">
        <v>1108</v>
      </c>
      <c r="Q14" s="706">
        <f>P17</f>
        <v>1069</v>
      </c>
      <c r="R14" s="706">
        <f t="shared" ref="R14:Z14" si="9">Q17</f>
        <v>1043</v>
      </c>
      <c r="S14" s="706">
        <f t="shared" si="9"/>
        <v>1020</v>
      </c>
      <c r="T14" s="706">
        <f t="shared" si="9"/>
        <v>1017</v>
      </c>
      <c r="U14" s="706">
        <f t="shared" si="9"/>
        <v>1019</v>
      </c>
      <c r="V14" s="706">
        <f t="shared" si="9"/>
        <v>1033</v>
      </c>
      <c r="W14" s="706">
        <f t="shared" si="9"/>
        <v>1067</v>
      </c>
      <c r="X14" s="706">
        <f t="shared" si="9"/>
        <v>1093</v>
      </c>
      <c r="Y14" s="706">
        <f t="shared" si="9"/>
        <v>1108</v>
      </c>
      <c r="Z14" s="706">
        <f t="shared" si="9"/>
        <v>1106</v>
      </c>
      <c r="AA14" s="706">
        <f t="shared" ref="AA14:AH14" si="10">Z17</f>
        <v>1102</v>
      </c>
      <c r="AB14" s="706">
        <f t="shared" si="10"/>
        <v>1104</v>
      </c>
      <c r="AC14" s="706">
        <f>AB17</f>
        <v>1094</v>
      </c>
      <c r="AD14" s="706">
        <f t="shared" si="10"/>
        <v>1062</v>
      </c>
      <c r="AE14" s="706">
        <f t="shared" si="10"/>
        <v>1021</v>
      </c>
      <c r="AF14" s="706">
        <f>AE17</f>
        <v>1014</v>
      </c>
      <c r="AG14" s="706">
        <f t="shared" si="10"/>
        <v>872</v>
      </c>
      <c r="AH14" s="706">
        <f t="shared" si="10"/>
        <v>857</v>
      </c>
      <c r="AI14" s="706">
        <f>AH17</f>
        <v>817</v>
      </c>
      <c r="AJ14" s="706">
        <f>AI17</f>
        <v>777</v>
      </c>
      <c r="AK14" s="706">
        <f>AJ17</f>
        <v>737</v>
      </c>
      <c r="AL14" s="706"/>
      <c r="AM14" s="500"/>
      <c r="AN14" s="507"/>
      <c r="AO14" s="507"/>
      <c r="AP14" s="961"/>
    </row>
    <row r="15" spans="1:45">
      <c r="A15" s="966" t="s">
        <v>82</v>
      </c>
      <c r="B15" s="841">
        <v>38</v>
      </c>
      <c r="C15" s="841">
        <v>46</v>
      </c>
      <c r="D15" s="841">
        <v>38</v>
      </c>
      <c r="E15" s="841">
        <v>33</v>
      </c>
      <c r="F15" s="841">
        <v>24</v>
      </c>
      <c r="G15" s="841">
        <v>29</v>
      </c>
      <c r="H15" s="841">
        <v>43</v>
      </c>
      <c r="I15" s="841">
        <v>36</v>
      </c>
      <c r="J15" s="841">
        <v>34</v>
      </c>
      <c r="K15" s="841">
        <v>33</v>
      </c>
      <c r="L15" s="841">
        <v>26</v>
      </c>
      <c r="M15" s="841">
        <v>23</v>
      </c>
      <c r="N15" s="841">
        <v>15</v>
      </c>
      <c r="O15" s="841">
        <v>3</v>
      </c>
      <c r="P15" s="841">
        <v>10</v>
      </c>
      <c r="Q15" s="841">
        <v>3</v>
      </c>
      <c r="R15" s="841">
        <v>6</v>
      </c>
      <c r="S15" s="841">
        <v>14</v>
      </c>
      <c r="T15" s="841">
        <v>18</v>
      </c>
      <c r="U15" s="841">
        <v>28</v>
      </c>
      <c r="V15" s="841">
        <v>50</v>
      </c>
      <c r="W15" s="841">
        <v>35</v>
      </c>
      <c r="X15" s="841">
        <v>17</v>
      </c>
      <c r="Y15" s="706">
        <v>2</v>
      </c>
      <c r="Z15" s="706">
        <v>3</v>
      </c>
      <c r="AA15" s="706">
        <v>9</v>
      </c>
      <c r="AB15" s="706">
        <v>0</v>
      </c>
      <c r="AC15" s="706">
        <v>1</v>
      </c>
      <c r="AD15" s="706">
        <v>0</v>
      </c>
      <c r="AE15" s="706">
        <v>0</v>
      </c>
      <c r="AF15" s="1382">
        <v>0</v>
      </c>
      <c r="AG15" s="1382">
        <v>0</v>
      </c>
      <c r="AH15" s="1382">
        <v>0</v>
      </c>
      <c r="AI15" s="1382">
        <v>0</v>
      </c>
      <c r="AJ15" s="1382">
        <v>0</v>
      </c>
      <c r="AK15" s="1382">
        <v>0</v>
      </c>
      <c r="AL15" s="967"/>
      <c r="AM15" s="500"/>
      <c r="AN15" s="507"/>
      <c r="AO15" s="507"/>
      <c r="AP15" s="961"/>
    </row>
    <row r="16" spans="1:45">
      <c r="A16" s="966" t="s">
        <v>94</v>
      </c>
      <c r="B16" s="841">
        <v>-65</v>
      </c>
      <c r="C16" s="841">
        <v>-62</v>
      </c>
      <c r="D16" s="841">
        <v>-67</v>
      </c>
      <c r="E16" s="841">
        <v>-50</v>
      </c>
      <c r="F16" s="841">
        <v>-44</v>
      </c>
      <c r="G16" s="841">
        <v>-42</v>
      </c>
      <c r="H16" s="841">
        <v>-38</v>
      </c>
      <c r="I16" s="841">
        <v>-46</v>
      </c>
      <c r="J16" s="841">
        <v>-59</v>
      </c>
      <c r="K16" s="841">
        <v>-67</v>
      </c>
      <c r="L16" s="841">
        <v>-19</v>
      </c>
      <c r="M16" s="841">
        <v>-42</v>
      </c>
      <c r="N16" s="841">
        <v>-49</v>
      </c>
      <c r="O16" s="841">
        <v>-29</v>
      </c>
      <c r="P16" s="841">
        <v>-49</v>
      </c>
      <c r="Q16" s="841">
        <v>-29</v>
      </c>
      <c r="R16" s="841">
        <v>-29</v>
      </c>
      <c r="S16" s="841">
        <v>-17</v>
      </c>
      <c r="T16" s="841">
        <v>-16</v>
      </c>
      <c r="U16" s="841">
        <v>-14</v>
      </c>
      <c r="V16" s="841">
        <v>-16</v>
      </c>
      <c r="W16" s="841">
        <v>-9</v>
      </c>
      <c r="X16" s="841">
        <v>-2</v>
      </c>
      <c r="Y16" s="706">
        <v>-4</v>
      </c>
      <c r="Z16" s="706">
        <v>-7</v>
      </c>
      <c r="AA16" s="706">
        <v>-7</v>
      </c>
      <c r="AB16" s="706">
        <v>-10</v>
      </c>
      <c r="AC16" s="706">
        <v>-33</v>
      </c>
      <c r="AD16" s="706">
        <v>-41</v>
      </c>
      <c r="AE16" s="706">
        <f>AE17-AE14</f>
        <v>-7</v>
      </c>
      <c r="AF16" s="706">
        <f>AF17-AF14</f>
        <v>-142</v>
      </c>
      <c r="AG16" s="706">
        <f>AG17-AG14</f>
        <v>-15</v>
      </c>
      <c r="AH16" s="706">
        <v>-40</v>
      </c>
      <c r="AI16" s="706">
        <v>-40</v>
      </c>
      <c r="AJ16" s="706">
        <v>-40</v>
      </c>
      <c r="AK16" s="706">
        <v>-40</v>
      </c>
      <c r="AL16" s="967"/>
      <c r="AM16" s="500"/>
      <c r="AN16" s="507"/>
      <c r="AO16" s="507"/>
      <c r="AP16" s="961"/>
    </row>
    <row r="17" spans="1:45">
      <c r="A17" s="398" t="s">
        <v>83</v>
      </c>
      <c r="B17" s="706">
        <f>SUM(B14:B16)</f>
        <v>1328</v>
      </c>
      <c r="C17" s="706">
        <f t="shared" ref="C17:Z17" si="11">SUM(C14:C16)</f>
        <v>1312</v>
      </c>
      <c r="D17" s="706">
        <f t="shared" si="11"/>
        <v>1283</v>
      </c>
      <c r="E17" s="706">
        <f t="shared" si="11"/>
        <v>1266</v>
      </c>
      <c r="F17" s="706">
        <f t="shared" si="11"/>
        <v>1246</v>
      </c>
      <c r="G17" s="706">
        <f t="shared" si="11"/>
        <v>1233</v>
      </c>
      <c r="H17" s="706">
        <f t="shared" si="11"/>
        <v>1238</v>
      </c>
      <c r="I17" s="706">
        <f t="shared" si="11"/>
        <v>1228</v>
      </c>
      <c r="J17" s="706">
        <f t="shared" si="11"/>
        <v>1203</v>
      </c>
      <c r="K17" s="706">
        <f t="shared" si="11"/>
        <v>1169</v>
      </c>
      <c r="L17" s="706">
        <f t="shared" si="11"/>
        <v>1176</v>
      </c>
      <c r="M17" s="706">
        <f t="shared" si="11"/>
        <v>1157</v>
      </c>
      <c r="N17" s="706">
        <f t="shared" si="11"/>
        <v>1123</v>
      </c>
      <c r="O17" s="706">
        <f t="shared" si="11"/>
        <v>1097</v>
      </c>
      <c r="P17" s="706">
        <f t="shared" si="11"/>
        <v>1069</v>
      </c>
      <c r="Q17" s="706">
        <f t="shared" si="11"/>
        <v>1043</v>
      </c>
      <c r="R17" s="706">
        <f t="shared" si="11"/>
        <v>1020</v>
      </c>
      <c r="S17" s="706">
        <f t="shared" si="11"/>
        <v>1017</v>
      </c>
      <c r="T17" s="706">
        <f t="shared" si="11"/>
        <v>1019</v>
      </c>
      <c r="U17" s="706">
        <f t="shared" si="11"/>
        <v>1033</v>
      </c>
      <c r="V17" s="706">
        <f t="shared" si="11"/>
        <v>1067</v>
      </c>
      <c r="W17" s="706">
        <f t="shared" si="11"/>
        <v>1093</v>
      </c>
      <c r="X17" s="706">
        <f t="shared" si="11"/>
        <v>1108</v>
      </c>
      <c r="Y17" s="706">
        <f t="shared" si="11"/>
        <v>1106</v>
      </c>
      <c r="Z17" s="706">
        <f t="shared" si="11"/>
        <v>1102</v>
      </c>
      <c r="AA17" s="706">
        <f>AA14+AA15+AA16</f>
        <v>1104</v>
      </c>
      <c r="AB17" s="706">
        <f>AB14+AB15+AB16</f>
        <v>1094</v>
      </c>
      <c r="AC17" s="706">
        <f>AC14+AC15+AC16</f>
        <v>1062</v>
      </c>
      <c r="AD17" s="706">
        <f>stores!E156</f>
        <v>1021</v>
      </c>
      <c r="AE17" s="706">
        <f>stores!E162</f>
        <v>1014</v>
      </c>
      <c r="AF17" s="706">
        <f>stores!$E$168</f>
        <v>872</v>
      </c>
      <c r="AG17" s="706">
        <f>stores!E174</f>
        <v>857</v>
      </c>
      <c r="AH17" s="706">
        <f>AH14+AH15+AH16</f>
        <v>817</v>
      </c>
      <c r="AI17" s="706">
        <f>AI14+AI15+AI16</f>
        <v>777</v>
      </c>
      <c r="AJ17" s="706">
        <f>AJ14+AJ15+AJ16</f>
        <v>737</v>
      </c>
      <c r="AK17" s="706">
        <f>AK14+AK15+AK16</f>
        <v>697</v>
      </c>
      <c r="AL17" s="706"/>
      <c r="AM17" s="960">
        <f>((AE17/Z17)^(1/4)-1)*100</f>
        <v>-2.0591000914633395</v>
      </c>
      <c r="AN17" s="507" t="s">
        <v>156</v>
      </c>
      <c r="AO17" s="509">
        <f>((AJ17/AE17)^(1/5)-1)*100</f>
        <v>-6.1820570095252325</v>
      </c>
      <c r="AP17" s="961" t="s">
        <v>156</v>
      </c>
      <c r="AR17" s="587"/>
    </row>
    <row r="18" spans="1:45">
      <c r="A18" s="398" t="s">
        <v>84</v>
      </c>
      <c r="B18" s="706">
        <f t="shared" ref="B18:AJ18" si="12">AVERAGE(B14,B17)</f>
        <v>1341.5</v>
      </c>
      <c r="C18" s="706">
        <f t="shared" si="12"/>
        <v>1320</v>
      </c>
      <c r="D18" s="706">
        <f t="shared" si="12"/>
        <v>1297.5</v>
      </c>
      <c r="E18" s="706">
        <f t="shared" si="12"/>
        <v>1274.5</v>
      </c>
      <c r="F18" s="706">
        <f t="shared" si="12"/>
        <v>1256</v>
      </c>
      <c r="G18" s="706">
        <f t="shared" si="12"/>
        <v>1239.5</v>
      </c>
      <c r="H18" s="706">
        <f t="shared" si="12"/>
        <v>1235.5</v>
      </c>
      <c r="I18" s="706">
        <f t="shared" si="12"/>
        <v>1233</v>
      </c>
      <c r="J18" s="706">
        <f t="shared" si="12"/>
        <v>1215.5</v>
      </c>
      <c r="K18" s="706">
        <f t="shared" si="12"/>
        <v>1186</v>
      </c>
      <c r="L18" s="706">
        <f t="shared" si="12"/>
        <v>1172.5</v>
      </c>
      <c r="M18" s="706">
        <f t="shared" si="12"/>
        <v>1166.5</v>
      </c>
      <c r="N18" s="706">
        <f t="shared" si="12"/>
        <v>1140</v>
      </c>
      <c r="O18" s="706">
        <f t="shared" si="12"/>
        <v>1110</v>
      </c>
      <c r="P18" s="706">
        <f t="shared" si="12"/>
        <v>1088.5</v>
      </c>
      <c r="Q18" s="706">
        <f t="shared" si="12"/>
        <v>1056</v>
      </c>
      <c r="R18" s="706">
        <f t="shared" si="12"/>
        <v>1031.5</v>
      </c>
      <c r="S18" s="706">
        <f t="shared" si="12"/>
        <v>1018.5</v>
      </c>
      <c r="T18" s="706">
        <f t="shared" si="12"/>
        <v>1018</v>
      </c>
      <c r="U18" s="706">
        <f t="shared" si="12"/>
        <v>1026</v>
      </c>
      <c r="V18" s="706">
        <f t="shared" si="12"/>
        <v>1050</v>
      </c>
      <c r="W18" s="706">
        <f t="shared" si="12"/>
        <v>1080</v>
      </c>
      <c r="X18" s="706">
        <f t="shared" si="12"/>
        <v>1100.5</v>
      </c>
      <c r="Y18" s="706">
        <f t="shared" si="12"/>
        <v>1107</v>
      </c>
      <c r="Z18" s="706">
        <f t="shared" si="12"/>
        <v>1104</v>
      </c>
      <c r="AA18" s="706">
        <f t="shared" si="12"/>
        <v>1103</v>
      </c>
      <c r="AB18" s="706">
        <f t="shared" si="12"/>
        <v>1099</v>
      </c>
      <c r="AC18" s="706">
        <f t="shared" si="12"/>
        <v>1078</v>
      </c>
      <c r="AD18" s="706">
        <f t="shared" si="12"/>
        <v>1041.5</v>
      </c>
      <c r="AE18" s="706">
        <f t="shared" si="12"/>
        <v>1017.5</v>
      </c>
      <c r="AF18" s="706">
        <f t="shared" si="12"/>
        <v>943</v>
      </c>
      <c r="AG18" s="706">
        <f t="shared" si="12"/>
        <v>864.5</v>
      </c>
      <c r="AH18" s="706">
        <f t="shared" si="12"/>
        <v>837</v>
      </c>
      <c r="AI18" s="706">
        <f t="shared" si="12"/>
        <v>797</v>
      </c>
      <c r="AJ18" s="706">
        <f t="shared" si="12"/>
        <v>757</v>
      </c>
      <c r="AK18" s="706">
        <f t="shared" ref="AK18" si="13">AVERAGE(AK14,AK17)</f>
        <v>717</v>
      </c>
      <c r="AL18" s="706"/>
      <c r="AM18" s="500"/>
      <c r="AN18" s="507"/>
      <c r="AO18" s="507"/>
      <c r="AP18" s="961"/>
    </row>
    <row r="19" spans="1:45">
      <c r="A19" s="774" t="s">
        <v>79</v>
      </c>
      <c r="C19" s="962">
        <f t="shared" ref="C19:S19" si="14">C18/B18-1</f>
        <v>-1.6026835631755443E-2</v>
      </c>
      <c r="D19" s="962">
        <f t="shared" si="14"/>
        <v>-1.7045454545454586E-2</v>
      </c>
      <c r="E19" s="962">
        <f t="shared" si="14"/>
        <v>-1.772639691714839E-2</v>
      </c>
      <c r="F19" s="962">
        <f t="shared" si="14"/>
        <v>-1.4515496273048267E-2</v>
      </c>
      <c r="G19" s="962">
        <f t="shared" si="14"/>
        <v>-1.3136942675159191E-2</v>
      </c>
      <c r="H19" s="962">
        <f t="shared" si="14"/>
        <v>-3.2271077047196783E-3</v>
      </c>
      <c r="I19" s="962">
        <f t="shared" si="14"/>
        <v>-2.0234722784298054E-3</v>
      </c>
      <c r="J19" s="962">
        <f t="shared" si="14"/>
        <v>-1.4193025141930216E-2</v>
      </c>
      <c r="K19" s="962">
        <f t="shared" si="14"/>
        <v>-2.4269847799259558E-2</v>
      </c>
      <c r="L19" s="962">
        <f t="shared" si="14"/>
        <v>-1.1382799325463711E-2</v>
      </c>
      <c r="M19" s="962">
        <f t="shared" si="14"/>
        <v>-5.1172707889125535E-3</v>
      </c>
      <c r="N19" s="962">
        <f t="shared" si="14"/>
        <v>-2.2717531075867936E-2</v>
      </c>
      <c r="O19" s="962">
        <f t="shared" si="14"/>
        <v>-2.6315789473684181E-2</v>
      </c>
      <c r="P19" s="962">
        <f t="shared" si="14"/>
        <v>-1.9369369369369394E-2</v>
      </c>
      <c r="Q19" s="962">
        <f t="shared" si="14"/>
        <v>-2.9857602204869105E-2</v>
      </c>
      <c r="R19" s="962">
        <f t="shared" si="14"/>
        <v>-2.3200757575757569E-2</v>
      </c>
      <c r="S19" s="962">
        <f t="shared" si="14"/>
        <v>-1.2603005332040729E-2</v>
      </c>
      <c r="T19" s="962">
        <f>T18/S18-1</f>
        <v>-4.9091801669121082E-4</v>
      </c>
      <c r="U19" s="962">
        <f t="shared" ref="U19:AB19" si="15">U18/T18-1</f>
        <v>7.8585461689586467E-3</v>
      </c>
      <c r="V19" s="962">
        <f t="shared" si="15"/>
        <v>2.3391812865497075E-2</v>
      </c>
      <c r="W19" s="962">
        <f t="shared" si="15"/>
        <v>2.857142857142847E-2</v>
      </c>
      <c r="X19" s="962">
        <f t="shared" si="15"/>
        <v>1.8981481481481488E-2</v>
      </c>
      <c r="Y19" s="962">
        <f t="shared" si="15"/>
        <v>5.9064061790095046E-3</v>
      </c>
      <c r="Z19" s="962">
        <f t="shared" si="15"/>
        <v>-2.7100271002710175E-3</v>
      </c>
      <c r="AA19" s="962">
        <f t="shared" si="15"/>
        <v>-9.0579710144922387E-4</v>
      </c>
      <c r="AB19" s="962">
        <f t="shared" si="15"/>
        <v>-3.6264732547597323E-3</v>
      </c>
      <c r="AC19" s="962">
        <f t="shared" ref="AC19:AH19" si="16">AC18/AB18-1</f>
        <v>-1.9108280254777066E-2</v>
      </c>
      <c r="AD19" s="962">
        <f t="shared" si="16"/>
        <v>-3.3858998144712382E-2</v>
      </c>
      <c r="AE19" s="962">
        <f t="shared" si="16"/>
        <v>-2.3043686989918433E-2</v>
      </c>
      <c r="AF19" s="962">
        <f t="shared" si="16"/>
        <v>-7.3218673218673258E-2</v>
      </c>
      <c r="AG19" s="962">
        <f t="shared" si="16"/>
        <v>-8.3244962884411411E-2</v>
      </c>
      <c r="AH19" s="962">
        <f t="shared" si="16"/>
        <v>-3.1810294968189656E-2</v>
      </c>
      <c r="AI19" s="962">
        <f>AI18/AH18-1</f>
        <v>-4.7789725209080092E-2</v>
      </c>
      <c r="AJ19" s="962">
        <f>AJ18/AI18-1</f>
        <v>-5.0188205771643624E-2</v>
      </c>
      <c r="AK19" s="962">
        <f>AK18/AJ18-1</f>
        <v>-5.2840158520475522E-2</v>
      </c>
      <c r="AL19" s="962"/>
      <c r="AM19" s="500"/>
      <c r="AN19" s="507"/>
      <c r="AO19" s="507"/>
      <c r="AP19" s="961"/>
    </row>
    <row r="20" spans="1:45">
      <c r="AM20" s="500"/>
      <c r="AN20" s="507"/>
      <c r="AO20" s="507"/>
      <c r="AP20" s="961"/>
    </row>
    <row r="21" spans="1:45">
      <c r="A21" s="968" t="s">
        <v>71</v>
      </c>
      <c r="B21" s="612"/>
      <c r="C21" s="612"/>
      <c r="D21" s="612"/>
      <c r="E21" s="612">
        <f t="shared" ref="E21:AJ21" si="17">E7/E18</f>
        <v>11.646135739505688</v>
      </c>
      <c r="F21" s="612">
        <f t="shared" si="17"/>
        <v>12.31608280254777</v>
      </c>
      <c r="G21" s="612">
        <f t="shared" si="17"/>
        <v>13.594471964501814</v>
      </c>
      <c r="H21" s="612">
        <f t="shared" si="17"/>
        <v>13.616349656009712</v>
      </c>
      <c r="I21" s="612">
        <f t="shared" si="17"/>
        <v>15.312246553122465</v>
      </c>
      <c r="J21" s="612">
        <f t="shared" si="17"/>
        <v>21.033237350884409</v>
      </c>
      <c r="K21" s="612">
        <f t="shared" si="17"/>
        <v>21.541736930860033</v>
      </c>
      <c r="L21" s="612">
        <f t="shared" si="17"/>
        <v>23.414072494669508</v>
      </c>
      <c r="M21" s="612">
        <f t="shared" si="17"/>
        <v>23.723103300471497</v>
      </c>
      <c r="N21" s="612">
        <f t="shared" si="17"/>
        <v>25.135964912280702</v>
      </c>
      <c r="O21" s="612">
        <f t="shared" si="17"/>
        <v>26.788304504504506</v>
      </c>
      <c r="P21" s="612">
        <f t="shared" si="17"/>
        <v>13.311897106109324</v>
      </c>
      <c r="Q21" s="612">
        <f t="shared" si="17"/>
        <v>13.98865340909091</v>
      </c>
      <c r="R21" s="612">
        <f t="shared" si="17"/>
        <v>14.362578768783326</v>
      </c>
      <c r="S21" s="612">
        <f t="shared" si="17"/>
        <v>15.078055964653903</v>
      </c>
      <c r="T21" s="612">
        <f t="shared" si="17"/>
        <v>15.662082514734774</v>
      </c>
      <c r="U21" s="612">
        <f t="shared" si="17"/>
        <v>16.521442495126706</v>
      </c>
      <c r="V21" s="612">
        <f t="shared" si="17"/>
        <v>16.201971428571429</v>
      </c>
      <c r="W21" s="612">
        <f t="shared" si="17"/>
        <v>14.70771027292407</v>
      </c>
      <c r="X21" s="612">
        <f t="shared" si="17"/>
        <v>13.7340128958287</v>
      </c>
      <c r="Y21" s="612">
        <f t="shared" si="17"/>
        <v>14.020886063740798</v>
      </c>
      <c r="Z21" s="612">
        <f t="shared" si="17"/>
        <v>13.699136826376121</v>
      </c>
      <c r="AA21" s="612">
        <f t="shared" si="17"/>
        <v>10.845421577515866</v>
      </c>
      <c r="AB21" s="612">
        <f t="shared" si="17"/>
        <v>9.8089171974522298</v>
      </c>
      <c r="AC21" s="612">
        <f t="shared" si="17"/>
        <v>10.234707173005566</v>
      </c>
      <c r="AD21" s="612">
        <f t="shared" si="17"/>
        <v>10.770443093975036</v>
      </c>
      <c r="AE21" s="612">
        <f t="shared" si="17"/>
        <v>10.697209986345209</v>
      </c>
      <c r="AF21" s="612">
        <f t="shared" si="17"/>
        <v>11.163859259508419</v>
      </c>
      <c r="AG21" s="612">
        <f t="shared" si="17"/>
        <v>11.425942405885579</v>
      </c>
      <c r="AH21" s="612">
        <f t="shared" si="17"/>
        <v>11.200752342287352</v>
      </c>
      <c r="AI21" s="612">
        <f t="shared" si="17"/>
        <v>11.027717044442721</v>
      </c>
      <c r="AJ21" s="612">
        <f t="shared" si="17"/>
        <v>10.791819594630073</v>
      </c>
      <c r="AK21" s="612">
        <f t="shared" ref="AK21" si="18">AK7/AK18</f>
        <v>10.362611283046105</v>
      </c>
      <c r="AL21" s="612"/>
      <c r="AM21" s="500"/>
      <c r="AN21" s="507"/>
      <c r="AO21" s="507"/>
      <c r="AP21" s="961"/>
    </row>
    <row r="22" spans="1:45">
      <c r="A22" s="969" t="s">
        <v>78</v>
      </c>
      <c r="D22" s="962"/>
      <c r="E22" s="962"/>
      <c r="F22" s="962">
        <f t="shared" ref="F22:S22" si="19">F21/E21-1</f>
        <v>5.7525266580013001E-2</v>
      </c>
      <c r="G22" s="962">
        <f t="shared" si="19"/>
        <v>0.10379835719272612</v>
      </c>
      <c r="H22" s="962">
        <f t="shared" si="19"/>
        <v>1.60930792788605E-3</v>
      </c>
      <c r="I22" s="962">
        <f t="shared" si="19"/>
        <v>0.12454857138339226</v>
      </c>
      <c r="J22" s="962">
        <f t="shared" si="19"/>
        <v>0.37362190962078801</v>
      </c>
      <c r="K22" s="962">
        <f t="shared" si="19"/>
        <v>2.4176001606060149E-2</v>
      </c>
      <c r="L22" s="962">
        <f t="shared" si="19"/>
        <v>8.6916647892363086E-2</v>
      </c>
      <c r="M22" s="962">
        <f t="shared" si="19"/>
        <v>1.3198507259783332E-2</v>
      </c>
      <c r="N22" s="962">
        <f t="shared" si="19"/>
        <v>5.9556357105317037E-2</v>
      </c>
      <c r="O22" s="962">
        <f t="shared" si="19"/>
        <v>6.5736071719948885E-2</v>
      </c>
      <c r="P22" s="962">
        <f t="shared" si="19"/>
        <v>-0.50307056186139354</v>
      </c>
      <c r="Q22" s="962">
        <f t="shared" si="19"/>
        <v>5.0838456576635993E-2</v>
      </c>
      <c r="R22" s="962">
        <f t="shared" si="19"/>
        <v>2.6730618649069671E-2</v>
      </c>
      <c r="S22" s="962">
        <f t="shared" si="19"/>
        <v>4.9815371416841003E-2</v>
      </c>
      <c r="T22" s="962">
        <f t="shared" ref="T22:AH22" si="20">T21/S21-1</f>
        <v>3.8733544393915853E-2</v>
      </c>
      <c r="U22" s="962">
        <f t="shared" si="20"/>
        <v>5.4868819621110676E-2</v>
      </c>
      <c r="V22" s="962">
        <f t="shared" si="20"/>
        <v>-1.933675383668898E-2</v>
      </c>
      <c r="W22" s="962">
        <f t="shared" si="20"/>
        <v>-9.2227119535114088E-2</v>
      </c>
      <c r="X22" s="962">
        <f t="shared" si="20"/>
        <v>-6.6203192681044465E-2</v>
      </c>
      <c r="Y22" s="962">
        <f t="shared" si="20"/>
        <v>2.0887789321883288E-2</v>
      </c>
      <c r="Z22" s="962">
        <f t="shared" si="20"/>
        <v>-2.2947853359763681E-2</v>
      </c>
      <c r="AA22" s="962">
        <f t="shared" si="20"/>
        <v>-0.20831350799896764</v>
      </c>
      <c r="AB22" s="962">
        <f t="shared" si="20"/>
        <v>-9.5570685994582294E-2</v>
      </c>
      <c r="AC22" s="962">
        <f t="shared" si="20"/>
        <v>4.3408458546671191E-2</v>
      </c>
      <c r="AD22" s="962">
        <f t="shared" si="20"/>
        <v>5.234501700082772E-2</v>
      </c>
      <c r="AE22" s="962">
        <f t="shared" si="20"/>
        <v>-6.7994517022974543E-3</v>
      </c>
      <c r="AF22" s="962">
        <f t="shared" si="20"/>
        <v>4.3623456374033864E-2</v>
      </c>
      <c r="AG22" s="962">
        <f t="shared" si="20"/>
        <v>2.3476034611771057E-2</v>
      </c>
      <c r="AH22" s="962">
        <f t="shared" si="20"/>
        <v>-1.9708664335838955E-2</v>
      </c>
      <c r="AI22" s="962">
        <f>AI21/AH21-1</f>
        <v>-1.5448542433292967E-2</v>
      </c>
      <c r="AJ22" s="962">
        <f>AJ21/AI21-1</f>
        <v>-2.1391322325551076E-2</v>
      </c>
      <c r="AK22" s="962">
        <f>AK21/AJ21-1</f>
        <v>-3.9771635155719132E-2</v>
      </c>
      <c r="AL22" s="962"/>
      <c r="AM22" s="500"/>
      <c r="AN22" s="507"/>
      <c r="AO22" s="507"/>
      <c r="AP22" s="961"/>
    </row>
    <row r="23" spans="1:45">
      <c r="A23" s="969"/>
      <c r="S23" s="587"/>
      <c r="T23" s="587"/>
      <c r="U23" s="587"/>
      <c r="V23" s="587"/>
      <c r="W23" s="587"/>
      <c r="X23" s="587"/>
      <c r="Y23" s="587"/>
      <c r="Z23" s="587"/>
      <c r="AA23" s="587"/>
      <c r="AB23" s="587"/>
      <c r="AC23" s="587"/>
      <c r="AD23" s="587"/>
      <c r="AE23" s="587"/>
      <c r="AF23" s="587"/>
      <c r="AG23" s="587"/>
      <c r="AH23" s="587"/>
      <c r="AI23" s="587"/>
      <c r="AJ23" s="587"/>
      <c r="AK23" s="587"/>
      <c r="AL23" s="587"/>
      <c r="AM23" s="500"/>
      <c r="AN23" s="507"/>
      <c r="AO23" s="507"/>
      <c r="AP23" s="961"/>
    </row>
    <row r="24" spans="1:45">
      <c r="A24" s="968" t="s">
        <v>431</v>
      </c>
      <c r="B24" s="612">
        <f t="shared" ref="B24:AJ24" si="21">B11/B18</f>
        <v>12.003727171077152</v>
      </c>
      <c r="C24" s="612">
        <f t="shared" si="21"/>
        <v>12.397727272727273</v>
      </c>
      <c r="D24" s="612">
        <f t="shared" si="21"/>
        <v>12.486319845857418</v>
      </c>
      <c r="E24" s="612">
        <f t="shared" si="21"/>
        <v>14.130247155747352</v>
      </c>
      <c r="F24" s="612">
        <f t="shared" si="21"/>
        <v>15.113853503184714</v>
      </c>
      <c r="G24" s="612">
        <f t="shared" si="21"/>
        <v>16.44211375554659</v>
      </c>
      <c r="H24" s="612">
        <f t="shared" si="21"/>
        <v>16.642654795629301</v>
      </c>
      <c r="I24" s="612">
        <f t="shared" si="21"/>
        <v>18.371451743714516</v>
      </c>
      <c r="J24" s="612">
        <f t="shared" si="21"/>
        <v>24.254380913204443</v>
      </c>
      <c r="K24" s="612">
        <f t="shared" si="21"/>
        <v>24.821247892074197</v>
      </c>
      <c r="L24" s="612">
        <f t="shared" si="21"/>
        <v>27.072921108742005</v>
      </c>
      <c r="M24" s="612">
        <f t="shared" si="21"/>
        <v>27.30047149592799</v>
      </c>
      <c r="N24" s="612">
        <f t="shared" si="21"/>
        <v>28.073684210526316</v>
      </c>
      <c r="O24" s="612">
        <f t="shared" si="21"/>
        <v>29.14144144144144</v>
      </c>
      <c r="P24" s="612">
        <f t="shared" si="21"/>
        <v>16.389526871841984</v>
      </c>
      <c r="Q24" s="612">
        <f t="shared" si="21"/>
        <v>16.462121212121211</v>
      </c>
      <c r="R24" s="612">
        <f t="shared" si="21"/>
        <v>16.978187106156085</v>
      </c>
      <c r="S24" s="612">
        <f t="shared" si="21"/>
        <v>17.767304860088366</v>
      </c>
      <c r="T24" s="612">
        <f t="shared" si="21"/>
        <v>18.44900196463654</v>
      </c>
      <c r="U24" s="612">
        <f t="shared" si="21"/>
        <v>19.400670565302143</v>
      </c>
      <c r="V24" s="612">
        <f t="shared" si="21"/>
        <v>18.911428571428573</v>
      </c>
      <c r="W24" s="612">
        <f t="shared" si="21"/>
        <v>17.117159702505454</v>
      </c>
      <c r="X24" s="612">
        <f t="shared" si="21"/>
        <v>15.955910524030321</v>
      </c>
      <c r="Y24" s="612">
        <f t="shared" si="21"/>
        <v>16.04245709123758</v>
      </c>
      <c r="Z24" s="612">
        <f t="shared" si="21"/>
        <v>15.634057971014492</v>
      </c>
      <c r="AA24" s="612">
        <f t="shared" si="21"/>
        <v>11.772438803263826</v>
      </c>
      <c r="AB24" s="612">
        <f t="shared" si="21"/>
        <v>10.790718835304823</v>
      </c>
      <c r="AC24" s="612">
        <f t="shared" si="21"/>
        <v>11.370129870129871</v>
      </c>
      <c r="AD24" s="612">
        <f t="shared" si="21"/>
        <v>12.121939510321651</v>
      </c>
      <c r="AE24" s="612">
        <f t="shared" si="21"/>
        <v>12.33120393120393</v>
      </c>
      <c r="AF24" s="612">
        <f t="shared" si="21"/>
        <v>13.261930010604454</v>
      </c>
      <c r="AG24" s="612">
        <f t="shared" si="21"/>
        <v>13.943384615384616</v>
      </c>
      <c r="AH24" s="612">
        <f t="shared" si="21"/>
        <v>14.008918523076924</v>
      </c>
      <c r="AI24" s="612">
        <f t="shared" si="21"/>
        <v>14.212748287587692</v>
      </c>
      <c r="AJ24" s="612">
        <f t="shared" si="21"/>
        <v>14.346348121491017</v>
      </c>
      <c r="AK24" s="612">
        <f t="shared" ref="AK24" si="22">AK11/AK18</f>
        <v>14.34060958224242</v>
      </c>
      <c r="AL24" s="612"/>
      <c r="AM24" s="500"/>
      <c r="AN24" s="507"/>
      <c r="AO24" s="507"/>
      <c r="AP24" s="961"/>
    </row>
    <row r="25" spans="1:45">
      <c r="A25" s="969" t="s">
        <v>78</v>
      </c>
      <c r="C25" s="962">
        <f t="shared" ref="C25:AH25" si="23">C24/B24-1</f>
        <v>3.2823147013825826E-2</v>
      </c>
      <c r="D25" s="962">
        <f t="shared" si="23"/>
        <v>7.145872076491866E-3</v>
      </c>
      <c r="E25" s="962">
        <f t="shared" si="23"/>
        <v>0.13165827322894819</v>
      </c>
      <c r="F25" s="962">
        <f t="shared" si="23"/>
        <v>6.9609988883831297E-2</v>
      </c>
      <c r="G25" s="962">
        <f t="shared" si="23"/>
        <v>8.7883626242770685E-2</v>
      </c>
      <c r="H25" s="962">
        <f t="shared" si="23"/>
        <v>1.2196791912783223E-2</v>
      </c>
      <c r="I25" s="962">
        <f t="shared" si="23"/>
        <v>0.10387747443630402</v>
      </c>
      <c r="J25" s="962">
        <f t="shared" si="23"/>
        <v>0.3202212460701519</v>
      </c>
      <c r="K25" s="962">
        <f t="shared" si="23"/>
        <v>2.3371735642246039E-2</v>
      </c>
      <c r="L25" s="962">
        <f t="shared" si="23"/>
        <v>9.0715552516068332E-2</v>
      </c>
      <c r="M25" s="962">
        <f t="shared" si="23"/>
        <v>8.4050917989972884E-3</v>
      </c>
      <c r="N25" s="962">
        <f t="shared" si="23"/>
        <v>2.8322320906203124E-2</v>
      </c>
      <c r="O25" s="962">
        <f t="shared" si="23"/>
        <v>3.8034097089215235E-2</v>
      </c>
      <c r="P25" s="962">
        <f t="shared" si="23"/>
        <v>-0.43758695311019247</v>
      </c>
      <c r="Q25" s="962">
        <f t="shared" si="23"/>
        <v>4.4293127462970983E-3</v>
      </c>
      <c r="R25" s="962">
        <f t="shared" si="23"/>
        <v>3.1348687534562103E-2</v>
      </c>
      <c r="S25" s="962">
        <f t="shared" si="23"/>
        <v>4.6478328280771253E-2</v>
      </c>
      <c r="T25" s="962">
        <f t="shared" si="23"/>
        <v>3.8368064819977565E-2</v>
      </c>
      <c r="U25" s="962">
        <f t="shared" si="23"/>
        <v>5.1583744339654958E-2</v>
      </c>
      <c r="V25" s="962">
        <f t="shared" si="23"/>
        <v>-2.5217787819590831E-2</v>
      </c>
      <c r="W25" s="962">
        <f t="shared" si="23"/>
        <v>-9.4877489669601411E-2</v>
      </c>
      <c r="X25" s="962">
        <f t="shared" si="23"/>
        <v>-6.7841230593014834E-2</v>
      </c>
      <c r="Y25" s="962">
        <f t="shared" si="23"/>
        <v>5.4241070778704437E-3</v>
      </c>
      <c r="Z25" s="962">
        <f t="shared" si="23"/>
        <v>-2.5457392087784081E-2</v>
      </c>
      <c r="AA25" s="962">
        <f t="shared" si="23"/>
        <v>-0.24700043807628824</v>
      </c>
      <c r="AB25" s="962">
        <f t="shared" si="23"/>
        <v>-8.3391384263286961E-2</v>
      </c>
      <c r="AC25" s="962">
        <f t="shared" si="23"/>
        <v>5.3695313877454076E-2</v>
      </c>
      <c r="AD25" s="962">
        <f t="shared" si="23"/>
        <v>6.6121464642795003E-2</v>
      </c>
      <c r="AE25" s="962">
        <f t="shared" si="23"/>
        <v>1.726327876030842E-2</v>
      </c>
      <c r="AF25" s="962">
        <f t="shared" si="23"/>
        <v>7.5477308184429104E-2</v>
      </c>
      <c r="AG25" s="962">
        <f t="shared" si="23"/>
        <v>5.1384270934566878E-2</v>
      </c>
      <c r="AH25" s="962">
        <f t="shared" si="23"/>
        <v>4.6999999999999265E-3</v>
      </c>
      <c r="AI25" s="962">
        <f>AI24/AH24-1</f>
        <v>1.4549999999999841E-2</v>
      </c>
      <c r="AJ25" s="962">
        <f>AJ24/AI24-1</f>
        <v>9.400000000000075E-3</v>
      </c>
      <c r="AK25" s="962">
        <f>AK24/AJ24-1</f>
        <v>-4.0000000000006697E-4</v>
      </c>
      <c r="AL25" s="962"/>
      <c r="AM25" s="500"/>
      <c r="AN25" s="507"/>
      <c r="AO25" s="507"/>
      <c r="AP25" s="961"/>
    </row>
    <row r="26" spans="1:45">
      <c r="A26" s="970"/>
      <c r="AM26" s="500"/>
      <c r="AN26" s="507"/>
      <c r="AO26" s="507"/>
      <c r="AP26" s="961"/>
      <c r="AS26" s="612"/>
    </row>
    <row r="27" spans="1:45">
      <c r="A27" s="968" t="s">
        <v>157</v>
      </c>
      <c r="B27" s="586"/>
      <c r="C27" s="586">
        <f t="shared" ref="C27:O27" si="24">(C30+B30)/2</f>
        <v>113.6</v>
      </c>
      <c r="D27" s="586">
        <f t="shared" si="24"/>
        <v>114.45</v>
      </c>
      <c r="E27" s="586">
        <f t="shared" si="24"/>
        <v>114.45</v>
      </c>
      <c r="F27" s="586">
        <f t="shared" si="24"/>
        <v>114.15</v>
      </c>
      <c r="G27" s="586">
        <f t="shared" si="24"/>
        <v>113.45</v>
      </c>
      <c r="H27" s="586">
        <f t="shared" si="24"/>
        <v>113.65</v>
      </c>
      <c r="I27" s="586">
        <f t="shared" si="24"/>
        <v>115.75</v>
      </c>
      <c r="J27" s="586">
        <f t="shared" si="24"/>
        <v>117.80000000000001</v>
      </c>
      <c r="K27" s="586">
        <f t="shared" si="24"/>
        <v>117.2</v>
      </c>
      <c r="L27" s="586">
        <f t="shared" si="24"/>
        <v>115.35</v>
      </c>
      <c r="M27" s="586">
        <f t="shared" si="24"/>
        <v>113.5</v>
      </c>
      <c r="N27" s="586">
        <f t="shared" si="24"/>
        <v>110.3</v>
      </c>
      <c r="O27" s="586">
        <f t="shared" si="24"/>
        <v>106.94999999999999</v>
      </c>
      <c r="P27" s="586">
        <f>(P30+M30)/2</f>
        <v>109.15</v>
      </c>
      <c r="Q27" s="586">
        <f>(Q30+P30)/2</f>
        <v>104.65</v>
      </c>
      <c r="R27" s="586">
        <f>(R30+Q30)/2</f>
        <v>102.19999999999999</v>
      </c>
      <c r="S27" s="586">
        <f>(S30+R30)/2</f>
        <v>101.19999999999999</v>
      </c>
      <c r="T27" s="586">
        <f>(T30+S30)/2</f>
        <v>101.35</v>
      </c>
      <c r="U27" s="586">
        <f>(U30+T30)/2</f>
        <v>102.25</v>
      </c>
      <c r="V27" s="586">
        <f t="shared" ref="V27:AB27" si="25">(V30+U30)/2</f>
        <v>104.85</v>
      </c>
      <c r="W27" s="586">
        <f t="shared" si="25"/>
        <v>108.25</v>
      </c>
      <c r="X27" s="586">
        <f t="shared" si="25"/>
        <v>110.80000000000001</v>
      </c>
      <c r="Y27" s="586">
        <f t="shared" si="25"/>
        <v>111.65</v>
      </c>
      <c r="Z27" s="586">
        <f t="shared" si="25"/>
        <v>111.4</v>
      </c>
      <c r="AA27" s="586">
        <f t="shared" si="25"/>
        <v>111.4</v>
      </c>
      <c r="AB27" s="586">
        <f t="shared" si="25"/>
        <v>111.14510869565217</v>
      </c>
      <c r="AC27" s="586">
        <f t="shared" ref="AC27:AH27" si="26">(AC30+AB30)/2</f>
        <v>109.07282608695652</v>
      </c>
      <c r="AD27" s="586">
        <f t="shared" si="26"/>
        <v>105.33260869565217</v>
      </c>
      <c r="AE27" s="586">
        <f t="shared" si="26"/>
        <v>103.25489130434782</v>
      </c>
      <c r="AF27" s="586">
        <f t="shared" si="26"/>
        <v>99.449999999999989</v>
      </c>
      <c r="AG27" s="586">
        <f>(AG30+AF30)/2</f>
        <v>94.777752293577976</v>
      </c>
      <c r="AH27" s="586">
        <f t="shared" si="26"/>
        <v>91.762844036697231</v>
      </c>
      <c r="AI27" s="586">
        <f>(AI30+AH30)/2</f>
        <v>87.377522935779808</v>
      </c>
      <c r="AJ27" s="586">
        <f>(AJ30+AI30)/2</f>
        <v>82.992201834862371</v>
      </c>
      <c r="AK27" s="586">
        <f>(AK30+AJ30)/2</f>
        <v>78.606880733944934</v>
      </c>
      <c r="AL27" s="971"/>
      <c r="AM27" s="960">
        <f>((AE27/Z27)^(1/4)-1)*100</f>
        <v>-1.8802663212399207</v>
      </c>
      <c r="AN27" s="507" t="s">
        <v>156</v>
      </c>
      <c r="AO27" s="509">
        <f>((AJ27/AE27)^(1/5)-1)*100</f>
        <v>-4.2750097910836065</v>
      </c>
      <c r="AP27" s="961" t="s">
        <v>156</v>
      </c>
    </row>
    <row r="28" spans="1:45">
      <c r="A28" s="969" t="s">
        <v>78</v>
      </c>
      <c r="C28" s="962"/>
      <c r="D28" s="962">
        <f t="shared" ref="D28:AH28" si="27">D27/C27-1</f>
        <v>7.4823943661972425E-3</v>
      </c>
      <c r="E28" s="962">
        <f t="shared" si="27"/>
        <v>0</v>
      </c>
      <c r="F28" s="962">
        <f t="shared" si="27"/>
        <v>-2.6212319790300809E-3</v>
      </c>
      <c r="G28" s="962">
        <f t="shared" si="27"/>
        <v>-6.1322820849759596E-3</v>
      </c>
      <c r="H28" s="962">
        <f t="shared" si="27"/>
        <v>1.7628911414719894E-3</v>
      </c>
      <c r="I28" s="962">
        <f t="shared" si="27"/>
        <v>1.8477782666080023E-2</v>
      </c>
      <c r="J28" s="962">
        <f t="shared" si="27"/>
        <v>1.7710583153347725E-2</v>
      </c>
      <c r="K28" s="962">
        <f t="shared" si="27"/>
        <v>-5.0933786078098953E-3</v>
      </c>
      <c r="L28" s="962">
        <f t="shared" si="27"/>
        <v>-1.5784982935153624E-2</v>
      </c>
      <c r="M28" s="962">
        <f t="shared" si="27"/>
        <v>-1.603814477676635E-2</v>
      </c>
      <c r="N28" s="962">
        <f t="shared" si="27"/>
        <v>-2.8193832599119006E-2</v>
      </c>
      <c r="O28" s="962">
        <f t="shared" si="27"/>
        <v>-3.0371713508613007E-2</v>
      </c>
      <c r="P28" s="962">
        <f t="shared" si="27"/>
        <v>2.0570359981299857E-2</v>
      </c>
      <c r="Q28" s="962">
        <f t="shared" si="27"/>
        <v>-4.1227668346312418E-2</v>
      </c>
      <c r="R28" s="962">
        <f t="shared" si="27"/>
        <v>-2.34113712374584E-2</v>
      </c>
      <c r="S28" s="962">
        <f t="shared" si="27"/>
        <v>-9.7847358121331274E-3</v>
      </c>
      <c r="T28" s="962">
        <f t="shared" si="27"/>
        <v>1.4822134387353358E-3</v>
      </c>
      <c r="U28" s="962">
        <f t="shared" si="27"/>
        <v>8.8801184015787626E-3</v>
      </c>
      <c r="V28" s="962">
        <f t="shared" si="27"/>
        <v>2.5427872860635636E-2</v>
      </c>
      <c r="W28" s="962">
        <f t="shared" si="27"/>
        <v>3.2427277062470283E-2</v>
      </c>
      <c r="X28" s="962">
        <f t="shared" si="27"/>
        <v>2.3556581986143188E-2</v>
      </c>
      <c r="Y28" s="962">
        <f t="shared" si="27"/>
        <v>7.6714801444042191E-3</v>
      </c>
      <c r="Z28" s="962">
        <f t="shared" si="27"/>
        <v>-2.2391401701746805E-3</v>
      </c>
      <c r="AA28" s="962">
        <f t="shared" si="27"/>
        <v>0</v>
      </c>
      <c r="AB28" s="962">
        <f t="shared" si="27"/>
        <v>-2.288072749980552E-3</v>
      </c>
      <c r="AC28" s="962">
        <f t="shared" si="27"/>
        <v>-1.8644838562983157E-2</v>
      </c>
      <c r="AD28" s="962">
        <f t="shared" si="27"/>
        <v>-3.4291010194624771E-2</v>
      </c>
      <c r="AE28" s="962">
        <f t="shared" si="27"/>
        <v>-1.972530080696755E-2</v>
      </c>
      <c r="AF28" s="962">
        <f t="shared" si="27"/>
        <v>-3.6849501813262964E-2</v>
      </c>
      <c r="AG28" s="962">
        <f t="shared" si="27"/>
        <v>-4.6980871859447104E-2</v>
      </c>
      <c r="AH28" s="962">
        <f t="shared" si="27"/>
        <v>-3.1810294968189767E-2</v>
      </c>
      <c r="AI28" s="962">
        <f>AI27/AH27-1</f>
        <v>-4.7789725209079981E-2</v>
      </c>
      <c r="AJ28" s="962">
        <f>AJ27/AI27-1</f>
        <v>-5.0188205771643735E-2</v>
      </c>
      <c r="AK28" s="962">
        <f>AK27/AJ27-1</f>
        <v>-5.2840158520475633E-2</v>
      </c>
      <c r="AL28" s="962"/>
      <c r="AM28" s="500"/>
      <c r="AN28" s="507"/>
      <c r="AO28" s="507"/>
      <c r="AP28" s="961"/>
    </row>
    <row r="29" spans="1:45">
      <c r="A29" s="968"/>
      <c r="AM29" s="500"/>
      <c r="AN29" s="507"/>
      <c r="AO29" s="507"/>
      <c r="AP29" s="961"/>
    </row>
    <row r="30" spans="1:45">
      <c r="A30" s="968" t="s">
        <v>89</v>
      </c>
      <c r="B30" s="972">
        <v>112.8</v>
      </c>
      <c r="C30" s="972">
        <v>114.4</v>
      </c>
      <c r="D30" s="972">
        <v>114.5</v>
      </c>
      <c r="E30" s="972">
        <v>114.4</v>
      </c>
      <c r="F30" s="972">
        <v>113.9</v>
      </c>
      <c r="G30" s="972">
        <v>113</v>
      </c>
      <c r="H30" s="972">
        <v>114.3</v>
      </c>
      <c r="I30" s="972">
        <v>117.2</v>
      </c>
      <c r="J30" s="972">
        <v>118.4</v>
      </c>
      <c r="K30" s="972">
        <v>116</v>
      </c>
      <c r="L30" s="972">
        <v>114.7</v>
      </c>
      <c r="M30" s="972">
        <v>112.3</v>
      </c>
      <c r="N30" s="972">
        <v>108.3</v>
      </c>
      <c r="O30" s="972">
        <v>105.6</v>
      </c>
      <c r="P30" s="972">
        <v>106</v>
      </c>
      <c r="Q30" s="972">
        <v>103.3</v>
      </c>
      <c r="R30" s="972">
        <v>101.1</v>
      </c>
      <c r="S30" s="972">
        <v>101.3</v>
      </c>
      <c r="T30" s="972">
        <v>101.4</v>
      </c>
      <c r="U30" s="972">
        <v>103.1</v>
      </c>
      <c r="V30" s="972">
        <v>106.6</v>
      </c>
      <c r="W30" s="972">
        <v>109.9</v>
      </c>
      <c r="X30" s="972">
        <v>111.7</v>
      </c>
      <c r="Y30" s="586">
        <v>111.6</v>
      </c>
      <c r="Z30" s="586">
        <v>111.2</v>
      </c>
      <c r="AA30" s="586">
        <v>111.6</v>
      </c>
      <c r="AB30" s="586">
        <f>stores!E318</f>
        <v>110.69021739130434</v>
      </c>
      <c r="AC30" s="586">
        <f>stores!E324</f>
        <v>107.45543478260869</v>
      </c>
      <c r="AD30" s="586">
        <f>stores!E330</f>
        <v>103.20978260869565</v>
      </c>
      <c r="AE30" s="586">
        <f>stores!$E$336</f>
        <v>103.3</v>
      </c>
      <c r="AF30" s="586">
        <f>stores!$E$342</f>
        <v>95.6</v>
      </c>
      <c r="AG30" s="586">
        <f>stores!E348</f>
        <v>93.955504587155957</v>
      </c>
      <c r="AH30" s="586">
        <f>AG30+(AH17-AG17)*(AG30/AG17)</f>
        <v>89.57018348623852</v>
      </c>
      <c r="AI30" s="586">
        <f>AH30+(AI17-AH17)*(AH30/AH17)</f>
        <v>85.184862385321082</v>
      </c>
      <c r="AJ30" s="586">
        <f>AI30+(AJ17-AI17)*(AI30/AI17)</f>
        <v>80.799541284403659</v>
      </c>
      <c r="AK30" s="586">
        <f>AJ30+(AK17-AJ17)*(AJ30/AJ17)</f>
        <v>76.414220183486222</v>
      </c>
      <c r="AL30" s="971"/>
      <c r="AM30" s="960">
        <f>((AE30/Z30)^(1/4)-1)*100</f>
        <v>-1.8254580735366233</v>
      </c>
      <c r="AN30" s="507" t="s">
        <v>156</v>
      </c>
      <c r="AO30" s="509">
        <f>((AJ30/AE30)^(1/5)-1)*100</f>
        <v>-4.7945709097198748</v>
      </c>
      <c r="AP30" s="961" t="s">
        <v>156</v>
      </c>
    </row>
    <row r="31" spans="1:45">
      <c r="A31" s="969" t="s">
        <v>78</v>
      </c>
      <c r="C31" s="962">
        <f t="shared" ref="C31:AH31" si="28">C30/B30-1</f>
        <v>1.4184397163120588E-2</v>
      </c>
      <c r="D31" s="962">
        <f t="shared" si="28"/>
        <v>8.7412587412583065E-4</v>
      </c>
      <c r="E31" s="962">
        <f t="shared" si="28"/>
        <v>-8.7336244541480479E-4</v>
      </c>
      <c r="F31" s="962">
        <f t="shared" si="28"/>
        <v>-4.3706293706293753E-3</v>
      </c>
      <c r="G31" s="962">
        <f t="shared" si="28"/>
        <v>-7.9016681299386438E-3</v>
      </c>
      <c r="H31" s="962">
        <f t="shared" si="28"/>
        <v>1.1504424778761013E-2</v>
      </c>
      <c r="I31" s="962">
        <f t="shared" si="28"/>
        <v>2.5371828521434825E-2</v>
      </c>
      <c r="J31" s="962">
        <f t="shared" si="28"/>
        <v>1.0238907849829282E-2</v>
      </c>
      <c r="K31" s="962">
        <f t="shared" si="28"/>
        <v>-2.0270270270270285E-2</v>
      </c>
      <c r="L31" s="962">
        <f t="shared" si="28"/>
        <v>-1.1206896551724133E-2</v>
      </c>
      <c r="M31" s="962">
        <f t="shared" si="28"/>
        <v>-2.0924149956408122E-2</v>
      </c>
      <c r="N31" s="962">
        <f t="shared" si="28"/>
        <v>-3.5618878005342802E-2</v>
      </c>
      <c r="O31" s="962">
        <f t="shared" si="28"/>
        <v>-2.4930747922437657E-2</v>
      </c>
      <c r="P31" s="962">
        <f t="shared" si="28"/>
        <v>3.7878787878788955E-3</v>
      </c>
      <c r="Q31" s="962">
        <f t="shared" si="28"/>
        <v>-2.5471698113207597E-2</v>
      </c>
      <c r="R31" s="962">
        <f t="shared" si="28"/>
        <v>-2.1297192642788065E-2</v>
      </c>
      <c r="S31" s="962">
        <f t="shared" si="28"/>
        <v>1.9782393669633969E-3</v>
      </c>
      <c r="T31" s="962">
        <f t="shared" si="28"/>
        <v>9.8716683119448589E-4</v>
      </c>
      <c r="U31" s="962">
        <f t="shared" si="28"/>
        <v>1.6765285996055201E-2</v>
      </c>
      <c r="V31" s="962">
        <f t="shared" si="28"/>
        <v>3.3947623666343407E-2</v>
      </c>
      <c r="W31" s="962">
        <f t="shared" si="28"/>
        <v>3.0956848030018858E-2</v>
      </c>
      <c r="X31" s="962">
        <f t="shared" si="28"/>
        <v>1.6378525932666088E-2</v>
      </c>
      <c r="Y31" s="962">
        <f t="shared" si="28"/>
        <v>-8.9525514771715553E-4</v>
      </c>
      <c r="Z31" s="962">
        <f t="shared" si="28"/>
        <v>-3.5842293906809264E-3</v>
      </c>
      <c r="AA31" s="962">
        <f t="shared" si="28"/>
        <v>3.597122302158251E-3</v>
      </c>
      <c r="AB31" s="962">
        <f t="shared" si="28"/>
        <v>-8.152173913043459E-3</v>
      </c>
      <c r="AC31" s="962">
        <f t="shared" si="28"/>
        <v>-2.9223744292237397E-2</v>
      </c>
      <c r="AD31" s="962">
        <f t="shared" si="28"/>
        <v>-3.9510818438381889E-2</v>
      </c>
      <c r="AE31" s="962">
        <f t="shared" si="28"/>
        <v>8.7411666824643852E-4</v>
      </c>
      <c r="AF31" s="962">
        <f t="shared" si="28"/>
        <v>-7.4540174249758007E-2</v>
      </c>
      <c r="AG31" s="962">
        <f t="shared" si="28"/>
        <v>-1.7201834862385357E-2</v>
      </c>
      <c r="AH31" s="962">
        <f t="shared" si="28"/>
        <v>-4.6674445740956916E-2</v>
      </c>
      <c r="AI31" s="962">
        <f>AI30/AH30-1</f>
        <v>-4.8959608323133508E-2</v>
      </c>
      <c r="AJ31" s="962">
        <f>AJ30/AI30-1</f>
        <v>-5.1480051480051414E-2</v>
      </c>
      <c r="AK31" s="962">
        <f>AK30/AJ30-1</f>
        <v>-5.427408412483048E-2</v>
      </c>
      <c r="AL31" s="962"/>
      <c r="AM31" s="500"/>
      <c r="AN31" s="507"/>
      <c r="AO31" s="507"/>
      <c r="AP31" s="961"/>
    </row>
    <row r="32" spans="1:45">
      <c r="A32" s="970"/>
      <c r="AM32" s="500"/>
      <c r="AN32" s="507"/>
      <c r="AO32" s="507"/>
      <c r="AP32" s="961"/>
    </row>
    <row r="33" spans="1:42">
      <c r="A33" s="968" t="s">
        <v>88</v>
      </c>
      <c r="B33" s="586">
        <f t="shared" ref="B33:R33" si="29">B30/B18*1000</f>
        <v>84.084979500559072</v>
      </c>
      <c r="C33" s="586">
        <f t="shared" si="29"/>
        <v>86.666666666666671</v>
      </c>
      <c r="D33" s="586">
        <f t="shared" si="29"/>
        <v>88.246628131021197</v>
      </c>
      <c r="E33" s="586">
        <f t="shared" si="29"/>
        <v>89.760690466849738</v>
      </c>
      <c r="F33" s="586">
        <f t="shared" si="29"/>
        <v>90.684713375796193</v>
      </c>
      <c r="G33" s="586">
        <f t="shared" si="29"/>
        <v>91.165792658329963</v>
      </c>
      <c r="H33" s="586">
        <f t="shared" si="29"/>
        <v>92.513152569809805</v>
      </c>
      <c r="I33" s="586">
        <f t="shared" si="29"/>
        <v>95.05271695052717</v>
      </c>
      <c r="J33" s="586">
        <f t="shared" si="29"/>
        <v>97.408473879062129</v>
      </c>
      <c r="K33" s="586">
        <f t="shared" si="29"/>
        <v>97.807757166947724</v>
      </c>
      <c r="L33" s="586">
        <f t="shared" si="29"/>
        <v>97.82515991471216</v>
      </c>
      <c r="M33" s="586">
        <f t="shared" si="29"/>
        <v>96.270895842263172</v>
      </c>
      <c r="N33" s="586">
        <f t="shared" si="29"/>
        <v>95</v>
      </c>
      <c r="O33" s="586">
        <f t="shared" si="29"/>
        <v>95.13513513513513</v>
      </c>
      <c r="P33" s="586">
        <f t="shared" si="29"/>
        <v>97.38171796049609</v>
      </c>
      <c r="Q33" s="586">
        <f t="shared" si="29"/>
        <v>97.821969696969703</v>
      </c>
      <c r="R33" s="586">
        <f t="shared" si="29"/>
        <v>98.012603005332025</v>
      </c>
      <c r="S33" s="586">
        <f t="shared" ref="S33:AC33" si="30">S30/S18*1000</f>
        <v>99.459990181639654</v>
      </c>
      <c r="T33" s="586">
        <f t="shared" si="30"/>
        <v>99.607072691552077</v>
      </c>
      <c r="U33" s="586">
        <f t="shared" si="30"/>
        <v>100.48732943469784</v>
      </c>
      <c r="V33" s="586">
        <f t="shared" si="30"/>
        <v>101.52380952380952</v>
      </c>
      <c r="W33" s="586">
        <f t="shared" si="30"/>
        <v>101.75925925925925</v>
      </c>
      <c r="X33" s="586">
        <f t="shared" si="30"/>
        <v>101.49931849159474</v>
      </c>
      <c r="Y33" s="586">
        <f t="shared" si="30"/>
        <v>100.8130081300813</v>
      </c>
      <c r="Z33" s="586">
        <f t="shared" si="30"/>
        <v>100.72463768115942</v>
      </c>
      <c r="AA33" s="586">
        <f t="shared" si="30"/>
        <v>101.17860380779692</v>
      </c>
      <c r="AB33" s="586">
        <f t="shared" si="30"/>
        <v>100.71903311310678</v>
      </c>
      <c r="AC33" s="586">
        <f t="shared" si="30"/>
        <v>99.680366217633292</v>
      </c>
      <c r="AD33" s="586">
        <f t="shared" ref="AD33:AJ33" si="31">AD30/AD18*1000</f>
        <v>99.097246863846038</v>
      </c>
      <c r="AE33" s="586">
        <f t="shared" si="31"/>
        <v>101.52334152334153</v>
      </c>
      <c r="AF33" s="586">
        <f t="shared" si="31"/>
        <v>101.37857900318133</v>
      </c>
      <c r="AG33" s="586">
        <f t="shared" si="31"/>
        <v>108.68190235645571</v>
      </c>
      <c r="AH33" s="586">
        <f t="shared" si="31"/>
        <v>107.01336139335547</v>
      </c>
      <c r="AI33" s="586">
        <f t="shared" si="31"/>
        <v>106.88188505059107</v>
      </c>
      <c r="AJ33" s="586">
        <f t="shared" si="31"/>
        <v>106.73651424623998</v>
      </c>
      <c r="AK33" s="586">
        <f t="shared" ref="AK33" si="32">AK30/AK18*1000</f>
        <v>106.57492354740059</v>
      </c>
      <c r="AL33" s="586"/>
      <c r="AM33" s="500"/>
      <c r="AN33" s="507"/>
      <c r="AO33" s="507"/>
      <c r="AP33" s="961"/>
    </row>
    <row r="34" spans="1:42">
      <c r="A34" s="969" t="s">
        <v>78</v>
      </c>
      <c r="C34" s="962">
        <f t="shared" ref="C34:AH34" si="33">C33/B33-1</f>
        <v>3.0703309692671432E-2</v>
      </c>
      <c r="D34" s="962">
        <f t="shared" si="33"/>
        <v>1.8230324588706104E-2</v>
      </c>
      <c r="E34" s="962">
        <f t="shared" si="33"/>
        <v>1.7157169264083283E-2</v>
      </c>
      <c r="F34" s="962">
        <f t="shared" si="33"/>
        <v>1.0294293684023126E-2</v>
      </c>
      <c r="G34" s="962">
        <f t="shared" si="33"/>
        <v>5.304965573857956E-3</v>
      </c>
      <c r="H34" s="962">
        <f t="shared" si="33"/>
        <v>1.4779226639639598E-2</v>
      </c>
      <c r="I34" s="962">
        <f t="shared" si="33"/>
        <v>2.7450846827439257E-2</v>
      </c>
      <c r="J34" s="962">
        <f t="shared" si="33"/>
        <v>2.478368850583279E-2</v>
      </c>
      <c r="K34" s="962">
        <f t="shared" si="33"/>
        <v>4.0990611184539283E-3</v>
      </c>
      <c r="L34" s="962">
        <f t="shared" si="33"/>
        <v>1.7792809352257244E-4</v>
      </c>
      <c r="M34" s="962">
        <f t="shared" si="33"/>
        <v>-1.5888183303805037E-2</v>
      </c>
      <c r="N34" s="962">
        <f t="shared" si="33"/>
        <v>-1.3201246660730082E-2</v>
      </c>
      <c r="O34" s="962">
        <f t="shared" si="33"/>
        <v>1.4224751066855834E-3</v>
      </c>
      <c r="P34" s="962">
        <f t="shared" si="33"/>
        <v>2.3614649016578282E-2</v>
      </c>
      <c r="Q34" s="962">
        <f t="shared" si="33"/>
        <v>4.5208869353918768E-3</v>
      </c>
      <c r="R34" s="962">
        <f t="shared" si="33"/>
        <v>1.9487780603157923E-3</v>
      </c>
      <c r="S34" s="962">
        <f t="shared" si="33"/>
        <v>1.476735778794569E-2</v>
      </c>
      <c r="T34" s="962">
        <f t="shared" si="33"/>
        <v>1.4788108227621333E-3</v>
      </c>
      <c r="U34" s="962">
        <f t="shared" si="33"/>
        <v>8.8372915633372351E-3</v>
      </c>
      <c r="V34" s="962">
        <f t="shared" si="33"/>
        <v>1.0314535125398372E-2</v>
      </c>
      <c r="W34" s="962">
        <f t="shared" si="33"/>
        <v>2.3191578069625685E-3</v>
      </c>
      <c r="X34" s="962">
        <f t="shared" si="33"/>
        <v>-2.5544679624902589E-3</v>
      </c>
      <c r="Y34" s="962">
        <f t="shared" si="33"/>
        <v>-6.7617238392617685E-3</v>
      </c>
      <c r="Z34" s="962">
        <f t="shared" si="33"/>
        <v>-8.7657784011219153E-4</v>
      </c>
      <c r="AA34" s="962">
        <f t="shared" si="33"/>
        <v>4.5070018328039474E-3</v>
      </c>
      <c r="AB34" s="962">
        <f t="shared" si="33"/>
        <v>-4.5421727261938383E-3</v>
      </c>
      <c r="AC34" s="962">
        <f t="shared" si="33"/>
        <v>-1.0312518531696679E-2</v>
      </c>
      <c r="AD34" s="962">
        <f t="shared" si="33"/>
        <v>-5.8498917681956142E-3</v>
      </c>
      <c r="AE34" s="962">
        <f t="shared" si="33"/>
        <v>2.4481958240765378E-2</v>
      </c>
      <c r="AF34" s="962">
        <f t="shared" si="33"/>
        <v>-1.425903816679619E-3</v>
      </c>
      <c r="AG34" s="962">
        <f t="shared" si="33"/>
        <v>7.204010378805159E-2</v>
      </c>
      <c r="AH34" s="962">
        <f t="shared" si="33"/>
        <v>-1.535251892838374E-2</v>
      </c>
      <c r="AI34" s="962">
        <f>AI33/AH33-1</f>
        <v>-1.2285974485104489E-3</v>
      </c>
      <c r="AJ34" s="962">
        <f>AJ33/AI33-1</f>
        <v>-1.3601070404238857E-3</v>
      </c>
      <c r="AK34" s="962">
        <f>AK33/AJ33-1</f>
        <v>-1.513921453970335E-3</v>
      </c>
      <c r="AL34" s="962"/>
      <c r="AM34" s="500"/>
      <c r="AN34" s="507"/>
      <c r="AO34" s="507"/>
      <c r="AP34" s="961"/>
    </row>
    <row r="35" spans="1:42">
      <c r="A35" s="970"/>
      <c r="AM35" s="500"/>
      <c r="AN35" s="507"/>
      <c r="AO35" s="507"/>
      <c r="AP35" s="961"/>
    </row>
    <row r="36" spans="1:42">
      <c r="A36" s="968" t="s">
        <v>432</v>
      </c>
      <c r="B36" s="973"/>
      <c r="C36" s="973">
        <f t="shared" ref="C36:AJ36" si="34">C11/C27</f>
        <v>144.05809859154931</v>
      </c>
      <c r="D36" s="973">
        <f t="shared" si="34"/>
        <v>141.55526430755788</v>
      </c>
      <c r="E36" s="973">
        <f t="shared" si="34"/>
        <v>157.35255570117954</v>
      </c>
      <c r="F36" s="973">
        <f t="shared" si="34"/>
        <v>166.29872974156811</v>
      </c>
      <c r="G36" s="973">
        <f t="shared" si="34"/>
        <v>179.63860731599823</v>
      </c>
      <c r="H36" s="973">
        <f t="shared" si="34"/>
        <v>180.92388913330399</v>
      </c>
      <c r="I36" s="973">
        <f t="shared" si="34"/>
        <v>195.6976241900648</v>
      </c>
      <c r="J36" s="973">
        <f t="shared" si="34"/>
        <v>250.26485568760609</v>
      </c>
      <c r="K36" s="973">
        <f t="shared" si="34"/>
        <v>251.17747440273038</v>
      </c>
      <c r="L36" s="973">
        <f t="shared" si="34"/>
        <v>275.18855656697008</v>
      </c>
      <c r="M36" s="973">
        <f t="shared" si="34"/>
        <v>280.5814977973568</v>
      </c>
      <c r="N36" s="973">
        <f t="shared" si="34"/>
        <v>290.15412511332732</v>
      </c>
      <c r="O36" s="973">
        <f t="shared" si="34"/>
        <v>302.44974287050024</v>
      </c>
      <c r="P36" s="973">
        <f t="shared" si="34"/>
        <v>163.44480073293633</v>
      </c>
      <c r="Q36" s="973">
        <f t="shared" si="34"/>
        <v>166.11562350692785</v>
      </c>
      <c r="R36" s="973">
        <f t="shared" si="34"/>
        <v>171.36007827788652</v>
      </c>
      <c r="S36" s="973">
        <f t="shared" si="34"/>
        <v>178.81422924901187</v>
      </c>
      <c r="T36" s="973">
        <f t="shared" si="34"/>
        <v>185.30916625555008</v>
      </c>
      <c r="U36" s="973">
        <f t="shared" si="34"/>
        <v>194.67078728606356</v>
      </c>
      <c r="V36" s="973">
        <f t="shared" si="34"/>
        <v>189.38483547925608</v>
      </c>
      <c r="W36" s="973">
        <f t="shared" si="34"/>
        <v>170.77628155848396</v>
      </c>
      <c r="X36" s="973">
        <f t="shared" si="34"/>
        <v>158.47905714526505</v>
      </c>
      <c r="Y36" s="973">
        <f t="shared" si="34"/>
        <v>159.05956112852664</v>
      </c>
      <c r="Z36" s="973">
        <f t="shared" si="34"/>
        <v>154.9371633752244</v>
      </c>
      <c r="AA36" s="973">
        <f t="shared" si="34"/>
        <v>116.56193895870736</v>
      </c>
      <c r="AB36" s="973">
        <f t="shared" si="34"/>
        <v>106.69835262362658</v>
      </c>
      <c r="AC36" s="973">
        <f t="shared" si="34"/>
        <v>112.3744606216429</v>
      </c>
      <c r="AD36" s="973">
        <f t="shared" si="34"/>
        <v>119.85841949930861</v>
      </c>
      <c r="AE36" s="973">
        <f t="shared" si="34"/>
        <v>121.51482454247352</v>
      </c>
      <c r="AF36" s="973">
        <f t="shared" si="34"/>
        <v>125.75163398692811</v>
      </c>
      <c r="AG36" s="973">
        <f t="shared" si="34"/>
        <v>127.18233665915676</v>
      </c>
      <c r="AH36" s="973">
        <f t="shared" si="34"/>
        <v>127.7800936414548</v>
      </c>
      <c r="AI36" s="973">
        <f t="shared" si="34"/>
        <v>129.63929400393795</v>
      </c>
      <c r="AJ36" s="973">
        <f t="shared" si="34"/>
        <v>130.85790336757501</v>
      </c>
      <c r="AK36" s="973">
        <f t="shared" ref="AK36" si="35">AK11/AK27</f>
        <v>130.80556020622797</v>
      </c>
      <c r="AL36" s="973"/>
      <c r="AM36" s="960">
        <f>((AE36/Z36)^(1/4)-1)*100</f>
        <v>-5.8937612343051278</v>
      </c>
      <c r="AN36" s="507" t="s">
        <v>156</v>
      </c>
      <c r="AO36" s="509">
        <f>((AJ36/AE36)^(1/5)-1)*100</f>
        <v>1.4925440201462914</v>
      </c>
      <c r="AP36" s="961" t="s">
        <v>156</v>
      </c>
    </row>
    <row r="37" spans="1:42">
      <c r="A37" s="969" t="s">
        <v>78</v>
      </c>
      <c r="C37" s="962"/>
      <c r="D37" s="962">
        <f t="shared" ref="D37:AH37" si="36">D36/C36-1</f>
        <v>-1.7373783969534151E-2</v>
      </c>
      <c r="E37" s="962">
        <f t="shared" si="36"/>
        <v>0.11159804950311702</v>
      </c>
      <c r="F37" s="962">
        <f t="shared" si="36"/>
        <v>5.6854329442082907E-2</v>
      </c>
      <c r="G37" s="962">
        <f t="shared" si="36"/>
        <v>8.0216352795722479E-2</v>
      </c>
      <c r="H37" s="962">
        <f t="shared" si="36"/>
        <v>7.1548195374553369E-3</v>
      </c>
      <c r="I37" s="962">
        <f t="shared" si="36"/>
        <v>8.1657182628191105E-2</v>
      </c>
      <c r="J37" s="962">
        <f t="shared" si="36"/>
        <v>0.27883440958151162</v>
      </c>
      <c r="K37" s="962">
        <f t="shared" si="36"/>
        <v>3.6466115572515445E-3</v>
      </c>
      <c r="L37" s="962">
        <f t="shared" si="36"/>
        <v>9.5594090279532917E-2</v>
      </c>
      <c r="M37" s="962">
        <f t="shared" si="36"/>
        <v>1.959725832231074E-2</v>
      </c>
      <c r="N37" s="962">
        <f t="shared" si="36"/>
        <v>3.4117101060185062E-2</v>
      </c>
      <c r="O37" s="962">
        <f t="shared" si="36"/>
        <v>4.2376160436700783E-2</v>
      </c>
      <c r="P37" s="962">
        <f t="shared" si="36"/>
        <v>-0.45959682695806292</v>
      </c>
      <c r="Q37" s="962">
        <f t="shared" si="36"/>
        <v>1.6340824315088209E-2</v>
      </c>
      <c r="R37" s="962">
        <f t="shared" si="36"/>
        <v>3.1571110893972909E-2</v>
      </c>
      <c r="S37" s="962">
        <f t="shared" si="36"/>
        <v>4.3499927439559771E-2</v>
      </c>
      <c r="T37" s="962">
        <f t="shared" si="36"/>
        <v>3.6322260447704924E-2</v>
      </c>
      <c r="U37" s="962">
        <f t="shared" si="36"/>
        <v>5.051893125245277E-2</v>
      </c>
      <c r="V37" s="962">
        <f t="shared" si="36"/>
        <v>-2.7153287252287717E-2</v>
      </c>
      <c r="W37" s="962">
        <f t="shared" si="36"/>
        <v>-9.8257887827615353E-2</v>
      </c>
      <c r="X37" s="962">
        <f t="shared" si="36"/>
        <v>-7.2007800503652519E-2</v>
      </c>
      <c r="Y37" s="962">
        <f t="shared" si="36"/>
        <v>3.6629696927683586E-3</v>
      </c>
      <c r="Z37" s="962">
        <f t="shared" si="36"/>
        <v>-2.5917321310670371E-2</v>
      </c>
      <c r="AA37" s="962">
        <f t="shared" si="36"/>
        <v>-0.24768250289687133</v>
      </c>
      <c r="AB37" s="962">
        <f t="shared" si="36"/>
        <v>-8.462098711805921E-2</v>
      </c>
      <c r="AC37" s="962">
        <f t="shared" si="36"/>
        <v>5.3197709790689274E-2</v>
      </c>
      <c r="AD37" s="962">
        <f t="shared" si="36"/>
        <v>6.6598396435144647E-2</v>
      </c>
      <c r="AE37" s="962">
        <f t="shared" si="36"/>
        <v>1.3819680336886631E-2</v>
      </c>
      <c r="AF37" s="962">
        <f t="shared" si="36"/>
        <v>3.4866605456634447E-2</v>
      </c>
      <c r="AG37" s="962">
        <f t="shared" si="36"/>
        <v>1.1377209399739296E-2</v>
      </c>
      <c r="AH37" s="962">
        <f t="shared" si="36"/>
        <v>4.6999999999999265E-3</v>
      </c>
      <c r="AI37" s="962">
        <f>AI36/AH36-1</f>
        <v>1.4549999999999841E-2</v>
      </c>
      <c r="AJ37" s="962">
        <f>AJ36/AI36-1</f>
        <v>9.400000000000297E-3</v>
      </c>
      <c r="AK37" s="962">
        <f>AK36/AJ36-1</f>
        <v>-4.0000000000006697E-4</v>
      </c>
      <c r="AL37" s="962"/>
      <c r="AM37" s="500"/>
      <c r="AN37" s="507"/>
      <c r="AO37" s="507"/>
      <c r="AP37" s="961"/>
    </row>
    <row r="38" spans="1:42">
      <c r="A38" s="970"/>
      <c r="AM38" s="500"/>
      <c r="AN38" s="507"/>
      <c r="AO38" s="507"/>
      <c r="AP38" s="961"/>
    </row>
    <row r="39" spans="1:42">
      <c r="A39" s="968" t="s">
        <v>85</v>
      </c>
      <c r="B39" s="974">
        <f>INDEX('qtrP&amp;L'!14:14,MATCH(B5,'qtrP&amp;L'!6:6,0)+2)%</f>
        <v>7.2000000000000008E-2</v>
      </c>
      <c r="C39" s="974">
        <f>INDEX('qtrP&amp;L'!14:14,MATCH(C5,'qtrP&amp;L'!6:6,0)+2)%</f>
        <v>-3.0000000000000001E-3</v>
      </c>
      <c r="D39" s="974">
        <f>INDEX('qtrP&amp;L'!14:14,MATCH(D5,'qtrP&amp;L'!6:6,0)+2)%</f>
        <v>-1.4999999999999999E-2</v>
      </c>
      <c r="E39" s="974">
        <f>INDEX('qtrP&amp;L'!14:14,MATCH(E5,'qtrP&amp;L'!6:6,0)+2)%</f>
        <v>9.6999999999999989E-2</v>
      </c>
      <c r="F39" s="974">
        <f>INDEX('qtrP&amp;L'!14:14,MATCH(F5,'qtrP&amp;L'!6:6,0)+2)%</f>
        <v>5.2999999999999999E-2</v>
      </c>
      <c r="G39" s="974">
        <f>INDEX('qtrP&amp;L'!14:14,MATCH(G5,'qtrP&amp;L'!6:6,0)+2)%</f>
        <v>7.0711579980372904E-2</v>
      </c>
      <c r="H39" s="974">
        <f>INDEX('qtrP&amp;L'!14:14,MATCH(H5,'qtrP&amp;L'!6:6,0)+2)%</f>
        <v>-1.3597996303861491E-2</v>
      </c>
      <c r="I39" s="974">
        <f>INDEX('qtrP&amp;L'!14:14,MATCH(I5,'qtrP&amp;L'!6:6,0)+2)%</f>
        <v>3.4540325784664282E-2</v>
      </c>
      <c r="J39" s="974">
        <f>INDEX('qtrP&amp;L'!14:14,MATCH(J5,'qtrP&amp;L'!6:6,0)+2)%</f>
        <v>-8.4162110090498486E-4</v>
      </c>
      <c r="K39" s="974">
        <f>INDEX('qtrP&amp;L'!14:14,MATCH(K5,'qtrP&amp;L'!6:6,0)+2)%</f>
        <v>-1.9E-2</v>
      </c>
      <c r="L39" s="974">
        <f>INDEX('qtrP&amp;L'!14:14,MATCH(L5,'qtrP&amp;L'!6:6,0)+2)%</f>
        <v>-1.1000000000000001E-2</v>
      </c>
      <c r="M39" s="974">
        <f>INDEX('qtrP&amp;L'!14:14,MATCH(M5,'qtrP&amp;L'!6:6,0)+2)%</f>
        <v>-2.4E-2</v>
      </c>
      <c r="N39" s="974">
        <f>INDEX('qtrP&amp;L'!14:14,MATCH(N5,'qtrP&amp;L'!6:6,0)+2)%</f>
        <v>3.125E-2</v>
      </c>
      <c r="O39" s="974">
        <f>INDEX('qtrP&amp;L'!14:14,MATCH(O5,'qtrP&amp;L'!6:6,0)+2)%</f>
        <v>2.8250000000000001E-2</v>
      </c>
      <c r="P39" s="974">
        <f>INDEX('qtrP&amp;L'!14:14,MATCH(P5,'qtrP&amp;L'!6:6,0)+2)%</f>
        <v>3.125E-2</v>
      </c>
      <c r="Q39" s="974">
        <f>INDEX('qtrP&amp;L'!14:14,MATCH(Q5,'qtrP&amp;L'!6:6,0)+2)%</f>
        <v>2.8250000000000001E-2</v>
      </c>
      <c r="R39" s="974">
        <f>INDEX('qtrP&amp;L'!14:14,MATCH(R5,'qtrP&amp;L'!6:6,0)+2)%</f>
        <v>8.0000000000000002E-3</v>
      </c>
      <c r="S39" s="974">
        <f>INDEX('qtrP&amp;L'!14:14,MATCH(S5,'qtrP&amp;L'!6:6,0)+2)%</f>
        <v>4.9000000000000002E-2</v>
      </c>
      <c r="T39" s="974">
        <f>INDEX('qtrP&amp;L'!14:14,MATCH(T5,'qtrP&amp;L'!6:6,0)+2)%</f>
        <v>2.8999999999999998E-2</v>
      </c>
      <c r="U39" s="974">
        <f>INDEX('qtrP&amp;L'!14:14,MATCH(U5,'qtrP&amp;L'!6:6,0)+2)%</f>
        <v>4.9625677213785739E-2</v>
      </c>
      <c r="V39" s="974">
        <f>INDEX('qtrP&amp;L'!14:14,MATCH(V5,'qtrP&amp;L'!6:6,0)+2)%</f>
        <v>3.7257893941683045E-3</v>
      </c>
      <c r="W39" s="974">
        <f>INDEX('qtrP&amp;L'!14:14,MATCH(W5,'qtrP&amp;L'!6:6,0)+2)%</f>
        <v>-8.5000000000000006E-2</v>
      </c>
      <c r="X39" s="974">
        <f>INDEX('qtrP&amp;L'!14:14,MATCH(X5,'qtrP&amp;L'!6:6,0)+2)%</f>
        <v>-6.3080360850075165E-2</v>
      </c>
      <c r="Y39" s="974">
        <f>INDEX('qtrP&amp;L'!14:14,MATCH(Y5,'qtrP&amp;L'!6:6,0)+2)%</f>
        <v>2.4532615502896971E-2</v>
      </c>
      <c r="Z39" s="974">
        <f>INDEX('qtrP&amp;L'!14:14,MATCH(Z5,'qtrP&amp;L'!6:6,0)+2)%</f>
        <v>2E-3</v>
      </c>
      <c r="AA39" s="974">
        <f>INDEX('qtrP&amp;L'!14:14,MATCH(AA5,'qtrP&amp;L'!6:6,0)+2)%</f>
        <v>-0.252</v>
      </c>
      <c r="AB39" s="974">
        <f>INDEX('qtrP&amp;L'!14:14,MATCH(AB5,'qtrP&amp;L'!6:6,0)+2)%</f>
        <v>-6.8476178429884488E-2</v>
      </c>
      <c r="AC39" s="974">
        <f>INDEX('qtrP&amp;L'!14:14,MATCH(AC5,'qtrP&amp;L'!6:6,0)+2)%</f>
        <v>4.4000000000000004E-2</v>
      </c>
      <c r="AD39" s="974">
        <f>'qtrP&amp;L'!DR14/100</f>
        <v>4.4999999999999998E-2</v>
      </c>
      <c r="AE39" s="974">
        <f>'qtrP&amp;L'!DW14/100</f>
        <v>0</v>
      </c>
      <c r="AF39" s="974">
        <f>'qtrP&amp;L'!EB14/100</f>
        <v>1E-3</v>
      </c>
      <c r="AG39" s="974">
        <f>INDEX('qtrP&amp;L'!14:14,MATCH(AG5,'qtrP&amp;L'!6:6,0)+2)%</f>
        <v>7.0517956777370215E-3</v>
      </c>
      <c r="AH39" s="1383">
        <v>-1.4999999999999999E-2</v>
      </c>
      <c r="AI39" s="1383">
        <v>-1.4999999999999999E-2</v>
      </c>
      <c r="AJ39" s="1383">
        <v>-0.02</v>
      </c>
      <c r="AK39" s="1383">
        <v>-0.02</v>
      </c>
      <c r="AL39" s="975"/>
      <c r="AM39" s="500"/>
      <c r="AN39" s="507"/>
      <c r="AO39" s="507"/>
      <c r="AP39" s="961"/>
    </row>
    <row r="40" spans="1:42">
      <c r="AG40" s="1384"/>
      <c r="AH40" s="1384"/>
      <c r="AI40" s="1384"/>
      <c r="AJ40" s="1384"/>
      <c r="AK40" s="1384"/>
      <c r="AM40" s="500"/>
      <c r="AN40" s="507"/>
      <c r="AO40" s="507"/>
      <c r="AP40" s="961"/>
    </row>
    <row r="41" spans="1:42">
      <c r="A41" s="398" t="s">
        <v>414</v>
      </c>
      <c r="B41" s="704"/>
      <c r="C41" s="704">
        <f t="shared" ref="C41:AG41" si="37">C11/(B11*(1+C39)*(C17/B17))</f>
        <v>1.0317590771900691</v>
      </c>
      <c r="D41" s="704">
        <f t="shared" si="37"/>
        <v>1.0277719495599238</v>
      </c>
      <c r="E41" s="704">
        <f t="shared" si="37"/>
        <v>1.0269140579524652</v>
      </c>
      <c r="F41" s="704">
        <f t="shared" si="37"/>
        <v>1.0170973946264827</v>
      </c>
      <c r="G41" s="704">
        <f t="shared" si="37"/>
        <v>1.0132620984628919</v>
      </c>
      <c r="H41" s="704">
        <f t="shared" si="37"/>
        <v>1.0187078699400123</v>
      </c>
      <c r="I41" s="704">
        <f t="shared" si="37"/>
        <v>1.0735346144339772</v>
      </c>
      <c r="J41" s="704">
        <f t="shared" si="37"/>
        <v>1.3296489925147417</v>
      </c>
      <c r="K41" s="704">
        <f t="shared" si="37"/>
        <v>1.0474788258602952</v>
      </c>
      <c r="L41" s="704">
        <f t="shared" si="37"/>
        <v>1.0838035419105565</v>
      </c>
      <c r="M41" s="704">
        <f t="shared" si="37"/>
        <v>1.0447949548171749</v>
      </c>
      <c r="N41" s="704">
        <f t="shared" si="37"/>
        <v>1.0040122509556191</v>
      </c>
      <c r="O41" s="704">
        <f t="shared" si="37"/>
        <v>1.0062459775636585</v>
      </c>
      <c r="P41" s="704">
        <f t="shared" si="37"/>
        <v>0.5488147845211796</v>
      </c>
      <c r="Q41" s="704">
        <f t="shared" si="37"/>
        <v>0.971291396526891</v>
      </c>
      <c r="R41" s="704">
        <f t="shared" si="37"/>
        <v>1.0219612737077242</v>
      </c>
      <c r="S41" s="704">
        <f t="shared" si="37"/>
        <v>0.98792908304877658</v>
      </c>
      <c r="T41" s="704">
        <f t="shared" si="37"/>
        <v>1.0066290552580599</v>
      </c>
      <c r="U41" s="704">
        <f t="shared" si="37"/>
        <v>0.99605395192414281</v>
      </c>
      <c r="V41" s="704">
        <f t="shared" si="37"/>
        <v>0.96221107889675717</v>
      </c>
      <c r="W41" s="704">
        <f t="shared" si="37"/>
        <v>0.99326466462289686</v>
      </c>
      <c r="X41" s="704">
        <f t="shared" si="37"/>
        <v>1.0000788438640258</v>
      </c>
      <c r="Y41" s="704">
        <f t="shared" si="37"/>
        <v>0.98893036715111615</v>
      </c>
      <c r="Z41" s="704">
        <f t="shared" si="37"/>
        <v>0.97348237967264384</v>
      </c>
      <c r="AA41" s="704">
        <f t="shared" si="37"/>
        <v>1.0039500041265208</v>
      </c>
      <c r="AB41" s="704">
        <f t="shared" si="37"/>
        <v>0.98938176338390382</v>
      </c>
      <c r="AC41" s="704">
        <f t="shared" si="37"/>
        <v>1.01983150359449</v>
      </c>
      <c r="AD41" s="704">
        <f t="shared" si="37"/>
        <v>1.0252497803225851</v>
      </c>
      <c r="AE41" s="704">
        <f t="shared" si="37"/>
        <v>1.000682484816529</v>
      </c>
      <c r="AF41" s="704">
        <f t="shared" si="37"/>
        <v>1.1578863093498342</v>
      </c>
      <c r="AG41" s="704">
        <f t="shared" si="37"/>
        <v>0.97386472495814547</v>
      </c>
      <c r="AH41" s="1385">
        <v>1.02</v>
      </c>
      <c r="AI41" s="1385">
        <v>1.03</v>
      </c>
      <c r="AJ41" s="1385">
        <v>1.03</v>
      </c>
      <c r="AK41" s="1385">
        <v>1.02</v>
      </c>
      <c r="AL41" s="976"/>
      <c r="AM41" s="500"/>
      <c r="AN41" s="507"/>
      <c r="AO41" s="507"/>
      <c r="AP41" s="961"/>
    </row>
    <row r="42" spans="1:42">
      <c r="B42" s="704"/>
      <c r="C42" s="704"/>
      <c r="D42" s="704"/>
      <c r="E42" s="704"/>
      <c r="F42" s="704"/>
      <c r="G42" s="704"/>
      <c r="H42" s="704"/>
      <c r="I42" s="704"/>
      <c r="J42" s="704"/>
      <c r="K42" s="704"/>
      <c r="L42" s="704"/>
      <c r="M42" s="704"/>
      <c r="N42" s="704"/>
      <c r="O42" s="704"/>
      <c r="P42" s="704"/>
      <c r="Q42" s="704"/>
      <c r="R42" s="704"/>
      <c r="S42" s="704"/>
      <c r="T42" s="704"/>
      <c r="U42" s="704"/>
      <c r="V42" s="704"/>
      <c r="W42" s="704"/>
      <c r="X42" s="704"/>
      <c r="Y42" s="704"/>
      <c r="Z42" s="704"/>
      <c r="AA42" s="704"/>
      <c r="AB42" s="978"/>
      <c r="AC42" s="978"/>
      <c r="AD42" s="978"/>
      <c r="AE42" s="978"/>
      <c r="AF42" s="978"/>
      <c r="AG42" s="978"/>
      <c r="AH42" s="978"/>
      <c r="AI42" s="978"/>
      <c r="AJ42" s="978"/>
      <c r="AK42" s="978"/>
      <c r="AL42" s="978"/>
      <c r="AM42" s="500"/>
      <c r="AN42" s="507"/>
      <c r="AO42" s="507"/>
      <c r="AP42" s="961"/>
    </row>
    <row r="43" spans="1:42">
      <c r="A43" s="398" t="s">
        <v>478</v>
      </c>
      <c r="B43" s="704"/>
      <c r="C43" s="979">
        <f t="shared" ref="C43:AA43" si="38">((C12-C39)/C19)*100</f>
        <v>-120.23746073604671</v>
      </c>
      <c r="D43" s="979">
        <f t="shared" si="38"/>
        <v>-29.207862307770416</v>
      </c>
      <c r="E43" s="979">
        <f t="shared" si="38"/>
        <v>-82.35204013171446</v>
      </c>
      <c r="F43" s="979">
        <f t="shared" si="38"/>
        <v>-7.4683569626605202</v>
      </c>
      <c r="G43" s="979">
        <f t="shared" si="38"/>
        <v>-21.927334985248951</v>
      </c>
      <c r="H43" s="979">
        <f t="shared" si="38"/>
        <v>-698.09632067198504</v>
      </c>
      <c r="I43" s="979">
        <f t="shared" si="38"/>
        <v>-3316.254138920378</v>
      </c>
      <c r="J43" s="979">
        <f t="shared" si="38"/>
        <v>-2130.0951052324922</v>
      </c>
      <c r="K43" s="979">
        <f t="shared" si="38"/>
        <v>-72.248740582047148</v>
      </c>
      <c r="L43" s="979">
        <f t="shared" si="38"/>
        <v>-784.51840981548435</v>
      </c>
      <c r="M43" s="979">
        <f t="shared" si="38"/>
        <v>-532.40899305883818</v>
      </c>
      <c r="N43" s="979">
        <f t="shared" si="38"/>
        <v>115.71954402614497</v>
      </c>
      <c r="O43" s="979">
        <f t="shared" si="38"/>
        <v>66.623840769903822</v>
      </c>
      <c r="P43" s="979">
        <f t="shared" si="38"/>
        <v>2476.7483649322971</v>
      </c>
      <c r="Q43" s="979">
        <f t="shared" si="38"/>
        <v>180.22390996895484</v>
      </c>
      <c r="R43" s="979">
        <f t="shared" si="38"/>
        <v>2.4972604412222288</v>
      </c>
      <c r="S43" s="979">
        <f t="shared" si="38"/>
        <v>124.65632804641898</v>
      </c>
      <c r="T43" s="979">
        <f t="shared" si="38"/>
        <v>-1804.4379973474577</v>
      </c>
      <c r="U43" s="979">
        <f t="shared" si="38"/>
        <v>130.07477861065314</v>
      </c>
      <c r="V43" s="979">
        <f t="shared" si="38"/>
        <v>-26.255571370779833</v>
      </c>
      <c r="W43" s="979">
        <f t="shared" si="38"/>
        <v>55.941037189435065</v>
      </c>
      <c r="X43" s="979">
        <f t="shared" si="38"/>
        <v>68.134221709602059</v>
      </c>
      <c r="Y43" s="979">
        <f t="shared" si="38"/>
        <v>-222.97933578054884</v>
      </c>
      <c r="Z43" s="979">
        <f t="shared" si="38"/>
        <v>1110.6320288304455</v>
      </c>
      <c r="AA43" s="979">
        <f t="shared" si="38"/>
        <v>-476.65168018543289</v>
      </c>
      <c r="AB43" s="980" t="s">
        <v>147</v>
      </c>
      <c r="AC43" s="980">
        <f t="shared" ref="AC43:AJ43" si="39">((AC12-AC39)/AC19)*100</f>
        <v>54.630722095735862</v>
      </c>
      <c r="AD43" s="980">
        <f t="shared" si="39"/>
        <v>44.231491985010813</v>
      </c>
      <c r="AE43" s="979">
        <f t="shared" si="39"/>
        <v>26.810891089108878</v>
      </c>
      <c r="AF43" s="979">
        <f t="shared" si="39"/>
        <v>5.8287226605145186</v>
      </c>
      <c r="AG43" s="979">
        <f t="shared" si="39"/>
        <v>51.88298229448791</v>
      </c>
      <c r="AH43" s="979">
        <f t="shared" si="39"/>
        <v>38.540363636363892</v>
      </c>
      <c r="AI43" s="979">
        <f t="shared" si="39"/>
        <v>39.621624999999888</v>
      </c>
      <c r="AJ43" s="979">
        <f t="shared" si="39"/>
        <v>42.360499999999917</v>
      </c>
      <c r="AK43" s="979">
        <f t="shared" ref="AK43" si="40">((AK12-AK39)/AK19)*100</f>
        <v>62.867000000000175</v>
      </c>
      <c r="AL43" s="979"/>
      <c r="AM43" s="500"/>
      <c r="AN43" s="507"/>
      <c r="AO43" s="507"/>
      <c r="AP43" s="961"/>
    </row>
    <row r="44" spans="1:42">
      <c r="A44" s="978"/>
      <c r="B44" s="978"/>
      <c r="C44" s="978"/>
      <c r="D44" s="978"/>
      <c r="E44" s="978"/>
      <c r="F44" s="978"/>
      <c r="G44" s="978"/>
      <c r="H44" s="978"/>
      <c r="I44" s="978"/>
      <c r="J44" s="978"/>
      <c r="K44" s="978"/>
      <c r="L44" s="978"/>
      <c r="M44" s="978"/>
      <c r="N44" s="978"/>
      <c r="O44" s="978"/>
      <c r="P44" s="978"/>
      <c r="Q44" s="978"/>
      <c r="R44" s="978"/>
      <c r="S44" s="978"/>
      <c r="T44" s="978"/>
      <c r="U44" s="978"/>
      <c r="V44" s="978"/>
      <c r="W44" s="978"/>
      <c r="X44" s="978"/>
      <c r="Y44" s="978"/>
      <c r="Z44" s="978"/>
      <c r="AA44" s="978"/>
      <c r="AB44" s="978"/>
      <c r="AC44" s="978"/>
      <c r="AD44" s="978"/>
      <c r="AE44" s="978"/>
      <c r="AF44" s="978"/>
      <c r="AG44" s="978"/>
      <c r="AH44" s="978"/>
      <c r="AI44" s="978"/>
      <c r="AJ44" s="978"/>
      <c r="AK44" s="978"/>
      <c r="AL44" s="978"/>
      <c r="AM44" s="500"/>
      <c r="AN44" s="507"/>
      <c r="AO44" s="507"/>
      <c r="AP44" s="961"/>
    </row>
    <row r="45" spans="1:42" ht="13.5" hidden="1" outlineLevel="1" thickBot="1">
      <c r="A45" s="398" t="s">
        <v>461</v>
      </c>
      <c r="AB45" s="981">
        <f>qtrSales!S198</f>
        <v>163</v>
      </c>
      <c r="AC45" s="780"/>
      <c r="AD45" s="780"/>
      <c r="AE45" s="780"/>
      <c r="AF45" s="981">
        <v>150</v>
      </c>
      <c r="AG45" s="780"/>
      <c r="AH45" s="780"/>
      <c r="AI45" s="780"/>
      <c r="AJ45" s="780"/>
      <c r="AK45" s="780"/>
      <c r="AL45" s="780"/>
      <c r="AM45" s="500"/>
      <c r="AN45" s="507"/>
      <c r="AO45" s="507"/>
      <c r="AP45" s="961"/>
    </row>
    <row r="46" spans="1:42" hidden="1" outlineLevel="1">
      <c r="A46" s="582"/>
      <c r="B46" s="582"/>
      <c r="C46" s="582"/>
      <c r="D46" s="582"/>
      <c r="E46" s="582"/>
      <c r="F46" s="582"/>
      <c r="G46" s="582"/>
      <c r="H46" s="582"/>
      <c r="I46" s="582"/>
      <c r="J46" s="582"/>
      <c r="K46" s="582"/>
      <c r="L46" s="582"/>
      <c r="M46" s="582"/>
      <c r="N46" s="582"/>
      <c r="O46" s="582"/>
      <c r="P46" s="582"/>
      <c r="Q46" s="582"/>
      <c r="R46" s="582"/>
      <c r="S46" s="582"/>
      <c r="T46" s="582"/>
      <c r="U46" s="582"/>
      <c r="V46" s="582"/>
      <c r="W46" s="582"/>
      <c r="X46" s="582"/>
      <c r="Y46" s="582"/>
      <c r="Z46" s="582"/>
      <c r="AA46" s="582"/>
      <c r="AM46" s="500"/>
      <c r="AN46" s="507"/>
      <c r="AO46" s="507"/>
      <c r="AP46" s="961"/>
    </row>
    <row r="47" spans="1:42" collapsed="1">
      <c r="A47" s="398" t="s">
        <v>86</v>
      </c>
      <c r="B47" s="982">
        <f>'yrP&amp;L'!B42</f>
        <v>1186</v>
      </c>
      <c r="C47" s="982">
        <f>'yrP&amp;L'!C42</f>
        <v>908</v>
      </c>
      <c r="D47" s="982">
        <f>'yrP&amp;L'!D42</f>
        <v>857</v>
      </c>
      <c r="E47" s="982">
        <f>'yrP&amp;L'!E42</f>
        <v>1234</v>
      </c>
      <c r="F47" s="982">
        <f>'yrP&amp;L'!F42</f>
        <v>1442</v>
      </c>
      <c r="G47" s="982">
        <f>'yrP&amp;L'!G42</f>
        <v>1628</v>
      </c>
      <c r="H47" s="982">
        <f>'yrP&amp;L'!H42</f>
        <v>1313</v>
      </c>
      <c r="I47" s="982">
        <f>'yrP&amp;L'!I42</f>
        <v>1318</v>
      </c>
      <c r="J47" s="982">
        <f>'yrP&amp;L'!J42</f>
        <v>1727</v>
      </c>
      <c r="K47" s="982">
        <f>'yrP&amp;L'!K42</f>
        <v>1394.0473766566902</v>
      </c>
      <c r="L47" s="982">
        <f>'yrP&amp;L'!L42</f>
        <v>1035</v>
      </c>
      <c r="M47" s="982">
        <f>'yrP&amp;L'!M42</f>
        <v>455</v>
      </c>
      <c r="N47" s="982">
        <f>'yrP&amp;L'!N42</f>
        <v>788</v>
      </c>
      <c r="O47" s="982">
        <f>'yrP&amp;L'!O42</f>
        <v>1130</v>
      </c>
      <c r="P47" s="982">
        <f>'yrP&amp;L'!P42</f>
        <v>494</v>
      </c>
      <c r="Q47" s="982">
        <f>'yrP&amp;L'!Q42</f>
        <v>624</v>
      </c>
      <c r="R47" s="982">
        <f>'yrP&amp;L'!R42</f>
        <v>786</v>
      </c>
      <c r="S47" s="982">
        <f>'yrP&amp;L'!S42</f>
        <v>1257</v>
      </c>
      <c r="T47" s="982">
        <f>'yrP&amp;L'!T42</f>
        <v>1630.0839999999989</v>
      </c>
      <c r="U47" s="982">
        <f>'yrP&amp;L'!U42</f>
        <v>1908</v>
      </c>
      <c r="V47" s="982">
        <f>'yrP&amp;L'!V42</f>
        <v>1878.0699999999997</v>
      </c>
      <c r="W47" s="982">
        <f>'yrP&amp;L'!W42</f>
        <v>1128.8691774193524</v>
      </c>
      <c r="X47" s="982">
        <f>'yrP&amp;L'!X42</f>
        <v>663</v>
      </c>
      <c r="Y47" s="982">
        <f>'yrP&amp;L'!Y42</f>
        <v>864</v>
      </c>
      <c r="Z47" s="982">
        <f>'yrP&amp;L'!Z42</f>
        <v>656</v>
      </c>
      <c r="AA47" s="982">
        <f>'yrP&amp;L'!AA42</f>
        <v>-1356</v>
      </c>
      <c r="AB47" s="982">
        <f>'yrP&amp;L'!AB42</f>
        <v>-1205</v>
      </c>
      <c r="AC47" s="982">
        <f>'yrP&amp;L'!AC42</f>
        <v>-221</v>
      </c>
      <c r="AD47" s="982">
        <f>'yrP&amp;L'!AD42</f>
        <v>-118.75</v>
      </c>
      <c r="AE47" s="982">
        <f>'yrP&amp;L'!AE42</f>
        <v>404</v>
      </c>
      <c r="AF47" s="982">
        <f>'yrP&amp;L'!AF42</f>
        <v>353</v>
      </c>
      <c r="AG47" s="982">
        <f>'yrP&amp;L'!AG42</f>
        <v>339.32033599999886</v>
      </c>
      <c r="AH47" s="982">
        <f>'yrP&amp;L'!AH42</f>
        <v>264.79885800674492</v>
      </c>
      <c r="AI47" s="982">
        <f>'yrP&amp;L'!AI42</f>
        <v>239.0382032528164</v>
      </c>
      <c r="AJ47" s="982">
        <f>'yrP&amp;L'!AJ42</f>
        <v>133.47200711950427</v>
      </c>
      <c r="AK47" s="982">
        <f>'yrP&amp;L'!AK42</f>
        <v>-6.1142523228468235</v>
      </c>
      <c r="AL47" s="982"/>
      <c r="AM47" s="983">
        <f>((AE47/Z47)^(1/4)-1)*100</f>
        <v>-11.413125061806117</v>
      </c>
      <c r="AN47" s="507" t="s">
        <v>156</v>
      </c>
      <c r="AO47" s="984">
        <f>((AJ47/AE47)^(1/5)-1)*100</f>
        <v>-19.868778098173678</v>
      </c>
      <c r="AP47" s="961" t="s">
        <v>156</v>
      </c>
    </row>
    <row r="48" spans="1:42">
      <c r="A48" s="774" t="s">
        <v>93</v>
      </c>
      <c r="B48" s="858">
        <f t="shared" ref="B48:AJ48" si="41">B47/B11</f>
        <v>7.3650872508228285E-2</v>
      </c>
      <c r="C48" s="858">
        <f t="shared" si="41"/>
        <v>5.5484265200122215E-2</v>
      </c>
      <c r="D48" s="858">
        <f t="shared" si="41"/>
        <v>5.2897969261156717E-2</v>
      </c>
      <c r="E48" s="858">
        <f t="shared" si="41"/>
        <v>6.8521294908101507E-2</v>
      </c>
      <c r="F48" s="858">
        <f t="shared" si="41"/>
        <v>7.5962703471527157E-2</v>
      </c>
      <c r="G48" s="858">
        <f t="shared" si="41"/>
        <v>7.9882237487733071E-2</v>
      </c>
      <c r="H48" s="858">
        <f t="shared" si="41"/>
        <v>6.3855656064585153E-2</v>
      </c>
      <c r="I48" s="858">
        <f t="shared" si="41"/>
        <v>5.818470775207487E-2</v>
      </c>
      <c r="J48" s="858">
        <f t="shared" si="41"/>
        <v>5.8579705032359604E-2</v>
      </c>
      <c r="K48" s="858">
        <f t="shared" si="41"/>
        <v>4.7355369816451193E-2</v>
      </c>
      <c r="L48" s="858">
        <f t="shared" si="41"/>
        <v>3.2605613836121351E-2</v>
      </c>
      <c r="M48" s="858">
        <f t="shared" si="41"/>
        <v>1.4287508635307417E-2</v>
      </c>
      <c r="N48" s="858">
        <f t="shared" si="41"/>
        <v>2.4621922259717537E-2</v>
      </c>
      <c r="O48" s="858">
        <f t="shared" si="41"/>
        <v>3.4933687822672893E-2</v>
      </c>
      <c r="P48" s="858">
        <f t="shared" si="41"/>
        <v>2.7690582959641257E-2</v>
      </c>
      <c r="Q48" s="858">
        <f t="shared" si="41"/>
        <v>3.5895075931891396E-2</v>
      </c>
      <c r="R48" s="858">
        <f t="shared" si="41"/>
        <v>4.4880945583280991E-2</v>
      </c>
      <c r="S48" s="858">
        <f t="shared" si="41"/>
        <v>6.9462864721485412E-2</v>
      </c>
      <c r="T48" s="858">
        <f t="shared" si="41"/>
        <v>8.6793925206872985E-2</v>
      </c>
      <c r="U48" s="858">
        <f t="shared" si="41"/>
        <v>9.5854888961053583E-2</v>
      </c>
      <c r="V48" s="858">
        <f t="shared" si="41"/>
        <v>9.4579745178022853E-2</v>
      </c>
      <c r="W48" s="858">
        <f t="shared" si="41"/>
        <v>6.1064408845718614E-2</v>
      </c>
      <c r="X48" s="858">
        <f t="shared" si="41"/>
        <v>3.775738334403738E-2</v>
      </c>
      <c r="Y48" s="858">
        <f t="shared" si="41"/>
        <v>4.8651388028605212E-2</v>
      </c>
      <c r="Z48" s="858">
        <f t="shared" si="41"/>
        <v>3.8006952491309386E-2</v>
      </c>
      <c r="AA48" s="858">
        <f t="shared" si="41"/>
        <v>-0.10442818636888718</v>
      </c>
      <c r="AB48" s="858">
        <f t="shared" si="41"/>
        <v>-0.10161059111223543</v>
      </c>
      <c r="AC48" s="858">
        <f t="shared" si="41"/>
        <v>-1.8030513176144243E-2</v>
      </c>
      <c r="AD48" s="858">
        <f t="shared" si="41"/>
        <v>-9.4059405940594056E-3</v>
      </c>
      <c r="AE48" s="858">
        <f t="shared" si="41"/>
        <v>3.2198932015621261E-2</v>
      </c>
      <c r="AF48" s="858">
        <f t="shared" si="41"/>
        <v>2.8226451303374381E-2</v>
      </c>
      <c r="AG48" s="858">
        <f t="shared" si="41"/>
        <v>2.8149888800914718E-2</v>
      </c>
      <c r="AH48" s="858">
        <f t="shared" si="41"/>
        <v>2.2583229103257486E-2</v>
      </c>
      <c r="AI48" s="858">
        <f t="shared" si="41"/>
        <v>2.1102355240142909E-2</v>
      </c>
      <c r="AJ48" s="858">
        <f t="shared" si="41"/>
        <v>1.2290030108212065E-2</v>
      </c>
      <c r="AK48" s="858">
        <f t="shared" ref="AK48" si="42">AK47/AK11</f>
        <v>-5.9464338098910025E-4</v>
      </c>
      <c r="AL48" s="858"/>
      <c r="AM48" s="662"/>
      <c r="AN48" s="584"/>
      <c r="AO48" s="584"/>
      <c r="AP48" s="985"/>
    </row>
    <row r="51" spans="1:1">
      <c r="A51" s="679" t="s">
        <v>139</v>
      </c>
    </row>
  </sheetData>
  <phoneticPr fontId="10" type="noConversion"/>
  <pageMargins left="0.75" right="0.75" top="1" bottom="1" header="0.5" footer="0.5"/>
  <pageSetup scale="66" orientation="landscape" horizontalDpi="300" verticalDpi="300" r:id="rId1"/>
  <headerFooter alignWithMargins="0"/>
  <colBreaks count="2" manualBreakCount="2">
    <brk id="15" max="51" man="1"/>
    <brk id="42" max="51"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F102"/>
  <sheetViews>
    <sheetView showGridLines="0" zoomScaleNormal="100" workbookViewId="0"/>
  </sheetViews>
  <sheetFormatPr defaultColWidth="7.85546875" defaultRowHeight="12.75" outlineLevelRow="2" outlineLevelCol="1"/>
  <cols>
    <col min="1" max="1" width="24" style="507" customWidth="1"/>
    <col min="2" max="19" width="7.85546875" style="507" hidden="1" customWidth="1" outlineLevel="1"/>
    <col min="20" max="20" width="7.85546875" style="507" hidden="1" customWidth="1" outlineLevel="1" collapsed="1"/>
    <col min="21" max="24" width="7.85546875" style="398" hidden="1" customWidth="1" outlineLevel="1"/>
    <col min="25" max="25" width="8.42578125" style="398" bestFit="1" customWidth="1" collapsed="1"/>
    <col min="26" max="26" width="8.5703125" style="398" customWidth="1"/>
    <col min="27" max="27" width="8.7109375" style="398" bestFit="1" customWidth="1"/>
    <col min="28" max="28" width="8.85546875" style="398" customWidth="1"/>
    <col min="29" max="30" width="8.42578125" style="398" bestFit="1" customWidth="1"/>
    <col min="31" max="31" width="8.5703125" style="398" bestFit="1" customWidth="1"/>
    <col min="32" max="32" width="9" style="398" customWidth="1"/>
    <col min="33" max="33" width="8.7109375" style="398" customWidth="1"/>
    <col min="34" max="34" width="8.85546875" style="437" customWidth="1"/>
    <col min="35" max="35" width="8.28515625" style="437" customWidth="1"/>
    <col min="36" max="37" width="8.140625" style="437" hidden="1" customWidth="1" outlineLevel="1"/>
    <col min="38" max="38" width="1.7109375" style="398" customWidth="1" collapsed="1"/>
    <col min="39" max="39" width="6.7109375" style="398" customWidth="1"/>
    <col min="40" max="40" width="2.42578125" style="398" bestFit="1" customWidth="1"/>
    <col min="41" max="41" width="7.140625" style="398" customWidth="1"/>
    <col min="42" max="42" width="2.42578125" style="398" bestFit="1" customWidth="1"/>
    <col min="43" max="43" width="7.85546875" style="398"/>
    <col min="44" max="44" width="11.42578125" style="398" hidden="1" customWidth="1"/>
    <col min="45" max="48" width="7.7109375" style="398" hidden="1" customWidth="1"/>
    <col min="49" max="49" width="8.85546875" style="398" hidden="1" customWidth="1"/>
    <col min="50" max="50" width="7.28515625" style="398" bestFit="1" customWidth="1"/>
    <col min="51" max="51" width="7.7109375" style="398" customWidth="1"/>
    <col min="52" max="52" width="11.42578125" style="398" bestFit="1" customWidth="1"/>
    <col min="53" max="58" width="7.7109375" style="398" customWidth="1"/>
    <col min="59" max="16384" width="7.85546875" style="398"/>
  </cols>
  <sheetData>
    <row r="1" spans="1:51">
      <c r="A1" s="400" t="s">
        <v>442</v>
      </c>
      <c r="B1" s="400"/>
      <c r="C1" s="400"/>
      <c r="D1" s="400"/>
      <c r="E1" s="400"/>
      <c r="F1" s="400"/>
      <c r="G1" s="400"/>
      <c r="H1" s="400"/>
      <c r="I1" s="400"/>
      <c r="J1" s="400"/>
      <c r="K1" s="400"/>
      <c r="L1" s="400"/>
      <c r="M1" s="400"/>
      <c r="N1" s="400"/>
      <c r="O1" s="400"/>
      <c r="P1" s="400"/>
      <c r="Q1" s="400"/>
      <c r="R1" s="400"/>
      <c r="S1" s="400"/>
    </row>
    <row r="2" spans="1:51">
      <c r="A2" s="986" t="s">
        <v>626</v>
      </c>
      <c r="B2" s="986"/>
      <c r="C2" s="986"/>
      <c r="D2" s="986"/>
      <c r="E2" s="986"/>
      <c r="F2" s="986"/>
      <c r="G2" s="986"/>
      <c r="H2" s="986"/>
      <c r="I2" s="986"/>
      <c r="J2" s="986"/>
      <c r="K2" s="986"/>
      <c r="L2" s="986"/>
      <c r="M2" s="986"/>
      <c r="N2" s="986"/>
      <c r="O2" s="986"/>
      <c r="P2" s="986"/>
      <c r="Q2" s="986"/>
      <c r="R2" s="986"/>
      <c r="S2" s="986"/>
      <c r="U2" s="584"/>
      <c r="V2" s="584"/>
      <c r="W2" s="584"/>
      <c r="X2" s="584"/>
      <c r="Y2" s="584"/>
      <c r="Z2" s="584"/>
      <c r="AA2" s="584"/>
      <c r="AB2" s="584"/>
      <c r="AC2" s="584"/>
      <c r="AD2" s="584"/>
      <c r="AE2" s="584"/>
      <c r="AF2" s="584"/>
      <c r="AG2" s="584"/>
      <c r="AH2" s="438"/>
      <c r="AI2" s="438"/>
      <c r="AJ2" s="438"/>
      <c r="AK2" s="438"/>
      <c r="AL2" s="584"/>
      <c r="AM2" s="584"/>
      <c r="AN2" s="584"/>
      <c r="AO2" s="584"/>
      <c r="AP2" s="584"/>
      <c r="AQ2" s="584"/>
    </row>
    <row r="3" spans="1:51">
      <c r="A3" s="987" t="s">
        <v>87</v>
      </c>
      <c r="B3" s="987"/>
      <c r="C3" s="987"/>
      <c r="D3" s="987"/>
      <c r="E3" s="987"/>
      <c r="F3" s="987"/>
      <c r="G3" s="987"/>
      <c r="H3" s="987"/>
      <c r="I3" s="987"/>
      <c r="J3" s="987"/>
      <c r="K3" s="987"/>
      <c r="L3" s="987"/>
      <c r="M3" s="987"/>
      <c r="N3" s="987"/>
      <c r="O3" s="987"/>
      <c r="P3" s="987"/>
      <c r="Q3" s="987"/>
      <c r="R3" s="987"/>
      <c r="S3" s="987"/>
    </row>
    <row r="4" spans="1:51">
      <c r="AM4" s="950"/>
      <c r="AN4" s="951" t="s">
        <v>80</v>
      </c>
      <c r="AO4" s="952"/>
      <c r="AP4" s="953"/>
    </row>
    <row r="5" spans="1:51">
      <c r="B5" s="988">
        <f t="shared" ref="B5:L5" si="0">C5-1</f>
        <v>1989</v>
      </c>
      <c r="C5" s="988">
        <f t="shared" si="0"/>
        <v>1990</v>
      </c>
      <c r="D5" s="988">
        <f t="shared" si="0"/>
        <v>1991</v>
      </c>
      <c r="E5" s="988">
        <f t="shared" si="0"/>
        <v>1992</v>
      </c>
      <c r="F5" s="988">
        <f t="shared" si="0"/>
        <v>1993</v>
      </c>
      <c r="G5" s="988">
        <f t="shared" si="0"/>
        <v>1994</v>
      </c>
      <c r="H5" s="988">
        <f t="shared" si="0"/>
        <v>1995</v>
      </c>
      <c r="I5" s="988">
        <f t="shared" si="0"/>
        <v>1996</v>
      </c>
      <c r="J5" s="988">
        <f t="shared" si="0"/>
        <v>1997</v>
      </c>
      <c r="K5" s="988">
        <f t="shared" si="0"/>
        <v>1998</v>
      </c>
      <c r="L5" s="988">
        <f t="shared" si="0"/>
        <v>1999</v>
      </c>
      <c r="M5" s="988">
        <v>2000</v>
      </c>
      <c r="N5" s="988">
        <v>2001</v>
      </c>
      <c r="O5" s="988">
        <v>2002</v>
      </c>
      <c r="P5" s="988" t="s">
        <v>354</v>
      </c>
      <c r="Q5" s="988" t="s">
        <v>355</v>
      </c>
      <c r="R5" s="988">
        <v>2003</v>
      </c>
      <c r="S5" s="988">
        <v>2004</v>
      </c>
      <c r="T5" s="989">
        <f>S5+1</f>
        <v>2005</v>
      </c>
      <c r="U5" s="989">
        <f t="shared" ref="U5:AC5" si="1">T5+1</f>
        <v>2006</v>
      </c>
      <c r="V5" s="989">
        <f t="shared" si="1"/>
        <v>2007</v>
      </c>
      <c r="W5" s="989">
        <f t="shared" si="1"/>
        <v>2008</v>
      </c>
      <c r="X5" s="989">
        <f t="shared" si="1"/>
        <v>2009</v>
      </c>
      <c r="Y5" s="989">
        <f t="shared" si="1"/>
        <v>2010</v>
      </c>
      <c r="Z5" s="989">
        <f t="shared" si="1"/>
        <v>2011</v>
      </c>
      <c r="AA5" s="989">
        <f t="shared" si="1"/>
        <v>2012</v>
      </c>
      <c r="AB5" s="989">
        <f t="shared" si="1"/>
        <v>2013</v>
      </c>
      <c r="AC5" s="989">
        <f t="shared" si="1"/>
        <v>2014</v>
      </c>
      <c r="AD5" s="989">
        <v>2015</v>
      </c>
      <c r="AE5" s="989">
        <f t="shared" ref="AE5:AK5" si="2">AD5+1</f>
        <v>2016</v>
      </c>
      <c r="AF5" s="989">
        <f t="shared" si="2"/>
        <v>2017</v>
      </c>
      <c r="AG5" s="1386">
        <f t="shared" si="2"/>
        <v>2018</v>
      </c>
      <c r="AH5" s="1387">
        <f t="shared" si="2"/>
        <v>2019</v>
      </c>
      <c r="AI5" s="1387">
        <f t="shared" si="2"/>
        <v>2020</v>
      </c>
      <c r="AJ5" s="1387">
        <f t="shared" si="2"/>
        <v>2021</v>
      </c>
      <c r="AK5" s="1387">
        <f t="shared" si="2"/>
        <v>2022</v>
      </c>
      <c r="AL5" s="990"/>
      <c r="AM5" s="956" t="str">
        <f>yrSales!AM5</f>
        <v>11-16E</v>
      </c>
      <c r="AN5" s="951"/>
      <c r="AO5" s="1388" t="str">
        <f>yrSales!AO5</f>
        <v>16E-22E</v>
      </c>
      <c r="AP5" s="953"/>
    </row>
    <row r="6" spans="1:51">
      <c r="B6" s="991"/>
      <c r="C6" s="614"/>
      <c r="D6" s="614"/>
      <c r="E6" s="614"/>
      <c r="F6" s="614"/>
      <c r="G6" s="614"/>
      <c r="H6" s="614"/>
      <c r="I6" s="614"/>
      <c r="J6" s="614"/>
      <c r="K6" s="614"/>
      <c r="L6" s="614"/>
      <c r="M6" s="614"/>
      <c r="N6" s="614"/>
      <c r="O6" s="614"/>
      <c r="P6" s="614"/>
      <c r="Q6" s="614"/>
      <c r="R6" s="614"/>
      <c r="S6" s="614"/>
      <c r="T6" s="792"/>
      <c r="U6" s="792"/>
      <c r="V6" s="792"/>
      <c r="W6" s="792"/>
      <c r="X6" s="792"/>
      <c r="Y6" s="792"/>
      <c r="Z6" s="792"/>
      <c r="AA6" s="792"/>
      <c r="AB6" s="792"/>
      <c r="AC6" s="792"/>
      <c r="AD6" s="792"/>
      <c r="AE6" s="587"/>
      <c r="AF6" s="587"/>
      <c r="AG6" s="992"/>
      <c r="AH6" s="1290"/>
      <c r="AI6" s="1290"/>
      <c r="AJ6" s="1290"/>
      <c r="AK6" s="1290"/>
      <c r="AL6" s="992"/>
      <c r="AM6" s="588"/>
      <c r="AN6" s="601"/>
      <c r="AO6" s="601"/>
      <c r="AP6" s="957"/>
    </row>
    <row r="7" spans="1:51">
      <c r="A7" s="507" t="s">
        <v>72</v>
      </c>
      <c r="B7" s="609">
        <f>INDEX('qtrP&amp;L'!14:14,MATCH(B5,'qtrP&amp;L'!6:6,0))</f>
        <v>16103</v>
      </c>
      <c r="C7" s="609">
        <f>INDEX('qtrP&amp;L'!14:14,MATCH(C5,'qtrP&amp;L'!6:6,0))</f>
        <v>16365</v>
      </c>
      <c r="D7" s="609">
        <f>INDEX('qtrP&amp;L'!14:14,MATCH(D5,'qtrP&amp;L'!6:6,0))</f>
        <v>16201</v>
      </c>
      <c r="E7" s="609">
        <f>INDEX('qtrP&amp;L'!14:14,MATCH(E5,'qtrP&amp;L'!6:6,0))</f>
        <v>18009</v>
      </c>
      <c r="F7" s="609">
        <f>INDEX('qtrP&amp;L'!14:14,MATCH(F5,'qtrP&amp;L'!6:6,0))</f>
        <v>18983</v>
      </c>
      <c r="G7" s="609">
        <f>INDEX('qtrP&amp;L'!14:14,MATCH(G5,'qtrP&amp;L'!6:6,0))</f>
        <v>20380</v>
      </c>
      <c r="H7" s="609">
        <f>INDEX('qtrP&amp;L'!14:14,MATCH(H5,'qtrP&amp;L'!6:6,0))</f>
        <v>20562</v>
      </c>
      <c r="I7" s="609">
        <f>INDEX('qtrP&amp;L'!14:14,MATCH(I5,'qtrP&amp;L'!6:6,0))</f>
        <v>22652</v>
      </c>
      <c r="J7" s="609">
        <f>INDEX('qtrP&amp;L'!14:14,MATCH(J5,'qtrP&amp;L'!6:6,0))</f>
        <v>29481.200000000001</v>
      </c>
      <c r="K7" s="609">
        <f>INDEX('qtrP&amp;L'!14:14,MATCH(K5,'qtrP&amp;L'!6:6,0))</f>
        <v>29438</v>
      </c>
      <c r="L7" s="609">
        <f>INDEX('qtrP&amp;L'!14:14,MATCH(L5,'qtrP&amp;L'!6:6,0))</f>
        <v>31743</v>
      </c>
      <c r="M7" s="609">
        <f>INDEX('qtrP&amp;L'!14:14,MATCH(M5,'qtrP&amp;L'!6:6,0))</f>
        <v>31846</v>
      </c>
      <c r="N7" s="609">
        <f>INDEX('qtrP&amp;L'!14:14,MATCH(N5,'qtrP&amp;L'!6:6,0))</f>
        <v>32004</v>
      </c>
      <c r="O7" s="609">
        <f>INDEX('qtrP&amp;L'!14:14,MATCH(O5,'qtrP&amp;L'!6:6,0))</f>
        <v>32347</v>
      </c>
      <c r="P7" s="609">
        <f>INDEX('qtrP&amp;L'!14:14,MATCH(P5,'qtrP&amp;L'!6:6,0))</f>
        <v>17840</v>
      </c>
      <c r="Q7" s="609">
        <f>INDEX('qtrP&amp;L'!14:14,MATCH(Q5,'qtrP&amp;L'!6:6,0))</f>
        <v>17384</v>
      </c>
      <c r="R7" s="609">
        <f>INDEX('qtrP&amp;L'!14:14,MATCH(R5,'qtrP&amp;L'!6:6,0))</f>
        <v>17513</v>
      </c>
      <c r="S7" s="609">
        <f>INDEX('qtrP&amp;L'!14:14,MATCH(S5,'qtrP&amp;L'!6:6,0))</f>
        <v>18096</v>
      </c>
      <c r="T7" s="609">
        <f>INDEX('qtrP&amp;L'!14:14,MATCH(T5,'qtrP&amp;L'!6:6,0))</f>
        <v>18781.083999999999</v>
      </c>
      <c r="U7" s="609">
        <f>INDEX('qtrP&amp;L'!14:14,MATCH(U5,'qtrP&amp;L'!6:6,0))</f>
        <v>19905.088</v>
      </c>
      <c r="V7" s="609">
        <f>INDEX('qtrP&amp;L'!14:14,MATCH(V5,'qtrP&amp;L'!6:6,0))</f>
        <v>19857</v>
      </c>
      <c r="W7" s="609">
        <f>INDEX('qtrP&amp;L'!14:14,MATCH(W5,'qtrP&amp;L'!6:6,0))</f>
        <v>18486.532478705889</v>
      </c>
      <c r="X7" s="609">
        <f>INDEX('qtrP&amp;L'!14:14,MATCH(X5,'qtrP&amp;L'!6:6,0))</f>
        <v>17559.479531695368</v>
      </c>
      <c r="Y7" s="609">
        <f>INDEX('qtrP&amp;L'!14:14,MATCH(Y5,'qtrP&amp;L'!6:6,0))</f>
        <v>17759</v>
      </c>
      <c r="Z7" s="609">
        <f>INDEX('qtrP&amp;L'!14:14,MATCH(Z5,'qtrP&amp;L'!6:6,0))</f>
        <v>17260</v>
      </c>
      <c r="AA7" s="609">
        <f>INDEX('qtrP&amp;L'!14:14,MATCH(AA5,'qtrP&amp;L'!6:6,0))</f>
        <v>12985</v>
      </c>
      <c r="AB7" s="609">
        <f>INDEX('qtrP&amp;L'!14:14,MATCH(AB5,'qtrP&amp;L'!6:6,0))</f>
        <v>11859</v>
      </c>
      <c r="AC7" s="609">
        <f>INDEX('qtrP&amp;L'!14:14,MATCH(AC5,'qtrP&amp;L'!6:6,0))</f>
        <v>12257</v>
      </c>
      <c r="AD7" s="609">
        <f>INDEX('qtrP&amp;L'!14:14,MATCH(AD5,'qtrP&amp;L'!6:6,0))</f>
        <v>12625</v>
      </c>
      <c r="AE7" s="609">
        <f>INDEX('qtrP&amp;L'!14:14,MATCH(AE5,'qtrP&amp;L'!6:6,0))</f>
        <v>12547</v>
      </c>
      <c r="AF7" s="609">
        <f>INDEX('qtrP&amp;L'!14:14,MATCH(AF5,'qtrP&amp;L'!6:6,0))</f>
        <v>12506</v>
      </c>
      <c r="AG7" s="609">
        <f>INDEX('qtrP&amp;L'!14:14,MATCH(AG5,'qtrP&amp;L'!6:6,0))</f>
        <v>12054.056</v>
      </c>
      <c r="AH7" s="1291">
        <f>yrSales!AH11</f>
        <v>11725.464803815385</v>
      </c>
      <c r="AI7" s="1291">
        <f>yrSales!AI11</f>
        <v>11327.560385207391</v>
      </c>
      <c r="AJ7" s="1291">
        <f>yrSales!AJ11</f>
        <v>10860.185527968701</v>
      </c>
      <c r="AK7" s="1291">
        <f>yrSales!AK11</f>
        <v>10282.217070467816</v>
      </c>
      <c r="AL7" s="609"/>
      <c r="AM7" s="960">
        <f>((AE7/Z7)^(1/4)-1)*100</f>
        <v>-7.6632091480021147</v>
      </c>
      <c r="AN7" s="507" t="s">
        <v>156</v>
      </c>
      <c r="AO7" s="509">
        <f>((AJ7/AE7)^(1/5)-1)*100</f>
        <v>-2.846272173934794</v>
      </c>
      <c r="AP7" s="961" t="s">
        <v>156</v>
      </c>
      <c r="AR7" s="591"/>
    </row>
    <row r="8" spans="1:51">
      <c r="A8" s="993" t="s">
        <v>507</v>
      </c>
      <c r="B8" s="994"/>
      <c r="C8" s="994">
        <f>C7/B7-1</f>
        <v>1.6270260199962694E-2</v>
      </c>
      <c r="D8" s="994">
        <f t="shared" ref="D8:AB8" si="3">D7/C7-1</f>
        <v>-1.0021387106630031E-2</v>
      </c>
      <c r="E8" s="994">
        <f t="shared" si="3"/>
        <v>0.11159804950311702</v>
      </c>
      <c r="F8" s="994">
        <f t="shared" si="3"/>
        <v>5.4084069076572927E-2</v>
      </c>
      <c r="G8" s="994">
        <f t="shared" si="3"/>
        <v>7.3592161407575185E-2</v>
      </c>
      <c r="H8" s="994">
        <f t="shared" si="3"/>
        <v>8.9303238469087276E-3</v>
      </c>
      <c r="I8" s="994">
        <f t="shared" si="3"/>
        <v>0.10164380896799918</v>
      </c>
      <c r="J8" s="994">
        <f t="shared" si="3"/>
        <v>0.30148331273176754</v>
      </c>
      <c r="K8" s="994">
        <f t="shared" si="3"/>
        <v>-1.4653406238552824E-3</v>
      </c>
      <c r="L8" s="994">
        <f t="shared" si="3"/>
        <v>7.8300156260615594E-2</v>
      </c>
      <c r="M8" s="994">
        <f t="shared" si="3"/>
        <v>3.244809879343391E-3</v>
      </c>
      <c r="N8" s="994">
        <f>N7/M7-1</f>
        <v>4.9613766250078406E-3</v>
      </c>
      <c r="O8" s="994">
        <f>O7/N7-1</f>
        <v>1.0717410323709542E-2</v>
      </c>
      <c r="P8" s="994">
        <f>P7/M7-1</f>
        <v>-0.43980405702443004</v>
      </c>
      <c r="Q8" s="994">
        <f t="shared" si="3"/>
        <v>-2.556053811659198E-2</v>
      </c>
      <c r="R8" s="994">
        <f t="shared" si="3"/>
        <v>7.4206166589967371E-3</v>
      </c>
      <c r="S8" s="994">
        <f t="shared" si="3"/>
        <v>3.3289556329583636E-2</v>
      </c>
      <c r="T8" s="994">
        <f t="shared" si="3"/>
        <v>3.7858311229000741E-2</v>
      </c>
      <c r="U8" s="994">
        <f t="shared" si="3"/>
        <v>5.9847663745074664E-2</v>
      </c>
      <c r="V8" s="994">
        <f t="shared" si="3"/>
        <v>-2.4158647276515399E-3</v>
      </c>
      <c r="W8" s="994">
        <f t="shared" si="3"/>
        <v>-6.9016846517304331E-2</v>
      </c>
      <c r="X8" s="994">
        <f t="shared" si="3"/>
        <v>-5.0147476173715511E-2</v>
      </c>
      <c r="Y8" s="994">
        <f t="shared" si="3"/>
        <v>1.1362550236440283E-2</v>
      </c>
      <c r="Z8" s="994">
        <f t="shared" si="3"/>
        <v>-2.809842896559489E-2</v>
      </c>
      <c r="AA8" s="994">
        <f t="shared" si="3"/>
        <v>-0.24768250289687133</v>
      </c>
      <c r="AB8" s="994">
        <f t="shared" si="3"/>
        <v>-8.6715440893338491E-2</v>
      </c>
      <c r="AC8" s="994">
        <f t="shared" ref="AC8:AH8" si="4">AC7/AB7-1</f>
        <v>3.3561008516738378E-2</v>
      </c>
      <c r="AD8" s="994">
        <f t="shared" si="4"/>
        <v>3.0023659949416581E-2</v>
      </c>
      <c r="AE8" s="994">
        <f t="shared" si="4"/>
        <v>-6.1782178217821837E-3</v>
      </c>
      <c r="AF8" s="994">
        <f t="shared" si="4"/>
        <v>-3.2677133976248829E-3</v>
      </c>
      <c r="AG8" s="994">
        <f t="shared" si="4"/>
        <v>-3.6138173676635188E-2</v>
      </c>
      <c r="AH8" s="1292">
        <f t="shared" si="4"/>
        <v>-2.7259803354540257E-2</v>
      </c>
      <c r="AI8" s="1292">
        <f>AI7/AH7-1</f>
        <v>-3.3935065710872125E-2</v>
      </c>
      <c r="AJ8" s="1292">
        <f>AJ7/AI7-1</f>
        <v>-4.1259974905897057E-2</v>
      </c>
      <c r="AK8" s="1292">
        <f>AK7/AJ7-1</f>
        <v>-5.3219022457067444E-2</v>
      </c>
      <c r="AL8" s="994"/>
      <c r="AM8" s="500"/>
      <c r="AN8" s="507"/>
      <c r="AO8" s="507"/>
      <c r="AP8" s="961"/>
      <c r="AS8" s="591"/>
    </row>
    <row r="9" spans="1:51" outlineLevel="1">
      <c r="A9" s="993" t="s">
        <v>416</v>
      </c>
      <c r="B9" s="994">
        <f>yrSales!B39</f>
        <v>7.2000000000000008E-2</v>
      </c>
      <c r="C9" s="994">
        <f>yrSales!C39</f>
        <v>-3.0000000000000001E-3</v>
      </c>
      <c r="D9" s="994">
        <f>yrSales!D39</f>
        <v>-1.4999999999999999E-2</v>
      </c>
      <c r="E9" s="994">
        <f>yrSales!E39</f>
        <v>9.6999999999999989E-2</v>
      </c>
      <c r="F9" s="994">
        <f>yrSales!F39</f>
        <v>5.2999999999999999E-2</v>
      </c>
      <c r="G9" s="994">
        <f>yrSales!G39</f>
        <v>7.0711579980372904E-2</v>
      </c>
      <c r="H9" s="994">
        <f>yrSales!H39</f>
        <v>-1.3597996303861491E-2</v>
      </c>
      <c r="I9" s="994">
        <f>yrSales!I39</f>
        <v>3.4540325784664282E-2</v>
      </c>
      <c r="J9" s="994">
        <f>yrSales!J39</f>
        <v>-8.4162110090498486E-4</v>
      </c>
      <c r="K9" s="994">
        <f>yrSales!K39</f>
        <v>-1.9E-2</v>
      </c>
      <c r="L9" s="994">
        <f>yrSales!L39</f>
        <v>-1.1000000000000001E-2</v>
      </c>
      <c r="M9" s="994">
        <f>yrSales!M39</f>
        <v>-2.4E-2</v>
      </c>
      <c r="N9" s="994">
        <f>yrSales!N39</f>
        <v>3.125E-2</v>
      </c>
      <c r="O9" s="994">
        <f>yrSales!O39</f>
        <v>2.8250000000000001E-2</v>
      </c>
      <c r="P9" s="994">
        <f>yrSales!P39</f>
        <v>3.125E-2</v>
      </c>
      <c r="Q9" s="994">
        <f>yrSales!Q39</f>
        <v>2.8250000000000001E-2</v>
      </c>
      <c r="R9" s="994">
        <f>yrSales!R39</f>
        <v>8.0000000000000002E-3</v>
      </c>
      <c r="S9" s="994">
        <f>yrSales!S39</f>
        <v>4.9000000000000002E-2</v>
      </c>
      <c r="T9" s="994">
        <f>yrSales!T39</f>
        <v>2.8999999999999998E-2</v>
      </c>
      <c r="U9" s="994">
        <f>yrSales!U39</f>
        <v>4.9625677213785739E-2</v>
      </c>
      <c r="V9" s="994">
        <f>yrSales!V39</f>
        <v>3.7257893941683045E-3</v>
      </c>
      <c r="W9" s="994">
        <f>yrSales!W39</f>
        <v>-8.5000000000000006E-2</v>
      </c>
      <c r="X9" s="994">
        <f>yrSales!X39</f>
        <v>-6.3080360850075165E-2</v>
      </c>
      <c r="Y9" s="994">
        <f>yrSales!Y39</f>
        <v>2.4532615502896971E-2</v>
      </c>
      <c r="Z9" s="994">
        <f>yrSales!Z39</f>
        <v>2E-3</v>
      </c>
      <c r="AA9" s="994">
        <f>yrSales!AA39</f>
        <v>-0.252</v>
      </c>
      <c r="AB9" s="994">
        <f>yrSales!AB39</f>
        <v>-6.8476178429884488E-2</v>
      </c>
      <c r="AC9" s="994">
        <f>yrSales!AC39</f>
        <v>4.4000000000000004E-2</v>
      </c>
      <c r="AD9" s="994">
        <f>yrSales!AD39</f>
        <v>4.4999999999999998E-2</v>
      </c>
      <c r="AE9" s="994">
        <f>yrSales!AE39</f>
        <v>0</v>
      </c>
      <c r="AF9" s="994">
        <f>yrSales!AF39</f>
        <v>1E-3</v>
      </c>
      <c r="AG9" s="994">
        <f>yrSales!AG39</f>
        <v>7.0517956777370215E-3</v>
      </c>
      <c r="AH9" s="1292">
        <f>yrSales!AH39</f>
        <v>-1.4999999999999999E-2</v>
      </c>
      <c r="AI9" s="1292">
        <f>yrSales!AI39</f>
        <v>-1.4999999999999999E-2</v>
      </c>
      <c r="AJ9" s="1292">
        <f>yrSales!AJ39</f>
        <v>-0.02</v>
      </c>
      <c r="AK9" s="1292">
        <f>yrSales!AK39</f>
        <v>-0.02</v>
      </c>
      <c r="AL9" s="994"/>
      <c r="AM9" s="960"/>
      <c r="AN9" s="507"/>
      <c r="AO9" s="509"/>
      <c r="AP9" s="961"/>
    </row>
    <row r="10" spans="1:51">
      <c r="B10" s="614"/>
      <c r="C10" s="614"/>
      <c r="D10" s="614"/>
      <c r="E10" s="614"/>
      <c r="F10" s="614"/>
      <c r="G10" s="614"/>
      <c r="H10" s="614"/>
      <c r="I10" s="614"/>
      <c r="J10" s="614"/>
      <c r="K10" s="614"/>
      <c r="L10" s="614"/>
      <c r="M10" s="614"/>
      <c r="N10" s="614"/>
      <c r="O10" s="614"/>
      <c r="P10" s="614"/>
      <c r="Q10" s="614"/>
      <c r="R10" s="614"/>
      <c r="S10" s="614"/>
      <c r="T10" s="614"/>
      <c r="U10" s="614"/>
      <c r="V10" s="614"/>
      <c r="W10" s="614"/>
      <c r="X10" s="614"/>
      <c r="Y10" s="614"/>
      <c r="Z10" s="991"/>
      <c r="AA10" s="614"/>
      <c r="AB10" s="615"/>
      <c r="AC10" s="615"/>
      <c r="AD10" s="615"/>
      <c r="AE10" s="991"/>
      <c r="AF10" s="995"/>
      <c r="AG10" s="615"/>
      <c r="AH10" s="1293"/>
      <c r="AI10" s="1293"/>
      <c r="AJ10" s="1293"/>
      <c r="AK10" s="1293"/>
      <c r="AL10" s="615"/>
      <c r="AM10" s="960"/>
      <c r="AN10" s="507"/>
      <c r="AO10" s="507"/>
      <c r="AP10" s="961"/>
    </row>
    <row r="11" spans="1:51">
      <c r="A11" s="507" t="s">
        <v>73</v>
      </c>
      <c r="B11" s="615">
        <f>INDEX('qtrP&amp;L'!24:24,MATCH(B5,'qtrP&amp;L'!6:6,0))</f>
        <v>10762</v>
      </c>
      <c r="C11" s="615">
        <f>INDEX('qtrP&amp;L'!24:24,MATCH(C5,'qtrP&amp;L'!6:6,0))</f>
        <v>11172</v>
      </c>
      <c r="D11" s="615">
        <f>INDEX('qtrP&amp;L'!24:24,MATCH(D5,'qtrP&amp;L'!6:6,0))</f>
        <v>11190</v>
      </c>
      <c r="E11" s="615">
        <f>INDEX('qtrP&amp;L'!24:24,MATCH(E5,'qtrP&amp;L'!6:6,0))</f>
        <v>12329</v>
      </c>
      <c r="F11" s="615">
        <f>INDEX('qtrP&amp;L'!24:24,MATCH(F5,'qtrP&amp;L'!6:6,0))</f>
        <v>13033</v>
      </c>
      <c r="G11" s="615">
        <f>INDEX('qtrP&amp;L'!24:24,MATCH(G5,'qtrP&amp;L'!6:6,0))</f>
        <v>13969</v>
      </c>
      <c r="H11" s="615">
        <f>INDEX('qtrP&amp;L'!24:24,MATCH(H5,'qtrP&amp;L'!6:6,0))</f>
        <v>14354</v>
      </c>
      <c r="I11" s="615">
        <f>INDEX('qtrP&amp;L'!24:24,MATCH(I5,'qtrP&amp;L'!6:6,0))</f>
        <v>16072</v>
      </c>
      <c r="J11" s="615">
        <f>INDEX('qtrP&amp;L'!24:24,MATCH(J5,'qtrP&amp;L'!6:6,0))</f>
        <v>21269.200000000001</v>
      </c>
      <c r="K11" s="615">
        <f>INDEX('qtrP&amp;L'!24:24,MATCH(K5,'qtrP&amp;L'!6:6,0))</f>
        <v>21532.95262334331</v>
      </c>
      <c r="L11" s="615">
        <f>INDEX('qtrP&amp;L'!24:24,MATCH(L5,'qtrP&amp;L'!6:6,0))</f>
        <v>22148</v>
      </c>
      <c r="M11" s="615">
        <f>INDEX('qtrP&amp;L'!24:24,MATCH(M5,'qtrP&amp;L'!6:6,0))</f>
        <v>22766</v>
      </c>
      <c r="N11" s="615">
        <f>INDEX('qtrP&amp;L'!24:24,MATCH(N5,'qtrP&amp;L'!6:6,0))</f>
        <v>22751</v>
      </c>
      <c r="O11" s="615">
        <f>INDEX('qtrP&amp;L'!24:24,MATCH(O5,'qtrP&amp;L'!6:6,0))</f>
        <v>22547</v>
      </c>
      <c r="P11" s="615">
        <f>INDEX('qtrP&amp;L'!24:24,MATCH(P5,'qtrP&amp;L'!6:6,0))</f>
        <v>11866</v>
      </c>
      <c r="Q11" s="615">
        <f>INDEX('qtrP&amp;L'!24:24,MATCH(Q5,'qtrP&amp;L'!6:6,0))</f>
        <v>11287</v>
      </c>
      <c r="R11" s="615">
        <f>INDEX('qtrP&amp;L'!24:24,MATCH(R5,'qtrP&amp;L'!6:6,0))</f>
        <v>11237</v>
      </c>
      <c r="S11" s="615">
        <f>INDEX('qtrP&amp;L'!24:24,MATCH(S5,'qtrP&amp;L'!6:6,0))</f>
        <v>11322</v>
      </c>
      <c r="T11" s="615">
        <f>INDEX('qtrP&amp;L'!24:24,MATCH(T5,'qtrP&amp;L'!6:6,0))</f>
        <v>11591</v>
      </c>
      <c r="U11" s="615">
        <f>INDEX('qtrP&amp;L'!24:24,MATCH(U5,'qtrP&amp;L'!6:6,0))</f>
        <v>12094.088</v>
      </c>
      <c r="V11" s="615">
        <f>INDEX('qtrP&amp;L'!24:24,MATCH(V5,'qtrP&amp;L'!6:6,0))</f>
        <v>12195.93</v>
      </c>
      <c r="W11" s="615">
        <f>INDEX('qtrP&amp;L'!24:24,MATCH(W5,'qtrP&amp;L'!6:6,0))</f>
        <v>11570.472978705891</v>
      </c>
      <c r="X11" s="615">
        <f>INDEX('qtrP&amp;L'!24:24,MATCH(X5,'qtrP&amp;L'!6:6,0))</f>
        <v>10649.479531695368</v>
      </c>
      <c r="Y11" s="615">
        <f>INDEX('qtrP&amp;L'!24:24,MATCH(Y5,'qtrP&amp;L'!6:6,0))</f>
        <v>10799</v>
      </c>
      <c r="Z11" s="615">
        <f>INDEX('qtrP&amp;L'!24:24,MATCH(Z5,'qtrP&amp;L'!6:6,0))</f>
        <v>10835</v>
      </c>
      <c r="AA11" s="615">
        <f>INDEX('qtrP&amp;L'!24:24,MATCH(AA5,'qtrP&amp;L'!6:6,0))</f>
        <v>8866</v>
      </c>
      <c r="AB11" s="615">
        <f>INDEX('qtrP&amp;L'!24:24,MATCH(AB5,'qtrP&amp;L'!6:6,0))</f>
        <v>8367</v>
      </c>
      <c r="AC11" s="615">
        <f>INDEX('qtrP&amp;L'!24:24,MATCH(AC5,'qtrP&amp;L'!6:6,0))</f>
        <v>7996</v>
      </c>
      <c r="AD11" s="615">
        <f>INDEX('qtrP&amp;L'!24:24,MATCH(AD5,'qtrP&amp;L'!6:6,0))</f>
        <v>8074</v>
      </c>
      <c r="AE11" s="615">
        <f>INDEX('qtrP&amp;L'!24:24,MATCH(AE5,'qtrP&amp;L'!6:6,0))</f>
        <v>8071</v>
      </c>
      <c r="AF11" s="615">
        <f>INDEX('qtrP&amp;L'!24:24,MATCH(AF5,'qtrP&amp;L'!6:6,0))</f>
        <v>8174</v>
      </c>
      <c r="AG11" s="615">
        <f>INDEX('qtrP&amp;L'!24:24,MATCH(AG5,'qtrP&amp;L'!6:6,0))</f>
        <v>7801.4506640000018</v>
      </c>
      <c r="AH11" s="1293">
        <f>(1-AH$12)*AH7</f>
        <v>7599.2737393527505</v>
      </c>
      <c r="AI11" s="1293">
        <f>(1-AI$12)*AI7</f>
        <v>7353.8522020766386</v>
      </c>
      <c r="AJ11" s="1293">
        <f>(1-AJ$12)*AJ7</f>
        <v>7071.0667972604215</v>
      </c>
      <c r="AK11" s="1293">
        <f>(1-AK$12)*AK7</f>
        <v>6718.4006338436702</v>
      </c>
      <c r="AL11" s="615"/>
      <c r="AM11" s="960">
        <f>((AE11/Z11)^(1/4)-1)*100</f>
        <v>-7.0980974807896562</v>
      </c>
      <c r="AN11" s="507" t="s">
        <v>156</v>
      </c>
      <c r="AO11" s="509">
        <f>((AJ11/AE11)^(1/5)-1)*100</f>
        <v>-2.610638507005536</v>
      </c>
      <c r="AP11" s="961" t="s">
        <v>156</v>
      </c>
    </row>
    <row r="12" spans="1:51">
      <c r="A12" s="993" t="s">
        <v>91</v>
      </c>
      <c r="B12" s="994">
        <f>1-B11/$B7</f>
        <v>0.33167732720611065</v>
      </c>
      <c r="C12" s="994">
        <f t="shared" ref="C12:AC12" si="5">1-C11/C7</f>
        <v>0.31732355637030252</v>
      </c>
      <c r="D12" s="994">
        <f t="shared" si="5"/>
        <v>0.30930189494475646</v>
      </c>
      <c r="E12" s="994">
        <f t="shared" si="5"/>
        <v>0.31539785662724196</v>
      </c>
      <c r="F12" s="994">
        <f t="shared" si="5"/>
        <v>0.31343833956698097</v>
      </c>
      <c r="G12" s="994">
        <f t="shared" si="5"/>
        <v>0.31457311089303241</v>
      </c>
      <c r="H12" s="994">
        <f t="shared" si="5"/>
        <v>0.30191615601595179</v>
      </c>
      <c r="I12" s="994">
        <f t="shared" si="5"/>
        <v>0.29048207663782444</v>
      </c>
      <c r="J12" s="994">
        <f t="shared" si="5"/>
        <v>0.27855039821988248</v>
      </c>
      <c r="K12" s="994">
        <f t="shared" si="5"/>
        <v>0.26853208019079733</v>
      </c>
      <c r="L12" s="994">
        <f t="shared" si="5"/>
        <v>0.30227136691554046</v>
      </c>
      <c r="M12" s="994">
        <f t="shared" si="5"/>
        <v>0.28512215034855237</v>
      </c>
      <c r="N12" s="994">
        <f t="shared" si="5"/>
        <v>0.28912010998625171</v>
      </c>
      <c r="O12" s="994">
        <f t="shared" si="5"/>
        <v>0.30296472624972948</v>
      </c>
      <c r="P12" s="994">
        <f t="shared" si="5"/>
        <v>0.3348654708520179</v>
      </c>
      <c r="Q12" s="994">
        <f t="shared" si="5"/>
        <v>0.35072480441785547</v>
      </c>
      <c r="R12" s="994">
        <f t="shared" si="5"/>
        <v>0.35836235939016725</v>
      </c>
      <c r="S12" s="994">
        <f t="shared" si="5"/>
        <v>0.37433687002652516</v>
      </c>
      <c r="T12" s="994">
        <f t="shared" si="5"/>
        <v>0.38283647525350506</v>
      </c>
      <c r="U12" s="994">
        <f t="shared" si="5"/>
        <v>0.39241223148573867</v>
      </c>
      <c r="V12" s="994">
        <f t="shared" si="5"/>
        <v>0.38581205620184311</v>
      </c>
      <c r="W12" s="994">
        <f t="shared" si="5"/>
        <v>0.3741133989279174</v>
      </c>
      <c r="X12" s="994">
        <f t="shared" si="5"/>
        <v>0.39351963636093257</v>
      </c>
      <c r="Y12" s="994">
        <f t="shared" si="5"/>
        <v>0.39191395911931981</v>
      </c>
      <c r="Z12" s="994">
        <f t="shared" si="5"/>
        <v>0.3722479721900348</v>
      </c>
      <c r="AA12" s="994">
        <f t="shared" si="5"/>
        <v>0.31721216788602236</v>
      </c>
      <c r="AB12" s="995">
        <f t="shared" si="5"/>
        <v>0.29445990387047816</v>
      </c>
      <c r="AC12" s="995">
        <f t="shared" si="5"/>
        <v>0.34763808435995758</v>
      </c>
      <c r="AD12" s="995">
        <f>1-AD11/AD7</f>
        <v>0.36047524752475246</v>
      </c>
      <c r="AE12" s="995">
        <f>1-AE11/AE7</f>
        <v>0.35673866262851672</v>
      </c>
      <c r="AF12" s="995">
        <f>1-AF11/AF7</f>
        <v>0.34639373100911564</v>
      </c>
      <c r="AG12" s="995">
        <f>1-AG11/AG7</f>
        <v>0.35279455612285182</v>
      </c>
      <c r="AH12" s="1389">
        <v>0.35189999999999999</v>
      </c>
      <c r="AI12" s="1389">
        <v>0.3508</v>
      </c>
      <c r="AJ12" s="1389">
        <v>0.34889999999999999</v>
      </c>
      <c r="AK12" s="1502">
        <v>0.34660000000000002</v>
      </c>
      <c r="AL12" s="996"/>
      <c r="AM12" s="960"/>
      <c r="AN12" s="507"/>
      <c r="AO12" s="509"/>
      <c r="AP12" s="961"/>
    </row>
    <row r="13" spans="1:51" outlineLevel="1">
      <c r="A13" s="993" t="s">
        <v>415</v>
      </c>
      <c r="B13" s="995"/>
      <c r="C13" s="997">
        <f t="shared" ref="C13:O13" si="6">IF(ISERROR((C12-B12)*10000)=TRUE,"NM",(C12-B12)*10000)</f>
        <v>-143.53770835808132</v>
      </c>
      <c r="D13" s="997">
        <f t="shared" si="6"/>
        <v>-80.216614255460556</v>
      </c>
      <c r="E13" s="997">
        <f t="shared" si="6"/>
        <v>60.959616824854955</v>
      </c>
      <c r="F13" s="997">
        <f t="shared" si="6"/>
        <v>-19.595170602609848</v>
      </c>
      <c r="G13" s="997">
        <f t="shared" si="6"/>
        <v>11.347713260514425</v>
      </c>
      <c r="H13" s="997">
        <f t="shared" si="6"/>
        <v>-126.56954877080628</v>
      </c>
      <c r="I13" s="997">
        <f t="shared" si="6"/>
        <v>-114.34079378127349</v>
      </c>
      <c r="J13" s="997">
        <f t="shared" si="6"/>
        <v>-119.3167841794196</v>
      </c>
      <c r="K13" s="997">
        <f t="shared" si="6"/>
        <v>-100.1831802908515</v>
      </c>
      <c r="L13" s="997">
        <f t="shared" si="6"/>
        <v>337.39286724743135</v>
      </c>
      <c r="M13" s="997">
        <f t="shared" si="6"/>
        <v>-171.4921656698809</v>
      </c>
      <c r="N13" s="997">
        <f t="shared" si="6"/>
        <v>39.979596376993328</v>
      </c>
      <c r="O13" s="997">
        <f t="shared" si="6"/>
        <v>138.44616263477772</v>
      </c>
      <c r="P13" s="997">
        <f>IF(ISERROR((P12-M12)*10000)=TRUE,"NM",(P12-M12)*10000)</f>
        <v>497.43320503465526</v>
      </c>
      <c r="Q13" s="997">
        <f t="shared" ref="Q13:AB13" si="7">IF(ISERROR((Q12-P12)*10000)=TRUE,"NM",(Q12-P12)*10000)</f>
        <v>158.59333565837574</v>
      </c>
      <c r="R13" s="997">
        <f t="shared" si="7"/>
        <v>76.375549723117771</v>
      </c>
      <c r="S13" s="997">
        <f t="shared" si="7"/>
        <v>159.74510636357908</v>
      </c>
      <c r="T13" s="997">
        <f t="shared" si="7"/>
        <v>84.996052269799009</v>
      </c>
      <c r="U13" s="997">
        <f t="shared" si="7"/>
        <v>95.757562322336128</v>
      </c>
      <c r="V13" s="997">
        <f t="shared" si="7"/>
        <v>-66.001752838955596</v>
      </c>
      <c r="W13" s="997">
        <f t="shared" si="7"/>
        <v>-116.98657273925717</v>
      </c>
      <c r="X13" s="997">
        <f t="shared" si="7"/>
        <v>194.06237433015173</v>
      </c>
      <c r="Y13" s="997">
        <f t="shared" si="7"/>
        <v>-16.056772416127572</v>
      </c>
      <c r="Z13" s="997">
        <f t="shared" si="7"/>
        <v>-196.65986929285006</v>
      </c>
      <c r="AA13" s="997">
        <f t="shared" si="7"/>
        <v>-550.35804304012447</v>
      </c>
      <c r="AB13" s="829">
        <f t="shared" si="7"/>
        <v>-227.52264015544199</v>
      </c>
      <c r="AC13" s="829">
        <f t="shared" ref="AC13:AH13" si="8">IF(ISERROR((AC12-AB12)*10000)=TRUE,"NM",(AC12-AB12)*10000)</f>
        <v>531.78180489479416</v>
      </c>
      <c r="AD13" s="829">
        <f t="shared" si="8"/>
        <v>128.37163164794885</v>
      </c>
      <c r="AE13" s="829">
        <f t="shared" si="8"/>
        <v>-37.365848962357397</v>
      </c>
      <c r="AF13" s="829">
        <f t="shared" si="8"/>
        <v>-103.44931619401088</v>
      </c>
      <c r="AG13" s="829">
        <f>IF(ISERROR((AG12-AF12)*10000)=TRUE,"NM",(AG12-AF12)*10000)</f>
        <v>64.008251137361867</v>
      </c>
      <c r="AH13" s="1294">
        <f t="shared" si="8"/>
        <v>-8.9455612285183062</v>
      </c>
      <c r="AI13" s="1294">
        <f>IF(ISERROR((AI12-AH12)*10000)=TRUE,"NM",(AI12-AH12)*10000)</f>
        <v>-10.999999999999899</v>
      </c>
      <c r="AJ13" s="1294">
        <f>IF(ISERROR((AJ12-AI12)*10000)=TRUE,"NM",(AJ12-AI12)*10000)</f>
        <v>-19.000000000000128</v>
      </c>
      <c r="AK13" s="1294">
        <f>IF(ISERROR((AK12-AJ12)*10000)=TRUE,"NM",(AK12-AJ12)*10000)</f>
        <v>-22.999999999999687</v>
      </c>
      <c r="AL13" s="829"/>
      <c r="AM13" s="500"/>
      <c r="AN13" s="507"/>
      <c r="AO13" s="507"/>
      <c r="AP13" s="961"/>
      <c r="AR13" s="706">
        <f>AVERAGE(AF13:AH13)</f>
        <v>-16.128875428389104</v>
      </c>
      <c r="AT13" s="703"/>
      <c r="AU13" s="703"/>
      <c r="AV13" s="703"/>
      <c r="AW13" s="703"/>
      <c r="AX13" s="703"/>
      <c r="AY13" s="703"/>
    </row>
    <row r="14" spans="1:51">
      <c r="B14" s="995"/>
      <c r="C14" s="995"/>
      <c r="D14" s="995"/>
      <c r="E14" s="995"/>
      <c r="F14" s="995"/>
      <c r="G14" s="995"/>
      <c r="H14" s="995"/>
      <c r="I14" s="995"/>
      <c r="J14" s="995"/>
      <c r="K14" s="995"/>
      <c r="L14" s="995"/>
      <c r="M14" s="995"/>
      <c r="N14" s="995"/>
      <c r="O14" s="995"/>
      <c r="P14" s="995"/>
      <c r="Q14" s="995"/>
      <c r="R14" s="995"/>
      <c r="S14" s="995"/>
      <c r="T14" s="995"/>
      <c r="U14" s="995"/>
      <c r="V14" s="995"/>
      <c r="W14" s="995"/>
      <c r="X14" s="995"/>
      <c r="Y14" s="995"/>
      <c r="Z14" s="998"/>
      <c r="AA14" s="615"/>
      <c r="AB14" s="615"/>
      <c r="AC14" s="615"/>
      <c r="AD14" s="615"/>
      <c r="AE14" s="999"/>
      <c r="AF14" s="999"/>
      <c r="AG14" s="996"/>
      <c r="AH14" s="1295"/>
      <c r="AI14" s="1295"/>
      <c r="AJ14" s="1295"/>
      <c r="AK14" s="1295"/>
      <c r="AL14" s="996"/>
      <c r="AM14" s="500"/>
      <c r="AN14" s="507"/>
      <c r="AO14" s="507"/>
      <c r="AP14" s="961"/>
    </row>
    <row r="15" spans="1:51">
      <c r="A15" s="507" t="s">
        <v>74</v>
      </c>
      <c r="B15" s="615">
        <f>INDEX('qtrP&amp;L'!34:34,MATCH(B5,'qtrP&amp;L'!6:6,0))</f>
        <v>0</v>
      </c>
      <c r="C15" s="615">
        <f>INDEX('qtrP&amp;L'!34:34,MATCH(C5,'qtrP&amp;L'!6:6,0))</f>
        <v>0</v>
      </c>
      <c r="D15" s="615">
        <f>INDEX('qtrP&amp;L'!34:34,MATCH(D5,'qtrP&amp;L'!6:6,0))</f>
        <v>0</v>
      </c>
      <c r="E15" s="615">
        <f>INDEX('qtrP&amp;L'!34:34,MATCH(E5,'qtrP&amp;L'!6:6,0))</f>
        <v>0</v>
      </c>
      <c r="F15" s="615">
        <f>INDEX('qtrP&amp;L'!34:34,MATCH(F5,'qtrP&amp;L'!6:6,0))</f>
        <v>0</v>
      </c>
      <c r="G15" s="615">
        <f>INDEX('qtrP&amp;L'!34:34,MATCH(G5,'qtrP&amp;L'!6:6,0))</f>
        <v>0</v>
      </c>
      <c r="H15" s="615">
        <f>INDEX('qtrP&amp;L'!34:34,MATCH(H5,'qtrP&amp;L'!6:6,0))</f>
        <v>0</v>
      </c>
      <c r="I15" s="615">
        <f>INDEX('qtrP&amp;L'!34:34,MATCH(I5,'qtrP&amp;L'!6:6,0))</f>
        <v>0</v>
      </c>
      <c r="J15" s="615">
        <f>INDEX('qtrP&amp;L'!34:34,MATCH(J5,'qtrP&amp;L'!6:6,0))</f>
        <v>0</v>
      </c>
      <c r="K15" s="615">
        <f>INDEX('qtrP&amp;L'!34:34,MATCH(K5,'qtrP&amp;L'!6:6,0))</f>
        <v>0</v>
      </c>
      <c r="L15" s="615">
        <f>INDEX('qtrP&amp;L'!34:34,MATCH(L5,'qtrP&amp;L'!6:6,0))</f>
        <v>0</v>
      </c>
      <c r="M15" s="615">
        <f>INDEX('qtrP&amp;L'!34:34,MATCH(M5,'qtrP&amp;L'!6:6,0))</f>
        <v>0</v>
      </c>
      <c r="N15" s="615">
        <f>INDEX('qtrP&amp;L'!34:34,MATCH(N5,'qtrP&amp;L'!6:6,0))</f>
        <v>0</v>
      </c>
      <c r="O15" s="615">
        <f>INDEX('qtrP&amp;L'!34:34,MATCH(O5,'qtrP&amp;L'!6:6,0))</f>
        <v>0</v>
      </c>
      <c r="P15" s="615">
        <f>INDEX('qtrP&amp;L'!34:34,MATCH(P5,'qtrP&amp;L'!6:6,0))</f>
        <v>0</v>
      </c>
      <c r="Q15" s="615">
        <f>INDEX('qtrP&amp;L'!34:34,MATCH(Q5,'qtrP&amp;L'!6:6,0))</f>
        <v>5050</v>
      </c>
      <c r="R15" s="615">
        <f>INDEX('qtrP&amp;L'!34:34,MATCH(R5,'qtrP&amp;L'!6:6,0))</f>
        <v>5139</v>
      </c>
      <c r="S15" s="615">
        <f>INDEX('qtrP&amp;L'!34:34,MATCH(S5,'qtrP&amp;L'!6:6,0))</f>
        <v>5015</v>
      </c>
      <c r="T15" s="615">
        <f>INDEX('qtrP&amp;L'!34:34,MATCH(T5,'qtrP&amp;L'!6:6,0))</f>
        <v>5115</v>
      </c>
      <c r="U15" s="615">
        <f>INDEX('qtrP&amp;L'!34:34,MATCH(U5,'qtrP&amp;L'!6:6,0))</f>
        <v>5470</v>
      </c>
      <c r="V15" s="615">
        <f>INDEX('qtrP&amp;L'!34:34,MATCH(V5,'qtrP&amp;L'!6:6,0))</f>
        <v>5402</v>
      </c>
      <c r="W15" s="615">
        <f>INDEX('qtrP&amp;L'!34:34,MATCH(W5,'qtrP&amp;L'!6:6,0))</f>
        <v>5395</v>
      </c>
      <c r="X15" s="615">
        <f>INDEX('qtrP&amp;L'!34:34,MATCH(X5,'qtrP&amp;L'!6:6,0))</f>
        <v>5382</v>
      </c>
      <c r="Y15" s="615">
        <f>INDEX('qtrP&amp;L'!34:34,MATCH(Y5,'qtrP&amp;L'!6:6,0))</f>
        <v>5358</v>
      </c>
      <c r="Z15" s="615">
        <f>INDEX('qtrP&amp;L'!34:34,MATCH(Z5,'qtrP&amp;L'!6:6,0))</f>
        <v>5109</v>
      </c>
      <c r="AA15" s="615">
        <f>INDEX('qtrP&amp;L'!34:34,MATCH(AA5,'qtrP&amp;L'!6:6,0))</f>
        <v>4506</v>
      </c>
      <c r="AB15" s="615">
        <f>INDEX('qtrP&amp;L'!34:34,MATCH(AB5,'qtrP&amp;L'!6:6,0))</f>
        <v>4114</v>
      </c>
      <c r="AC15" s="615">
        <f>INDEX('qtrP&amp;L'!34:34,MATCH(AC5,'qtrP&amp;L'!6:6,0))</f>
        <v>3993</v>
      </c>
      <c r="AD15" s="615">
        <f>INDEX('qtrP&amp;L'!34:34,MATCH(AD5,'qtrP&amp;L'!6:6,0))</f>
        <v>3775</v>
      </c>
      <c r="AE15" s="615">
        <f>INDEX('qtrP&amp;L'!34:34,MATCH(AE5,'qtrP&amp;L'!6:6,0))</f>
        <v>3538</v>
      </c>
      <c r="AF15" s="615">
        <f>INDEX('qtrP&amp;L'!34:34,MATCH(AF5,'qtrP&amp;L'!6:6,0))</f>
        <v>3468</v>
      </c>
      <c r="AG15" s="615">
        <f>INDEX('qtrP&amp;L'!34:34,MATCH(AG5,'qtrP&amp;L'!6:6,0))</f>
        <v>3380.2849999999999</v>
      </c>
      <c r="AH15" s="1293">
        <f>AG15*(1+AH16)</f>
        <v>3276.8482789999998</v>
      </c>
      <c r="AI15" s="1293">
        <f>AH15*(1+AI16)</f>
        <v>3175.2659823509998</v>
      </c>
      <c r="AJ15" s="1293">
        <f>AI15*(1+AJ16)</f>
        <v>3112.0781893022149</v>
      </c>
      <c r="AK15" s="1293">
        <f>AJ15*(1+AK16)</f>
        <v>3052.9487037054728</v>
      </c>
      <c r="AL15" s="615"/>
      <c r="AM15" s="960">
        <f>((AE15/Z15)^(1/4)-1)*100</f>
        <v>-8.7767624488058189</v>
      </c>
      <c r="AN15" s="507" t="s">
        <v>156</v>
      </c>
      <c r="AO15" s="509">
        <f>((AJ15/AE15)^(1/5)-1)*100</f>
        <v>-2.5327900669873893</v>
      </c>
      <c r="AP15" s="961" t="s">
        <v>156</v>
      </c>
      <c r="AR15" s="706">
        <f>AE15*0.01</f>
        <v>35.380000000000003</v>
      </c>
      <c r="AS15" s="706">
        <f>115-AR15</f>
        <v>79.62</v>
      </c>
      <c r="AT15" s="587">
        <f>AS15/AE15</f>
        <v>2.2504239683436972E-2</v>
      </c>
    </row>
    <row r="16" spans="1:51">
      <c r="A16" s="993" t="s">
        <v>507</v>
      </c>
      <c r="B16" s="615"/>
      <c r="C16" s="615"/>
      <c r="D16" s="615"/>
      <c r="E16" s="615"/>
      <c r="F16" s="615"/>
      <c r="G16" s="615"/>
      <c r="H16" s="615"/>
      <c r="I16" s="615"/>
      <c r="J16" s="615"/>
      <c r="K16" s="615"/>
      <c r="L16" s="615"/>
      <c r="M16" s="615"/>
      <c r="N16" s="615"/>
      <c r="O16" s="615"/>
      <c r="P16" s="615"/>
      <c r="Q16" s="615"/>
      <c r="R16" s="615"/>
      <c r="S16" s="615"/>
      <c r="T16" s="1000">
        <f t="shared" ref="T16:AC16" si="9">T15/S15-1</f>
        <v>1.9940179461615193E-2</v>
      </c>
      <c r="U16" s="1001">
        <f t="shared" si="9"/>
        <v>6.9403714565004826E-2</v>
      </c>
      <c r="V16" s="1001">
        <f t="shared" si="9"/>
        <v>-1.2431444241316258E-2</v>
      </c>
      <c r="W16" s="1001">
        <f t="shared" si="9"/>
        <v>-1.2958163643095322E-3</v>
      </c>
      <c r="X16" s="1001">
        <f t="shared" si="9"/>
        <v>-2.4096385542168308E-3</v>
      </c>
      <c r="Y16" s="1001">
        <f t="shared" si="9"/>
        <v>-4.4593088071348541E-3</v>
      </c>
      <c r="Z16" s="1001">
        <f t="shared" si="9"/>
        <v>-4.6472564389697602E-2</v>
      </c>
      <c r="AA16" s="1001">
        <f t="shared" si="9"/>
        <v>-0.11802701115678216</v>
      </c>
      <c r="AB16" s="1001">
        <f t="shared" si="9"/>
        <v>-8.6995117620949802E-2</v>
      </c>
      <c r="AC16" s="1001">
        <f t="shared" si="9"/>
        <v>-2.9411764705882359E-2</v>
      </c>
      <c r="AD16" s="1001">
        <f>AD15/AC15-1</f>
        <v>-5.4595542198847991E-2</v>
      </c>
      <c r="AE16" s="1001">
        <f>AE15/AD15-1</f>
        <v>-6.2781456953642345E-2</v>
      </c>
      <c r="AF16" s="1001">
        <f>AF15/AE15-1</f>
        <v>-1.9785189372526824E-2</v>
      </c>
      <c r="AG16" s="1001">
        <f>AG15/AF15-1</f>
        <v>-2.5292675893887062E-2</v>
      </c>
      <c r="AH16" s="1390">
        <v>-3.0599999999999999E-2</v>
      </c>
      <c r="AI16" s="1390">
        <v>-3.1E-2</v>
      </c>
      <c r="AJ16" s="1390">
        <v>-1.9900000000000001E-2</v>
      </c>
      <c r="AK16" s="1390">
        <v>-1.9E-2</v>
      </c>
      <c r="AL16" s="1002"/>
      <c r="AM16" s="960"/>
      <c r="AN16" s="507"/>
      <c r="AO16" s="509"/>
      <c r="AP16" s="961"/>
      <c r="AR16" s="587">
        <f>75/AF15</f>
        <v>2.162629757785467E-2</v>
      </c>
      <c r="AW16" s="706">
        <f>AF15-AG15</f>
        <v>87.715000000000146</v>
      </c>
    </row>
    <row r="17" spans="1:51" hidden="1" outlineLevel="1">
      <c r="A17" s="993" t="s">
        <v>417</v>
      </c>
      <c r="B17" s="994" t="str">
        <f t="shared" ref="B17:Z17" si="10">IF(B15=0,"NA",B15/B$7)</f>
        <v>NA</v>
      </c>
      <c r="C17" s="994" t="str">
        <f t="shared" si="10"/>
        <v>NA</v>
      </c>
      <c r="D17" s="994" t="str">
        <f t="shared" si="10"/>
        <v>NA</v>
      </c>
      <c r="E17" s="994" t="str">
        <f t="shared" si="10"/>
        <v>NA</v>
      </c>
      <c r="F17" s="994" t="str">
        <f t="shared" si="10"/>
        <v>NA</v>
      </c>
      <c r="G17" s="994" t="str">
        <f t="shared" si="10"/>
        <v>NA</v>
      </c>
      <c r="H17" s="994" t="str">
        <f t="shared" si="10"/>
        <v>NA</v>
      </c>
      <c r="I17" s="994" t="str">
        <f t="shared" si="10"/>
        <v>NA</v>
      </c>
      <c r="J17" s="994" t="str">
        <f t="shared" si="10"/>
        <v>NA</v>
      </c>
      <c r="K17" s="994" t="str">
        <f t="shared" si="10"/>
        <v>NA</v>
      </c>
      <c r="L17" s="994" t="str">
        <f t="shared" si="10"/>
        <v>NA</v>
      </c>
      <c r="M17" s="994" t="str">
        <f t="shared" si="10"/>
        <v>NA</v>
      </c>
      <c r="N17" s="994" t="str">
        <f t="shared" si="10"/>
        <v>NA</v>
      </c>
      <c r="O17" s="994" t="str">
        <f t="shared" si="10"/>
        <v>NA</v>
      </c>
      <c r="P17" s="994" t="str">
        <f t="shared" si="10"/>
        <v>NA</v>
      </c>
      <c r="Q17" s="994">
        <f t="shared" si="10"/>
        <v>0.29049700874367235</v>
      </c>
      <c r="R17" s="994">
        <f t="shared" si="10"/>
        <v>0.29343915948152799</v>
      </c>
      <c r="S17" s="994">
        <f t="shared" si="10"/>
        <v>0.27713306808134397</v>
      </c>
      <c r="T17" s="994">
        <f t="shared" si="10"/>
        <v>0.27234849703030989</v>
      </c>
      <c r="U17" s="1003">
        <f t="shared" si="10"/>
        <v>0.27480411038624897</v>
      </c>
      <c r="V17" s="1003">
        <f t="shared" si="10"/>
        <v>0.27204512262678149</v>
      </c>
      <c r="W17" s="1003">
        <f t="shared" si="10"/>
        <v>0.2918340692725554</v>
      </c>
      <c r="X17" s="1003">
        <f t="shared" si="10"/>
        <v>0.30650111185159756</v>
      </c>
      <c r="Y17" s="1003">
        <f t="shared" si="10"/>
        <v>0.30170617714961429</v>
      </c>
      <c r="Z17" s="1003">
        <f t="shared" si="10"/>
        <v>0.29600231749710315</v>
      </c>
      <c r="AA17" s="1003">
        <f>IF(AA15=0,"NA",AA15/AA$7)</f>
        <v>0.3470157874470543</v>
      </c>
      <c r="AB17" s="1003">
        <f>IF(AB15=0,"NA",(AB15-AB21)/AB$7)</f>
        <v>0.34690952019563198</v>
      </c>
      <c r="AC17" s="1003">
        <f t="shared" ref="AC17:AH17" si="11">IF(AC15=0,"NA",(AC15)/AC$7)</f>
        <v>0.32577302765766503</v>
      </c>
      <c r="AD17" s="1003">
        <f t="shared" si="11"/>
        <v>0.299009900990099</v>
      </c>
      <c r="AE17" s="1004">
        <f t="shared" si="11"/>
        <v>0.2819797561170001</v>
      </c>
      <c r="AF17" s="1004">
        <f t="shared" si="11"/>
        <v>0.2773068926915081</v>
      </c>
      <c r="AG17" s="1004">
        <f t="shared" si="11"/>
        <v>0.2804271856709476</v>
      </c>
      <c r="AH17" s="1296">
        <f t="shared" si="11"/>
        <v>0.27946425440923556</v>
      </c>
      <c r="AI17" s="1296">
        <f>IF(AI15=0,"NA",(AI15)/AI$7)</f>
        <v>0.28031331322652359</v>
      </c>
      <c r="AJ17" s="1296">
        <f>IF(AJ15=0,"NA",(AJ15)/AJ$7)</f>
        <v>0.28655847372842269</v>
      </c>
      <c r="AK17" s="1296">
        <f>IF(AK15=0,"NA",(AK15)/AK$7)</f>
        <v>0.29691541063396076</v>
      </c>
      <c r="AL17" s="1004"/>
      <c r="AM17" s="500"/>
      <c r="AN17" s="507"/>
      <c r="AO17" s="507"/>
      <c r="AP17" s="961"/>
      <c r="AT17" s="678"/>
      <c r="AU17" s="678"/>
      <c r="AV17" s="678"/>
      <c r="AW17" s="678">
        <f>25+54+10</f>
        <v>89</v>
      </c>
      <c r="AX17" s="678"/>
      <c r="AY17" s="678"/>
    </row>
    <row r="18" spans="1:51" hidden="1" outlineLevel="2">
      <c r="A18" s="993" t="s">
        <v>415</v>
      </c>
      <c r="B18" s="995"/>
      <c r="C18" s="997" t="str">
        <f t="shared" ref="C18:O18" si="12">IF(ISERROR((C17-B17)*10000)=TRUE,"NM",(C17-B17)*10000)</f>
        <v>NM</v>
      </c>
      <c r="D18" s="997" t="str">
        <f t="shared" si="12"/>
        <v>NM</v>
      </c>
      <c r="E18" s="997" t="str">
        <f t="shared" si="12"/>
        <v>NM</v>
      </c>
      <c r="F18" s="997" t="str">
        <f t="shared" si="12"/>
        <v>NM</v>
      </c>
      <c r="G18" s="997" t="str">
        <f t="shared" si="12"/>
        <v>NM</v>
      </c>
      <c r="H18" s="997" t="str">
        <f t="shared" si="12"/>
        <v>NM</v>
      </c>
      <c r="I18" s="997" t="str">
        <f t="shared" si="12"/>
        <v>NM</v>
      </c>
      <c r="J18" s="997" t="str">
        <f t="shared" si="12"/>
        <v>NM</v>
      </c>
      <c r="K18" s="997" t="str">
        <f t="shared" si="12"/>
        <v>NM</v>
      </c>
      <c r="L18" s="997" t="str">
        <f t="shared" si="12"/>
        <v>NM</v>
      </c>
      <c r="M18" s="997" t="str">
        <f t="shared" si="12"/>
        <v>NM</v>
      </c>
      <c r="N18" s="997" t="str">
        <f t="shared" si="12"/>
        <v>NM</v>
      </c>
      <c r="O18" s="997" t="str">
        <f t="shared" si="12"/>
        <v>NM</v>
      </c>
      <c r="P18" s="997" t="str">
        <f>IF(ISERROR((P17-M17)*10000)=TRUE,"NM",(P17-M17)*10000)</f>
        <v>NM</v>
      </c>
      <c r="Q18" s="997" t="str">
        <f t="shared" ref="Q18:AA18" si="13">IF(ISERROR((Q17-P17)*10000)=TRUE,"NM",(Q17-P17)*10000)</f>
        <v>NM</v>
      </c>
      <c r="R18" s="997">
        <f t="shared" si="13"/>
        <v>29.42150737855642</v>
      </c>
      <c r="S18" s="997">
        <f t="shared" si="13"/>
        <v>-163.06091400184019</v>
      </c>
      <c r="T18" s="997">
        <f t="shared" si="13"/>
        <v>-47.845710510340808</v>
      </c>
      <c r="U18" s="1005">
        <f t="shared" si="13"/>
        <v>24.556133559390791</v>
      </c>
      <c r="V18" s="1005">
        <f t="shared" si="13"/>
        <v>-27.589877594674796</v>
      </c>
      <c r="W18" s="1005">
        <f t="shared" si="13"/>
        <v>197.88946645773908</v>
      </c>
      <c r="X18" s="1005">
        <f t="shared" si="13"/>
        <v>146.67042579042166</v>
      </c>
      <c r="Y18" s="1005">
        <f t="shared" si="13"/>
        <v>-47.949347019832778</v>
      </c>
      <c r="Z18" s="1005">
        <f t="shared" si="13"/>
        <v>-57.038596525111338</v>
      </c>
      <c r="AA18" s="1005">
        <f t="shared" si="13"/>
        <v>510.1346994995115</v>
      </c>
      <c r="AB18" s="824">
        <f>IF(ISERROR((AB17-AA19)*10000)=TRUE,"NM",(AB17-AA19)*10000)</f>
        <v>-1.0626725142232063</v>
      </c>
      <c r="AC18" s="824">
        <f>IF(ISERROR((AC17-AB19)*10000)=TRUE,"NM",(AC17-AB19)*10000)</f>
        <v>-211.36492537966956</v>
      </c>
      <c r="AD18" s="824">
        <f>IF(ISERROR((AD17-AC19)*10000)=TRUE,"NM",(AD17-AC19)*10000)</f>
        <v>2990.09900990099</v>
      </c>
      <c r="AE18" s="824">
        <f t="shared" ref="AE18:AJ18" si="14">IF(ISERROR((AE17-AD17)*10000)=TRUE,"NM",(AE17-AD17)*10000)</f>
        <v>-170.30144873098897</v>
      </c>
      <c r="AF18" s="824">
        <f t="shared" si="14"/>
        <v>-46.728634254920024</v>
      </c>
      <c r="AG18" s="824">
        <f t="shared" si="14"/>
        <v>31.202929794394983</v>
      </c>
      <c r="AH18" s="1297">
        <f t="shared" si="14"/>
        <v>-9.6293126171204122</v>
      </c>
      <c r="AI18" s="1297">
        <f t="shared" si="14"/>
        <v>8.4905881728802868</v>
      </c>
      <c r="AJ18" s="1297">
        <f t="shared" si="14"/>
        <v>62.451605018991053</v>
      </c>
      <c r="AK18" s="1297"/>
      <c r="AL18" s="824"/>
      <c r="AM18" s="500"/>
      <c r="AN18" s="507"/>
      <c r="AO18" s="507"/>
      <c r="AP18" s="961"/>
    </row>
    <row r="19" spans="1:51" hidden="1" outlineLevel="2">
      <c r="A19" s="993" t="s">
        <v>418</v>
      </c>
      <c r="B19" s="995"/>
      <c r="C19" s="997"/>
      <c r="D19" s="997"/>
      <c r="E19" s="997"/>
      <c r="F19" s="997"/>
      <c r="G19" s="997"/>
      <c r="H19" s="997"/>
      <c r="I19" s="997"/>
      <c r="J19" s="997"/>
      <c r="K19" s="997"/>
      <c r="L19" s="997"/>
      <c r="M19" s="997"/>
      <c r="N19" s="997"/>
      <c r="O19" s="997"/>
      <c r="P19" s="997"/>
      <c r="Q19" s="997"/>
      <c r="R19" s="997"/>
      <c r="S19" s="997"/>
      <c r="T19" s="997"/>
      <c r="U19" s="1005"/>
      <c r="V19" s="1005"/>
      <c r="W19" s="1005"/>
      <c r="X19" s="1005"/>
      <c r="Y19" s="1005"/>
      <c r="Z19" s="1005"/>
      <c r="AA19" s="1003">
        <f>AA15/AA7</f>
        <v>0.3470157874470543</v>
      </c>
      <c r="AB19" s="1003">
        <f>AB15/AB7</f>
        <v>0.34690952019563198</v>
      </c>
      <c r="AC19" s="1003"/>
      <c r="AD19" s="1003"/>
      <c r="AE19" s="1003"/>
      <c r="AF19" s="1003"/>
      <c r="AG19" s="1003"/>
      <c r="AH19" s="1298"/>
      <c r="AI19" s="1298"/>
      <c r="AJ19" s="1298"/>
      <c r="AK19" s="1298"/>
      <c r="AL19" s="1003"/>
      <c r="AM19" s="500"/>
      <c r="AN19" s="507"/>
      <c r="AO19" s="507"/>
      <c r="AP19" s="961"/>
    </row>
    <row r="20" spans="1:51" hidden="1" outlineLevel="2">
      <c r="A20" s="993" t="s">
        <v>415</v>
      </c>
      <c r="B20" s="995"/>
      <c r="C20" s="997"/>
      <c r="D20" s="997"/>
      <c r="E20" s="997"/>
      <c r="F20" s="997"/>
      <c r="G20" s="997"/>
      <c r="H20" s="997"/>
      <c r="I20" s="997"/>
      <c r="J20" s="997"/>
      <c r="K20" s="997"/>
      <c r="L20" s="997"/>
      <c r="M20" s="997"/>
      <c r="N20" s="997"/>
      <c r="O20" s="997"/>
      <c r="P20" s="997"/>
      <c r="Q20" s="997"/>
      <c r="R20" s="997"/>
      <c r="S20" s="997"/>
      <c r="T20" s="997"/>
      <c r="U20" s="1005"/>
      <c r="V20" s="1005"/>
      <c r="W20" s="1005"/>
      <c r="X20" s="1005"/>
      <c r="Y20" s="1005"/>
      <c r="Z20" s="1005"/>
      <c r="AA20" s="1005"/>
      <c r="AB20" s="1006">
        <f>IF(ISERROR((AB19-AA19)*10000)=TRUE,"NM",(AB19-AA19)*10000)</f>
        <v>-1.0626725142232063</v>
      </c>
      <c r="AC20" s="1006"/>
      <c r="AD20" s="1006"/>
      <c r="AE20" s="1006"/>
      <c r="AF20" s="1006"/>
      <c r="AG20" s="1006"/>
      <c r="AH20" s="1299"/>
      <c r="AI20" s="1299"/>
      <c r="AJ20" s="1299"/>
      <c r="AK20" s="1299"/>
      <c r="AL20" s="1006"/>
      <c r="AM20" s="500"/>
      <c r="AN20" s="507"/>
      <c r="AO20" s="507"/>
      <c r="AP20" s="961"/>
    </row>
    <row r="21" spans="1:51" s="507" customFormat="1" hidden="1" outlineLevel="2">
      <c r="A21" s="993" t="s">
        <v>479</v>
      </c>
      <c r="B21" s="995"/>
      <c r="C21" s="997"/>
      <c r="D21" s="997"/>
      <c r="E21" s="997"/>
      <c r="F21" s="997"/>
      <c r="G21" s="997"/>
      <c r="H21" s="997"/>
      <c r="I21" s="997"/>
      <c r="J21" s="997"/>
      <c r="K21" s="997"/>
      <c r="L21" s="997"/>
      <c r="M21" s="997"/>
      <c r="N21" s="997"/>
      <c r="O21" s="997"/>
      <c r="P21" s="997"/>
      <c r="Q21" s="997"/>
      <c r="R21" s="997"/>
      <c r="S21" s="997"/>
      <c r="T21" s="997"/>
      <c r="U21" s="997"/>
      <c r="V21" s="997"/>
      <c r="W21" s="997"/>
      <c r="X21" s="997"/>
      <c r="Y21" s="997"/>
      <c r="Z21" s="997"/>
      <c r="AA21" s="1007">
        <f>'qtrP&amp;L'!EQ32</f>
        <v>-606</v>
      </c>
      <c r="AB21" s="1007">
        <f>'qtrP&amp;L'!EQ40</f>
        <v>0</v>
      </c>
      <c r="AC21" s="1007"/>
      <c r="AD21" s="1007"/>
      <c r="AE21" s="1006"/>
      <c r="AF21" s="1006"/>
      <c r="AG21" s="1006"/>
      <c r="AH21" s="1299"/>
      <c r="AI21" s="1299"/>
      <c r="AJ21" s="1299"/>
      <c r="AK21" s="1299"/>
      <c r="AL21" s="1006"/>
      <c r="AM21" s="500"/>
      <c r="AP21" s="961"/>
      <c r="AQ21" s="398"/>
    </row>
    <row r="22" spans="1:51" s="507" customFormat="1" ht="13.5" hidden="1" outlineLevel="2" thickBot="1">
      <c r="A22" s="993" t="s">
        <v>480</v>
      </c>
      <c r="B22" s="995"/>
      <c r="C22" s="997"/>
      <c r="D22" s="997"/>
      <c r="E22" s="997"/>
      <c r="F22" s="997"/>
      <c r="G22" s="997"/>
      <c r="H22" s="997"/>
      <c r="I22" s="997"/>
      <c r="J22" s="997"/>
      <c r="K22" s="997"/>
      <c r="L22" s="997"/>
      <c r="M22" s="997"/>
      <c r="N22" s="997"/>
      <c r="O22" s="997"/>
      <c r="P22" s="997"/>
      <c r="Q22" s="997"/>
      <c r="R22" s="997"/>
      <c r="S22" s="997"/>
      <c r="T22" s="997"/>
      <c r="U22" s="997"/>
      <c r="V22" s="997"/>
      <c r="W22" s="997"/>
      <c r="X22" s="997"/>
      <c r="Y22" s="997"/>
      <c r="Z22" s="997"/>
      <c r="AA22" s="1007">
        <f>'qtrP&amp;L'!EP32</f>
        <v>-1000</v>
      </c>
      <c r="AB22" s="1008"/>
      <c r="AC22" s="1008"/>
      <c r="AD22" s="1008"/>
      <c r="AE22" s="1008"/>
      <c r="AF22" s="1008"/>
      <c r="AG22" s="1008"/>
      <c r="AH22" s="1300"/>
      <c r="AI22" s="1300"/>
      <c r="AJ22" s="1300"/>
      <c r="AK22" s="1300"/>
      <c r="AL22" s="1008"/>
      <c r="AM22" s="500"/>
      <c r="AP22" s="961"/>
      <c r="AQ22" s="398"/>
    </row>
    <row r="23" spans="1:51" ht="13.5" hidden="1" outlineLevel="2" thickBot="1">
      <c r="A23" s="1009" t="s">
        <v>44</v>
      </c>
      <c r="B23" s="995"/>
      <c r="C23" s="997"/>
      <c r="D23" s="997"/>
      <c r="E23" s="997"/>
      <c r="F23" s="997"/>
      <c r="G23" s="1010"/>
      <c r="H23" s="1010"/>
      <c r="I23" s="1010"/>
      <c r="J23" s="1010"/>
      <c r="K23" s="1010"/>
      <c r="L23" s="1010"/>
      <c r="M23" s="1010"/>
      <c r="N23" s="1010"/>
      <c r="O23" s="1010"/>
      <c r="P23" s="1010"/>
      <c r="Q23" s="1010">
        <f t="shared" ref="Q23:AF23" si="15">(Q15+Q28+Q31)/Q7</f>
        <v>0.31132075471698112</v>
      </c>
      <c r="R23" s="1010">
        <f t="shared" si="15"/>
        <v>0.31547992919545481</v>
      </c>
      <c r="S23" s="1010">
        <f t="shared" si="15"/>
        <v>0.29907161803713528</v>
      </c>
      <c r="T23" s="1010">
        <f t="shared" si="15"/>
        <v>0.29444519815789122</v>
      </c>
      <c r="U23" s="1011">
        <f t="shared" si="15"/>
        <v>0.29645686570187479</v>
      </c>
      <c r="V23" s="1011">
        <f t="shared" si="15"/>
        <v>0.2961172382535126</v>
      </c>
      <c r="W23" s="1011">
        <f t="shared" si="15"/>
        <v>0.31952990680129467</v>
      </c>
      <c r="X23" s="1011">
        <f t="shared" si="15"/>
        <v>0.33691203599294894</v>
      </c>
      <c r="Y23" s="1011">
        <f t="shared" si="15"/>
        <v>0.33239484205191733</v>
      </c>
      <c r="Z23" s="1011">
        <f t="shared" si="15"/>
        <v>0.32798377752027807</v>
      </c>
      <c r="AA23" s="1011">
        <f t="shared" si="15"/>
        <v>0.39175972275702736</v>
      </c>
      <c r="AB23" s="1011">
        <f t="shared" si="15"/>
        <v>0.4007083227928156</v>
      </c>
      <c r="AC23" s="1011">
        <f t="shared" si="15"/>
        <v>0.37888553479644282</v>
      </c>
      <c r="AD23" s="1011">
        <f>(AD15+AD28+AD31)/AD7</f>
        <v>0.34936633663366334</v>
      </c>
      <c r="AE23" s="1011">
        <f t="shared" si="15"/>
        <v>0.33195186100263013</v>
      </c>
      <c r="AF23" s="1011">
        <f t="shared" si="15"/>
        <v>0.32440428594274751</v>
      </c>
      <c r="AG23" s="1011">
        <f>(AG15+AG28+AG31)/AG7</f>
        <v>0.32962224499371828</v>
      </c>
      <c r="AH23" s="1503">
        <f>(AH15+AH28+AH31)/AH7</f>
        <v>0.32931677089674255</v>
      </c>
      <c r="AI23" s="1503">
        <f>(AI15+AI28+AI31)/AI7</f>
        <v>0.32969764475985708</v>
      </c>
      <c r="AJ23" s="1503">
        <f>(AJ15+AJ28+AJ31)/AJ7</f>
        <v>0.33660996989178793</v>
      </c>
      <c r="AK23" s="1301">
        <f>(AK15+AK28+AK31)/AK7</f>
        <v>0.34719464338098915</v>
      </c>
      <c r="AL23" s="1010"/>
      <c r="AM23" s="500"/>
      <c r="AN23" s="507"/>
      <c r="AO23" s="507"/>
      <c r="AP23" s="961"/>
    </row>
    <row r="24" spans="1:51" hidden="1" outlineLevel="2" collapsed="1">
      <c r="B24" s="581"/>
      <c r="C24" s="581"/>
      <c r="D24" s="581"/>
      <c r="E24" s="581"/>
      <c r="F24" s="581"/>
      <c r="G24" s="581"/>
      <c r="H24" s="581"/>
      <c r="I24" s="581"/>
      <c r="J24" s="581"/>
      <c r="K24" s="581"/>
      <c r="L24" s="581"/>
      <c r="M24" s="581"/>
      <c r="N24" s="581"/>
      <c r="O24" s="581"/>
      <c r="P24" s="581"/>
      <c r="Q24" s="581"/>
      <c r="R24" s="581"/>
      <c r="S24" s="581"/>
      <c r="T24" s="581"/>
      <c r="U24" s="587"/>
      <c r="V24" s="587"/>
      <c r="W24" s="587"/>
      <c r="X24" s="587"/>
      <c r="Y24" s="587"/>
      <c r="Z24" s="587"/>
      <c r="AA24" s="615"/>
      <c r="AB24" s="615"/>
      <c r="AC24" s="615"/>
      <c r="AD24" s="587"/>
      <c r="AM24" s="500"/>
      <c r="AN24" s="507"/>
      <c r="AO24" s="507"/>
      <c r="AP24" s="961"/>
    </row>
    <row r="25" spans="1:51" hidden="1" outlineLevel="2">
      <c r="A25" s="1012" t="s">
        <v>404</v>
      </c>
      <c r="B25" s="615">
        <f>INDEX('qtrP&amp;L'!44:44,MATCH(B5,'qtrP&amp;L'!6:6,0))</f>
        <v>0</v>
      </c>
      <c r="C25" s="615">
        <f>INDEX('qtrP&amp;L'!44:44,MATCH(C5,'qtrP&amp;L'!6:6,0))</f>
        <v>0</v>
      </c>
      <c r="D25" s="615">
        <f>INDEX('qtrP&amp;L'!44:44,MATCH(D5,'qtrP&amp;L'!6:6,0))</f>
        <v>0</v>
      </c>
      <c r="E25" s="615">
        <f>INDEX('qtrP&amp;L'!44:44,MATCH(E5,'qtrP&amp;L'!6:6,0))</f>
        <v>0</v>
      </c>
      <c r="F25" s="615">
        <f>INDEX('qtrP&amp;L'!44:44,MATCH(F5,'qtrP&amp;L'!6:6,0))</f>
        <v>0</v>
      </c>
      <c r="G25" s="615">
        <f>INDEX('qtrP&amp;L'!44:44,MATCH(G5,'qtrP&amp;L'!6:6,0))</f>
        <v>0</v>
      </c>
      <c r="H25" s="615">
        <f>INDEX('qtrP&amp;L'!44:44,MATCH(H5,'qtrP&amp;L'!6:6,0))</f>
        <v>0</v>
      </c>
      <c r="I25" s="615">
        <f>INDEX('qtrP&amp;L'!44:44,MATCH(I5,'qtrP&amp;L'!6:6,0))</f>
        <v>0</v>
      </c>
      <c r="J25" s="615">
        <f>INDEX('qtrP&amp;L'!44:44,MATCH(J5,'qtrP&amp;L'!6:6,0))</f>
        <v>0</v>
      </c>
      <c r="K25" s="615">
        <f>INDEX('qtrP&amp;L'!44:44,MATCH(K5,'qtrP&amp;L'!6:6,0))</f>
        <v>0</v>
      </c>
      <c r="L25" s="615">
        <f>INDEX('qtrP&amp;L'!44:44,MATCH(L5,'qtrP&amp;L'!6:6,0))</f>
        <v>0</v>
      </c>
      <c r="M25" s="615">
        <f>INDEX('qtrP&amp;L'!44:44,MATCH(M5,'qtrP&amp;L'!6:6,0))</f>
        <v>0</v>
      </c>
      <c r="N25" s="615">
        <f>INDEX('qtrP&amp;L'!44:44,MATCH(N5,'qtrP&amp;L'!6:6,0))</f>
        <v>0</v>
      </c>
      <c r="O25" s="1013">
        <v>20.5</v>
      </c>
      <c r="P25" s="1013">
        <v>20.5</v>
      </c>
      <c r="Q25" s="1013">
        <v>20.5</v>
      </c>
      <c r="R25" s="1013">
        <v>20.5</v>
      </c>
      <c r="S25" s="615">
        <f>INDEX('qtrP&amp;L'!44:44,MATCH(S5,'qtrP&amp;L'!6:6,0))</f>
        <v>82</v>
      </c>
      <c r="T25" s="615">
        <f>INDEX('qtrP&amp;L'!44:44,MATCH(T5,'qtrP&amp;L'!6:6,0))</f>
        <v>69</v>
      </c>
      <c r="U25" s="1006">
        <f>INDEX('qtrP&amp;L'!44:44,MATCH(U5,'qtrP&amp;L'!6:6,0))</f>
        <v>9</v>
      </c>
      <c r="V25" s="1006">
        <f>INDEX('qtrP&amp;L'!44:44,MATCH(V5,'qtrP&amp;L'!6:6,0))</f>
        <v>-97</v>
      </c>
      <c r="W25" s="1006">
        <f>INDEX('qtrP&amp;L'!44:44,MATCH(W5,'qtrP&amp;L'!6:6,0))</f>
        <v>-133</v>
      </c>
      <c r="X25" s="1006">
        <f>INDEX('qtrP&amp;L'!44:44,MATCH(X5,'qtrP&amp;L'!6:6,0))</f>
        <v>298</v>
      </c>
      <c r="Y25" s="1006">
        <f>INDEX('qtrP&amp;L'!44:44,MATCH(Y5,'qtrP&amp;L'!6:6,0))</f>
        <v>221</v>
      </c>
      <c r="Z25" s="1006">
        <f>INDEX('qtrP&amp;L'!44:44,MATCH(Z5,'qtrP&amp;L'!6:6,0))</f>
        <v>87</v>
      </c>
      <c r="AA25" s="1006">
        <f>INDEX('qtrP&amp;L'!44:44,MATCH(AA5,'qtrP&amp;L'!6:6,0))</f>
        <v>315</v>
      </c>
      <c r="AB25" s="1006">
        <f>INDEX('qtrP&amp;L'!44:44,MATCH(AB5,'qtrP&amp;L'!6:6,0))</f>
        <v>100</v>
      </c>
      <c r="AC25" s="1006">
        <f>INDEX('qtrP&amp;L'!44:44,MATCH(AC5,'qtrP&amp;L'!6:6,0))</f>
        <v>-14</v>
      </c>
      <c r="AD25" s="1006">
        <f>INDEX('qtrP&amp;L'!44:44,MATCH(AD5,'qtrP&amp;L'!6:6,0))</f>
        <v>203</v>
      </c>
      <c r="AE25" s="1006">
        <f>INDEX('qtrP&amp;L'!44:44,MATCH(AE5,'qtrP&amp;L'!6:6,0))</f>
        <v>1</v>
      </c>
      <c r="AF25" s="1006">
        <f>INDEX('qtrP&amp;L'!44:44,MATCH(AF5,'qtrP&amp;L'!6:6,0))</f>
        <v>0</v>
      </c>
      <c r="AG25" s="1006">
        <f>INDEX('qtrP&amp;L'!44:44,MATCH(AG5,'qtrP&amp;L'!6:6,0))</f>
        <v>0</v>
      </c>
      <c r="AH25" s="1302">
        <v>0</v>
      </c>
      <c r="AI25" s="1302">
        <v>0</v>
      </c>
      <c r="AJ25" s="1302">
        <v>0</v>
      </c>
      <c r="AK25" s="1302">
        <v>0</v>
      </c>
      <c r="AL25" s="1014"/>
      <c r="AM25" s="960"/>
      <c r="AN25" s="507"/>
      <c r="AO25" s="509"/>
      <c r="AP25" s="961"/>
    </row>
    <row r="26" spans="1:51" hidden="1" outlineLevel="2">
      <c r="A26" s="993" t="s">
        <v>92</v>
      </c>
      <c r="B26" s="994" t="str">
        <f>IF(B25=0,"NA",B25/B$7)</f>
        <v>NA</v>
      </c>
      <c r="C26" s="994" t="str">
        <f t="shared" ref="C26:AF26" si="16">IF(C25=0,"NA",C25/C$7)</f>
        <v>NA</v>
      </c>
      <c r="D26" s="994" t="str">
        <f t="shared" si="16"/>
        <v>NA</v>
      </c>
      <c r="E26" s="994" t="str">
        <f t="shared" si="16"/>
        <v>NA</v>
      </c>
      <c r="F26" s="994" t="str">
        <f t="shared" si="16"/>
        <v>NA</v>
      </c>
      <c r="G26" s="994" t="str">
        <f t="shared" si="16"/>
        <v>NA</v>
      </c>
      <c r="H26" s="994" t="str">
        <f t="shared" si="16"/>
        <v>NA</v>
      </c>
      <c r="I26" s="994" t="str">
        <f t="shared" si="16"/>
        <v>NA</v>
      </c>
      <c r="J26" s="994" t="str">
        <f t="shared" si="16"/>
        <v>NA</v>
      </c>
      <c r="K26" s="994" t="str">
        <f t="shared" si="16"/>
        <v>NA</v>
      </c>
      <c r="L26" s="994" t="str">
        <f t="shared" si="16"/>
        <v>NA</v>
      </c>
      <c r="M26" s="994" t="str">
        <f t="shared" si="16"/>
        <v>NA</v>
      </c>
      <c r="N26" s="994" t="str">
        <f t="shared" si="16"/>
        <v>NA</v>
      </c>
      <c r="O26" s="994">
        <f t="shared" si="16"/>
        <v>6.3375274368565864E-4</v>
      </c>
      <c r="P26" s="994">
        <f t="shared" si="16"/>
        <v>1.1491031390134529E-3</v>
      </c>
      <c r="Q26" s="994">
        <f t="shared" si="16"/>
        <v>1.1792452830188679E-3</v>
      </c>
      <c r="R26" s="994">
        <f t="shared" si="16"/>
        <v>1.1705590133044023E-3</v>
      </c>
      <c r="S26" s="994">
        <f t="shared" si="16"/>
        <v>4.5313881520778069E-3</v>
      </c>
      <c r="T26" s="994">
        <f t="shared" si="16"/>
        <v>3.6739093441038868E-3</v>
      </c>
      <c r="U26" s="1003">
        <f t="shared" si="16"/>
        <v>4.5214570264647913E-4</v>
      </c>
      <c r="V26" s="1003">
        <f t="shared" si="16"/>
        <v>-4.8849272296922997E-3</v>
      </c>
      <c r="W26" s="1003">
        <f t="shared" si="16"/>
        <v>-7.1944265455514125E-3</v>
      </c>
      <c r="X26" s="1003">
        <f t="shared" si="16"/>
        <v>1.6970890251166122E-2</v>
      </c>
      <c r="Y26" s="1003">
        <f t="shared" si="16"/>
        <v>1.2444394391576102E-2</v>
      </c>
      <c r="Z26" s="1003">
        <f t="shared" si="16"/>
        <v>5.0405561993047505E-3</v>
      </c>
      <c r="AA26" s="1003">
        <f t="shared" si="16"/>
        <v>2.4258760107816711E-2</v>
      </c>
      <c r="AB26" s="1003">
        <f t="shared" si="16"/>
        <v>8.4324142001855132E-3</v>
      </c>
      <c r="AC26" s="1003">
        <f t="shared" si="16"/>
        <v>-1.1422044545973729E-3</v>
      </c>
      <c r="AD26" s="1003">
        <f>IF(AD25=0,"NA",AD25/AD$7)</f>
        <v>1.607920792079208E-2</v>
      </c>
      <c r="AE26" s="1003">
        <f t="shared" si="16"/>
        <v>7.9700326771339763E-5</v>
      </c>
      <c r="AF26" s="1003" t="str">
        <f t="shared" si="16"/>
        <v>NA</v>
      </c>
      <c r="AG26" s="1003" t="str">
        <f>IF(AG25=0,"NA",AG25/AG$7)</f>
        <v>NA</v>
      </c>
      <c r="AH26" s="1298" t="str">
        <f>IF(AH25=0,"NA",AH25/AH$7)</f>
        <v>NA</v>
      </c>
      <c r="AI26" s="1298" t="str">
        <f>IF(AI25=0,"NA",AI25/AI$7)</f>
        <v>NA</v>
      </c>
      <c r="AJ26" s="1298" t="str">
        <f>IF(AJ25=0,"NA",AJ25/AJ$7)</f>
        <v>NA</v>
      </c>
      <c r="AK26" s="1298" t="str">
        <f>IF(AK25=0,"NA",AK25/AK$7)</f>
        <v>NA</v>
      </c>
      <c r="AL26" s="1003"/>
      <c r="AM26" s="500"/>
      <c r="AN26" s="507"/>
      <c r="AO26" s="507"/>
      <c r="AP26" s="961"/>
    </row>
    <row r="27" spans="1:51" hidden="1" outlineLevel="2">
      <c r="A27" s="993"/>
      <c r="B27" s="993"/>
      <c r="C27" s="993"/>
      <c r="D27" s="993"/>
      <c r="E27" s="993"/>
      <c r="F27" s="993"/>
      <c r="G27" s="993"/>
      <c r="H27" s="993"/>
      <c r="I27" s="993"/>
      <c r="J27" s="993"/>
      <c r="K27" s="993"/>
      <c r="L27" s="993"/>
      <c r="M27" s="993"/>
      <c r="N27" s="993"/>
      <c r="O27" s="993"/>
      <c r="P27" s="993"/>
      <c r="Q27" s="993"/>
      <c r="R27" s="993"/>
      <c r="S27" s="993"/>
      <c r="T27" s="993"/>
      <c r="U27" s="774"/>
      <c r="V27" s="774"/>
      <c r="W27" s="774"/>
      <c r="X27" s="774"/>
      <c r="Y27" s="774"/>
      <c r="Z27" s="774"/>
      <c r="AA27" s="774"/>
      <c r="AB27" s="1015"/>
      <c r="AC27" s="1015"/>
      <c r="AD27" s="1015"/>
      <c r="AE27" s="1015"/>
      <c r="AF27" s="1015"/>
      <c r="AG27" s="1015"/>
      <c r="AH27" s="1303"/>
      <c r="AI27" s="1303"/>
      <c r="AJ27" s="1303"/>
      <c r="AK27" s="1303"/>
      <c r="AL27" s="1015"/>
      <c r="AM27" s="500"/>
      <c r="AN27" s="507"/>
      <c r="AO27" s="507"/>
      <c r="AP27" s="961"/>
    </row>
    <row r="28" spans="1:51" hidden="1" outlineLevel="2">
      <c r="A28" s="507" t="s">
        <v>405</v>
      </c>
      <c r="B28" s="615">
        <f>INDEX('qtrP&amp;L'!54:54,MATCH(B5,'qtrP&amp;L'!6:6,0))</f>
        <v>0</v>
      </c>
      <c r="C28" s="615">
        <f>INDEX('qtrP&amp;L'!54:54,MATCH(C5,'qtrP&amp;L'!6:6,0))</f>
        <v>0</v>
      </c>
      <c r="D28" s="615">
        <f>INDEX('qtrP&amp;L'!54:54,MATCH(D5,'qtrP&amp;L'!6:6,0))</f>
        <v>0</v>
      </c>
      <c r="E28" s="615">
        <f>INDEX('qtrP&amp;L'!54:54,MATCH(E5,'qtrP&amp;L'!6:6,0))</f>
        <v>0</v>
      </c>
      <c r="F28" s="615">
        <f>INDEX('qtrP&amp;L'!54:54,MATCH(F5,'qtrP&amp;L'!6:6,0))</f>
        <v>0</v>
      </c>
      <c r="G28" s="615">
        <f>INDEX('qtrP&amp;L'!54:54,MATCH(G5,'qtrP&amp;L'!6:6,0))</f>
        <v>0</v>
      </c>
      <c r="H28" s="615">
        <f>INDEX('qtrP&amp;L'!54:54,MATCH(H5,'qtrP&amp;L'!6:6,0))</f>
        <v>0</v>
      </c>
      <c r="I28" s="615">
        <f>INDEX('qtrP&amp;L'!54:54,MATCH(I5,'qtrP&amp;L'!6:6,0))</f>
        <v>0</v>
      </c>
      <c r="J28" s="615">
        <f>INDEX('qtrP&amp;L'!54:54,MATCH(J5,'qtrP&amp;L'!6:6,0))</f>
        <v>0</v>
      </c>
      <c r="K28" s="615">
        <f>INDEX('qtrP&amp;L'!54:54,MATCH(K5,'qtrP&amp;L'!6:6,0))</f>
        <v>0</v>
      </c>
      <c r="L28" s="615">
        <f>INDEX('qtrP&amp;L'!54:54,MATCH(L5,'qtrP&amp;L'!6:6,0))</f>
        <v>0</v>
      </c>
      <c r="M28" s="615">
        <f>INDEX('qtrP&amp;L'!54:54,MATCH(M5,'qtrP&amp;L'!6:6,0))</f>
        <v>0</v>
      </c>
      <c r="N28" s="615">
        <f>INDEX('qtrP&amp;L'!54:54,MATCH(N5,'qtrP&amp;L'!6:6,0))</f>
        <v>0</v>
      </c>
      <c r="O28" s="615">
        <f>INDEX('qtrP&amp;L'!54:54,MATCH(O5,'qtrP&amp;L'!6:6,0))</f>
        <v>0</v>
      </c>
      <c r="P28" s="615">
        <f>INDEX('qtrP&amp;L'!54:54,MATCH(P5,'qtrP&amp;L'!6:6,0))</f>
        <v>0</v>
      </c>
      <c r="Q28" s="615">
        <f>INDEX('qtrP&amp;L'!54:54,MATCH(Q5,'qtrP&amp;L'!6:6,0))</f>
        <v>0</v>
      </c>
      <c r="R28" s="615">
        <f>INDEX('qtrP&amp;L'!54:54,MATCH(R5,'qtrP&amp;L'!6:6,0))</f>
        <v>0</v>
      </c>
      <c r="S28" s="615">
        <f>INDEX('qtrP&amp;L'!54:54,MATCH(S5,'qtrP&amp;L'!6:6,0))</f>
        <v>38</v>
      </c>
      <c r="T28" s="615">
        <f>INDEX('qtrP&amp;L'!54:54,MATCH(T5,'qtrP&amp;L'!6:6,0))</f>
        <v>43</v>
      </c>
      <c r="U28" s="1006">
        <f>INDEX('qtrP&amp;L'!54:54,MATCH(U5,'qtrP&amp;L'!6:6,0))</f>
        <v>42</v>
      </c>
      <c r="V28" s="1006">
        <f>INDEX('qtrP&amp;L'!54:54,MATCH(V5,'qtrP&amp;L'!6:6,0))</f>
        <v>52</v>
      </c>
      <c r="W28" s="1006">
        <f>INDEX('qtrP&amp;L'!54:54,MATCH(W5,'qtrP&amp;L'!6:6,0))</f>
        <v>43</v>
      </c>
      <c r="X28" s="1006">
        <f>INDEX('qtrP&amp;L'!54:54,MATCH(X5,'qtrP&amp;L'!6:6,0))</f>
        <v>39</v>
      </c>
      <c r="Y28" s="1006">
        <f>INDEX('qtrP&amp;L'!54:54,MATCH(Y5,'qtrP&amp;L'!6:6,0))</f>
        <v>34</v>
      </c>
      <c r="Z28" s="1006">
        <f>INDEX('qtrP&amp;L'!54:54,MATCH(Z5,'qtrP&amp;L'!6:6,0))</f>
        <v>34</v>
      </c>
      <c r="AA28" s="1006">
        <f>INDEX('qtrP&amp;L'!54:54,MATCH(AA5,'qtrP&amp;L'!6:6,0))</f>
        <v>38</v>
      </c>
      <c r="AB28" s="1006">
        <f>INDEX('qtrP&amp;L'!54:54,MATCH(AB5,'qtrP&amp;L'!6:6,0))</f>
        <v>37</v>
      </c>
      <c r="AC28" s="1006">
        <f>INDEX('qtrP&amp;L'!54:54,MATCH(AC5,'qtrP&amp;L'!6:6,0))</f>
        <v>20</v>
      </c>
      <c r="AD28" s="1006">
        <f>INDEX('qtrP&amp;L'!54:54,MATCH(AD5,'qtrP&amp;L'!6:6,0))</f>
        <v>19.75</v>
      </c>
      <c r="AE28" s="1006">
        <f>INDEX('qtrP&amp;L'!54:54,MATCH(AE5,'qtrP&amp;L'!6:6,0))</f>
        <v>18</v>
      </c>
      <c r="AF28" s="1006">
        <f>INDEX('qtrP&amp;L'!54:54,MATCH(AF5,'qtrP&amp;L'!6:6,0))</f>
        <v>19</v>
      </c>
      <c r="AG28" s="1006">
        <f>INDEX('qtrP&amp;L'!54:54,MATCH(AG5,'qtrP&amp;L'!6:6,0))</f>
        <v>44</v>
      </c>
      <c r="AH28" s="1302">
        <f>AG28</f>
        <v>44</v>
      </c>
      <c r="AI28" s="1302">
        <f>AH28</f>
        <v>44</v>
      </c>
      <c r="AJ28" s="1302">
        <f>AI28</f>
        <v>44</v>
      </c>
      <c r="AK28" s="1302">
        <f>AJ28</f>
        <v>44</v>
      </c>
      <c r="AL28" s="1014"/>
      <c r="AM28" s="960"/>
      <c r="AN28" s="507"/>
      <c r="AO28" s="509"/>
      <c r="AP28" s="961"/>
    </row>
    <row r="29" spans="1:51" hidden="1" outlineLevel="2">
      <c r="A29" s="993" t="s">
        <v>92</v>
      </c>
      <c r="B29" s="994" t="str">
        <f t="shared" ref="B29:AC29" si="17">IF(B28=0,"NA",B28/B$7)</f>
        <v>NA</v>
      </c>
      <c r="C29" s="994" t="str">
        <f t="shared" si="17"/>
        <v>NA</v>
      </c>
      <c r="D29" s="994" t="str">
        <f t="shared" si="17"/>
        <v>NA</v>
      </c>
      <c r="E29" s="994" t="str">
        <f t="shared" si="17"/>
        <v>NA</v>
      </c>
      <c r="F29" s="994" t="str">
        <f t="shared" si="17"/>
        <v>NA</v>
      </c>
      <c r="G29" s="994" t="str">
        <f t="shared" si="17"/>
        <v>NA</v>
      </c>
      <c r="H29" s="994" t="str">
        <f t="shared" si="17"/>
        <v>NA</v>
      </c>
      <c r="I29" s="994" t="str">
        <f t="shared" si="17"/>
        <v>NA</v>
      </c>
      <c r="J29" s="994" t="str">
        <f t="shared" si="17"/>
        <v>NA</v>
      </c>
      <c r="K29" s="994" t="str">
        <f t="shared" si="17"/>
        <v>NA</v>
      </c>
      <c r="L29" s="994" t="str">
        <f t="shared" si="17"/>
        <v>NA</v>
      </c>
      <c r="M29" s="994" t="str">
        <f t="shared" si="17"/>
        <v>NA</v>
      </c>
      <c r="N29" s="994" t="str">
        <f t="shared" si="17"/>
        <v>NA</v>
      </c>
      <c r="O29" s="994" t="str">
        <f t="shared" si="17"/>
        <v>NA</v>
      </c>
      <c r="P29" s="994" t="str">
        <f t="shared" si="17"/>
        <v>NA</v>
      </c>
      <c r="Q29" s="994" t="str">
        <f t="shared" si="17"/>
        <v>NA</v>
      </c>
      <c r="R29" s="994" t="str">
        <f t="shared" si="17"/>
        <v>NA</v>
      </c>
      <c r="S29" s="994">
        <f t="shared" si="17"/>
        <v>2.0999115826702032E-3</v>
      </c>
      <c r="T29" s="994">
        <f t="shared" si="17"/>
        <v>2.289537707195176E-3</v>
      </c>
      <c r="U29" s="1003">
        <f t="shared" si="17"/>
        <v>2.1100132790169025E-3</v>
      </c>
      <c r="V29" s="1003">
        <f t="shared" si="17"/>
        <v>2.6187238757113362E-3</v>
      </c>
      <c r="W29" s="1003">
        <f t="shared" si="17"/>
        <v>2.3260176049527122E-3</v>
      </c>
      <c r="X29" s="1003">
        <f t="shared" si="17"/>
        <v>2.2210225496492575E-3</v>
      </c>
      <c r="Y29" s="1003">
        <f t="shared" si="17"/>
        <v>1.914522214088631E-3</v>
      </c>
      <c r="Z29" s="1003">
        <f t="shared" si="17"/>
        <v>1.9698725376593278E-3</v>
      </c>
      <c r="AA29" s="1003">
        <f t="shared" si="17"/>
        <v>2.9264536003080479E-3</v>
      </c>
      <c r="AB29" s="1003">
        <f t="shared" si="17"/>
        <v>3.11999325406864E-3</v>
      </c>
      <c r="AC29" s="1003">
        <f t="shared" si="17"/>
        <v>1.6317206494248185E-3</v>
      </c>
      <c r="AD29" s="1003">
        <f t="shared" ref="AD29:AJ29" si="18">IF(AD28=0,"NA",AD28/AD$7)</f>
        <v>1.5643564356435644E-3</v>
      </c>
      <c r="AE29" s="1003">
        <f t="shared" si="18"/>
        <v>1.4346058818841157E-3</v>
      </c>
      <c r="AF29" s="1003">
        <f t="shared" si="18"/>
        <v>1.5192707500399807E-3</v>
      </c>
      <c r="AG29" s="1003">
        <f t="shared" si="18"/>
        <v>3.6502236259728675E-3</v>
      </c>
      <c r="AH29" s="1298">
        <f t="shared" si="18"/>
        <v>3.7525164875069775E-3</v>
      </c>
      <c r="AI29" s="1298">
        <f t="shared" si="18"/>
        <v>3.8843315333334616E-3</v>
      </c>
      <c r="AJ29" s="1298">
        <f t="shared" si="18"/>
        <v>4.0514961633652501E-3</v>
      </c>
      <c r="AK29" s="1298">
        <f t="shared" ref="AK29" si="19">IF(AK28=0,"NA",AK28/AK$7)</f>
        <v>4.2792327470283706E-3</v>
      </c>
      <c r="AL29" s="1003"/>
      <c r="AM29" s="500"/>
      <c r="AN29" s="507"/>
      <c r="AO29" s="507"/>
      <c r="AP29" s="961"/>
    </row>
    <row r="30" spans="1:51" hidden="1" outlineLevel="1" collapsed="1">
      <c r="AB30" s="1016"/>
      <c r="AC30" s="1016"/>
      <c r="AD30" s="1016"/>
      <c r="AE30" s="1347"/>
      <c r="AF30" s="1348"/>
      <c r="AG30" s="1016"/>
      <c r="AH30" s="1304"/>
      <c r="AI30" s="1304"/>
      <c r="AJ30" s="1304"/>
      <c r="AK30" s="1304"/>
      <c r="AL30" s="1016"/>
      <c r="AM30" s="500"/>
      <c r="AN30" s="507"/>
      <c r="AO30" s="507"/>
      <c r="AP30" s="961"/>
      <c r="AR30" s="398">
        <f>0.01*AE15</f>
        <v>35.380000000000003</v>
      </c>
      <c r="AS30" s="398">
        <f>357/12</f>
        <v>29.75</v>
      </c>
    </row>
    <row r="31" spans="1:51" hidden="1" outlineLevel="1">
      <c r="A31" s="507" t="s">
        <v>406</v>
      </c>
      <c r="B31" s="615">
        <f>INDEX('qtrP&amp;L'!64:64,MATCH(B5,'qtrP&amp;L'!6:6,0))</f>
        <v>0</v>
      </c>
      <c r="C31" s="615">
        <f>INDEX('qtrP&amp;L'!64:64,MATCH(C5,'qtrP&amp;L'!6:6,0))</f>
        <v>0</v>
      </c>
      <c r="D31" s="615">
        <f>INDEX('qtrP&amp;L'!64:64,MATCH(D5,'qtrP&amp;L'!6:6,0))</f>
        <v>0</v>
      </c>
      <c r="E31" s="615">
        <f>INDEX('qtrP&amp;L'!64:64,MATCH(E5,'qtrP&amp;L'!6:6,0))</f>
        <v>0</v>
      </c>
      <c r="F31" s="615">
        <f>INDEX('qtrP&amp;L'!64:64,MATCH(F5,'qtrP&amp;L'!6:6,0))</f>
        <v>0</v>
      </c>
      <c r="G31" s="615">
        <f>INDEX('qtrP&amp;L'!64:64,MATCH(G5,'qtrP&amp;L'!6:6,0))</f>
        <v>0</v>
      </c>
      <c r="H31" s="615">
        <f>INDEX('qtrP&amp;L'!64:64,MATCH(H5,'qtrP&amp;L'!6:6,0))</f>
        <v>0</v>
      </c>
      <c r="I31" s="615">
        <f>INDEX('qtrP&amp;L'!64:64,MATCH(I5,'qtrP&amp;L'!6:6,0))</f>
        <v>0</v>
      </c>
      <c r="J31" s="615">
        <f>INDEX('qtrP&amp;L'!64:64,MATCH(J5,'qtrP&amp;L'!6:6,0))</f>
        <v>0</v>
      </c>
      <c r="K31" s="615">
        <f>INDEX('qtrP&amp;L'!64:64,MATCH(K5,'qtrP&amp;L'!6:6,0))</f>
        <v>0</v>
      </c>
      <c r="L31" s="615">
        <f>INDEX('qtrP&amp;L'!64:64,MATCH(L5,'qtrP&amp;L'!6:6,0))</f>
        <v>0</v>
      </c>
      <c r="M31" s="615">
        <f>INDEX('qtrP&amp;L'!64:64,MATCH(M5,'qtrP&amp;L'!6:6,0))</f>
        <v>0</v>
      </c>
      <c r="N31" s="615">
        <f>INDEX('qtrP&amp;L'!64:64,MATCH(N5,'qtrP&amp;L'!6:6,0))</f>
        <v>0</v>
      </c>
      <c r="O31" s="615">
        <f>INDEX('qtrP&amp;L'!64:64,MATCH(O5,'qtrP&amp;L'!6:6,0))</f>
        <v>0</v>
      </c>
      <c r="P31" s="615">
        <f>INDEX('qtrP&amp;L'!64:64,MATCH(P5,'qtrP&amp;L'!6:6,0))</f>
        <v>0</v>
      </c>
      <c r="Q31" s="615">
        <f>INDEX('qtrP&amp;L'!64:64,MATCH(Q5,'qtrP&amp;L'!6:6,0))</f>
        <v>362</v>
      </c>
      <c r="R31" s="615">
        <f>INDEX('qtrP&amp;L'!64:64,MATCH(R5,'qtrP&amp;L'!6:6,0))</f>
        <v>386</v>
      </c>
      <c r="S31" s="615">
        <f>INDEX('qtrP&amp;L'!64:64,MATCH(S5,'qtrP&amp;L'!6:6,0))</f>
        <v>359</v>
      </c>
      <c r="T31" s="615">
        <f>INDEX('qtrP&amp;L'!64:64,MATCH(T5,'qtrP&amp;L'!6:6,0))</f>
        <v>372</v>
      </c>
      <c r="U31" s="1006">
        <f>INDEX('qtrP&amp;L'!64:64,MATCH(U5,'qtrP&amp;L'!6:6,0))</f>
        <v>389</v>
      </c>
      <c r="V31" s="1006">
        <f>INDEX('qtrP&amp;L'!64:64,MATCH(V5,'qtrP&amp;L'!6:6,0))</f>
        <v>426</v>
      </c>
      <c r="W31" s="1006">
        <f>INDEX('qtrP&amp;L'!64:64,MATCH(W5,'qtrP&amp;L'!6:6,0))</f>
        <v>469</v>
      </c>
      <c r="X31" s="1006">
        <f>INDEX('qtrP&amp;L'!64:64,MATCH(X5,'qtrP&amp;L'!6:6,0))</f>
        <v>495</v>
      </c>
      <c r="Y31" s="1006">
        <f>INDEX('qtrP&amp;L'!64:64,MATCH(Y5,'qtrP&amp;L'!6:6,0))</f>
        <v>511</v>
      </c>
      <c r="Z31" s="1006">
        <f>INDEX('qtrP&amp;L'!64:64,MATCH(Z5,'qtrP&amp;L'!6:6,0))</f>
        <v>518</v>
      </c>
      <c r="AA31" s="1006">
        <f>INDEX('qtrP&amp;L'!64:64,MATCH(AA5,'qtrP&amp;L'!6:6,0))</f>
        <v>543</v>
      </c>
      <c r="AB31" s="1006">
        <f>INDEX('qtrP&amp;L'!64:64,MATCH(AB5,'qtrP&amp;L'!6:6,0))</f>
        <v>601</v>
      </c>
      <c r="AC31" s="1006">
        <f>INDEX('qtrP&amp;L'!64:64,MATCH(AC5,'qtrP&amp;L'!6:6,0))</f>
        <v>631</v>
      </c>
      <c r="AD31" s="1006">
        <f>INDEX('qtrP&amp;L'!64:64,MATCH(AD5,'qtrP&amp;L'!6:6,0))</f>
        <v>616</v>
      </c>
      <c r="AE31" s="1006">
        <f>INDEX('qtrP&amp;L'!64:64,MATCH(AE5,'qtrP&amp;L'!6:6,0))</f>
        <v>609</v>
      </c>
      <c r="AF31" s="1006">
        <f>INDEX('qtrP&amp;L'!64:64,MATCH(AF5,'qtrP&amp;L'!6:6,0))</f>
        <v>570</v>
      </c>
      <c r="AG31" s="1006">
        <f>INDEX('qtrP&amp;L'!64:64,MATCH(AG5,'qtrP&amp;L'!6:6,0))</f>
        <v>549</v>
      </c>
      <c r="AH31" s="1299">
        <f>AH32*AH7</f>
        <v>540.54392745588927</v>
      </c>
      <c r="AI31" s="1299">
        <f>AI32*AI7</f>
        <v>515.40399752693622</v>
      </c>
      <c r="AJ31" s="1299">
        <f>AJ32*AJ7</f>
        <v>499.56853428656024</v>
      </c>
      <c r="AK31" s="1299">
        <f>AK32*AK7</f>
        <v>472.98198524151951</v>
      </c>
      <c r="AL31" s="1006"/>
      <c r="AM31" s="960">
        <f>((AC31/Y31)^(1/4)-1)*100</f>
        <v>5.4149275905153171</v>
      </c>
      <c r="AN31" s="507" t="s">
        <v>156</v>
      </c>
      <c r="AO31" s="509"/>
      <c r="AP31" s="961"/>
      <c r="AR31" s="398" t="s">
        <v>696</v>
      </c>
    </row>
    <row r="32" spans="1:51" hidden="1" outlineLevel="1">
      <c r="A32" s="993" t="s">
        <v>92</v>
      </c>
      <c r="B32" s="994" t="str">
        <f t="shared" ref="B32:AC32" si="20">IF(B31=0,"NA",B31/B$7)</f>
        <v>NA</v>
      </c>
      <c r="C32" s="994" t="str">
        <f t="shared" si="20"/>
        <v>NA</v>
      </c>
      <c r="D32" s="994" t="str">
        <f t="shared" si="20"/>
        <v>NA</v>
      </c>
      <c r="E32" s="994" t="str">
        <f t="shared" si="20"/>
        <v>NA</v>
      </c>
      <c r="F32" s="994" t="str">
        <f t="shared" si="20"/>
        <v>NA</v>
      </c>
      <c r="G32" s="994" t="str">
        <f t="shared" si="20"/>
        <v>NA</v>
      </c>
      <c r="H32" s="994" t="str">
        <f t="shared" si="20"/>
        <v>NA</v>
      </c>
      <c r="I32" s="994" t="str">
        <f t="shared" si="20"/>
        <v>NA</v>
      </c>
      <c r="J32" s="994" t="str">
        <f t="shared" si="20"/>
        <v>NA</v>
      </c>
      <c r="K32" s="994" t="str">
        <f t="shared" si="20"/>
        <v>NA</v>
      </c>
      <c r="L32" s="994" t="str">
        <f t="shared" si="20"/>
        <v>NA</v>
      </c>
      <c r="M32" s="994" t="str">
        <f t="shared" si="20"/>
        <v>NA</v>
      </c>
      <c r="N32" s="994" t="str">
        <f t="shared" si="20"/>
        <v>NA</v>
      </c>
      <c r="O32" s="994" t="str">
        <f t="shared" si="20"/>
        <v>NA</v>
      </c>
      <c r="P32" s="994" t="str">
        <f t="shared" si="20"/>
        <v>NA</v>
      </c>
      <c r="Q32" s="994">
        <f t="shared" si="20"/>
        <v>2.0823745973308789E-2</v>
      </c>
      <c r="R32" s="994">
        <f t="shared" si="20"/>
        <v>2.2040769713926798E-2</v>
      </c>
      <c r="S32" s="994">
        <f t="shared" si="20"/>
        <v>1.9838638373121133E-2</v>
      </c>
      <c r="T32" s="994">
        <f t="shared" si="20"/>
        <v>1.9807163420386173E-2</v>
      </c>
      <c r="U32" s="1003">
        <f t="shared" si="20"/>
        <v>1.9542742036608933E-2</v>
      </c>
      <c r="V32" s="1003">
        <f t="shared" si="20"/>
        <v>2.145339175101979E-2</v>
      </c>
      <c r="W32" s="1003">
        <f t="shared" si="20"/>
        <v>2.5369819923786559E-2</v>
      </c>
      <c r="X32" s="1003">
        <f t="shared" si="20"/>
        <v>2.8189901591702118E-2</v>
      </c>
      <c r="Y32" s="1003">
        <f t="shared" si="20"/>
        <v>2.8774142688214426E-2</v>
      </c>
      <c r="Z32" s="1003">
        <f t="shared" si="20"/>
        <v>3.0011587485515644E-2</v>
      </c>
      <c r="AA32" s="1003">
        <f t="shared" si="20"/>
        <v>4.1817481709664997E-2</v>
      </c>
      <c r="AB32" s="1003">
        <f t="shared" si="20"/>
        <v>5.0678809343114931E-2</v>
      </c>
      <c r="AC32" s="1003">
        <f t="shared" si="20"/>
        <v>5.1480786489353024E-2</v>
      </c>
      <c r="AD32" s="1003">
        <f>IF(AD31=0,"NA",AD31/AD$7)</f>
        <v>4.8792079207920794E-2</v>
      </c>
      <c r="AE32" s="1003">
        <f>IF(AE31=0,"NA",AE31/AE$7)</f>
        <v>4.8537499003745918E-2</v>
      </c>
      <c r="AF32" s="1003">
        <f>IF(AF31=0,"NA",AF31/AF$7)</f>
        <v>4.5578122501199421E-2</v>
      </c>
      <c r="AG32" s="1003">
        <f>IF(AG31=0,"NA",AG31/AG$7)</f>
        <v>4.554483569679782E-2</v>
      </c>
      <c r="AH32" s="1391">
        <v>4.6100000000000002E-2</v>
      </c>
      <c r="AI32" s="1391">
        <v>4.5499999999999999E-2</v>
      </c>
      <c r="AJ32" s="1391">
        <v>4.5999999999999999E-2</v>
      </c>
      <c r="AK32" s="1391">
        <v>4.5999999999999999E-2</v>
      </c>
      <c r="AL32" s="1017"/>
      <c r="AM32" s="500"/>
      <c r="AN32" s="507"/>
      <c r="AO32" s="507"/>
      <c r="AP32" s="961"/>
    </row>
    <row r="33" spans="1:49" hidden="1" outlineLevel="1">
      <c r="AM33" s="500"/>
      <c r="AN33" s="507"/>
      <c r="AO33" s="507"/>
      <c r="AP33" s="961"/>
    </row>
    <row r="34" spans="1:49" hidden="1" outlineLevel="1">
      <c r="A34" s="507" t="s">
        <v>407</v>
      </c>
      <c r="B34" s="615">
        <f>INDEX('qtrP&amp;L'!74:74,MATCH(B5,'qtrP&amp;L'!6:6,0))</f>
        <v>0</v>
      </c>
      <c r="C34" s="615">
        <f>INDEX('qtrP&amp;L'!74:74,MATCH(C5,'qtrP&amp;L'!6:6,0))</f>
        <v>0</v>
      </c>
      <c r="D34" s="615">
        <f>INDEX('qtrP&amp;L'!74:74,MATCH(D5,'qtrP&amp;L'!6:6,0))</f>
        <v>0</v>
      </c>
      <c r="E34" s="615">
        <f>INDEX('qtrP&amp;L'!74:74,MATCH(E5,'qtrP&amp;L'!6:6,0))</f>
        <v>0</v>
      </c>
      <c r="F34" s="615">
        <f>INDEX('qtrP&amp;L'!74:74,MATCH(F5,'qtrP&amp;L'!6:6,0))</f>
        <v>0</v>
      </c>
      <c r="G34" s="615">
        <f>INDEX('qtrP&amp;L'!74:74,MATCH(G5,'qtrP&amp;L'!6:6,0))</f>
        <v>0</v>
      </c>
      <c r="H34" s="615">
        <f>INDEX('qtrP&amp;L'!74:74,MATCH(H5,'qtrP&amp;L'!6:6,0))</f>
        <v>0</v>
      </c>
      <c r="I34" s="615">
        <f>INDEX('qtrP&amp;L'!74:74,MATCH(I5,'qtrP&amp;L'!6:6,0))</f>
        <v>0</v>
      </c>
      <c r="J34" s="615">
        <f>INDEX('qtrP&amp;L'!74:74,MATCH(J5,'qtrP&amp;L'!6:6,0))</f>
        <v>0</v>
      </c>
      <c r="K34" s="615">
        <f>INDEX('qtrP&amp;L'!74:74,MATCH(K5,'qtrP&amp;L'!6:6,0))</f>
        <v>0</v>
      </c>
      <c r="L34" s="615">
        <f>INDEX('qtrP&amp;L'!74:74,MATCH(L5,'qtrP&amp;L'!6:6,0))</f>
        <v>0</v>
      </c>
      <c r="M34" s="615">
        <f>INDEX('qtrP&amp;L'!74:74,MATCH(M5,'qtrP&amp;L'!6:6,0))</f>
        <v>0</v>
      </c>
      <c r="N34" s="615">
        <f>INDEX('qtrP&amp;L'!74:74,MATCH(N5,'qtrP&amp;L'!6:6,0))</f>
        <v>0</v>
      </c>
      <c r="O34" s="615">
        <f>INDEX('qtrP&amp;L'!74:74,MATCH(O5,'qtrP&amp;L'!6:6,0))</f>
        <v>0</v>
      </c>
      <c r="P34" s="615">
        <f>INDEX('qtrP&amp;L'!74:74,MATCH(P5,'qtrP&amp;L'!6:6,0))</f>
        <v>0</v>
      </c>
      <c r="Q34" s="615">
        <f>INDEX('qtrP&amp;L'!74:74,MATCH(Q5,'qtrP&amp;L'!6:6,0))</f>
        <v>2</v>
      </c>
      <c r="R34" s="615">
        <f>INDEX('qtrP&amp;L'!74:74,MATCH(R5,'qtrP&amp;L'!6:6,0))</f>
        <v>4</v>
      </c>
      <c r="S34" s="615">
        <f>INDEX('qtrP&amp;L'!74:74,MATCH(S5,'qtrP&amp;L'!6:6,0))</f>
        <v>11</v>
      </c>
      <c r="T34" s="615">
        <f>INDEX('qtrP&amp;L'!74:74,MATCH(T5,'qtrP&amp;L'!6:6,0))</f>
        <v>15</v>
      </c>
      <c r="U34" s="1006">
        <f>INDEX('qtrP&amp;L'!74:74,MATCH(U5,'qtrP&amp;L'!6:6,0))</f>
        <v>27</v>
      </c>
      <c r="V34" s="1006">
        <f>INDEX('qtrP&amp;L'!74:74,MATCH(V5,'qtrP&amp;L'!6:6,0))</f>
        <v>46</v>
      </c>
      <c r="W34" s="1006">
        <f>INDEX('qtrP&amp;L'!74:74,MATCH(W5,'qtrP&amp;L'!6:6,0))</f>
        <v>31</v>
      </c>
      <c r="X34" s="1006">
        <f>INDEX('qtrP&amp;L'!74:74,MATCH(X5,'qtrP&amp;L'!6:6,0))</f>
        <v>28</v>
      </c>
      <c r="Y34" s="1006">
        <f>INDEX('qtrP&amp;L'!74:74,MATCH(Y5,'qtrP&amp;L'!6:6,0))</f>
        <v>0</v>
      </c>
      <c r="Z34" s="1006">
        <f>INDEX('qtrP&amp;L'!74:74,MATCH(Z5,'qtrP&amp;L'!6:6,0))</f>
        <v>0</v>
      </c>
      <c r="AA34" s="1006">
        <f>INDEX('qtrP&amp;L'!74:74,MATCH(AA5,'qtrP&amp;L'!6:6,0))</f>
        <v>0</v>
      </c>
      <c r="AB34" s="1006">
        <f>INDEX('qtrP&amp;L'!74:74,MATCH(AB5,'qtrP&amp;L'!6:6,0))</f>
        <v>0</v>
      </c>
      <c r="AC34" s="1006">
        <f>INDEX('qtrP&amp;L'!74:74,MATCH(AC5,'qtrP&amp;L'!6:6,0))</f>
        <v>0</v>
      </c>
      <c r="AD34" s="1006">
        <f>INDEX('qtrP&amp;L'!74:74,MATCH(AD5,'qtrP&amp;L'!6:6,0))</f>
        <v>0</v>
      </c>
      <c r="AE34" s="1006">
        <f>INDEX('qtrP&amp;L'!74:74,MATCH(AE5,'qtrP&amp;L'!6:6,0))</f>
        <v>0</v>
      </c>
      <c r="AF34" s="1006">
        <f>INDEX('qtrP&amp;L'!74:74,MATCH(AF5,'qtrP&amp;L'!6:6,0))</f>
        <v>0</v>
      </c>
      <c r="AG34" s="1006">
        <f>INDEX('qtrP&amp;L'!74:74,MATCH(AG5,'qtrP&amp;L'!6:6,0))</f>
        <v>0</v>
      </c>
      <c r="AH34" s="1392">
        <v>0</v>
      </c>
      <c r="AI34" s="1392">
        <v>0</v>
      </c>
      <c r="AJ34" s="1392">
        <v>0</v>
      </c>
      <c r="AK34" s="1392">
        <v>0</v>
      </c>
      <c r="AL34" s="1014"/>
      <c r="AM34" s="960"/>
      <c r="AN34" s="507"/>
      <c r="AO34" s="509"/>
      <c r="AP34" s="961"/>
    </row>
    <row r="35" spans="1:49" hidden="1" outlineLevel="1">
      <c r="S35" s="435"/>
      <c r="T35" s="435"/>
      <c r="U35" s="706"/>
      <c r="V35" s="706"/>
      <c r="W35" s="706"/>
      <c r="X35" s="706"/>
      <c r="Y35" s="706"/>
      <c r="Z35" s="706"/>
      <c r="AA35" s="706"/>
      <c r="AB35" s="818"/>
      <c r="AC35" s="818"/>
      <c r="AD35" s="818"/>
      <c r="AE35" s="818"/>
      <c r="AF35" s="818"/>
      <c r="AG35" s="818"/>
      <c r="AH35" s="1305"/>
      <c r="AI35" s="1305"/>
      <c r="AJ35" s="1305"/>
      <c r="AK35" s="1305"/>
      <c r="AL35" s="818"/>
      <c r="AM35" s="960"/>
      <c r="AN35" s="507"/>
      <c r="AO35" s="509"/>
      <c r="AP35" s="961"/>
    </row>
    <row r="36" spans="1:49" hidden="1" outlineLevel="1">
      <c r="A36" s="507" t="s">
        <v>408</v>
      </c>
      <c r="B36" s="615">
        <f>INDEX('qtrP&amp;L'!84:84,MATCH(B5,'qtrP&amp;L'!6:6,0))</f>
        <v>4155</v>
      </c>
      <c r="C36" s="615">
        <f>INDEX('qtrP&amp;L'!84:84,MATCH(C5,'qtrP&amp;L'!6:6,0))</f>
        <v>4285</v>
      </c>
      <c r="D36" s="615">
        <f>INDEX('qtrP&amp;L'!84:84,MATCH(D5,'qtrP&amp;L'!6:6,0))</f>
        <v>4154</v>
      </c>
      <c r="E36" s="615">
        <f>INDEX('qtrP&amp;L'!84:84,MATCH(E5,'qtrP&amp;L'!6:6,0))</f>
        <v>4446</v>
      </c>
      <c r="F36" s="615">
        <f>INDEX('qtrP&amp;L'!84:84,MATCH(F5,'qtrP&amp;L'!6:6,0))</f>
        <v>4508</v>
      </c>
      <c r="G36" s="615">
        <f>INDEX('qtrP&amp;L'!84:84,MATCH(G5,'qtrP&amp;L'!6:6,0))</f>
        <v>4783</v>
      </c>
      <c r="H36" s="615">
        <f>INDEX('qtrP&amp;L'!84:84,MATCH(H5,'qtrP&amp;L'!6:6,0))</f>
        <v>4895</v>
      </c>
      <c r="I36" s="615">
        <f>INDEX('qtrP&amp;L'!84:84,MATCH(I5,'qtrP&amp;L'!6:6,0))</f>
        <v>5262</v>
      </c>
      <c r="J36" s="615">
        <f>INDEX('qtrP&amp;L'!84:84,MATCH(J5,'qtrP&amp;L'!6:6,0))</f>
        <v>6485</v>
      </c>
      <c r="K36" s="615">
        <f>INDEX('qtrP&amp;L'!84:84,MATCH(K5,'qtrP&amp;L'!6:6,0))</f>
        <v>6511</v>
      </c>
      <c r="L36" s="615">
        <f>INDEX('qtrP&amp;L'!84:84,MATCH(L5,'qtrP&amp;L'!6:6,0))</f>
        <v>8560</v>
      </c>
      <c r="M36" s="615">
        <f>INDEX('qtrP&amp;L'!84:84,MATCH(M5,'qtrP&amp;L'!6:6,0))</f>
        <v>8625</v>
      </c>
      <c r="N36" s="615">
        <f>INDEX('qtrP&amp;L'!84:84,MATCH(N5,'qtrP&amp;L'!6:6,0))</f>
        <v>8465</v>
      </c>
      <c r="O36" s="615">
        <f>INDEX('qtrP&amp;L'!84:84,MATCH(O5,'qtrP&amp;L'!6:6,0))</f>
        <v>8670</v>
      </c>
      <c r="P36" s="615">
        <f>INDEX('qtrP&amp;L'!84:84,MATCH(P5,'qtrP&amp;L'!6:6,0))</f>
        <v>5434</v>
      </c>
      <c r="Q36" s="615">
        <f>INDEX('qtrP&amp;L'!84:84,MATCH(Q5,'qtrP&amp;L'!6:6,0))</f>
        <v>5414</v>
      </c>
      <c r="R36" s="615">
        <f>INDEX('qtrP&amp;L'!84:84,MATCH(R5,'qtrP&amp;L'!6:6,0))</f>
        <v>5529</v>
      </c>
      <c r="S36" s="615">
        <f t="shared" ref="S36:AC36" si="21">S34+S31+S28+S25+S15</f>
        <v>5505</v>
      </c>
      <c r="T36" s="615">
        <f t="shared" si="21"/>
        <v>5614</v>
      </c>
      <c r="U36" s="1006">
        <f t="shared" si="21"/>
        <v>5937</v>
      </c>
      <c r="V36" s="1006">
        <f t="shared" si="21"/>
        <v>5829</v>
      </c>
      <c r="W36" s="1006">
        <f t="shared" si="21"/>
        <v>5805</v>
      </c>
      <c r="X36" s="1006">
        <f t="shared" si="21"/>
        <v>6242</v>
      </c>
      <c r="Y36" s="1006">
        <f t="shared" si="21"/>
        <v>6124</v>
      </c>
      <c r="Z36" s="1006">
        <f t="shared" si="21"/>
        <v>5748</v>
      </c>
      <c r="AA36" s="1006">
        <f>AA34+AA31+AA28+AA25+AA15</f>
        <v>5402</v>
      </c>
      <c r="AB36" s="1006">
        <f t="shared" si="21"/>
        <v>4852</v>
      </c>
      <c r="AC36" s="1006">
        <f t="shared" si="21"/>
        <v>4630</v>
      </c>
      <c r="AD36" s="1006">
        <f t="shared" ref="AD36:AJ36" si="22">AD34+AD31+AD28+AD25+AD15</f>
        <v>4613.75</v>
      </c>
      <c r="AE36" s="1006">
        <f t="shared" si="22"/>
        <v>4166</v>
      </c>
      <c r="AF36" s="1006">
        <f>AF34+AF31+AF28+AF25+AF15</f>
        <v>4057</v>
      </c>
      <c r="AG36" s="1006">
        <f t="shared" si="22"/>
        <v>3973.2849999999999</v>
      </c>
      <c r="AH36" s="1299">
        <f>AH34+AH31+AH28+AH25+AH15</f>
        <v>3861.3922064558892</v>
      </c>
      <c r="AI36" s="1299">
        <f t="shared" si="22"/>
        <v>3734.6699798779359</v>
      </c>
      <c r="AJ36" s="1299">
        <f t="shared" si="22"/>
        <v>3655.6467235887749</v>
      </c>
      <c r="AK36" s="1299">
        <f t="shared" ref="AK36" si="23">AK34+AK31+AK28+AK25+AK15</f>
        <v>3569.9306889469922</v>
      </c>
      <c r="AL36" s="1006"/>
      <c r="AM36" s="960">
        <f>((AC36/Y36)^(1/4)-1)*100</f>
        <v>-6.752659914597503</v>
      </c>
      <c r="AN36" s="507" t="s">
        <v>156</v>
      </c>
      <c r="AO36" s="509">
        <f>((AH36/AC36)^(1/5)-1)*100</f>
        <v>-3.5654662769446177</v>
      </c>
      <c r="AP36" s="961" t="s">
        <v>156</v>
      </c>
    </row>
    <row r="37" spans="1:49" hidden="1" outlineLevel="1">
      <c r="A37" s="993" t="s">
        <v>92</v>
      </c>
      <c r="B37" s="994">
        <f>IF(B36=0,"NA",B36/B$7)</f>
        <v>0.25802645469788238</v>
      </c>
      <c r="C37" s="994">
        <f t="shared" ref="C37:AF37" si="24">IF(C36=0,"NA",C36/C$7)</f>
        <v>0.26183929117018029</v>
      </c>
      <c r="D37" s="994">
        <f t="shared" si="24"/>
        <v>0.25640392568359976</v>
      </c>
      <c r="E37" s="994">
        <f t="shared" si="24"/>
        <v>0.24687656171914044</v>
      </c>
      <c r="F37" s="994">
        <f t="shared" si="24"/>
        <v>0.23747563609545383</v>
      </c>
      <c r="G37" s="994">
        <f t="shared" si="24"/>
        <v>0.23469087340529932</v>
      </c>
      <c r="H37" s="994">
        <f t="shared" si="24"/>
        <v>0.23806049995136661</v>
      </c>
      <c r="I37" s="994">
        <f t="shared" si="24"/>
        <v>0.23229736888574959</v>
      </c>
      <c r="J37" s="994">
        <f t="shared" si="24"/>
        <v>0.21997069318752288</v>
      </c>
      <c r="K37" s="994">
        <f t="shared" si="24"/>
        <v>0.22117671037434608</v>
      </c>
      <c r="L37" s="994">
        <f t="shared" si="24"/>
        <v>0.26966575307941909</v>
      </c>
      <c r="M37" s="994">
        <f t="shared" si="24"/>
        <v>0.27083464171324501</v>
      </c>
      <c r="N37" s="994">
        <f t="shared" si="24"/>
        <v>0.26449818772653416</v>
      </c>
      <c r="O37" s="994">
        <f t="shared" si="24"/>
        <v>0.26803103842705661</v>
      </c>
      <c r="P37" s="994">
        <f t="shared" si="24"/>
        <v>0.3045964125560538</v>
      </c>
      <c r="Q37" s="994">
        <f t="shared" si="24"/>
        <v>0.31143580303727564</v>
      </c>
      <c r="R37" s="994">
        <f t="shared" si="24"/>
        <v>0.31570833095414835</v>
      </c>
      <c r="S37" s="994">
        <f t="shared" si="24"/>
        <v>0.30421087533156499</v>
      </c>
      <c r="T37" s="994">
        <f t="shared" si="24"/>
        <v>0.29891778344636549</v>
      </c>
      <c r="U37" s="1003">
        <f t="shared" si="24"/>
        <v>0.29826544851246073</v>
      </c>
      <c r="V37" s="1003">
        <f t="shared" si="24"/>
        <v>0.29354887445233419</v>
      </c>
      <c r="W37" s="1003">
        <f t="shared" si="24"/>
        <v>0.31401237666861614</v>
      </c>
      <c r="X37" s="1003">
        <f t="shared" si="24"/>
        <v>0.35547750653617094</v>
      </c>
      <c r="Y37" s="1003">
        <f t="shared" si="24"/>
        <v>0.34483923644349346</v>
      </c>
      <c r="Z37" s="1003">
        <f t="shared" si="24"/>
        <v>0.33302433371958284</v>
      </c>
      <c r="AA37" s="1003">
        <f t="shared" si="24"/>
        <v>0.41601848286484405</v>
      </c>
      <c r="AB37" s="1003">
        <f t="shared" si="24"/>
        <v>0.40914073699300108</v>
      </c>
      <c r="AC37" s="1003">
        <f t="shared" si="24"/>
        <v>0.37774333034184548</v>
      </c>
      <c r="AD37" s="1003">
        <f>IF(AD36=0,"NA",AD36/AD$7)</f>
        <v>0.36544554455445544</v>
      </c>
      <c r="AE37" s="1003">
        <f t="shared" si="24"/>
        <v>0.33203156132940143</v>
      </c>
      <c r="AF37" s="1003">
        <f t="shared" si="24"/>
        <v>0.32440428594274751</v>
      </c>
      <c r="AG37" s="1003">
        <f>IF(AG36=0,"NA",AG36/AG$7)</f>
        <v>0.32962224499371828</v>
      </c>
      <c r="AH37" s="1298">
        <f>IF(AH36=0,"NA",AH36/AH$7)</f>
        <v>0.32931677089674255</v>
      </c>
      <c r="AI37" s="1298">
        <f>IF(AI36=0,"NA",AI36/AI$7)</f>
        <v>0.32969764475985708</v>
      </c>
      <c r="AJ37" s="1298">
        <f>IF(AJ36=0,"NA",AJ36/AJ$7)</f>
        <v>0.33660996989178787</v>
      </c>
      <c r="AK37" s="1298">
        <f>IF(AK36=0,"NA",AK36/AK$7)</f>
        <v>0.34719464338098915</v>
      </c>
      <c r="AL37" s="1003"/>
      <c r="AM37" s="500"/>
      <c r="AN37" s="507"/>
      <c r="AO37" s="507"/>
      <c r="AP37" s="961"/>
      <c r="AW37" s="398">
        <f>15+100+54</f>
        <v>169</v>
      </c>
    </row>
    <row r="38" spans="1:49" hidden="1" outlineLevel="1">
      <c r="AM38" s="960"/>
      <c r="AN38" s="507"/>
      <c r="AO38" s="509"/>
      <c r="AP38" s="961"/>
      <c r="AW38" s="398">
        <f>AW37-35</f>
        <v>134</v>
      </c>
    </row>
    <row r="39" spans="1:49" hidden="1" outlineLevel="1">
      <c r="A39" s="507" t="s">
        <v>409</v>
      </c>
      <c r="B39" s="615">
        <f>INDEX('qtrP&amp;L'!94:94,MATCH(B5,'qtrP&amp;L'!6:6,0))</f>
        <v>0</v>
      </c>
      <c r="C39" s="615">
        <f>INDEX('qtrP&amp;L'!94:94,MATCH(C5,'qtrP&amp;L'!6:6,0))</f>
        <v>0</v>
      </c>
      <c r="D39" s="615">
        <f>INDEX('qtrP&amp;L'!94:94,MATCH(D5,'qtrP&amp;L'!6:6,0))</f>
        <v>0</v>
      </c>
      <c r="E39" s="615">
        <f>INDEX('qtrP&amp;L'!94:94,MATCH(E5,'qtrP&amp;L'!6:6,0))</f>
        <v>0</v>
      </c>
      <c r="F39" s="615">
        <f>INDEX('qtrP&amp;L'!94:94,MATCH(F5,'qtrP&amp;L'!6:6,0))</f>
        <v>0</v>
      </c>
      <c r="G39" s="615">
        <f>INDEX('qtrP&amp;L'!94:94,MATCH(G5,'qtrP&amp;L'!6:6,0))</f>
        <v>0</v>
      </c>
      <c r="H39" s="615">
        <f>INDEX('qtrP&amp;L'!94:94,MATCH(H5,'qtrP&amp;L'!6:6,0))</f>
        <v>0</v>
      </c>
      <c r="I39" s="615">
        <f>INDEX('qtrP&amp;L'!94:94,MATCH(I5,'qtrP&amp;L'!6:6,0))</f>
        <v>0</v>
      </c>
      <c r="J39" s="615">
        <f>INDEX('qtrP&amp;L'!94:94,MATCH(J5,'qtrP&amp;L'!6:6,0))</f>
        <v>0</v>
      </c>
      <c r="K39" s="615">
        <f>INDEX('qtrP&amp;L'!94:94,MATCH(K5,'qtrP&amp;L'!6:6,0))</f>
        <v>0</v>
      </c>
      <c r="L39" s="615">
        <f>INDEX('qtrP&amp;L'!94:94,MATCH(L5,'qtrP&amp;L'!6:6,0))</f>
        <v>0</v>
      </c>
      <c r="M39" s="615">
        <f>INDEX('qtrP&amp;L'!94:94,MATCH(M5,'qtrP&amp;L'!6:6,0))</f>
        <v>0</v>
      </c>
      <c r="N39" s="615">
        <f>INDEX('qtrP&amp;L'!94:94,MATCH(N5,'qtrP&amp;L'!6:6,0))</f>
        <v>0</v>
      </c>
      <c r="O39" s="615">
        <f>INDEX('qtrP&amp;L'!94:94,MATCH(O5,'qtrP&amp;L'!6:6,0))</f>
        <v>0</v>
      </c>
      <c r="P39" s="615">
        <f>INDEX('qtrP&amp;L'!94:94,MATCH(P5,'qtrP&amp;L'!6:6,0))</f>
        <v>46</v>
      </c>
      <c r="Q39" s="615">
        <f>INDEX('qtrP&amp;L'!94:94,MATCH(Q5,'qtrP&amp;L'!6:6,0))</f>
        <v>59</v>
      </c>
      <c r="R39" s="615">
        <f>INDEX('qtrP&amp;L'!94:94,MATCH(R5,'qtrP&amp;L'!6:6,0))</f>
        <v>-39</v>
      </c>
      <c r="S39" s="615">
        <f>INDEX('qtrP&amp;L'!94:94,MATCH(S5,'qtrP&amp;L'!6:6,0))</f>
        <v>12</v>
      </c>
      <c r="T39" s="615">
        <f>INDEX('qtrP&amp;L'!94:94,MATCH(T5,'qtrP&amp;L'!6:6,0))</f>
        <v>-54</v>
      </c>
      <c r="U39" s="1006">
        <f>INDEX('qtrP&amp;L'!94:94,MATCH(U5,'qtrP&amp;L'!6:6,0))</f>
        <v>-34</v>
      </c>
      <c r="V39" s="1006">
        <f>INDEX('qtrP&amp;L'!94:94,MATCH(V5,'qtrP&amp;L'!6:6,0))</f>
        <v>-46</v>
      </c>
      <c r="W39" s="1006">
        <f>INDEX('qtrP&amp;L'!94:94,MATCH(W5,'qtrP&amp;L'!6:6,0))</f>
        <v>-17.809677419354838</v>
      </c>
      <c r="X39" s="1006">
        <f>INDEX('qtrP&amp;L'!94:94,MATCH(X5,'qtrP&amp;L'!6:6,0))</f>
        <v>5</v>
      </c>
      <c r="Y39" s="1006">
        <f>INDEX('qtrP&amp;L'!94:94,MATCH(Y5,'qtrP&amp;L'!6:6,0))</f>
        <v>-28</v>
      </c>
      <c r="Z39" s="1006">
        <f>INDEX('qtrP&amp;L'!94:94,MATCH(Z5,'qtrP&amp;L'!6:6,0))</f>
        <v>21</v>
      </c>
      <c r="AA39" s="1006">
        <f>INDEX('qtrP&amp;L'!94:94,MATCH(AA5,'qtrP&amp;L'!6:6,0))</f>
        <v>73</v>
      </c>
      <c r="AB39" s="1006">
        <f>INDEX('qtrP&amp;L'!94:94,MATCH(AB5,'qtrP&amp;L'!6:6,0))</f>
        <v>-155</v>
      </c>
      <c r="AC39" s="1006">
        <f>INDEX('qtrP&amp;L'!94:94,MATCH(AC5,'qtrP&amp;L'!6:6,0))</f>
        <v>-148</v>
      </c>
      <c r="AD39" s="1006">
        <f>INDEX('qtrP&amp;L'!94:94,MATCH(AD5,'qtrP&amp;L'!6:6,0))</f>
        <v>56</v>
      </c>
      <c r="AE39" s="1006">
        <f>INDEX('qtrP&amp;L'!94:94,MATCH(AE5,'qtrP&amp;L'!6:6,0))</f>
        <v>-94</v>
      </c>
      <c r="AF39" s="1006">
        <f>INDEX('qtrP&amp;L'!94:94,MATCH(AF5,'qtrP&amp;L'!6:6,0))</f>
        <v>-78</v>
      </c>
      <c r="AG39" s="1006">
        <f>INDEX('qtrP&amp;L'!94:94,MATCH(AG5,'qtrP&amp;L'!6:6,0))</f>
        <v>-60</v>
      </c>
      <c r="AH39" s="1393">
        <v>0</v>
      </c>
      <c r="AI39" s="1393">
        <v>0</v>
      </c>
      <c r="AJ39" s="1393">
        <v>0</v>
      </c>
      <c r="AK39" s="1393">
        <v>0</v>
      </c>
      <c r="AL39" s="1018"/>
      <c r="AM39" s="960"/>
      <c r="AN39" s="507"/>
      <c r="AO39" s="509"/>
      <c r="AP39" s="961"/>
    </row>
    <row r="40" spans="1:49" hidden="1" outlineLevel="1">
      <c r="A40" s="993" t="s">
        <v>92</v>
      </c>
      <c r="B40" s="994" t="str">
        <f>IF(B39=0,"NA",B39/B$7)</f>
        <v>NA</v>
      </c>
      <c r="C40" s="994" t="str">
        <f t="shared" ref="C40:AF40" si="25">IF(C39=0,"NA",C39/C$7)</f>
        <v>NA</v>
      </c>
      <c r="D40" s="994" t="str">
        <f t="shared" si="25"/>
        <v>NA</v>
      </c>
      <c r="E40" s="994" t="str">
        <f t="shared" si="25"/>
        <v>NA</v>
      </c>
      <c r="F40" s="994" t="str">
        <f t="shared" si="25"/>
        <v>NA</v>
      </c>
      <c r="G40" s="994" t="str">
        <f t="shared" si="25"/>
        <v>NA</v>
      </c>
      <c r="H40" s="994" t="str">
        <f t="shared" si="25"/>
        <v>NA</v>
      </c>
      <c r="I40" s="994" t="str">
        <f t="shared" si="25"/>
        <v>NA</v>
      </c>
      <c r="J40" s="994" t="str">
        <f t="shared" si="25"/>
        <v>NA</v>
      </c>
      <c r="K40" s="994" t="str">
        <f t="shared" si="25"/>
        <v>NA</v>
      </c>
      <c r="L40" s="994" t="str">
        <f t="shared" si="25"/>
        <v>NA</v>
      </c>
      <c r="M40" s="994" t="str">
        <f t="shared" si="25"/>
        <v>NA</v>
      </c>
      <c r="N40" s="994" t="str">
        <f t="shared" si="25"/>
        <v>NA</v>
      </c>
      <c r="O40" s="994" t="str">
        <f t="shared" si="25"/>
        <v>NA</v>
      </c>
      <c r="P40" s="994">
        <f t="shared" si="25"/>
        <v>2.5784753363228699E-3</v>
      </c>
      <c r="Q40" s="994">
        <f t="shared" si="25"/>
        <v>3.3939254486884491E-3</v>
      </c>
      <c r="R40" s="994">
        <f t="shared" si="25"/>
        <v>-2.2269171472620339E-3</v>
      </c>
      <c r="S40" s="994">
        <f t="shared" si="25"/>
        <v>6.6312997347480103E-4</v>
      </c>
      <c r="T40" s="994">
        <f t="shared" si="25"/>
        <v>-2.8752333997334768E-3</v>
      </c>
      <c r="U40" s="1003">
        <f t="shared" si="25"/>
        <v>-1.7081059877755878E-3</v>
      </c>
      <c r="V40" s="1003">
        <f t="shared" si="25"/>
        <v>-2.3165634285138743E-3</v>
      </c>
      <c r="W40" s="1003">
        <f t="shared" si="25"/>
        <v>-9.6338658641739868E-4</v>
      </c>
      <c r="X40" s="1003">
        <f t="shared" si="25"/>
        <v>2.8474648072426384E-4</v>
      </c>
      <c r="Y40" s="1003">
        <f t="shared" si="25"/>
        <v>-1.5766653527788726E-3</v>
      </c>
      <c r="Z40" s="1003">
        <f t="shared" si="25"/>
        <v>1.2166859791425261E-3</v>
      </c>
      <c r="AA40" s="1003">
        <f t="shared" si="25"/>
        <v>5.6218713900654605E-3</v>
      </c>
      <c r="AB40" s="1003">
        <f t="shared" si="25"/>
        <v>-1.3070242010287546E-2</v>
      </c>
      <c r="AC40" s="1003">
        <f t="shared" si="25"/>
        <v>-1.2074732805743657E-2</v>
      </c>
      <c r="AD40" s="1003">
        <f>IF(AD39=0,"NA",AD39/AD$7)</f>
        <v>4.4356435643564352E-3</v>
      </c>
      <c r="AE40" s="1003">
        <f t="shared" si="25"/>
        <v>-7.4918307165059376E-3</v>
      </c>
      <c r="AF40" s="1003">
        <f t="shared" si="25"/>
        <v>-6.2370062370062374E-3</v>
      </c>
      <c r="AG40" s="1003">
        <f>IF(AG39=0,"NA",AG39/AG$7)</f>
        <v>-4.9775776717811832E-3</v>
      </c>
      <c r="AH40" s="1298" t="str">
        <f>IF(AH39=0,"NA",AH39/AH$7)</f>
        <v>NA</v>
      </c>
      <c r="AI40" s="1298" t="str">
        <f>IF(AI39=0,"NA",AI39/AI$7)</f>
        <v>NA</v>
      </c>
      <c r="AJ40" s="1298" t="str">
        <f>IF(AJ39=0,"NA",AJ39/AJ$7)</f>
        <v>NA</v>
      </c>
      <c r="AK40" s="1298" t="str">
        <f>IF(AK39=0,"NA",AK39/AK$7)</f>
        <v>NA</v>
      </c>
      <c r="AL40" s="1003"/>
      <c r="AM40" s="500"/>
      <c r="AN40" s="507"/>
      <c r="AO40" s="507"/>
      <c r="AP40" s="961"/>
    </row>
    <row r="41" spans="1:49" collapsed="1">
      <c r="AM41" s="960"/>
      <c r="AN41" s="507"/>
      <c r="AO41" s="509"/>
      <c r="AP41" s="961"/>
    </row>
    <row r="42" spans="1:49">
      <c r="A42" s="507" t="s">
        <v>433</v>
      </c>
      <c r="B42" s="615">
        <f>B7-B11-B36-B39</f>
        <v>1186</v>
      </c>
      <c r="C42" s="615">
        <f t="shared" ref="C42:AF42" si="26">C7-C11-C36-C39</f>
        <v>908</v>
      </c>
      <c r="D42" s="615">
        <f t="shared" si="26"/>
        <v>857</v>
      </c>
      <c r="E42" s="615">
        <f t="shared" si="26"/>
        <v>1234</v>
      </c>
      <c r="F42" s="615">
        <f t="shared" si="26"/>
        <v>1442</v>
      </c>
      <c r="G42" s="615">
        <f t="shared" si="26"/>
        <v>1628</v>
      </c>
      <c r="H42" s="615">
        <f t="shared" si="26"/>
        <v>1313</v>
      </c>
      <c r="I42" s="615">
        <f t="shared" si="26"/>
        <v>1318</v>
      </c>
      <c r="J42" s="615">
        <f t="shared" si="26"/>
        <v>1727</v>
      </c>
      <c r="K42" s="615">
        <f t="shared" si="26"/>
        <v>1394.0473766566902</v>
      </c>
      <c r="L42" s="615">
        <f t="shared" si="26"/>
        <v>1035</v>
      </c>
      <c r="M42" s="615">
        <f t="shared" si="26"/>
        <v>455</v>
      </c>
      <c r="N42" s="615">
        <f t="shared" si="26"/>
        <v>788</v>
      </c>
      <c r="O42" s="615">
        <f t="shared" si="26"/>
        <v>1130</v>
      </c>
      <c r="P42" s="615">
        <f t="shared" si="26"/>
        <v>494</v>
      </c>
      <c r="Q42" s="615">
        <f t="shared" si="26"/>
        <v>624</v>
      </c>
      <c r="R42" s="615">
        <f t="shared" si="26"/>
        <v>786</v>
      </c>
      <c r="S42" s="615">
        <f t="shared" si="26"/>
        <v>1257</v>
      </c>
      <c r="T42" s="615">
        <f t="shared" si="26"/>
        <v>1630.0839999999989</v>
      </c>
      <c r="U42" s="1006">
        <f t="shared" si="26"/>
        <v>1908</v>
      </c>
      <c r="V42" s="1006">
        <f t="shared" si="26"/>
        <v>1878.0699999999997</v>
      </c>
      <c r="W42" s="1006">
        <f t="shared" si="26"/>
        <v>1128.8691774193524</v>
      </c>
      <c r="X42" s="1006">
        <f t="shared" si="26"/>
        <v>663</v>
      </c>
      <c r="Y42" s="1006">
        <f t="shared" si="26"/>
        <v>864</v>
      </c>
      <c r="Z42" s="1006">
        <f>Z7-Z11-Z36-Z39</f>
        <v>656</v>
      </c>
      <c r="AA42" s="1006">
        <f>AA7-AA11-AA36-AA39</f>
        <v>-1356</v>
      </c>
      <c r="AB42" s="1006">
        <f t="shared" si="26"/>
        <v>-1205</v>
      </c>
      <c r="AC42" s="1006">
        <f>AC7-AC11-AC36-AC39</f>
        <v>-221</v>
      </c>
      <c r="AD42" s="1006">
        <f>AD7-AD11-AD36-AD39</f>
        <v>-118.75</v>
      </c>
      <c r="AE42" s="1006">
        <f t="shared" si="26"/>
        <v>404</v>
      </c>
      <c r="AF42" s="1006">
        <f t="shared" si="26"/>
        <v>353</v>
      </c>
      <c r="AG42" s="1006">
        <f>AG7-AG11-AG36-AG39</f>
        <v>339.32033599999886</v>
      </c>
      <c r="AH42" s="1299">
        <f>AH7-AH11-AH36-AH39</f>
        <v>264.79885800674492</v>
      </c>
      <c r="AI42" s="1299">
        <f>AI7-AI11-AI36-AI39</f>
        <v>239.0382032528164</v>
      </c>
      <c r="AJ42" s="1299">
        <f>AJ7-AJ11-AJ36-AJ39</f>
        <v>133.47200711950427</v>
      </c>
      <c r="AK42" s="1299">
        <f>AK7-AK11-AK36-AK39</f>
        <v>-6.1142523228468235</v>
      </c>
      <c r="AL42" s="1006"/>
      <c r="AM42" s="960"/>
      <c r="AN42" s="507"/>
      <c r="AO42" s="509"/>
      <c r="AP42" s="961"/>
    </row>
    <row r="43" spans="1:49">
      <c r="A43" s="993" t="s">
        <v>93</v>
      </c>
      <c r="B43" s="994">
        <f>IF(B42=0,"NA",B42/B$7)</f>
        <v>7.3650872508228285E-2</v>
      </c>
      <c r="C43" s="994">
        <f t="shared" ref="C43:AF43" si="27">IF(C42=0,"NA",C42/C$7)</f>
        <v>5.5484265200122215E-2</v>
      </c>
      <c r="D43" s="994">
        <f t="shared" si="27"/>
        <v>5.2897969261156717E-2</v>
      </c>
      <c r="E43" s="994">
        <f t="shared" si="27"/>
        <v>6.8521294908101507E-2</v>
      </c>
      <c r="F43" s="994">
        <f t="shared" si="27"/>
        <v>7.5962703471527157E-2</v>
      </c>
      <c r="G43" s="994">
        <f t="shared" si="27"/>
        <v>7.9882237487733071E-2</v>
      </c>
      <c r="H43" s="994">
        <f t="shared" si="27"/>
        <v>6.3855656064585153E-2</v>
      </c>
      <c r="I43" s="994">
        <f t="shared" si="27"/>
        <v>5.818470775207487E-2</v>
      </c>
      <c r="J43" s="994">
        <f t="shared" si="27"/>
        <v>5.8579705032359604E-2</v>
      </c>
      <c r="K43" s="994">
        <f t="shared" si="27"/>
        <v>4.7355369816451193E-2</v>
      </c>
      <c r="L43" s="994">
        <f t="shared" si="27"/>
        <v>3.2605613836121351E-2</v>
      </c>
      <c r="M43" s="994">
        <f t="shared" si="27"/>
        <v>1.4287508635307417E-2</v>
      </c>
      <c r="N43" s="994">
        <f t="shared" si="27"/>
        <v>2.4621922259717537E-2</v>
      </c>
      <c r="O43" s="994">
        <f t="shared" si="27"/>
        <v>3.4933687822672893E-2</v>
      </c>
      <c r="P43" s="994">
        <f t="shared" si="27"/>
        <v>2.7690582959641257E-2</v>
      </c>
      <c r="Q43" s="994">
        <f t="shared" si="27"/>
        <v>3.5895075931891396E-2</v>
      </c>
      <c r="R43" s="994">
        <f t="shared" si="27"/>
        <v>4.4880945583280991E-2</v>
      </c>
      <c r="S43" s="994">
        <f t="shared" si="27"/>
        <v>6.9462864721485412E-2</v>
      </c>
      <c r="T43" s="994">
        <f t="shared" si="27"/>
        <v>8.6793925206872985E-2</v>
      </c>
      <c r="U43" s="1003">
        <f t="shared" si="27"/>
        <v>9.5854888961053583E-2</v>
      </c>
      <c r="V43" s="1003">
        <f t="shared" si="27"/>
        <v>9.4579745178022853E-2</v>
      </c>
      <c r="W43" s="1003">
        <f t="shared" si="27"/>
        <v>6.1064408845718614E-2</v>
      </c>
      <c r="X43" s="1003">
        <f t="shared" si="27"/>
        <v>3.775738334403738E-2</v>
      </c>
      <c r="Y43" s="1003">
        <f t="shared" si="27"/>
        <v>4.8651388028605212E-2</v>
      </c>
      <c r="Z43" s="1003">
        <f t="shared" si="27"/>
        <v>3.8006952491309386E-2</v>
      </c>
      <c r="AA43" s="1003">
        <f t="shared" si="27"/>
        <v>-0.10442818636888718</v>
      </c>
      <c r="AB43" s="1003">
        <f t="shared" si="27"/>
        <v>-0.10161059111223543</v>
      </c>
      <c r="AC43" s="1003">
        <f t="shared" si="27"/>
        <v>-1.8030513176144243E-2</v>
      </c>
      <c r="AD43" s="1003">
        <f>IF(AD42=0,"NA",AD42/AD$7)</f>
        <v>-9.4059405940594056E-3</v>
      </c>
      <c r="AE43" s="1003">
        <f t="shared" si="27"/>
        <v>3.2198932015621261E-2</v>
      </c>
      <c r="AF43" s="1003">
        <f t="shared" si="27"/>
        <v>2.8226451303374381E-2</v>
      </c>
      <c r="AG43" s="1003">
        <f>IF(AG42=0,"NA",AG42/AG$7)</f>
        <v>2.8149888800914718E-2</v>
      </c>
      <c r="AH43" s="1298">
        <f>IF(AH42=0,"NA",AH42/AH$7)</f>
        <v>2.2583229103257486E-2</v>
      </c>
      <c r="AI43" s="1298">
        <f>IF(AI42=0,"NA",AI42/AI$7)</f>
        <v>2.1102355240142909E-2</v>
      </c>
      <c r="AJ43" s="1298">
        <f>IF(AJ42=0,"NA",AJ42/AJ$7)</f>
        <v>1.2290030108212065E-2</v>
      </c>
      <c r="AK43" s="1298">
        <f>IF(AK42=0,"NA",AK42/AK$7)</f>
        <v>-5.9464338098910025E-4</v>
      </c>
      <c r="AL43" s="1003"/>
      <c r="AM43" s="960"/>
      <c r="AN43" s="507"/>
      <c r="AO43" s="509"/>
      <c r="AP43" s="961"/>
      <c r="AT43" s="587"/>
    </row>
    <row r="44" spans="1:49" ht="13.5" hidden="1" outlineLevel="1" thickBot="1">
      <c r="A44" s="1009" t="s">
        <v>45</v>
      </c>
      <c r="B44" s="995"/>
      <c r="C44" s="1010">
        <f t="shared" ref="C44:AF44" si="28">(C42+C25)/C7</f>
        <v>5.5484265200122215E-2</v>
      </c>
      <c r="D44" s="1010">
        <f t="shared" si="28"/>
        <v>5.2897969261156717E-2</v>
      </c>
      <c r="E44" s="1010">
        <f t="shared" si="28"/>
        <v>6.8521294908101507E-2</v>
      </c>
      <c r="F44" s="1010">
        <f t="shared" si="28"/>
        <v>7.5962703471527157E-2</v>
      </c>
      <c r="G44" s="1010">
        <f t="shared" si="28"/>
        <v>7.9882237487733071E-2</v>
      </c>
      <c r="H44" s="1010">
        <f t="shared" si="28"/>
        <v>6.3855656064585153E-2</v>
      </c>
      <c r="I44" s="1010">
        <f t="shared" si="28"/>
        <v>5.818470775207487E-2</v>
      </c>
      <c r="J44" s="1010">
        <f t="shared" si="28"/>
        <v>5.8579705032359604E-2</v>
      </c>
      <c r="K44" s="1010">
        <f t="shared" si="28"/>
        <v>4.7355369816451193E-2</v>
      </c>
      <c r="L44" s="1010">
        <f t="shared" si="28"/>
        <v>3.2605613836121351E-2</v>
      </c>
      <c r="M44" s="1010">
        <f t="shared" si="28"/>
        <v>1.4287508635307417E-2</v>
      </c>
      <c r="N44" s="1010">
        <f t="shared" si="28"/>
        <v>2.4621922259717537E-2</v>
      </c>
      <c r="O44" s="1010">
        <f t="shared" si="28"/>
        <v>3.5567440566358549E-2</v>
      </c>
      <c r="P44" s="1010">
        <f t="shared" si="28"/>
        <v>2.8839686098654709E-2</v>
      </c>
      <c r="Q44" s="1010">
        <f t="shared" si="28"/>
        <v>3.7074321214910264E-2</v>
      </c>
      <c r="R44" s="1010">
        <f t="shared" si="28"/>
        <v>4.6051504596585392E-2</v>
      </c>
      <c r="S44" s="1010">
        <f t="shared" si="28"/>
        <v>7.3994252873563218E-2</v>
      </c>
      <c r="T44" s="1010">
        <f t="shared" si="28"/>
        <v>9.0467834550976872E-2</v>
      </c>
      <c r="U44" s="1011">
        <f t="shared" si="28"/>
        <v>9.6307034663700053E-2</v>
      </c>
      <c r="V44" s="1011">
        <f t="shared" si="28"/>
        <v>8.9694817948330549E-2</v>
      </c>
      <c r="W44" s="1011">
        <f t="shared" si="28"/>
        <v>5.38699823001672E-2</v>
      </c>
      <c r="X44" s="1011">
        <f t="shared" si="28"/>
        <v>5.4728273595203505E-2</v>
      </c>
      <c r="Y44" s="1011">
        <f t="shared" si="28"/>
        <v>6.1095782420181315E-2</v>
      </c>
      <c r="Z44" s="1011">
        <f t="shared" si="28"/>
        <v>4.3047508690614134E-2</v>
      </c>
      <c r="AA44" s="1011">
        <f>(AA42+AA25)/AA7</f>
        <v>-8.0169426261070473E-2</v>
      </c>
      <c r="AB44" s="1011">
        <f t="shared" si="28"/>
        <v>-9.3178176912049923E-2</v>
      </c>
      <c r="AC44" s="1011">
        <f t="shared" si="28"/>
        <v>-1.9172717630741618E-2</v>
      </c>
      <c r="AD44" s="1011">
        <f>(AD42+AD25)/AD7</f>
        <v>6.6732673267326731E-3</v>
      </c>
      <c r="AE44" s="1011">
        <f t="shared" si="28"/>
        <v>3.2278632342392602E-2</v>
      </c>
      <c r="AF44" s="1011">
        <f t="shared" si="28"/>
        <v>2.8226451303374381E-2</v>
      </c>
      <c r="AG44" s="1019">
        <f>(AG42+AG25)/AG7</f>
        <v>2.8149888800914718E-2</v>
      </c>
      <c r="AH44" s="1306">
        <f>(AH42+AH25)/AH7</f>
        <v>2.2583229103257486E-2</v>
      </c>
      <c r="AI44" s="1306">
        <f>(AI42+AI25)/AI7</f>
        <v>2.1102355240142909E-2</v>
      </c>
      <c r="AJ44" s="1306">
        <f>(AJ42+AJ25)/AJ7</f>
        <v>1.2290030108212065E-2</v>
      </c>
      <c r="AK44" s="1452"/>
      <c r="AL44" s="1010"/>
      <c r="AM44" s="500"/>
      <c r="AN44" s="507"/>
      <c r="AO44" s="509"/>
      <c r="AP44" s="961"/>
    </row>
    <row r="45" spans="1:49" ht="13.5" hidden="1" outlineLevel="1" thickBot="1">
      <c r="A45" s="400"/>
      <c r="B45" s="1020"/>
      <c r="C45" s="1020"/>
      <c r="D45" s="1020"/>
      <c r="E45" s="1020"/>
      <c r="F45" s="1020"/>
      <c r="G45" s="1020"/>
      <c r="H45" s="1020"/>
      <c r="I45" s="1020"/>
      <c r="J45" s="1020"/>
      <c r="K45" s="1020"/>
      <c r="L45" s="1020"/>
      <c r="M45" s="1020"/>
      <c r="N45" s="1020"/>
      <c r="O45" s="1020"/>
      <c r="P45" s="1020"/>
      <c r="Q45" s="1020"/>
      <c r="R45" s="1020"/>
      <c r="S45" s="1020"/>
      <c r="T45" s="1020"/>
      <c r="U45" s="1021"/>
      <c r="V45" s="1021"/>
      <c r="W45" s="1021"/>
      <c r="X45" s="1021"/>
      <c r="Y45" s="1021"/>
      <c r="Z45" s="1021"/>
      <c r="AA45" s="1022"/>
      <c r="AB45" s="1021"/>
      <c r="AC45" s="1021"/>
      <c r="AD45" s="1021"/>
      <c r="AF45" s="706">
        <f>AF42+AF31+AF25</f>
        <v>923</v>
      </c>
      <c r="AG45" s="1023">
        <f>AG42+AG31+AG25</f>
        <v>888.32033599999886</v>
      </c>
      <c r="AH45" s="1307">
        <f>AH42+AH31+AH25</f>
        <v>805.3427854626342</v>
      </c>
      <c r="AI45" s="1307">
        <f>AI42+AI31+AI25</f>
        <v>754.44220077975262</v>
      </c>
      <c r="AJ45" s="1307">
        <f>AJ42+AJ31+AJ25</f>
        <v>633.04054140606445</v>
      </c>
      <c r="AK45" s="1453"/>
      <c r="AL45" s="1024"/>
      <c r="AM45" s="960"/>
      <c r="AN45" s="507"/>
      <c r="AO45" s="509"/>
      <c r="AP45" s="961"/>
    </row>
    <row r="46" spans="1:49" collapsed="1">
      <c r="A46" s="400"/>
      <c r="B46" s="1020"/>
      <c r="C46" s="1020"/>
      <c r="D46" s="1020"/>
      <c r="E46" s="1020"/>
      <c r="F46" s="1020"/>
      <c r="G46" s="1020"/>
      <c r="H46" s="1020"/>
      <c r="I46" s="1020"/>
      <c r="J46" s="1020"/>
      <c r="K46" s="1020"/>
      <c r="L46" s="1020"/>
      <c r="M46" s="1020"/>
      <c r="N46" s="1020"/>
      <c r="O46" s="1020"/>
      <c r="P46" s="1020"/>
      <c r="Q46" s="1020"/>
      <c r="R46" s="1020"/>
      <c r="S46" s="1020"/>
      <c r="T46" s="1020"/>
      <c r="U46" s="1021"/>
      <c r="V46" s="1021"/>
      <c r="W46" s="1021"/>
      <c r="X46" s="1021"/>
      <c r="Y46" s="1021"/>
      <c r="Z46" s="1021"/>
      <c r="AA46" s="1022"/>
      <c r="AB46" s="1021"/>
      <c r="AC46" s="1021"/>
      <c r="AD46" s="1021"/>
      <c r="AE46" s="706"/>
      <c r="AF46" s="706"/>
      <c r="AG46" s="706"/>
      <c r="AH46" s="706"/>
      <c r="AI46" s="706"/>
      <c r="AJ46" s="706"/>
      <c r="AK46" s="706"/>
      <c r="AL46" s="1024"/>
      <c r="AM46" s="960"/>
      <c r="AN46" s="507"/>
      <c r="AO46" s="509"/>
      <c r="AP46" s="961"/>
    </row>
    <row r="47" spans="1:49">
      <c r="A47" s="507" t="s">
        <v>434</v>
      </c>
      <c r="B47" s="615">
        <f>INDEX('qtrP&amp;L'!124:124,MATCH(B5,'qtrP&amp;L'!6:6,0))</f>
        <v>58</v>
      </c>
      <c r="C47" s="615">
        <f>INDEX('qtrP&amp;L'!124:124,MATCH(C5,'qtrP&amp;L'!6:6,0))</f>
        <v>98</v>
      </c>
      <c r="D47" s="615">
        <f>INDEX('qtrP&amp;L'!124:124,MATCH(D5,'qtrP&amp;L'!6:6,0))</f>
        <v>176</v>
      </c>
      <c r="E47" s="615">
        <f>INDEX('qtrP&amp;L'!124:124,MATCH(E5,'qtrP&amp;L'!6:6,0))</f>
        <v>132</v>
      </c>
      <c r="F47" s="615">
        <f>INDEX('qtrP&amp;L'!124:124,MATCH(F5,'qtrP&amp;L'!6:6,0))</f>
        <v>73</v>
      </c>
      <c r="G47" s="615">
        <f>INDEX('qtrP&amp;L'!124:124,MATCH(G5,'qtrP&amp;L'!6:6,0))</f>
        <v>93</v>
      </c>
      <c r="H47" s="615">
        <f>INDEX('qtrP&amp;L'!124:124,MATCH(H5,'qtrP&amp;L'!6:6,0))</f>
        <v>182.8</v>
      </c>
      <c r="I47" s="615">
        <f>INDEX('qtrP&amp;L'!124:124,MATCH(I5,'qtrP&amp;L'!6:6,0))</f>
        <v>278</v>
      </c>
      <c r="J47" s="615">
        <f>INDEX('qtrP&amp;L'!124:124,MATCH(J5,'qtrP&amp;L'!6:6,0))</f>
        <v>547</v>
      </c>
      <c r="K47" s="615">
        <f>INDEX('qtrP&amp;L'!124:124,MATCH(K5,'qtrP&amp;L'!6:6,0))</f>
        <v>480</v>
      </c>
      <c r="L47" s="615">
        <f>INDEX('qtrP&amp;L'!124:124,MATCH(L5,'qtrP&amp;L'!6:6,0))</f>
        <v>294</v>
      </c>
      <c r="M47" s="615">
        <f>INDEX('qtrP&amp;L'!124:124,MATCH(M5,'qtrP&amp;L'!6:6,0))</f>
        <v>427</v>
      </c>
      <c r="N47" s="615">
        <f>INDEX('qtrP&amp;L'!124:124,MATCH(N5,'qtrP&amp;L'!6:6,0))</f>
        <v>386</v>
      </c>
      <c r="O47" s="615">
        <f>INDEX('qtrP&amp;L'!124:124,MATCH(O5,'qtrP&amp;L'!6:6,0))</f>
        <v>388</v>
      </c>
      <c r="P47" s="615">
        <f>INDEX('qtrP&amp;L'!124:124,MATCH(P5,'qtrP&amp;L'!6:6,0))</f>
        <v>219</v>
      </c>
      <c r="Q47" s="615">
        <f>INDEX('qtrP&amp;L'!124:124,MATCH(Q5,'qtrP&amp;L'!6:6,0))</f>
        <v>212</v>
      </c>
      <c r="R47" s="615">
        <f>INDEX('qtrP&amp;L'!124:124,MATCH(R5,'qtrP&amp;L'!6:6,0))</f>
        <v>247</v>
      </c>
      <c r="S47" s="615">
        <f>INDEX('qtrP&amp;L'!124:124,MATCH(S5,'qtrP&amp;L'!6:6,0))</f>
        <v>223</v>
      </c>
      <c r="T47" s="615">
        <f>INDEX('qtrP&amp;L'!124:124,MATCH(T5,'qtrP&amp;L'!6:6,0))</f>
        <v>169</v>
      </c>
      <c r="U47" s="1006">
        <f>INDEX('qtrP&amp;L'!124:124,MATCH(U5,'qtrP&amp;L'!6:6,0))</f>
        <v>130</v>
      </c>
      <c r="V47" s="1006">
        <f>INDEX('qtrP&amp;L'!124:124,MATCH(V5,'qtrP&amp;L'!6:6,0))</f>
        <v>153</v>
      </c>
      <c r="W47" s="1006">
        <f>INDEX('qtrP&amp;L'!124:124,MATCH(W5,'qtrP&amp;L'!6:6,0))</f>
        <v>225</v>
      </c>
      <c r="X47" s="1006">
        <f>INDEX('qtrP&amp;L'!124:124,MATCH(X5,'qtrP&amp;L'!6:6,0))</f>
        <v>260</v>
      </c>
      <c r="Y47" s="1006">
        <f>INDEX('qtrP&amp;L'!124:124,MATCH(Y5,'qtrP&amp;L'!6:6,0))</f>
        <v>231</v>
      </c>
      <c r="Z47" s="1006">
        <f>INDEX('qtrP&amp;L'!124:124,MATCH(Z5,'qtrP&amp;L'!6:6,0))</f>
        <v>226.6783730736779</v>
      </c>
      <c r="AA47" s="1006">
        <f>INDEX('qtrP&amp;L'!124:124,MATCH(AA5,'qtrP&amp;L'!6:6,0))</f>
        <v>226</v>
      </c>
      <c r="AB47" s="1006">
        <f>INDEX('qtrP&amp;L'!124:124,MATCH(AB5,'qtrP&amp;L'!6:6,0))</f>
        <v>352</v>
      </c>
      <c r="AC47" s="1006">
        <f>INDEX('qtrP&amp;L'!124:124,MATCH(AC5,'qtrP&amp;L'!6:6,0))</f>
        <v>406</v>
      </c>
      <c r="AD47" s="1006">
        <f>INDEX('qtrP&amp;L'!124:124,MATCH(AD5,'qtrP&amp;L'!6:6,0))</f>
        <v>405</v>
      </c>
      <c r="AE47" s="1006">
        <f>INDEX('qtrP&amp;L'!124:124,MATCH(AE5,'qtrP&amp;L'!6:6,0))</f>
        <v>363</v>
      </c>
      <c r="AF47" s="1006">
        <f>INDEX('qtrP&amp;L'!124:124,MATCH(AF5,'qtrP&amp;L'!6:6,0))</f>
        <v>325</v>
      </c>
      <c r="AG47" s="1006">
        <f>INDEX('qtrP&amp;L'!124:124,MATCH(AG5,'qtrP&amp;L'!6:6,0))</f>
        <v>300</v>
      </c>
      <c r="AH47" s="1501">
        <f>AG47-20</f>
        <v>280</v>
      </c>
      <c r="AI47" s="1501">
        <f>AH47-10</f>
        <v>270</v>
      </c>
      <c r="AJ47" s="1501">
        <f>AI47-10</f>
        <v>260</v>
      </c>
      <c r="AK47" s="1501">
        <f>AJ47-12</f>
        <v>248</v>
      </c>
      <c r="AL47" s="1018"/>
      <c r="AM47" s="960">
        <f>((AE47/Z47)^(1/4)-1)*100</f>
        <v>12.49264660913938</v>
      </c>
      <c r="AN47" s="507" t="s">
        <v>156</v>
      </c>
      <c r="AO47" s="509">
        <f>((AJ47/AE47)^(1/5)-1)*100</f>
        <v>-6.4565583156782509</v>
      </c>
      <c r="AP47" s="961" t="s">
        <v>156</v>
      </c>
      <c r="AT47" s="398">
        <v>220</v>
      </c>
      <c r="AU47" s="1025">
        <v>265</v>
      </c>
    </row>
    <row r="48" spans="1:49">
      <c r="A48" s="993" t="s">
        <v>410</v>
      </c>
      <c r="B48" s="994"/>
      <c r="C48" s="994">
        <f>C47/B47-1</f>
        <v>0.68965517241379315</v>
      </c>
      <c r="D48" s="994">
        <f t="shared" ref="D48:AA48" si="29">D47/C47-1</f>
        <v>0.79591836734693877</v>
      </c>
      <c r="E48" s="994">
        <f t="shared" si="29"/>
        <v>-0.25</v>
      </c>
      <c r="F48" s="994">
        <f t="shared" si="29"/>
        <v>-0.44696969696969702</v>
      </c>
      <c r="G48" s="994">
        <f t="shared" si="29"/>
        <v>0.27397260273972601</v>
      </c>
      <c r="H48" s="994">
        <f t="shared" si="29"/>
        <v>0.96559139784946257</v>
      </c>
      <c r="I48" s="994">
        <f t="shared" si="29"/>
        <v>0.52078774617067825</v>
      </c>
      <c r="J48" s="994">
        <f t="shared" si="29"/>
        <v>0.96762589928057552</v>
      </c>
      <c r="K48" s="994">
        <f t="shared" si="29"/>
        <v>-0.12248628884826329</v>
      </c>
      <c r="L48" s="994">
        <f t="shared" si="29"/>
        <v>-0.38749999999999996</v>
      </c>
      <c r="M48" s="994">
        <f t="shared" si="29"/>
        <v>0.45238095238095233</v>
      </c>
      <c r="N48" s="994">
        <f t="shared" si="29"/>
        <v>-9.6018735362997654E-2</v>
      </c>
      <c r="O48" s="994">
        <f t="shared" si="29"/>
        <v>5.1813471502590858E-3</v>
      </c>
      <c r="P48" s="994">
        <f t="shared" si="29"/>
        <v>-0.43556701030927836</v>
      </c>
      <c r="Q48" s="994">
        <f t="shared" si="29"/>
        <v>-3.1963470319634757E-2</v>
      </c>
      <c r="R48" s="994">
        <f t="shared" si="29"/>
        <v>0.16509433962264142</v>
      </c>
      <c r="S48" s="994">
        <f t="shared" si="29"/>
        <v>-9.7165991902834037E-2</v>
      </c>
      <c r="T48" s="994">
        <f t="shared" si="29"/>
        <v>-0.24215246636771304</v>
      </c>
      <c r="U48" s="1003">
        <f t="shared" si="29"/>
        <v>-0.23076923076923073</v>
      </c>
      <c r="V48" s="1003">
        <f t="shared" si="29"/>
        <v>0.17692307692307696</v>
      </c>
      <c r="W48" s="1003">
        <f t="shared" si="29"/>
        <v>0.47058823529411775</v>
      </c>
      <c r="X48" s="1003">
        <f t="shared" si="29"/>
        <v>0.15555555555555545</v>
      </c>
      <c r="Y48" s="1003">
        <f t="shared" si="29"/>
        <v>-0.11153846153846159</v>
      </c>
      <c r="Z48" s="1003">
        <f t="shared" si="29"/>
        <v>-1.8708341672389994E-2</v>
      </c>
      <c r="AA48" s="1003">
        <f t="shared" si="29"/>
        <v>-2.9926678248101135E-3</v>
      </c>
      <c r="AB48" s="1003">
        <f t="shared" ref="AB48:AH48" si="30">AB47/AA47-1</f>
        <v>0.55752212389380529</v>
      </c>
      <c r="AC48" s="1003">
        <f t="shared" si="30"/>
        <v>0.15340909090909083</v>
      </c>
      <c r="AD48" s="1003">
        <f t="shared" si="30"/>
        <v>-2.4630541871921707E-3</v>
      </c>
      <c r="AE48" s="1003">
        <f t="shared" si="30"/>
        <v>-0.10370370370370374</v>
      </c>
      <c r="AF48" s="1003">
        <f t="shared" si="30"/>
        <v>-0.10468319559228645</v>
      </c>
      <c r="AG48" s="1003">
        <f t="shared" si="30"/>
        <v>-7.6923076923076872E-2</v>
      </c>
      <c r="AH48" s="1298">
        <f t="shared" si="30"/>
        <v>-6.6666666666666652E-2</v>
      </c>
      <c r="AI48" s="1298">
        <f>AI47/AH47-1</f>
        <v>-3.5714285714285698E-2</v>
      </c>
      <c r="AJ48" s="1298">
        <f>AJ47/AI47-1</f>
        <v>-3.703703703703709E-2</v>
      </c>
      <c r="AK48" s="1298">
        <f>AK47/AJ47-1</f>
        <v>-4.6153846153846101E-2</v>
      </c>
      <c r="AL48" s="1003"/>
      <c r="AM48" s="500"/>
      <c r="AN48" s="507"/>
      <c r="AO48" s="507"/>
      <c r="AP48" s="961"/>
      <c r="AT48" s="398">
        <f>0.0795</f>
        <v>7.9500000000000001E-2</v>
      </c>
      <c r="AU48" s="398">
        <v>5.7500000000000002E-2</v>
      </c>
    </row>
    <row r="49" spans="1:48">
      <c r="A49" s="400"/>
      <c r="B49" s="1020"/>
      <c r="C49" s="1020"/>
      <c r="D49" s="1020"/>
      <c r="E49" s="1020"/>
      <c r="F49" s="1020"/>
      <c r="G49" s="1020"/>
      <c r="H49" s="1020"/>
      <c r="I49" s="1020"/>
      <c r="J49" s="1020"/>
      <c r="K49" s="1020"/>
      <c r="L49" s="1020"/>
      <c r="M49" s="1020"/>
      <c r="N49" s="1020"/>
      <c r="O49" s="1020"/>
      <c r="P49" s="1020"/>
      <c r="Q49" s="1020"/>
      <c r="R49" s="1020"/>
      <c r="S49" s="1020"/>
      <c r="T49" s="1020"/>
      <c r="U49" s="1021"/>
      <c r="V49" s="1021"/>
      <c r="W49" s="1021"/>
      <c r="X49" s="1021"/>
      <c r="Y49" s="1021"/>
      <c r="Z49" s="1021"/>
      <c r="AA49" s="1021"/>
      <c r="AB49" s="1021"/>
      <c r="AC49" s="1021"/>
      <c r="AD49" s="1021"/>
      <c r="AE49" s="1021"/>
      <c r="AF49" s="1021"/>
      <c r="AG49" s="1021"/>
      <c r="AH49" s="1308"/>
      <c r="AI49" s="1308"/>
      <c r="AJ49" s="1308"/>
      <c r="AK49" s="1308"/>
      <c r="AL49" s="1021"/>
      <c r="AM49" s="960"/>
      <c r="AN49" s="507"/>
      <c r="AO49" s="509"/>
      <c r="AP49" s="961"/>
    </row>
    <row r="50" spans="1:48" outlineLevel="1">
      <c r="A50" s="507" t="s">
        <v>435</v>
      </c>
      <c r="B50" s="615">
        <f>INDEX('qtrP&amp;L'!134:134,MATCH(B5,'qtrP&amp;L'!6:6,0))</f>
        <v>-74</v>
      </c>
      <c r="C50" s="615">
        <f>INDEX('qtrP&amp;L'!134:134,MATCH(C5,'qtrP&amp;L'!6:6,0))</f>
        <v>-22</v>
      </c>
      <c r="D50" s="615">
        <f>INDEX('qtrP&amp;L'!134:134,MATCH(D5,'qtrP&amp;L'!6:6,0))</f>
        <v>-182</v>
      </c>
      <c r="E50" s="615">
        <f>INDEX('qtrP&amp;L'!134:134,MATCH(E5,'qtrP&amp;L'!6:6,0))</f>
        <v>-157</v>
      </c>
      <c r="F50" s="615">
        <f>INDEX('qtrP&amp;L'!134:134,MATCH(F5,'qtrP&amp;L'!6:6,0))</f>
        <v>-185</v>
      </c>
      <c r="G50" s="615">
        <f>INDEX('qtrP&amp;L'!134:134,MATCH(G5,'qtrP&amp;L'!6:6,0))</f>
        <v>-164</v>
      </c>
      <c r="H50" s="615">
        <f>INDEX('qtrP&amp;L'!134:134,MATCH(H5,'qtrP&amp;L'!6:6,0))</f>
        <v>-211</v>
      </c>
      <c r="I50" s="615">
        <f>INDEX('qtrP&amp;L'!134:134,MATCH(I5,'qtrP&amp;L'!6:6,0))</f>
        <v>-223</v>
      </c>
      <c r="J50" s="615">
        <f>INDEX('qtrP&amp;L'!134:134,MATCH(J5,'qtrP&amp;L'!6:6,0))</f>
        <v>-123</v>
      </c>
      <c r="K50" s="615">
        <f>INDEX('qtrP&amp;L'!134:134,MATCH(K5,'qtrP&amp;L'!6:6,0))</f>
        <v>-133.5</v>
      </c>
      <c r="L50" s="615">
        <f>INDEX('qtrP&amp;L'!134:134,MATCH(L5,'qtrP&amp;L'!6:6,0))</f>
        <v>155</v>
      </c>
      <c r="M50" s="615">
        <f>INDEX('qtrP&amp;L'!134:134,MATCH(M5,'qtrP&amp;L'!6:6,0))</f>
        <v>163</v>
      </c>
      <c r="N50" s="615">
        <f>INDEX('qtrP&amp;L'!134:134,MATCH(N5,'qtrP&amp;L'!6:6,0))</f>
        <v>176</v>
      </c>
      <c r="O50" s="615">
        <f>INDEX('qtrP&amp;L'!134:134,MATCH(O5,'qtrP&amp;L'!6:6,0))</f>
        <v>158</v>
      </c>
      <c r="P50" s="615">
        <f>INDEX('qtrP&amp;L'!134:134,MATCH(P5,'qtrP&amp;L'!6:6,0))</f>
        <v>0</v>
      </c>
      <c r="Q50" s="615">
        <f>INDEX('qtrP&amp;L'!134:134,MATCH(Q5,'qtrP&amp;L'!6:6,0))</f>
        <v>0</v>
      </c>
      <c r="R50" s="615">
        <f>INDEX('qtrP&amp;L'!134:134,MATCH(R5,'qtrP&amp;L'!6:6,0))</f>
        <v>0</v>
      </c>
      <c r="S50" s="615">
        <f>INDEX('qtrP&amp;L'!134:134,MATCH(S5,'qtrP&amp;L'!6:6,0))</f>
        <v>29</v>
      </c>
      <c r="T50" s="615">
        <f>INDEX('qtrP&amp;L'!134:134,MATCH(T5,'qtrP&amp;L'!6:6,0))</f>
        <v>17</v>
      </c>
      <c r="U50" s="1006">
        <f>INDEX('qtrP&amp;L'!134:134,MATCH(U5,'qtrP&amp;L'!6:6,0))</f>
        <v>-16</v>
      </c>
      <c r="V50" s="1006">
        <f>INDEX('qtrP&amp;L'!134:134,MATCH(V5,'qtrP&amp;L'!6:6,0))</f>
        <v>5</v>
      </c>
      <c r="W50" s="1006">
        <f>INDEX('qtrP&amp;L'!134:134,MATCH(W5,'qtrP&amp;L'!6:6,0))</f>
        <v>1</v>
      </c>
      <c r="X50" s="1006">
        <f>INDEX('qtrP&amp;L'!134:134,MATCH(X5,'qtrP&amp;L'!6:6,0))</f>
        <v>0</v>
      </c>
      <c r="Y50" s="1006">
        <f>INDEX('qtrP&amp;L'!134:134,MATCH(Y5,'qtrP&amp;L'!6:6,0))</f>
        <v>20</v>
      </c>
      <c r="Z50" s="1006">
        <f>INDEX('qtrP&amp;L'!134:134,MATCH(Z5,'qtrP&amp;L'!6:6,0))</f>
        <v>658</v>
      </c>
      <c r="AA50" s="1006">
        <f>INDEX('qtrP&amp;L'!134:134,MATCH(AA5,'qtrP&amp;L'!6:6,0))</f>
        <v>-46</v>
      </c>
      <c r="AB50" s="1006">
        <f>INDEX('qtrP&amp;L'!134:134,MATCH(AB5,'qtrP&amp;L'!6:6,0))</f>
        <v>329</v>
      </c>
      <c r="AC50" s="1006">
        <f>INDEX('qtrP&amp;L'!134:134,MATCH(AC5,'qtrP&amp;L'!6:6,0))</f>
        <v>121</v>
      </c>
      <c r="AD50" s="1006">
        <f>INDEX('qtrP&amp;L'!134:134,MATCH(AD5,'qtrP&amp;L'!6:6,0))</f>
        <v>41</v>
      </c>
      <c r="AE50" s="1006">
        <f>INDEX('qtrP&amp;L'!134:134,MATCH(AE5,'qtrP&amp;L'!6:6,0))</f>
        <v>39</v>
      </c>
      <c r="AF50" s="1006">
        <f>INDEX('qtrP&amp;L'!134:134,MATCH(AF5,'qtrP&amp;L'!6:6,0))</f>
        <v>41</v>
      </c>
      <c r="AG50" s="1006">
        <f>INDEX('qtrP&amp;L'!134:134,MATCH(AG5,'qtrP&amp;L'!6:6,0))</f>
        <v>0</v>
      </c>
      <c r="AH50" s="1392">
        <v>0</v>
      </c>
      <c r="AI50" s="1392">
        <v>0</v>
      </c>
      <c r="AJ50" s="1392">
        <v>0</v>
      </c>
      <c r="AK50" s="1392">
        <v>0</v>
      </c>
      <c r="AL50" s="1014"/>
      <c r="AM50" s="960"/>
      <c r="AN50" s="507"/>
      <c r="AO50" s="509"/>
      <c r="AP50" s="961"/>
      <c r="AT50" s="398">
        <f>AT47*AT48</f>
        <v>17.490000000000002</v>
      </c>
      <c r="AU50" s="398">
        <f>100*AU48</f>
        <v>5.75</v>
      </c>
      <c r="AV50" s="398">
        <f>AT50+AU50</f>
        <v>23.240000000000002</v>
      </c>
    </row>
    <row r="51" spans="1:48" outlineLevel="1">
      <c r="A51" s="400"/>
      <c r="B51" s="1020"/>
      <c r="C51" s="1020"/>
      <c r="D51" s="1020"/>
      <c r="E51" s="1020"/>
      <c r="F51" s="1020"/>
      <c r="G51" s="1020"/>
      <c r="H51" s="1020"/>
      <c r="I51" s="1020"/>
      <c r="J51" s="1020"/>
      <c r="K51" s="1020"/>
      <c r="L51" s="1020"/>
      <c r="M51" s="1020"/>
      <c r="N51" s="1020"/>
      <c r="O51" s="1020"/>
      <c r="P51" s="1020"/>
      <c r="Q51" s="1020"/>
      <c r="R51" s="1020"/>
      <c r="S51" s="1020"/>
      <c r="T51" s="1020"/>
      <c r="U51" s="1021"/>
      <c r="V51" s="1021"/>
      <c r="W51" s="1021"/>
      <c r="X51" s="1021"/>
      <c r="Y51" s="1021"/>
      <c r="Z51" s="1021"/>
      <c r="AA51" s="1021"/>
      <c r="AB51" s="1026"/>
      <c r="AC51" s="1026"/>
      <c r="AD51" s="1026"/>
      <c r="AE51" s="1026"/>
      <c r="AF51" s="1026"/>
      <c r="AG51" s="1026"/>
      <c r="AH51" s="1309"/>
      <c r="AI51" s="1309"/>
      <c r="AJ51" s="1309"/>
      <c r="AK51" s="1309"/>
      <c r="AL51" s="1026"/>
      <c r="AM51" s="960"/>
      <c r="AN51" s="507"/>
      <c r="AO51" s="509"/>
      <c r="AP51" s="961"/>
    </row>
    <row r="52" spans="1:48" outlineLevel="1">
      <c r="AM52" s="960"/>
      <c r="AN52" s="507"/>
      <c r="AO52" s="509"/>
      <c r="AP52" s="961"/>
    </row>
    <row r="53" spans="1:48" outlineLevel="1">
      <c r="A53" s="507" t="s">
        <v>436</v>
      </c>
      <c r="B53" s="615">
        <f t="shared" ref="B53:U53" si="31">B7-B11-B36-B39-B47-B50</f>
        <v>1202</v>
      </c>
      <c r="C53" s="615">
        <f t="shared" si="31"/>
        <v>832</v>
      </c>
      <c r="D53" s="615">
        <f t="shared" si="31"/>
        <v>863</v>
      </c>
      <c r="E53" s="615">
        <f t="shared" si="31"/>
        <v>1259</v>
      </c>
      <c r="F53" s="615">
        <f t="shared" si="31"/>
        <v>1554</v>
      </c>
      <c r="G53" s="615">
        <f t="shared" si="31"/>
        <v>1699</v>
      </c>
      <c r="H53" s="615">
        <f t="shared" si="31"/>
        <v>1341.2</v>
      </c>
      <c r="I53" s="615">
        <f t="shared" si="31"/>
        <v>1263</v>
      </c>
      <c r="J53" s="615">
        <f t="shared" si="31"/>
        <v>1303</v>
      </c>
      <c r="K53" s="615">
        <f t="shared" si="31"/>
        <v>1047.5473766566902</v>
      </c>
      <c r="L53" s="615">
        <f t="shared" si="31"/>
        <v>586</v>
      </c>
      <c r="M53" s="615">
        <f t="shared" si="31"/>
        <v>-135</v>
      </c>
      <c r="N53" s="615">
        <f t="shared" si="31"/>
        <v>226</v>
      </c>
      <c r="O53" s="615">
        <f t="shared" si="31"/>
        <v>584</v>
      </c>
      <c r="P53" s="615">
        <f t="shared" si="31"/>
        <v>275</v>
      </c>
      <c r="Q53" s="615">
        <f t="shared" si="31"/>
        <v>412</v>
      </c>
      <c r="R53" s="615">
        <f t="shared" si="31"/>
        <v>539</v>
      </c>
      <c r="S53" s="615">
        <f t="shared" si="31"/>
        <v>1005</v>
      </c>
      <c r="T53" s="615">
        <f t="shared" si="31"/>
        <v>1444.0839999999989</v>
      </c>
      <c r="U53" s="1006">
        <f t="shared" si="31"/>
        <v>1794</v>
      </c>
      <c r="V53" s="1027">
        <f>V7-V11-V36-V39-V47-V50-1</f>
        <v>1719.0699999999997</v>
      </c>
      <c r="W53" s="1027">
        <f t="shared" ref="W53:AF53" si="32">W7-W11-W36-W39-W47-W50</f>
        <v>902.86917741935235</v>
      </c>
      <c r="X53" s="1006">
        <f t="shared" si="32"/>
        <v>403</v>
      </c>
      <c r="Y53" s="1006">
        <f t="shared" si="32"/>
        <v>613</v>
      </c>
      <c r="Z53" s="1006">
        <f t="shared" si="32"/>
        <v>-228.6783730736779</v>
      </c>
      <c r="AA53" s="1006">
        <f t="shared" si="32"/>
        <v>-1536</v>
      </c>
      <c r="AB53" s="1006">
        <f t="shared" si="32"/>
        <v>-1886</v>
      </c>
      <c r="AC53" s="1006">
        <f t="shared" si="32"/>
        <v>-748</v>
      </c>
      <c r="AD53" s="1006">
        <f>AD7-AD11-AD36-AD39-AD47-AD50</f>
        <v>-564.75</v>
      </c>
      <c r="AE53" s="1006">
        <f>AE7-AE11-AE36-AE39-AE47-AE50</f>
        <v>2</v>
      </c>
      <c r="AF53" s="1006">
        <f t="shared" si="32"/>
        <v>-13</v>
      </c>
      <c r="AG53" s="1299">
        <f>AG7-AG11-AG36-AG39-AG47-AG50</f>
        <v>39.320335999998861</v>
      </c>
      <c r="AH53" s="1299">
        <f>AH7-AH11-AH36-AH39-AH47-AH50</f>
        <v>-15.201141993255078</v>
      </c>
      <c r="AI53" s="1299">
        <f>AI7-AI11-AI36-AI39-AI47-AI50</f>
        <v>-30.961796747183598</v>
      </c>
      <c r="AJ53" s="1299">
        <f>AJ7-AJ11-AJ36-AJ39-AJ47-AJ50</f>
        <v>-126.52799288049573</v>
      </c>
      <c r="AK53" s="1299">
        <f>AK7-AK11-AK36-AK39-AK47-AK50</f>
        <v>-254.11425232284682</v>
      </c>
      <c r="AL53" s="1006"/>
      <c r="AM53" s="983" t="s">
        <v>366</v>
      </c>
      <c r="AN53" s="507" t="s">
        <v>156</v>
      </c>
      <c r="AO53" s="984" t="s">
        <v>366</v>
      </c>
      <c r="AP53" s="961" t="s">
        <v>156</v>
      </c>
    </row>
    <row r="54" spans="1:48" outlineLevel="1">
      <c r="A54" s="993" t="s">
        <v>92</v>
      </c>
      <c r="B54" s="994">
        <f>IF(B53=0,"NA",B53/B$7)</f>
        <v>7.4644476184561881E-2</v>
      </c>
      <c r="C54" s="994">
        <f t="shared" ref="C54:AF54" si="33">IF(C53=0,"NA",C53/C$7)</f>
        <v>5.0840207760464405E-2</v>
      </c>
      <c r="D54" s="994">
        <f t="shared" si="33"/>
        <v>5.3268316770569715E-2</v>
      </c>
      <c r="E54" s="994">
        <f t="shared" si="33"/>
        <v>6.9909489699594651E-2</v>
      </c>
      <c r="F54" s="994">
        <f t="shared" si="33"/>
        <v>8.1862719275140911E-2</v>
      </c>
      <c r="G54" s="994">
        <f t="shared" si="33"/>
        <v>8.3366045142296369E-2</v>
      </c>
      <c r="H54" s="994">
        <f t="shared" si="33"/>
        <v>6.5227117984631849E-2</v>
      </c>
      <c r="I54" s="994">
        <f t="shared" si="33"/>
        <v>5.57566660780505E-2</v>
      </c>
      <c r="J54" s="994">
        <f t="shared" si="33"/>
        <v>4.4197658168595576E-2</v>
      </c>
      <c r="K54" s="994">
        <f t="shared" si="33"/>
        <v>3.5584869103087509E-2</v>
      </c>
      <c r="L54" s="994">
        <f t="shared" si="33"/>
        <v>1.8460763002866774E-2</v>
      </c>
      <c r="M54" s="994">
        <f t="shared" si="33"/>
        <v>-4.2391509137725304E-3</v>
      </c>
      <c r="N54" s="994">
        <f t="shared" si="33"/>
        <v>7.0616172978377701E-3</v>
      </c>
      <c r="O54" s="994">
        <f t="shared" si="33"/>
        <v>1.8054224503045106E-2</v>
      </c>
      <c r="P54" s="994">
        <f t="shared" si="33"/>
        <v>1.5414798206278026E-2</v>
      </c>
      <c r="Q54" s="994">
        <f t="shared" si="33"/>
        <v>2.3699953980671883E-2</v>
      </c>
      <c r="R54" s="994">
        <f t="shared" si="33"/>
        <v>3.0777136983954775E-2</v>
      </c>
      <c r="S54" s="994">
        <f t="shared" si="33"/>
        <v>5.5537135278514588E-2</v>
      </c>
      <c r="T54" s="994">
        <f t="shared" si="33"/>
        <v>7.6890343496679905E-2</v>
      </c>
      <c r="U54" s="1003">
        <f t="shared" si="33"/>
        <v>9.0127710060864841E-2</v>
      </c>
      <c r="V54" s="1003">
        <f t="shared" si="33"/>
        <v>8.6572493327290112E-2</v>
      </c>
      <c r="W54" s="1003">
        <f t="shared" si="33"/>
        <v>4.8839293061548543E-2</v>
      </c>
      <c r="X54" s="1003">
        <f t="shared" si="33"/>
        <v>2.2950566346375663E-2</v>
      </c>
      <c r="Y54" s="1003">
        <f t="shared" si="33"/>
        <v>3.4517709330480317E-2</v>
      </c>
      <c r="Z54" s="1003">
        <f t="shared" si="33"/>
        <v>-1.3249036678660365E-2</v>
      </c>
      <c r="AA54" s="1003">
        <f t="shared" si="33"/>
        <v>-0.1182903350019253</v>
      </c>
      <c r="AB54" s="1003">
        <f t="shared" si="33"/>
        <v>-0.15903533181549878</v>
      </c>
      <c r="AC54" s="1003">
        <f t="shared" si="33"/>
        <v>-6.1026352288488211E-2</v>
      </c>
      <c r="AD54" s="1003">
        <f>IF(AD53=0,"NA",AD53/AD$7)</f>
        <v>-4.4732673267326731E-2</v>
      </c>
      <c r="AE54" s="1003">
        <f>IF(AE53=0,"NA",AE53/AE$7)</f>
        <v>1.5940065354267953E-4</v>
      </c>
      <c r="AF54" s="1003">
        <f t="shared" si="33"/>
        <v>-1.0395010395010396E-3</v>
      </c>
      <c r="AG54" s="1003">
        <f>IF(AG53=0,"NA",AG53/AG$7)</f>
        <v>3.2620004420088025E-3</v>
      </c>
      <c r="AH54" s="1298">
        <f>IF(AH53=0,"NA",AH53/AH$7)</f>
        <v>-1.2964212717869173E-3</v>
      </c>
      <c r="AI54" s="1298">
        <f>IF(AI53=0,"NA",AI53/AI$7)</f>
        <v>-2.7333155325851509E-3</v>
      </c>
      <c r="AJ54" s="1298">
        <f>IF(AJ53=0,"NA",AJ53/AJ$7)</f>
        <v>-1.1650629038946229E-2</v>
      </c>
      <c r="AK54" s="1298">
        <f>IF(AK53=0,"NA",AK53/AK$7)</f>
        <v>-2.4713955227876283E-2</v>
      </c>
      <c r="AL54" s="1003"/>
      <c r="AM54" s="1028"/>
      <c r="AN54" s="507"/>
      <c r="AO54" s="507"/>
      <c r="AP54" s="961"/>
      <c r="AT54" s="587"/>
    </row>
    <row r="55" spans="1:48" outlineLevel="1">
      <c r="A55" s="400"/>
      <c r="B55" s="1020"/>
      <c r="C55" s="1020"/>
      <c r="D55" s="1020"/>
      <c r="E55" s="1020"/>
      <c r="F55" s="1020"/>
      <c r="G55" s="1020"/>
      <c r="H55" s="1020"/>
      <c r="I55" s="1020"/>
      <c r="J55" s="1020"/>
      <c r="K55" s="1020"/>
      <c r="L55" s="1020"/>
      <c r="M55" s="1020"/>
      <c r="N55" s="1020"/>
      <c r="O55" s="1020"/>
      <c r="P55" s="1020"/>
      <c r="Q55" s="1020"/>
      <c r="R55" s="1020"/>
      <c r="S55" s="1020"/>
      <c r="T55" s="1020"/>
      <c r="U55" s="1021"/>
      <c r="V55" s="1021"/>
      <c r="W55" s="1021"/>
      <c r="X55" s="1021"/>
      <c r="Y55" s="1021"/>
      <c r="Z55" s="1021"/>
      <c r="AA55" s="1021"/>
      <c r="AB55" s="1021"/>
      <c r="AC55" s="1021"/>
      <c r="AD55" s="1021"/>
      <c r="AE55" s="1021"/>
      <c r="AF55" s="1021"/>
      <c r="AG55" s="1021"/>
      <c r="AH55" s="1308"/>
      <c r="AI55" s="1308"/>
      <c r="AJ55" s="1308"/>
      <c r="AK55" s="1308"/>
      <c r="AL55" s="1021"/>
      <c r="AM55" s="1028"/>
      <c r="AN55" s="507"/>
      <c r="AO55" s="507"/>
      <c r="AP55" s="961"/>
    </row>
    <row r="56" spans="1:48">
      <c r="A56" s="507" t="s">
        <v>437</v>
      </c>
      <c r="B56" s="615">
        <f>INDEX('qtrP&amp;L'!154:154,MATCH(B5,'qtrP&amp;L'!6:6,0))</f>
        <v>380</v>
      </c>
      <c r="C56" s="615">
        <f>INDEX('qtrP&amp;L'!154:154,MATCH(C5,'qtrP&amp;L'!6:6,0))</f>
        <v>255</v>
      </c>
      <c r="D56" s="615">
        <f>INDEX('qtrP&amp;L'!154:154,MATCH(D5,'qtrP&amp;L'!6:6,0))</f>
        <v>335</v>
      </c>
      <c r="E56" s="615">
        <f>INDEX('qtrP&amp;L'!154:154,MATCH(E5,'qtrP&amp;L'!6:6,0))</f>
        <v>482</v>
      </c>
      <c r="F56" s="615">
        <f>INDEX('qtrP&amp;L'!154:154,MATCH(F5,'qtrP&amp;L'!6:6,0))</f>
        <v>596</v>
      </c>
      <c r="G56" s="615">
        <f>INDEX('qtrP&amp;L'!154:154,MATCH(G5,'qtrP&amp;L'!6:6,0))</f>
        <v>642</v>
      </c>
      <c r="H56" s="615">
        <f>INDEX('qtrP&amp;L'!154:154,MATCH(H5,'qtrP&amp;L'!6:6,0))</f>
        <v>503</v>
      </c>
      <c r="I56" s="615">
        <f>INDEX('qtrP&amp;L'!154:154,MATCH(I5,'qtrP&amp;L'!6:6,0))</f>
        <v>470</v>
      </c>
      <c r="J56" s="615">
        <f>INDEX('qtrP&amp;L'!154:154,MATCH(J5,'qtrP&amp;L'!6:6,0))</f>
        <v>507.27300000000002</v>
      </c>
      <c r="K56" s="615">
        <f>INDEX('qtrP&amp;L'!154:154,MATCH(K5,'qtrP&amp;L'!6:6,0))</f>
        <v>398</v>
      </c>
      <c r="L56" s="615">
        <f>INDEX('qtrP&amp;L'!154:154,MATCH(L5,'qtrP&amp;L'!6:6,0))</f>
        <v>201.87200000000001</v>
      </c>
      <c r="M56" s="615">
        <f>INDEX('qtrP&amp;L'!154:154,MATCH(M5,'qtrP&amp;L'!6:6,0))</f>
        <v>-46.44</v>
      </c>
      <c r="N56" s="615">
        <f>INDEX('qtrP&amp;L'!154:154,MATCH(N5,'qtrP&amp;L'!6:6,0))</f>
        <v>86.564999999999998</v>
      </c>
      <c r="O56" s="615">
        <f>INDEX('qtrP&amp;L'!154:154,MATCH(O5,'qtrP&amp;L'!6:6,0))</f>
        <v>209.66499999999999</v>
      </c>
      <c r="P56" s="615">
        <f>INDEX('qtrP&amp;L'!154:154,MATCH(P5,'qtrP&amp;L'!6:6,0))</f>
        <v>91</v>
      </c>
      <c r="Q56" s="615">
        <f>INDEX('qtrP&amp;L'!154:154,MATCH(Q5,'qtrP&amp;L'!6:6,0))</f>
        <v>130</v>
      </c>
      <c r="R56" s="615">
        <f>INDEX('qtrP&amp;L'!154:154,MATCH(R5,'qtrP&amp;L'!6:6,0))</f>
        <v>179</v>
      </c>
      <c r="S56" s="615">
        <f>INDEX('qtrP&amp;L'!154:154,MATCH(S5,'qtrP&amp;L'!6:6,0))</f>
        <v>347.63</v>
      </c>
      <c r="T56" s="615">
        <f>INDEX('qtrP&amp;L'!154:154,MATCH(T5,'qtrP&amp;L'!6:6,0))</f>
        <v>515.96840520446096</v>
      </c>
      <c r="U56" s="1006">
        <f>INDEX('qtrP&amp;L'!154:154,MATCH(U5,'qtrP&amp;L'!6:6,0))</f>
        <v>657.61206896551721</v>
      </c>
      <c r="V56" s="1006">
        <f>INDEX('qtrP&amp;L'!154:154,MATCH(V5,'qtrP&amp;L'!6:6,0))</f>
        <v>650</v>
      </c>
      <c r="W56" s="1006">
        <f>INDEX('qtrP&amp;L'!154:154,MATCH(W5,'qtrP&amp;L'!6:6,0))</f>
        <v>340.27129677419322</v>
      </c>
      <c r="X56" s="1006">
        <f>INDEX('qtrP&amp;L'!154:154,MATCH(X5,'qtrP&amp;L'!6:6,0))</f>
        <v>153.41800000000001</v>
      </c>
      <c r="Y56" s="1006">
        <f>INDEX('qtrP&amp;L'!154:154,MATCH(Y5,'qtrP&amp;L'!6:6,0))</f>
        <v>214.52</v>
      </c>
      <c r="Z56" s="1006">
        <f>INDEX('qtrP&amp;L'!154:154,MATCH(Z5,'qtrP&amp;L'!6:6,0))</f>
        <v>-77</v>
      </c>
      <c r="AA56" s="1006">
        <f>INDEX('qtrP&amp;L'!154:154,MATCH(AA5,'qtrP&amp;L'!6:6,0))</f>
        <v>-551</v>
      </c>
      <c r="AB56" s="1006">
        <f>INDEX('qtrP&amp;L'!154:154,MATCH(AB5,'qtrP&amp;L'!6:6,0))</f>
        <v>-498</v>
      </c>
      <c r="AC56" s="1006">
        <f>INDEX('qtrP&amp;L'!154:154,MATCH(AC5,'qtrP&amp;L'!6:6,0))</f>
        <v>23</v>
      </c>
      <c r="AD56" s="1006">
        <f>INDEX('qtrP&amp;L'!154:154,MATCH(AD5,'qtrP&amp;L'!6:6,0))</f>
        <v>-18</v>
      </c>
      <c r="AE56" s="1006">
        <f>INDEX('qtrP&amp;L'!154:154,MATCH(AE5,'qtrP&amp;L'!6:6,0))</f>
        <v>1</v>
      </c>
      <c r="AF56" s="1006">
        <f>INDEX('qtrP&amp;L'!154:154,MATCH(AF5,'qtrP&amp;L'!6:6,0))</f>
        <v>-80.680000000000007</v>
      </c>
      <c r="AG56" s="1006">
        <f>INDEX('qtrP&amp;L'!154:154,MATCH(AG5,'qtrP&amp;L'!6:6,0))</f>
        <v>17</v>
      </c>
      <c r="AH56" s="1299">
        <f>AH57*AH53</f>
        <v>0</v>
      </c>
      <c r="AI56" s="1299">
        <f>AI57*AI53</f>
        <v>0</v>
      </c>
      <c r="AJ56" s="1299">
        <f>AJ57*AJ53</f>
        <v>0</v>
      </c>
      <c r="AK56" s="1299">
        <f>AK57*AK53</f>
        <v>0</v>
      </c>
      <c r="AL56" s="1006"/>
      <c r="AM56" s="983"/>
      <c r="AN56" s="507"/>
      <c r="AO56" s="984"/>
      <c r="AP56" s="961"/>
    </row>
    <row r="57" spans="1:48">
      <c r="A57" s="993" t="s">
        <v>75</v>
      </c>
      <c r="B57" s="994">
        <f t="shared" ref="B57:AC57" si="34">B56/B53</f>
        <v>0.31613976705490848</v>
      </c>
      <c r="C57" s="994">
        <f t="shared" si="34"/>
        <v>0.30649038461538464</v>
      </c>
      <c r="D57" s="994">
        <f t="shared" si="34"/>
        <v>0.38818076477404401</v>
      </c>
      <c r="E57" s="994">
        <f t="shared" si="34"/>
        <v>0.38284352660841936</v>
      </c>
      <c r="F57" s="994">
        <f t="shared" si="34"/>
        <v>0.38352638352638352</v>
      </c>
      <c r="G57" s="994">
        <f t="shared" si="34"/>
        <v>0.37786933490288405</v>
      </c>
      <c r="H57" s="994">
        <f t="shared" si="34"/>
        <v>0.37503728004771847</v>
      </c>
      <c r="I57" s="994">
        <f t="shared" si="34"/>
        <v>0.37212984956452888</v>
      </c>
      <c r="J57" s="994">
        <f t="shared" si="34"/>
        <v>0.38931158864159632</v>
      </c>
      <c r="K57" s="994">
        <f t="shared" si="34"/>
        <v>0.3799350834806543</v>
      </c>
      <c r="L57" s="994">
        <f t="shared" si="34"/>
        <v>0.34449146757679183</v>
      </c>
      <c r="M57" s="994">
        <f t="shared" si="34"/>
        <v>0.34399999999999997</v>
      </c>
      <c r="N57" s="994">
        <f t="shared" si="34"/>
        <v>0.38303097345132742</v>
      </c>
      <c r="O57" s="994">
        <f t="shared" si="34"/>
        <v>0.3590154109589041</v>
      </c>
      <c r="P57" s="994">
        <f t="shared" si="34"/>
        <v>0.33090909090909093</v>
      </c>
      <c r="Q57" s="994">
        <f t="shared" si="34"/>
        <v>0.3155339805825243</v>
      </c>
      <c r="R57" s="994">
        <f t="shared" si="34"/>
        <v>0.33209647495361783</v>
      </c>
      <c r="S57" s="994">
        <f t="shared" si="34"/>
        <v>0.34590049751243779</v>
      </c>
      <c r="T57" s="994">
        <f t="shared" si="34"/>
        <v>0.35729805551786553</v>
      </c>
      <c r="U57" s="1003">
        <f t="shared" si="34"/>
        <v>0.36656191135201627</v>
      </c>
      <c r="V57" s="1003">
        <f t="shared" si="34"/>
        <v>0.37811142071003512</v>
      </c>
      <c r="W57" s="1003">
        <f t="shared" si="34"/>
        <v>0.37687774185268114</v>
      </c>
      <c r="X57" s="1003">
        <f t="shared" si="34"/>
        <v>0.38068982630272952</v>
      </c>
      <c r="Y57" s="1003">
        <f t="shared" si="34"/>
        <v>0.34995106035889073</v>
      </c>
      <c r="Z57" s="1003">
        <f t="shared" si="34"/>
        <v>0.33671745589685198</v>
      </c>
      <c r="AA57" s="1003">
        <f t="shared" si="34"/>
        <v>0.35872395833333331</v>
      </c>
      <c r="AB57" s="1003">
        <f t="shared" si="34"/>
        <v>0.26405090137857901</v>
      </c>
      <c r="AC57" s="1003">
        <f t="shared" si="34"/>
        <v>-3.074866310160428E-2</v>
      </c>
      <c r="AD57" s="1003">
        <f>AD56/AD53</f>
        <v>3.1872509960159362E-2</v>
      </c>
      <c r="AE57" s="1003">
        <f>AE56/AE53</f>
        <v>0.5</v>
      </c>
      <c r="AF57" s="1003">
        <f>AF56/AF53</f>
        <v>6.206153846153847</v>
      </c>
      <c r="AG57" s="1003">
        <f>AG56/AG53</f>
        <v>0.43234625462001375</v>
      </c>
      <c r="AH57" s="1394">
        <v>0</v>
      </c>
      <c r="AI57" s="1394">
        <v>0</v>
      </c>
      <c r="AJ57" s="1394">
        <v>0</v>
      </c>
      <c r="AK57" s="1394">
        <v>0</v>
      </c>
      <c r="AL57" s="977"/>
      <c r="AM57" s="1028"/>
      <c r="AN57" s="507"/>
      <c r="AO57" s="507"/>
      <c r="AP57" s="961"/>
    </row>
    <row r="58" spans="1:48">
      <c r="A58" s="400"/>
      <c r="B58" s="1020"/>
      <c r="C58" s="1020"/>
      <c r="D58" s="1020"/>
      <c r="E58" s="1020"/>
      <c r="F58" s="1020"/>
      <c r="G58" s="1020"/>
      <c r="H58" s="1020"/>
      <c r="I58" s="1020"/>
      <c r="J58" s="1020"/>
      <c r="K58" s="1020"/>
      <c r="L58" s="1020"/>
      <c r="M58" s="1020"/>
      <c r="N58" s="1020"/>
      <c r="O58" s="1020"/>
      <c r="P58" s="1020"/>
      <c r="Q58" s="1020"/>
      <c r="R58" s="1020"/>
      <c r="S58" s="1020"/>
      <c r="T58" s="1020"/>
      <c r="U58" s="1021"/>
      <c r="V58" s="1021"/>
      <c r="W58" s="1021"/>
      <c r="X58" s="1021"/>
      <c r="Y58" s="1021"/>
      <c r="Z58" s="1021"/>
      <c r="AA58" s="1021"/>
      <c r="AB58" s="1021"/>
      <c r="AC58" s="1021"/>
      <c r="AD58" s="1021"/>
      <c r="AE58" s="1021"/>
      <c r="AF58" s="1021"/>
      <c r="AG58" s="1021"/>
      <c r="AH58" s="1308"/>
      <c r="AI58" s="1308"/>
      <c r="AJ58" s="1308"/>
      <c r="AK58" s="1308"/>
      <c r="AL58" s="1021"/>
      <c r="AM58" s="1028"/>
      <c r="AN58" s="507"/>
      <c r="AO58" s="507"/>
      <c r="AP58" s="961"/>
    </row>
    <row r="59" spans="1:48">
      <c r="A59" s="507" t="s">
        <v>438</v>
      </c>
      <c r="B59" s="615">
        <f t="shared" ref="B59:R59" si="35">B53-B56</f>
        <v>822</v>
      </c>
      <c r="C59" s="615">
        <f t="shared" si="35"/>
        <v>577</v>
      </c>
      <c r="D59" s="615">
        <f t="shared" si="35"/>
        <v>528</v>
      </c>
      <c r="E59" s="615">
        <f t="shared" si="35"/>
        <v>777</v>
      </c>
      <c r="F59" s="615">
        <f t="shared" si="35"/>
        <v>958</v>
      </c>
      <c r="G59" s="615">
        <f t="shared" si="35"/>
        <v>1057</v>
      </c>
      <c r="H59" s="615">
        <f t="shared" si="35"/>
        <v>838.2</v>
      </c>
      <c r="I59" s="615">
        <f t="shared" si="35"/>
        <v>793</v>
      </c>
      <c r="J59" s="615">
        <f t="shared" si="35"/>
        <v>795.72699999999998</v>
      </c>
      <c r="K59" s="615">
        <f t="shared" si="35"/>
        <v>649.54737665669018</v>
      </c>
      <c r="L59" s="615">
        <f t="shared" si="35"/>
        <v>384.12799999999999</v>
      </c>
      <c r="M59" s="615">
        <f t="shared" si="35"/>
        <v>-88.56</v>
      </c>
      <c r="N59" s="615">
        <f t="shared" si="35"/>
        <v>139.435</v>
      </c>
      <c r="O59" s="615">
        <f t="shared" si="35"/>
        <v>374.33500000000004</v>
      </c>
      <c r="P59" s="615">
        <f t="shared" si="35"/>
        <v>184</v>
      </c>
      <c r="Q59" s="615">
        <f t="shared" si="35"/>
        <v>282</v>
      </c>
      <c r="R59" s="615">
        <f t="shared" si="35"/>
        <v>360</v>
      </c>
      <c r="S59" s="615">
        <f>S53-S56+26</f>
        <v>683.37</v>
      </c>
      <c r="T59" s="615">
        <f t="shared" ref="T59:AC59" si="36">T53-T56</f>
        <v>928.11559479553796</v>
      </c>
      <c r="U59" s="1006">
        <f t="shared" si="36"/>
        <v>1136.3879310344828</v>
      </c>
      <c r="V59" s="1006">
        <f t="shared" si="36"/>
        <v>1069.0699999999997</v>
      </c>
      <c r="W59" s="1006">
        <f t="shared" si="36"/>
        <v>562.59788064515919</v>
      </c>
      <c r="X59" s="1006">
        <f t="shared" si="36"/>
        <v>249.58199999999999</v>
      </c>
      <c r="Y59" s="1006">
        <f t="shared" si="36"/>
        <v>398.48</v>
      </c>
      <c r="Z59" s="1006">
        <f t="shared" si="36"/>
        <v>-151.6783730736779</v>
      </c>
      <c r="AA59" s="1006">
        <f t="shared" si="36"/>
        <v>-985</v>
      </c>
      <c r="AB59" s="1006">
        <f t="shared" si="36"/>
        <v>-1388</v>
      </c>
      <c r="AC59" s="1006">
        <f t="shared" si="36"/>
        <v>-771</v>
      </c>
      <c r="AD59" s="1006">
        <f>AD53-AD56</f>
        <v>-546.75</v>
      </c>
      <c r="AE59" s="1006">
        <f>AE53-AE56</f>
        <v>1</v>
      </c>
      <c r="AF59" s="1006">
        <f>(AF62+AF53-AF56)</f>
        <v>-116.32</v>
      </c>
      <c r="AG59" s="1006">
        <f>(AG62+AG53-AG56)</f>
        <v>22.320335999998861</v>
      </c>
      <c r="AH59" s="1345">
        <f>AH53-AH56</f>
        <v>-15.201141993255078</v>
      </c>
      <c r="AI59" s="1345">
        <f>AI53-AI56</f>
        <v>-30.961796747183598</v>
      </c>
      <c r="AJ59" s="1345">
        <f>AJ53-AJ56</f>
        <v>-126.52799288049573</v>
      </c>
      <c r="AK59" s="1345">
        <f>AK53-AK56</f>
        <v>-254.11425232284682</v>
      </c>
      <c r="AL59" s="1006"/>
      <c r="AM59" s="1557" t="s">
        <v>366</v>
      </c>
      <c r="AN59" s="507" t="s">
        <v>156</v>
      </c>
      <c r="AO59" s="509">
        <f>((AJ59/AE59)^(1/5)-1)*100</f>
        <v>-363.29179405209499</v>
      </c>
      <c r="AP59" s="961" t="s">
        <v>156</v>
      </c>
    </row>
    <row r="60" spans="1:48" outlineLevel="1">
      <c r="A60" s="993" t="s">
        <v>92</v>
      </c>
      <c r="B60" s="994">
        <f t="shared" ref="B60:AF60" si="37">B59/B7</f>
        <v>5.1046388871638822E-2</v>
      </c>
      <c r="C60" s="994">
        <f t="shared" si="37"/>
        <v>3.525817293003361E-2</v>
      </c>
      <c r="D60" s="994">
        <f t="shared" si="37"/>
        <v>3.2590580828343929E-2</v>
      </c>
      <c r="E60" s="994">
        <f t="shared" si="37"/>
        <v>4.3145094119606861E-2</v>
      </c>
      <c r="F60" s="994">
        <f t="shared" si="37"/>
        <v>5.046620660591055E-2</v>
      </c>
      <c r="G60" s="994">
        <f t="shared" si="37"/>
        <v>5.1864573110893035E-2</v>
      </c>
      <c r="H60" s="994">
        <f t="shared" si="37"/>
        <v>4.07645170703239E-2</v>
      </c>
      <c r="I60" s="994">
        <f t="shared" si="37"/>
        <v>3.5007946318205897E-2</v>
      </c>
      <c r="J60" s="994">
        <f t="shared" si="37"/>
        <v>2.6990997652741405E-2</v>
      </c>
      <c r="K60" s="994">
        <f t="shared" si="37"/>
        <v>2.2064928889757803E-2</v>
      </c>
      <c r="L60" s="994">
        <f t="shared" si="37"/>
        <v>1.2101187663421857E-2</v>
      </c>
      <c r="M60" s="994">
        <f t="shared" si="37"/>
        <v>-2.7808829994347799E-3</v>
      </c>
      <c r="N60" s="994">
        <f t="shared" si="37"/>
        <v>4.3567991501062371E-3</v>
      </c>
      <c r="O60" s="994">
        <f t="shared" si="37"/>
        <v>1.1572479673540052E-2</v>
      </c>
      <c r="P60" s="994">
        <f t="shared" si="37"/>
        <v>1.031390134529148E-2</v>
      </c>
      <c r="Q60" s="994">
        <f t="shared" si="37"/>
        <v>1.6221813161527841E-2</v>
      </c>
      <c r="R60" s="994">
        <f t="shared" si="37"/>
        <v>2.0556158282418774E-2</v>
      </c>
      <c r="S60" s="994">
        <f t="shared" si="37"/>
        <v>3.7763594164456231E-2</v>
      </c>
      <c r="T60" s="994">
        <f t="shared" si="37"/>
        <v>4.9417573277215417E-2</v>
      </c>
      <c r="U60" s="1003">
        <f t="shared" si="37"/>
        <v>5.7090324395173878E-2</v>
      </c>
      <c r="V60" s="1003">
        <f t="shared" si="37"/>
        <v>5.3838444880898409E-2</v>
      </c>
      <c r="W60" s="1003">
        <f t="shared" si="37"/>
        <v>3.0432850578830817E-2</v>
      </c>
      <c r="X60" s="1003">
        <f t="shared" si="37"/>
        <v>1.4213519230424642E-2</v>
      </c>
      <c r="Y60" s="1003">
        <f t="shared" si="37"/>
        <v>2.2438200349118757E-2</v>
      </c>
      <c r="Z60" s="1003">
        <f t="shared" si="37"/>
        <v>-8.7878547551377695E-3</v>
      </c>
      <c r="AA60" s="1003">
        <f t="shared" si="37"/>
        <v>-7.585675779745861E-2</v>
      </c>
      <c r="AB60" s="1003">
        <f t="shared" si="37"/>
        <v>-0.11704190909857493</v>
      </c>
      <c r="AC60" s="1003">
        <f t="shared" si="37"/>
        <v>-6.2902831035326748E-2</v>
      </c>
      <c r="AD60" s="1003">
        <f>AD59/AD7</f>
        <v>-4.3306930693069304E-2</v>
      </c>
      <c r="AE60" s="1003">
        <f>AE59/AE7</f>
        <v>7.9700326771339763E-5</v>
      </c>
      <c r="AF60" s="1003">
        <f t="shared" si="37"/>
        <v>-9.3011354549816082E-3</v>
      </c>
      <c r="AG60" s="1003">
        <f>AG59/AG7</f>
        <v>1.8516867683374674E-3</v>
      </c>
      <c r="AH60" s="1298">
        <f>AH59/AH7</f>
        <v>-1.2964212717869173E-3</v>
      </c>
      <c r="AI60" s="1298">
        <f>AI59/AI7</f>
        <v>-2.7333155325851509E-3</v>
      </c>
      <c r="AJ60" s="1298">
        <f>AJ59/AJ7</f>
        <v>-1.1650629038946229E-2</v>
      </c>
      <c r="AK60" s="1298">
        <f>AK59/AK7</f>
        <v>-2.4713955227876283E-2</v>
      </c>
      <c r="AL60" s="1003"/>
      <c r="AM60" s="960"/>
      <c r="AN60" s="507"/>
      <c r="AO60" s="509"/>
      <c r="AP60" s="961"/>
    </row>
    <row r="61" spans="1:48">
      <c r="A61" s="400"/>
      <c r="B61" s="1020"/>
      <c r="C61" s="1020"/>
      <c r="D61" s="1020"/>
      <c r="E61" s="1020"/>
      <c r="F61" s="1020"/>
      <c r="G61" s="1020"/>
      <c r="H61" s="1020"/>
      <c r="I61" s="1020"/>
      <c r="J61" s="1020"/>
      <c r="K61" s="1020"/>
      <c r="L61" s="1020"/>
      <c r="M61" s="1020"/>
      <c r="N61" s="1020"/>
      <c r="O61" s="1020"/>
      <c r="P61" s="1020"/>
      <c r="Q61" s="1020"/>
      <c r="R61" s="1020"/>
      <c r="S61" s="1020"/>
      <c r="T61" s="1020"/>
      <c r="U61" s="1021"/>
      <c r="V61" s="1021"/>
      <c r="W61" s="1021"/>
      <c r="X61" s="1021"/>
      <c r="Y61" s="1021"/>
      <c r="Z61" s="1021"/>
      <c r="AA61" s="1021"/>
      <c r="AB61" s="1021"/>
      <c r="AC61" s="1021"/>
      <c r="AD61" s="1021"/>
      <c r="AE61" s="1021"/>
      <c r="AF61" s="1021"/>
      <c r="AG61" s="1021"/>
      <c r="AH61" s="1308"/>
      <c r="AI61" s="1308"/>
      <c r="AJ61" s="1308"/>
      <c r="AK61" s="1308"/>
      <c r="AL61" s="1021"/>
      <c r="AM61" s="500"/>
      <c r="AN61" s="507"/>
      <c r="AO61" s="507"/>
      <c r="AP61" s="961"/>
    </row>
    <row r="62" spans="1:48" ht="12.75" customHeight="1" outlineLevel="1">
      <c r="A62" s="507" t="s">
        <v>439</v>
      </c>
      <c r="B62" s="615">
        <f>INDEX('qtrP&amp;L'!174:174,MATCH(B5,'qtrP&amp;L'!6:6,0))</f>
        <v>-20</v>
      </c>
      <c r="C62" s="615">
        <f>INDEX('qtrP&amp;L'!174:174,MATCH(C5,'qtrP&amp;L'!6:6,0))</f>
        <v>0</v>
      </c>
      <c r="D62" s="615">
        <f>INDEX('qtrP&amp;L'!174:174,MATCH(D5,'qtrP&amp;L'!6:6,0))</f>
        <v>-448</v>
      </c>
      <c r="E62" s="615">
        <f>INDEX('qtrP&amp;L'!174:174,MATCH(E5,'qtrP&amp;L'!6:6,0))</f>
        <v>0</v>
      </c>
      <c r="F62" s="615">
        <f>INDEX('qtrP&amp;L'!174:174,MATCH(F5,'qtrP&amp;L'!6:6,0))</f>
        <v>-18</v>
      </c>
      <c r="G62" s="615">
        <f>INDEX('qtrP&amp;L'!174:174,MATCH(G5,'qtrP&amp;L'!6:6,0))</f>
        <v>0</v>
      </c>
      <c r="H62" s="615">
        <f>INDEX('qtrP&amp;L'!174:174,MATCH(H5,'qtrP&amp;L'!6:6,0))</f>
        <v>0</v>
      </c>
      <c r="I62" s="615">
        <f>INDEX('qtrP&amp;L'!174:174,MATCH(I5,'qtrP&amp;L'!6:6,0))</f>
        <v>-228</v>
      </c>
      <c r="J62" s="615">
        <f>INDEX('qtrP&amp;L'!174:174,MATCH(J5,'qtrP&amp;L'!6:6,0))</f>
        <v>-237.51</v>
      </c>
      <c r="K62" s="615">
        <f>INDEX('qtrP&amp;L'!174:174,MATCH(K5,'qtrP&amp;L'!6:6,0))</f>
        <v>-55.897999999999996</v>
      </c>
      <c r="L62" s="615">
        <f>INDEX('qtrP&amp;L'!174:174,MATCH(L5,'qtrP&amp;L'!6:6,0))</f>
        <v>-220.6</v>
      </c>
      <c r="M62" s="615">
        <f>INDEX('qtrP&amp;L'!174:174,MATCH(M5,'qtrP&amp;L'!6:6,0))</f>
        <v>-493.2</v>
      </c>
      <c r="N62" s="615">
        <f>INDEX('qtrP&amp;L'!174:174,MATCH(N5,'qtrP&amp;L'!6:6,0))</f>
        <v>-16.872</v>
      </c>
      <c r="O62" s="615">
        <f>INDEX('qtrP&amp;L'!174:174,MATCH(O5,'qtrP&amp;L'!6:6,0))</f>
        <v>35.181000000000004</v>
      </c>
      <c r="P62" s="615">
        <f>INDEX('qtrP&amp;L'!174:174,MATCH(P5,'qtrP&amp;L'!6:6,0))</f>
        <v>0</v>
      </c>
      <c r="Q62" s="615">
        <f>INDEX('qtrP&amp;L'!174:174,MATCH(Q5,'qtrP&amp;L'!6:6,0))</f>
        <v>0</v>
      </c>
      <c r="R62" s="615">
        <f>INDEX('qtrP&amp;L'!174:174,MATCH(R5,'qtrP&amp;L'!6:6,0))</f>
        <v>-1288</v>
      </c>
      <c r="S62" s="615">
        <f>INDEX('qtrP&amp;L'!174:174,MATCH(S5,'qtrP&amp;L'!6:6,0))</f>
        <v>-133</v>
      </c>
      <c r="T62" s="615">
        <f>INDEX('qtrP&amp;L'!174:174,MATCH(T5,'qtrP&amp;L'!6:6,0))</f>
        <v>160.72900000000001</v>
      </c>
      <c r="U62" s="1006">
        <f>INDEX('qtrP&amp;L'!174:174,MATCH(U5,'qtrP&amp;L'!6:6,0))</f>
        <v>19</v>
      </c>
      <c r="V62" s="1006">
        <f>INDEX('qtrP&amp;L'!174:174,MATCH(V5,'qtrP&amp;L'!6:6,0))</f>
        <v>38</v>
      </c>
      <c r="W62" s="1006">
        <f>INDEX('qtrP&amp;L'!174:174,MATCH(W5,'qtrP&amp;L'!6:6,0))</f>
        <v>8.4580000000000002</v>
      </c>
      <c r="X62" s="1006">
        <f>INDEX('qtrP&amp;L'!174:174,MATCH(X5,'qtrP&amp;L'!6:6,0))</f>
        <v>2</v>
      </c>
      <c r="Y62" s="1006">
        <f>INDEX('qtrP&amp;L'!174:174,MATCH(Y5,'qtrP&amp;L'!6:6,0))</f>
        <v>-9.48</v>
      </c>
      <c r="Z62" s="1006">
        <f>INDEX('qtrP&amp;L'!174:174,MATCH(Z5,'qtrP&amp;L'!6:6,0))</f>
        <v>0</v>
      </c>
      <c r="AA62" s="1006">
        <f>INDEX('qtrP&amp;L'!174:174,MATCH(AA5,'qtrP&amp;L'!6:6,0))</f>
        <v>0</v>
      </c>
      <c r="AB62" s="1006">
        <f>INDEX('qtrP&amp;L'!174:174,MATCH(AB5,'qtrP&amp;L'!6:6,0))</f>
        <v>0</v>
      </c>
      <c r="AC62" s="1006">
        <v>0</v>
      </c>
      <c r="AD62" s="1006">
        <v>0</v>
      </c>
      <c r="AE62" s="1006">
        <f>'qtrP&amp;L'!DU174</f>
        <v>23</v>
      </c>
      <c r="AF62" s="1006">
        <f>'qtrP&amp;L'!DZ174</f>
        <v>-184</v>
      </c>
      <c r="AG62" s="1006">
        <f>'qtrP&amp;L'!EE174</f>
        <v>0</v>
      </c>
      <c r="AH62" s="1392">
        <v>0</v>
      </c>
      <c r="AI62" s="1392">
        <v>0</v>
      </c>
      <c r="AJ62" s="1392">
        <v>0</v>
      </c>
      <c r="AK62" s="1392">
        <v>0</v>
      </c>
      <c r="AL62" s="1014"/>
      <c r="AM62" s="500"/>
      <c r="AN62" s="507"/>
      <c r="AO62" s="507"/>
      <c r="AP62" s="961"/>
    </row>
    <row r="63" spans="1:48" ht="12.75" customHeight="1" outlineLevel="1">
      <c r="A63" s="400"/>
      <c r="B63" s="1020"/>
      <c r="C63" s="1020"/>
      <c r="D63" s="1020"/>
      <c r="E63" s="1020"/>
      <c r="F63" s="1020"/>
      <c r="G63" s="1020"/>
      <c r="H63" s="1020"/>
      <c r="I63" s="1020"/>
      <c r="J63" s="1020"/>
      <c r="K63" s="1020"/>
      <c r="L63" s="1020"/>
      <c r="M63" s="1020"/>
      <c r="N63" s="1020"/>
      <c r="O63" s="1020"/>
      <c r="P63" s="1020"/>
      <c r="Q63" s="1020"/>
      <c r="R63" s="1020"/>
      <c r="S63" s="1020"/>
      <c r="T63" s="1020"/>
      <c r="U63" s="1021"/>
      <c r="V63" s="1021"/>
      <c r="W63" s="1021"/>
      <c r="X63" s="1021"/>
      <c r="Y63" s="1021"/>
      <c r="Z63" s="1021"/>
      <c r="AA63" s="1021"/>
      <c r="AB63" s="979"/>
      <c r="AC63" s="979"/>
      <c r="AD63" s="979"/>
      <c r="AE63" s="979"/>
      <c r="AF63" s="979"/>
      <c r="AG63" s="979"/>
      <c r="AH63" s="1311"/>
      <c r="AI63" s="1311"/>
      <c r="AJ63" s="1311"/>
      <c r="AK63" s="1311"/>
      <c r="AL63" s="979"/>
      <c r="AM63" s="960"/>
      <c r="AN63" s="507"/>
      <c r="AO63" s="509"/>
      <c r="AP63" s="961"/>
    </row>
    <row r="64" spans="1:48" ht="12.75" customHeight="1" outlineLevel="1">
      <c r="A64" s="507" t="s">
        <v>500</v>
      </c>
      <c r="B64" s="1029">
        <f t="shared" ref="B64:Z64" si="38">+((B53+B25+B50)*(1-B57))</f>
        <v>771.39434276206327</v>
      </c>
      <c r="C64" s="1029">
        <f t="shared" si="38"/>
        <v>561.74278846153845</v>
      </c>
      <c r="D64" s="1029">
        <f t="shared" si="38"/>
        <v>416.64889918887599</v>
      </c>
      <c r="E64" s="1029">
        <f t="shared" si="38"/>
        <v>680.10643367752186</v>
      </c>
      <c r="F64" s="1029">
        <f t="shared" si="38"/>
        <v>843.95238095238085</v>
      </c>
      <c r="G64" s="1029">
        <f t="shared" si="38"/>
        <v>954.97057092407294</v>
      </c>
      <c r="H64" s="1029">
        <f t="shared" si="38"/>
        <v>706.33286609006871</v>
      </c>
      <c r="I64" s="1029">
        <f t="shared" si="38"/>
        <v>652.98495645288995</v>
      </c>
      <c r="J64" s="1029">
        <f t="shared" si="38"/>
        <v>720.61232540291633</v>
      </c>
      <c r="K64" s="1029">
        <f t="shared" si="38"/>
        <v>566.76871030135749</v>
      </c>
      <c r="L64" s="1029">
        <f t="shared" si="38"/>
        <v>485.73182252559724</v>
      </c>
      <c r="M64" s="1029">
        <f t="shared" si="38"/>
        <v>18.368000000000002</v>
      </c>
      <c r="N64" s="1029">
        <f t="shared" si="38"/>
        <v>248.02154867256638</v>
      </c>
      <c r="O64" s="1029">
        <f t="shared" si="38"/>
        <v>488.75074914383561</v>
      </c>
      <c r="P64" s="1029">
        <f t="shared" si="38"/>
        <v>197.71636363636364</v>
      </c>
      <c r="Q64" s="1029">
        <f t="shared" si="38"/>
        <v>296.03155339805824</v>
      </c>
      <c r="R64" s="1029">
        <f t="shared" si="38"/>
        <v>373.69202226345084</v>
      </c>
      <c r="S64" s="1029">
        <f t="shared" si="38"/>
        <v>729.97504477611938</v>
      </c>
      <c r="T64" s="1029">
        <f t="shared" si="38"/>
        <v>983.3879620210015</v>
      </c>
      <c r="U64" s="979">
        <f t="shared" si="38"/>
        <v>1131.953864413947</v>
      </c>
      <c r="V64" s="979">
        <f t="shared" si="38"/>
        <v>1011.856250705323</v>
      </c>
      <c r="W64" s="979">
        <f t="shared" si="38"/>
        <v>480.34574256971297</v>
      </c>
      <c r="X64" s="979">
        <f t="shared" si="38"/>
        <v>434.13643176178658</v>
      </c>
      <c r="Y64" s="979">
        <f t="shared" si="38"/>
        <v>555.14179445350737</v>
      </c>
      <c r="Z64" s="979">
        <f t="shared" si="38"/>
        <v>342.46712228316738</v>
      </c>
      <c r="AA64" s="979">
        <f>AA72*AA78</f>
        <v>-766</v>
      </c>
      <c r="AB64" s="979">
        <f>AB72*AB78</f>
        <v>-1431</v>
      </c>
      <c r="AC64" s="979">
        <f>+((AC53+AC25+AC50)*(1-AC57))</f>
        <v>-660.70989304812838</v>
      </c>
      <c r="AD64" s="979">
        <f>+((AD53+AD25+AD50)*(1-AD57))</f>
        <v>-310.52689243027891</v>
      </c>
      <c r="AE64" s="979">
        <f>(AE62+AE53-AE56)</f>
        <v>24</v>
      </c>
      <c r="AF64" s="979">
        <f>AF59-AF62</f>
        <v>67.680000000000007</v>
      </c>
      <c r="AG64" s="979">
        <f>AG59-AG62</f>
        <v>22.320335999998861</v>
      </c>
      <c r="AH64" s="979">
        <f t="shared" ref="AH64:AK64" si="39">+((AH53+AH25+AH50)*(1-AH57))</f>
        <v>-15.201141993255078</v>
      </c>
      <c r="AI64" s="979">
        <f t="shared" si="39"/>
        <v>-30.961796747183598</v>
      </c>
      <c r="AJ64" s="979">
        <f t="shared" si="39"/>
        <v>-126.52799288049573</v>
      </c>
      <c r="AK64" s="979">
        <f t="shared" si="39"/>
        <v>-254.11425232284682</v>
      </c>
      <c r="AL64" s="979"/>
      <c r="AM64" s="960"/>
      <c r="AN64" s="507"/>
      <c r="AO64" s="509"/>
      <c r="AP64" s="961"/>
    </row>
    <row r="65" spans="1:42" ht="12.75" customHeight="1" outlineLevel="1">
      <c r="A65" s="400"/>
      <c r="B65" s="1020"/>
      <c r="C65" s="1020"/>
      <c r="D65" s="1020"/>
      <c r="E65" s="1020"/>
      <c r="F65" s="1020"/>
      <c r="G65" s="1020"/>
      <c r="H65" s="1020"/>
      <c r="I65" s="1020"/>
      <c r="J65" s="1020"/>
      <c r="K65" s="1020"/>
      <c r="L65" s="1020"/>
      <c r="M65" s="1020"/>
      <c r="N65" s="1020"/>
      <c r="O65" s="1020"/>
      <c r="P65" s="1020"/>
      <c r="Q65" s="1020"/>
      <c r="R65" s="1020"/>
      <c r="S65" s="1020"/>
      <c r="T65" s="1020"/>
      <c r="U65" s="1021"/>
      <c r="V65" s="1021"/>
      <c r="W65" s="1021"/>
      <c r="X65" s="1021"/>
      <c r="Y65" s="1021"/>
      <c r="Z65" s="1021"/>
      <c r="AA65" s="1021"/>
      <c r="AB65" s="979"/>
      <c r="AC65" s="979"/>
      <c r="AD65" s="979"/>
      <c r="AE65" s="979"/>
      <c r="AF65" s="979"/>
      <c r="AG65" s="1030"/>
      <c r="AH65" s="1312"/>
      <c r="AI65" s="1312"/>
      <c r="AJ65" s="1312"/>
      <c r="AK65" s="1312"/>
      <c r="AL65" s="979"/>
      <c r="AM65" s="960"/>
      <c r="AN65" s="507"/>
      <c r="AO65" s="509"/>
      <c r="AP65" s="961"/>
    </row>
    <row r="66" spans="1:42" ht="12.75" customHeight="1" outlineLevel="1">
      <c r="A66" s="507" t="s">
        <v>496</v>
      </c>
      <c r="B66" s="615">
        <f>B62+B59</f>
        <v>802</v>
      </c>
      <c r="C66" s="615">
        <f t="shared" ref="C66:R66" si="40">C62+C59</f>
        <v>577</v>
      </c>
      <c r="D66" s="615">
        <f t="shared" si="40"/>
        <v>80</v>
      </c>
      <c r="E66" s="615">
        <f t="shared" si="40"/>
        <v>777</v>
      </c>
      <c r="F66" s="615">
        <f t="shared" si="40"/>
        <v>940</v>
      </c>
      <c r="G66" s="615">
        <f t="shared" si="40"/>
        <v>1057</v>
      </c>
      <c r="H66" s="615">
        <f t="shared" si="40"/>
        <v>838.2</v>
      </c>
      <c r="I66" s="615">
        <f t="shared" si="40"/>
        <v>565</v>
      </c>
      <c r="J66" s="615">
        <f t="shared" si="40"/>
        <v>558.21699999999998</v>
      </c>
      <c r="K66" s="615">
        <f t="shared" si="40"/>
        <v>593.64937665669015</v>
      </c>
      <c r="L66" s="615">
        <f t="shared" si="40"/>
        <v>163.52799999999999</v>
      </c>
      <c r="M66" s="615">
        <f t="shared" si="40"/>
        <v>-581.76</v>
      </c>
      <c r="N66" s="615">
        <f t="shared" si="40"/>
        <v>122.563</v>
      </c>
      <c r="O66" s="615">
        <f t="shared" si="40"/>
        <v>409.51600000000002</v>
      </c>
      <c r="P66" s="615">
        <f t="shared" si="40"/>
        <v>184</v>
      </c>
      <c r="Q66" s="615">
        <f t="shared" si="40"/>
        <v>282</v>
      </c>
      <c r="R66" s="615">
        <f t="shared" si="40"/>
        <v>-928</v>
      </c>
      <c r="S66" s="615">
        <f t="shared" ref="S66:AB66" si="41">S62+S53-S56</f>
        <v>524.37</v>
      </c>
      <c r="T66" s="615">
        <f t="shared" si="41"/>
        <v>1088.8445947955379</v>
      </c>
      <c r="U66" s="1006">
        <f t="shared" si="41"/>
        <v>1155.3879310344828</v>
      </c>
      <c r="V66" s="1006">
        <f t="shared" si="41"/>
        <v>1107.0699999999997</v>
      </c>
      <c r="W66" s="1006">
        <f t="shared" si="41"/>
        <v>571.05588064515905</v>
      </c>
      <c r="X66" s="1006">
        <f t="shared" si="41"/>
        <v>251.58199999999999</v>
      </c>
      <c r="Y66" s="1006">
        <f t="shared" si="41"/>
        <v>389</v>
      </c>
      <c r="Z66" s="1006">
        <f t="shared" si="41"/>
        <v>-151.6783730736779</v>
      </c>
      <c r="AA66" s="1006">
        <f t="shared" si="41"/>
        <v>-985</v>
      </c>
      <c r="AB66" s="1006">
        <f t="shared" si="41"/>
        <v>-1388</v>
      </c>
      <c r="AC66" s="1006">
        <f t="shared" ref="AC66:AG66" si="42">(AC62+AC53-AC56)</f>
        <v>-771</v>
      </c>
      <c r="AD66" s="1006">
        <f t="shared" si="42"/>
        <v>-546.75</v>
      </c>
      <c r="AE66" s="1006">
        <f t="shared" si="42"/>
        <v>24</v>
      </c>
      <c r="AF66" s="1006">
        <f t="shared" si="42"/>
        <v>-116.32</v>
      </c>
      <c r="AG66" s="1006">
        <f t="shared" si="42"/>
        <v>22.320335999998861</v>
      </c>
      <c r="AH66" s="1310">
        <f>(AH62+AH53-AH56)</f>
        <v>-15.201141993255078</v>
      </c>
      <c r="AI66" s="1310">
        <f>(AI62+AI53-AI56)</f>
        <v>-30.961796747183598</v>
      </c>
      <c r="AJ66" s="1310">
        <f>(AJ62+AJ53-AJ56)</f>
        <v>-126.52799288049573</v>
      </c>
      <c r="AK66" s="1310">
        <f>(AK62+AK53-AK56)</f>
        <v>-254.11425232284682</v>
      </c>
      <c r="AL66" s="1006"/>
      <c r="AM66" s="983" t="s">
        <v>366</v>
      </c>
      <c r="AN66" s="507" t="s">
        <v>156</v>
      </c>
      <c r="AO66" s="509">
        <f>((AH66/AC66)^(1/5)-1)*100</f>
        <v>-54.400049886913934</v>
      </c>
      <c r="AP66" s="961" t="s">
        <v>156</v>
      </c>
    </row>
    <row r="67" spans="1:42" ht="12.75" customHeight="1" outlineLevel="1">
      <c r="A67" s="993" t="s">
        <v>76</v>
      </c>
      <c r="B67" s="994">
        <f t="shared" ref="B67:AF67" si="43">B66/B7</f>
        <v>4.9804384276221823E-2</v>
      </c>
      <c r="C67" s="994">
        <f t="shared" si="43"/>
        <v>3.525817293003361E-2</v>
      </c>
      <c r="D67" s="994">
        <f t="shared" si="43"/>
        <v>4.9379667921733228E-3</v>
      </c>
      <c r="E67" s="994">
        <f t="shared" si="43"/>
        <v>4.3145094119606861E-2</v>
      </c>
      <c r="F67" s="994">
        <f t="shared" si="43"/>
        <v>4.9517989780329771E-2</v>
      </c>
      <c r="G67" s="994">
        <f t="shared" si="43"/>
        <v>5.1864573110893035E-2</v>
      </c>
      <c r="H67" s="994">
        <f t="shared" si="43"/>
        <v>4.07645170703239E-2</v>
      </c>
      <c r="I67" s="994">
        <f t="shared" si="43"/>
        <v>2.4942609924068514E-2</v>
      </c>
      <c r="J67" s="994">
        <f t="shared" si="43"/>
        <v>1.8934677014504159E-2</v>
      </c>
      <c r="K67" s="994">
        <f t="shared" si="43"/>
        <v>2.0166090653464575E-2</v>
      </c>
      <c r="L67" s="994">
        <f t="shared" si="43"/>
        <v>5.1516239800900986E-3</v>
      </c>
      <c r="M67" s="994">
        <f t="shared" si="43"/>
        <v>-1.8267914337750425E-2</v>
      </c>
      <c r="N67" s="994">
        <f t="shared" si="43"/>
        <v>3.8296150481189851E-3</v>
      </c>
      <c r="O67" s="994">
        <f t="shared" si="43"/>
        <v>1.2660092126008595E-2</v>
      </c>
      <c r="P67" s="994">
        <f t="shared" si="43"/>
        <v>1.031390134529148E-2</v>
      </c>
      <c r="Q67" s="994">
        <f t="shared" si="43"/>
        <v>1.6221813161527841E-2</v>
      </c>
      <c r="R67" s="994">
        <f t="shared" si="43"/>
        <v>-5.2989208016901733E-2</v>
      </c>
      <c r="S67" s="994">
        <f t="shared" si="43"/>
        <v>2.8977122015915121E-2</v>
      </c>
      <c r="T67" s="994">
        <f t="shared" si="43"/>
        <v>5.7975599001396191E-2</v>
      </c>
      <c r="U67" s="1003">
        <f t="shared" si="43"/>
        <v>5.8044854211871999E-2</v>
      </c>
      <c r="V67" s="1003">
        <f t="shared" si="43"/>
        <v>5.5752127713149004E-2</v>
      </c>
      <c r="W67" s="1003">
        <f t="shared" si="43"/>
        <v>3.0890372832381739E-2</v>
      </c>
      <c r="X67" s="1003">
        <f t="shared" si="43"/>
        <v>1.4327417822714347E-2</v>
      </c>
      <c r="Y67" s="1003">
        <f t="shared" si="43"/>
        <v>2.190438650824934E-2</v>
      </c>
      <c r="Z67" s="1003">
        <f t="shared" si="43"/>
        <v>-8.7878547551377695E-3</v>
      </c>
      <c r="AA67" s="1003">
        <f t="shared" si="43"/>
        <v>-7.585675779745861E-2</v>
      </c>
      <c r="AB67" s="1003">
        <f t="shared" si="43"/>
        <v>-0.11704190909857493</v>
      </c>
      <c r="AC67" s="1003">
        <f t="shared" si="43"/>
        <v>-6.2902831035326748E-2</v>
      </c>
      <c r="AD67" s="1003">
        <f>AD66/AD7</f>
        <v>-4.3306930693069304E-2</v>
      </c>
      <c r="AE67" s="1003">
        <f t="shared" si="43"/>
        <v>1.9128078425121543E-3</v>
      </c>
      <c r="AF67" s="1003">
        <f t="shared" si="43"/>
        <v>-9.3011354549816082E-3</v>
      </c>
      <c r="AG67" s="1003">
        <f>AG66/AG7</f>
        <v>1.8516867683374674E-3</v>
      </c>
      <c r="AH67" s="1298">
        <f>AH66/AH7</f>
        <v>-1.2964212717869173E-3</v>
      </c>
      <c r="AI67" s="1298">
        <f>AI66/AI7</f>
        <v>-2.7333155325851509E-3</v>
      </c>
      <c r="AJ67" s="1298">
        <f>AJ66/AJ7</f>
        <v>-1.1650629038946229E-2</v>
      </c>
      <c r="AK67" s="1298">
        <f>AK66/AK7</f>
        <v>-2.4713955227876283E-2</v>
      </c>
      <c r="AL67" s="1003"/>
      <c r="AM67" s="1028"/>
      <c r="AN67" s="507"/>
      <c r="AO67" s="507"/>
      <c r="AP67" s="961"/>
    </row>
    <row r="68" spans="1:42" ht="12.75" customHeight="1" outlineLevel="1">
      <c r="A68" s="400"/>
      <c r="B68" s="1020"/>
      <c r="C68" s="1020"/>
      <c r="D68" s="1020"/>
      <c r="E68" s="1020"/>
      <c r="F68" s="1020"/>
      <c r="G68" s="1020"/>
      <c r="H68" s="1020"/>
      <c r="I68" s="1020"/>
      <c r="J68" s="1020"/>
      <c r="K68" s="1020"/>
      <c r="L68" s="1020"/>
      <c r="M68" s="1020"/>
      <c r="N68" s="1020"/>
      <c r="O68" s="1020"/>
      <c r="P68" s="1020"/>
      <c r="Q68" s="1020"/>
      <c r="R68" s="1020"/>
      <c r="S68" s="1020"/>
      <c r="T68" s="1020"/>
      <c r="U68" s="1021"/>
      <c r="V68" s="1021"/>
      <c r="W68" s="1021"/>
      <c r="X68" s="1021"/>
      <c r="Y68" s="1021"/>
      <c r="Z68" s="1031"/>
      <c r="AA68" s="1031"/>
      <c r="AM68" s="1028"/>
      <c r="AN68" s="507"/>
      <c r="AO68" s="507"/>
      <c r="AP68" s="961"/>
    </row>
    <row r="69" spans="1:42" ht="12.75" customHeight="1" outlineLevel="1">
      <c r="A69" s="507" t="s">
        <v>497</v>
      </c>
      <c r="B69" s="1032">
        <f>ROUND((B$59-19)/B$78,2)</f>
        <v>3</v>
      </c>
      <c r="C69" s="1032">
        <f>ROUND((C$59-17)/C$78,2)</f>
        <v>2.16</v>
      </c>
      <c r="D69" s="1032">
        <f>ROUND((D$59-10)/D$78,2)</f>
        <v>2.02</v>
      </c>
      <c r="E69" s="1032">
        <f>ROUND((E$59-15)/E$78,2)</f>
        <v>2.95</v>
      </c>
      <c r="F69" s="1032">
        <f>ROUND((F$59-17)/F$78,2)</f>
        <v>3.6</v>
      </c>
      <c r="G69" s="1032">
        <f>ROUND((G$59-10)/G$78,2)</f>
        <v>4.05</v>
      </c>
      <c r="H69" s="1032">
        <f>ROUND((H$59-8.5)/H$78,2)</f>
        <v>3.33</v>
      </c>
      <c r="I69" s="1032">
        <f>ROUND((I$59-5)/I$78,2)</f>
        <v>3.17</v>
      </c>
      <c r="J69" s="1032">
        <f>ROUND((J$59)/J$78,2)</f>
        <v>2.97</v>
      </c>
      <c r="K69" s="1032">
        <f>ROUND((K$59)/K$78,2)</f>
        <v>2.39</v>
      </c>
      <c r="L69" s="1032">
        <f>ROUND((L$59)/L$78,2)</f>
        <v>1.4</v>
      </c>
      <c r="M69" s="1032">
        <f>ROUND((M$59-34)/M$78,2)</f>
        <v>-0.44</v>
      </c>
      <c r="N69" s="1032">
        <f>ROUND((N$59-36)/N$78,2)</f>
        <v>0.39</v>
      </c>
      <c r="O69" s="1032">
        <f>ROUND((O$59-32)/O$78,2)</f>
        <v>1.1599999999999999</v>
      </c>
      <c r="P69" s="1032">
        <f>ROUND((P$59-32)/P$78,2)</f>
        <v>0.56999999999999995</v>
      </c>
      <c r="Q69" s="1032">
        <f>ROUND((Q$59-8)/Q$78,2)</f>
        <v>0.94</v>
      </c>
      <c r="R69" s="1032">
        <f>ROUND((R$59+22-25.3)/R$78,2)</f>
        <v>1.2</v>
      </c>
      <c r="S69" s="1032">
        <f>ROUND((S$59)/S$78,2)</f>
        <v>2.2599999999999998</v>
      </c>
      <c r="T69" s="1032">
        <f t="shared" ref="T69:AK69" si="44">(T$59)/T$78</f>
        <v>3.6339686562080575</v>
      </c>
      <c r="U69" s="1033">
        <f t="shared" si="44"/>
        <v>4.894004870949539</v>
      </c>
      <c r="V69" s="1033">
        <f t="shared" si="44"/>
        <v>4.7477295436882407</v>
      </c>
      <c r="W69" s="1033">
        <f t="shared" si="44"/>
        <v>2.5242754039042476</v>
      </c>
      <c r="X69" s="1033">
        <f t="shared" si="44"/>
        <v>1.0718574189392314</v>
      </c>
      <c r="Y69" s="1033">
        <f t="shared" si="44"/>
        <v>1.6742857142857144</v>
      </c>
      <c r="Z69" s="1032">
        <f t="shared" si="44"/>
        <v>-0.69769260843458092</v>
      </c>
      <c r="AA69" s="1032">
        <f>(AA$59)/AA$78</f>
        <v>-4.4936131386861318</v>
      </c>
      <c r="AB69" s="1032">
        <f>(AB$59)/AB$78</f>
        <v>-5.5675892498997186</v>
      </c>
      <c r="AC69" s="1032">
        <f t="shared" si="44"/>
        <v>-2.5262123197903015</v>
      </c>
      <c r="AD69" s="1032">
        <f t="shared" si="44"/>
        <v>-1.7873488067996079</v>
      </c>
      <c r="AE69" s="1032">
        <f t="shared" si="44"/>
        <v>3.1948881789137379E-3</v>
      </c>
      <c r="AF69" s="1032">
        <f t="shared" si="44"/>
        <v>-0.37389906782385079</v>
      </c>
      <c r="AG69" s="1032">
        <f>'qtrP&amp;L'!EE194</f>
        <v>7.0948302606480801E-2</v>
      </c>
      <c r="AH69" s="1032">
        <f t="shared" si="44"/>
        <v>-4.8318951027511367E-2</v>
      </c>
      <c r="AI69" s="1032">
        <f t="shared" si="44"/>
        <v>-9.8416391440507303E-2</v>
      </c>
      <c r="AJ69" s="1032">
        <f t="shared" si="44"/>
        <v>-0.40218688137474801</v>
      </c>
      <c r="AK69" s="1032">
        <f t="shared" si="44"/>
        <v>-0.80773761068927785</v>
      </c>
      <c r="AL69" s="1034"/>
      <c r="AM69" s="983" t="s">
        <v>366</v>
      </c>
      <c r="AN69" s="507" t="s">
        <v>156</v>
      </c>
      <c r="AO69" s="509">
        <f>((AH69/AC69)^(1/5)-1)*100</f>
        <v>-54.675864447163214</v>
      </c>
      <c r="AP69" s="961" t="s">
        <v>156</v>
      </c>
    </row>
    <row r="70" spans="1:42" ht="12.75" customHeight="1" outlineLevel="1">
      <c r="A70" s="993" t="s">
        <v>411</v>
      </c>
      <c r="B70" s="994"/>
      <c r="C70" s="994">
        <f t="shared" ref="C70:O70" si="45">C69/B69-1</f>
        <v>-0.27999999999999992</v>
      </c>
      <c r="D70" s="994">
        <f t="shared" si="45"/>
        <v>-6.4814814814814881E-2</v>
      </c>
      <c r="E70" s="994">
        <f t="shared" si="45"/>
        <v>0.46039603960396036</v>
      </c>
      <c r="F70" s="994">
        <f t="shared" si="45"/>
        <v>0.22033898305084731</v>
      </c>
      <c r="G70" s="994">
        <f t="shared" si="45"/>
        <v>0.125</v>
      </c>
      <c r="H70" s="994">
        <f t="shared" si="45"/>
        <v>-0.1777777777777777</v>
      </c>
      <c r="I70" s="994">
        <f t="shared" si="45"/>
        <v>-4.8048048048048075E-2</v>
      </c>
      <c r="J70" s="994">
        <f t="shared" si="45"/>
        <v>-6.3091482649842212E-2</v>
      </c>
      <c r="K70" s="994">
        <f t="shared" si="45"/>
        <v>-0.19528619528619529</v>
      </c>
      <c r="L70" s="994">
        <f t="shared" si="45"/>
        <v>-0.41422594142259417</v>
      </c>
      <c r="M70" s="994">
        <f t="shared" si="45"/>
        <v>-1.3142857142857143</v>
      </c>
      <c r="N70" s="994">
        <f t="shared" si="45"/>
        <v>-1.8863636363636362</v>
      </c>
      <c r="O70" s="994">
        <f t="shared" si="45"/>
        <v>1.974358974358974</v>
      </c>
      <c r="P70" s="994">
        <f>P69/M69-1</f>
        <v>-2.2954545454545454</v>
      </c>
      <c r="Q70" s="994">
        <f t="shared" ref="Q70:AH70" si="46">Q69/P69-1</f>
        <v>0.64912280701754388</v>
      </c>
      <c r="R70" s="994">
        <f t="shared" si="46"/>
        <v>0.27659574468085113</v>
      </c>
      <c r="S70" s="994">
        <f t="shared" si="46"/>
        <v>0.8833333333333333</v>
      </c>
      <c r="T70" s="994">
        <f t="shared" si="46"/>
        <v>0.60795073283542389</v>
      </c>
      <c r="U70" s="1003">
        <f t="shared" si="46"/>
        <v>0.34673832769275825</v>
      </c>
      <c r="V70" s="1003">
        <f t="shared" si="46"/>
        <v>-2.9888676271978776E-2</v>
      </c>
      <c r="W70" s="1003">
        <f t="shared" si="46"/>
        <v>-0.46831946077044606</v>
      </c>
      <c r="X70" s="1003">
        <f t="shared" si="46"/>
        <v>-0.57538015967615486</v>
      </c>
      <c r="Y70" s="1003">
        <f t="shared" si="46"/>
        <v>0.56204144758607821</v>
      </c>
      <c r="Z70" s="1003">
        <f t="shared" si="46"/>
        <v>-1.4167106023073435</v>
      </c>
      <c r="AA70" s="1003">
        <f t="shared" si="46"/>
        <v>5.4406775768608062</v>
      </c>
      <c r="AB70" s="1003">
        <f t="shared" si="46"/>
        <v>0.23900057216042447</v>
      </c>
      <c r="AC70" s="1003">
        <f t="shared" si="46"/>
        <v>-0.54626460279270739</v>
      </c>
      <c r="AD70" s="1003">
        <f t="shared" si="46"/>
        <v>-0.29247878620591394</v>
      </c>
      <c r="AE70" s="1003">
        <f>AE69/AD69-1</f>
        <v>-1.0017875012234654</v>
      </c>
      <c r="AF70" s="1344">
        <f t="shared" si="46"/>
        <v>-118.0304082288653</v>
      </c>
      <c r="AG70" s="1003">
        <f t="shared" si="46"/>
        <v>-1.189752552792952</v>
      </c>
      <c r="AH70" s="1298">
        <f t="shared" si="46"/>
        <v>-1.6810444965190423</v>
      </c>
      <c r="AI70" s="1298">
        <f>AI69/AH69-1</f>
        <v>1.0368072846712244</v>
      </c>
      <c r="AJ70" s="1298">
        <f>AJ69/AI69-1</f>
        <v>3.0865843127145132</v>
      </c>
      <c r="AK70" s="1298">
        <f>AK69/AJ69-1</f>
        <v>1.0083638927462863</v>
      </c>
      <c r="AL70" s="1003"/>
      <c r="AM70" s="1028"/>
      <c r="AN70" s="507"/>
      <c r="AO70" s="507"/>
      <c r="AP70" s="961"/>
    </row>
    <row r="71" spans="1:42" ht="12.75" customHeight="1" outlineLevel="1">
      <c r="A71" s="400"/>
      <c r="B71" s="1020"/>
      <c r="C71" s="1020"/>
      <c r="D71" s="1020"/>
      <c r="E71" s="1020"/>
      <c r="F71" s="1020"/>
      <c r="G71" s="1020"/>
      <c r="H71" s="1020"/>
      <c r="I71" s="1020"/>
      <c r="J71" s="1020"/>
      <c r="K71" s="1020"/>
      <c r="L71" s="1020"/>
      <c r="M71" s="1020"/>
      <c r="N71" s="1020"/>
      <c r="O71" s="1020"/>
      <c r="P71" s="1020"/>
      <c r="Q71" s="1020"/>
      <c r="R71" s="1020"/>
      <c r="S71" s="1020"/>
      <c r="T71" s="1020"/>
      <c r="U71" s="1021"/>
      <c r="V71" s="1021"/>
      <c r="W71" s="1021"/>
      <c r="X71" s="1021"/>
      <c r="Y71" s="1021"/>
      <c r="Z71" s="792"/>
      <c r="AA71" s="792"/>
      <c r="AB71" s="579"/>
      <c r="AC71" s="579"/>
      <c r="AD71" s="579"/>
      <c r="AE71" s="579"/>
      <c r="AL71" s="579"/>
      <c r="AM71" s="983"/>
      <c r="AN71" s="507"/>
      <c r="AO71" s="509"/>
      <c r="AP71" s="961"/>
    </row>
    <row r="72" spans="1:42">
      <c r="A72" s="507" t="s">
        <v>498</v>
      </c>
      <c r="B72" s="1035" t="s">
        <v>147</v>
      </c>
      <c r="C72" s="1035" t="s">
        <v>147</v>
      </c>
      <c r="D72" s="1035" t="s">
        <v>147</v>
      </c>
      <c r="E72" s="1035" t="s">
        <v>147</v>
      </c>
      <c r="F72" s="1035" t="s">
        <v>147</v>
      </c>
      <c r="G72" s="1035" t="s">
        <v>147</v>
      </c>
      <c r="H72" s="1035" t="s">
        <v>147</v>
      </c>
      <c r="I72" s="1035" t="s">
        <v>147</v>
      </c>
      <c r="J72" s="1035" t="s">
        <v>147</v>
      </c>
      <c r="K72" s="1035" t="s">
        <v>147</v>
      </c>
      <c r="L72" s="1035" t="s">
        <v>147</v>
      </c>
      <c r="M72" s="1035" t="s">
        <v>147</v>
      </c>
      <c r="N72" s="1035" t="s">
        <v>147</v>
      </c>
      <c r="O72" s="1035" t="s">
        <v>147</v>
      </c>
      <c r="P72" s="1035" t="s">
        <v>147</v>
      </c>
      <c r="Q72" s="1035" t="s">
        <v>147</v>
      </c>
      <c r="R72" s="1035" t="s">
        <v>147</v>
      </c>
      <c r="S72" s="1032">
        <f t="shared" ref="S72:Y72" si="47">+((S53+S25)*(1-S57))/S78</f>
        <v>2.3510164807935192</v>
      </c>
      <c r="T72" s="1032">
        <f t="shared" si="47"/>
        <v>3.8076038722192846</v>
      </c>
      <c r="U72" s="1033">
        <f t="shared" si="47"/>
        <v>4.9185567348506236</v>
      </c>
      <c r="V72" s="1033">
        <f t="shared" si="47"/>
        <v>4.4798348298384507</v>
      </c>
      <c r="W72" s="1033">
        <f t="shared" si="47"/>
        <v>2.1524290311231211</v>
      </c>
      <c r="X72" s="1033">
        <f t="shared" si="47"/>
        <v>1.8644467758719629</v>
      </c>
      <c r="Y72" s="1033">
        <f t="shared" si="47"/>
        <v>2.2779025868096014</v>
      </c>
      <c r="Z72" s="1033">
        <f>'qtrP&amp;L'!CY204</f>
        <v>1.5535033437273325</v>
      </c>
      <c r="AA72" s="1036">
        <f>'qtrP&amp;L'!DC204</f>
        <v>-3.4945255474452557</v>
      </c>
      <c r="AB72" s="1036">
        <f>'qtrP&amp;L'!DG204</f>
        <v>-5.7400722021660648</v>
      </c>
      <c r="AC72" s="1036">
        <f>'qtrP&amp;L'!DK204</f>
        <v>-2.1648423756491755</v>
      </c>
      <c r="AD72" s="1036">
        <f>'qtrP&amp;L'!DP204</f>
        <v>-1.0246200552481153</v>
      </c>
      <c r="AE72" s="1036">
        <f>'qtrP&amp;L'!$DU$204</f>
        <v>7.6677316293929709E-2</v>
      </c>
      <c r="AF72" s="1036">
        <f>'qtrP&amp;L'!$DZ$204</f>
        <v>0.21755062680810031</v>
      </c>
      <c r="AG72" s="1036">
        <f>'qtrP&amp;L'!$EE$204</f>
        <v>7.0948302606480801E-2</v>
      </c>
      <c r="AH72" s="1032">
        <f>+((AH53+AH25+AH50)*(1-AH57))/AH78</f>
        <v>-4.8318951027511367E-2</v>
      </c>
      <c r="AI72" s="1032">
        <f>+((AI53+AI25+AI50)*(1-AI57))/AI78</f>
        <v>-9.8416391440507303E-2</v>
      </c>
      <c r="AJ72" s="1032">
        <f>+((AJ53+AJ25+AJ50)*(1-AJ57))/AJ78</f>
        <v>-0.40218688137474801</v>
      </c>
      <c r="AK72" s="1032">
        <f>+((AK53+AK25+AK50)*(1-AK57))/AK78</f>
        <v>-0.80773761068927785</v>
      </c>
      <c r="AL72" s="1037"/>
      <c r="AM72" s="983">
        <f>((AE72/Z72)^(1/4)-1)*100</f>
        <v>-52.865524584462683</v>
      </c>
      <c r="AN72" s="507" t="s">
        <v>156</v>
      </c>
      <c r="AO72" s="509">
        <f>((AJ72/AE72)^(1/5)-1)*100</f>
        <v>-239.30034732714219</v>
      </c>
      <c r="AP72" s="961" t="s">
        <v>156</v>
      </c>
    </row>
    <row r="73" spans="1:42" hidden="1" outlineLevel="1">
      <c r="A73" s="993" t="s">
        <v>411</v>
      </c>
      <c r="B73" s="1035" t="s">
        <v>147</v>
      </c>
      <c r="C73" s="1035" t="s">
        <v>147</v>
      </c>
      <c r="D73" s="1035" t="s">
        <v>147</v>
      </c>
      <c r="E73" s="1035" t="s">
        <v>147</v>
      </c>
      <c r="F73" s="1035" t="s">
        <v>147</v>
      </c>
      <c r="G73" s="1035" t="s">
        <v>147</v>
      </c>
      <c r="H73" s="1035" t="s">
        <v>147</v>
      </c>
      <c r="I73" s="1035" t="s">
        <v>147</v>
      </c>
      <c r="J73" s="1035" t="s">
        <v>147</v>
      </c>
      <c r="K73" s="1035" t="s">
        <v>147</v>
      </c>
      <c r="L73" s="1035" t="s">
        <v>147</v>
      </c>
      <c r="M73" s="1035" t="s">
        <v>147</v>
      </c>
      <c r="N73" s="1035" t="s">
        <v>147</v>
      </c>
      <c r="O73" s="1035" t="s">
        <v>147</v>
      </c>
      <c r="P73" s="1035" t="s">
        <v>147</v>
      </c>
      <c r="Q73" s="1035" t="s">
        <v>147</v>
      </c>
      <c r="R73" s="1035" t="s">
        <v>147</v>
      </c>
      <c r="S73" s="1035" t="s">
        <v>147</v>
      </c>
      <c r="T73" s="1035" t="s">
        <v>147</v>
      </c>
      <c r="U73" s="1003">
        <f t="shared" ref="U73:AH73" si="48">U72/T72-1</f>
        <v>0.29177217481497442</v>
      </c>
      <c r="V73" s="1003">
        <f t="shared" si="48"/>
        <v>-8.9197284622863471E-2</v>
      </c>
      <c r="W73" s="1003">
        <f t="shared" si="48"/>
        <v>-0.51952937711305291</v>
      </c>
      <c r="X73" s="1003">
        <f t="shared" si="48"/>
        <v>-0.13379407687178946</v>
      </c>
      <c r="Y73" s="1003">
        <f t="shared" si="48"/>
        <v>0.22175790496581693</v>
      </c>
      <c r="Z73" s="1003">
        <f t="shared" si="48"/>
        <v>-0.31801151079812084</v>
      </c>
      <c r="AA73" s="1003">
        <f t="shared" si="48"/>
        <v>-3.2494483591266778</v>
      </c>
      <c r="AB73" s="1003">
        <f t="shared" si="48"/>
        <v>0.64258985210809572</v>
      </c>
      <c r="AC73" s="1003">
        <f t="shared" si="48"/>
        <v>-0.62285450436803669</v>
      </c>
      <c r="AD73" s="1003">
        <f t="shared" si="48"/>
        <v>-0.52669992662128085</v>
      </c>
      <c r="AE73" s="1003">
        <f>AE72/AD72-1</f>
        <v>-1.0748348774759851</v>
      </c>
      <c r="AF73" s="1003">
        <f t="shared" si="48"/>
        <v>1.8372227579556415</v>
      </c>
      <c r="AG73" s="1003">
        <f t="shared" si="48"/>
        <v>-0.67387681824946544</v>
      </c>
      <c r="AH73" s="1298">
        <f t="shared" si="48"/>
        <v>-1.6810444965190423</v>
      </c>
      <c r="AI73" s="1298">
        <f>AI72/AH72-1</f>
        <v>1.0368072846712244</v>
      </c>
      <c r="AJ73" s="1298">
        <f>AJ72/AI72-1</f>
        <v>3.0865843127145132</v>
      </c>
      <c r="AK73" s="1298"/>
      <c r="AL73" s="1003"/>
      <c r="AM73" s="983"/>
      <c r="AN73" s="507"/>
      <c r="AO73" s="509"/>
      <c r="AP73" s="961"/>
    </row>
    <row r="74" spans="1:42" collapsed="1">
      <c r="A74" s="400"/>
      <c r="B74" s="1020"/>
      <c r="C74" s="1020"/>
      <c r="D74" s="1020"/>
      <c r="E74" s="1020"/>
      <c r="F74" s="1020"/>
      <c r="G74" s="1020"/>
      <c r="H74" s="1020"/>
      <c r="I74" s="1020"/>
      <c r="J74" s="1020"/>
      <c r="K74" s="1020"/>
      <c r="L74" s="1020"/>
      <c r="M74" s="1020"/>
      <c r="N74" s="1020"/>
      <c r="O74" s="1020"/>
      <c r="P74" s="1020"/>
      <c r="Q74" s="1020"/>
      <c r="R74" s="1020"/>
      <c r="S74" s="614"/>
      <c r="T74" s="614"/>
      <c r="U74" s="792"/>
      <c r="V74" s="792"/>
      <c r="W74" s="792"/>
      <c r="X74" s="792"/>
      <c r="Y74" s="792"/>
      <c r="Z74" s="792"/>
      <c r="AA74" s="792"/>
      <c r="AB74" s="1004"/>
      <c r="AC74" s="1004"/>
      <c r="AD74" s="1036"/>
      <c r="AE74" s="1036"/>
      <c r="AF74" s="1036"/>
      <c r="AG74" s="1037"/>
      <c r="AH74" s="1314"/>
      <c r="AI74" s="1314"/>
      <c r="AJ74" s="1314"/>
      <c r="AK74" s="1314"/>
      <c r="AL74" s="1037"/>
      <c r="AM74" s="983"/>
      <c r="AN74" s="507"/>
      <c r="AO74" s="509"/>
      <c r="AP74" s="961"/>
    </row>
    <row r="75" spans="1:42" hidden="1" outlineLevel="1">
      <c r="A75" s="507" t="s">
        <v>683</v>
      </c>
      <c r="B75" s="1032">
        <f t="shared" ref="B75:R75" si="49">B69+B62/B78</f>
        <v>2.9252056843679881</v>
      </c>
      <c r="C75" s="1032">
        <f t="shared" si="49"/>
        <v>2.16</v>
      </c>
      <c r="D75" s="1032">
        <f t="shared" si="49"/>
        <v>0.27545171339563868</v>
      </c>
      <c r="E75" s="1032">
        <f t="shared" si="49"/>
        <v>2.95</v>
      </c>
      <c r="F75" s="1032">
        <f t="shared" si="49"/>
        <v>3.5311663479923521</v>
      </c>
      <c r="G75" s="1032">
        <f t="shared" si="49"/>
        <v>4.05</v>
      </c>
      <c r="H75" s="1032">
        <f t="shared" si="49"/>
        <v>3.33</v>
      </c>
      <c r="I75" s="1032">
        <f t="shared" si="49"/>
        <v>2.2524949698189136</v>
      </c>
      <c r="J75" s="1032">
        <f t="shared" si="49"/>
        <v>2.08318958274993</v>
      </c>
      <c r="K75" s="1032">
        <f t="shared" si="49"/>
        <v>2.184227866740291</v>
      </c>
      <c r="L75" s="1032">
        <f t="shared" si="49"/>
        <v>0.59810977826245004</v>
      </c>
      <c r="M75" s="1032">
        <f t="shared" si="49"/>
        <v>-2.2256625633598843</v>
      </c>
      <c r="N75" s="1032">
        <f t="shared" si="49"/>
        <v>0.32697422487859545</v>
      </c>
      <c r="O75" s="1032">
        <f t="shared" si="49"/>
        <v>1.2791667372343127</v>
      </c>
      <c r="P75" s="1032">
        <f t="shared" si="49"/>
        <v>0.56999999999999995</v>
      </c>
      <c r="Q75" s="1032">
        <f t="shared" si="49"/>
        <v>0.94</v>
      </c>
      <c r="R75" s="1032">
        <f t="shared" si="49"/>
        <v>-3.1367003367003363</v>
      </c>
      <c r="S75" s="1032">
        <f>ROUND((S$59-26)/S$78,2)+S62/S78</f>
        <v>1.730221542531206</v>
      </c>
      <c r="T75" s="1032">
        <f>T69+T62/T78</f>
        <v>4.2632912873748552</v>
      </c>
      <c r="U75" s="1033">
        <f>U69+U62/U78</f>
        <v>4.9758308830081095</v>
      </c>
      <c r="V75" s="1038">
        <f>V69+V62/V78-0.004</f>
        <v>4.9124871766403899</v>
      </c>
      <c r="W75" s="1033">
        <f>W69+W62/W78</f>
        <v>2.562224927179626</v>
      </c>
      <c r="X75" s="1033">
        <f>X69+X62/X78</f>
        <v>1.0804466394674683</v>
      </c>
      <c r="Y75" s="1033">
        <f>Y69+Y62/Y78</f>
        <v>1.6344537815126052</v>
      </c>
      <c r="Z75" s="1033">
        <f>Z69+((9+23)*(1-0.38)++(265-98)+(119+207*(1-0.39)))/Z78</f>
        <v>1.2899338865056216</v>
      </c>
      <c r="AA75" s="1033">
        <f>(AA50-30-21-('qtrP&amp;L'!DC131*'qtrP&amp;L'!DD151%+'qtrP&amp;L'!DC132*'qtrP&amp;L'!DD152%+'qtrP&amp;L'!DC133*'qtrP&amp;L'!DD153%))/AA78+AA69</f>
        <v>-4.5942844724020757</v>
      </c>
      <c r="AB75" s="1033">
        <f t="shared" ref="AB75:AG75" si="50">AB69+AB62/AB78</f>
        <v>-5.5675892498997186</v>
      </c>
      <c r="AC75" s="1033">
        <f t="shared" si="50"/>
        <v>-2.5262123197903015</v>
      </c>
      <c r="AD75" s="1033">
        <f t="shared" si="50"/>
        <v>-1.7873488067996079</v>
      </c>
      <c r="AE75" s="1033">
        <f>AE69</f>
        <v>3.1948881789137379E-3</v>
      </c>
      <c r="AF75" s="1033">
        <f>AF69</f>
        <v>-0.37389906782385079</v>
      </c>
      <c r="AG75" s="1033">
        <f t="shared" si="50"/>
        <v>7.0948302606480801E-2</v>
      </c>
      <c r="AH75" s="1315">
        <f>AH69+AH62/AH78</f>
        <v>-4.8318951027511367E-2</v>
      </c>
      <c r="AI75" s="1315">
        <f>AI69+AI62/AI78</f>
        <v>-9.8416391440507303E-2</v>
      </c>
      <c r="AJ75" s="1315">
        <f>AJ69+AJ62/AJ78</f>
        <v>-0.40218688137474801</v>
      </c>
      <c r="AK75" s="1315">
        <f>AK69+AK62/AK78</f>
        <v>-0.80773761068927785</v>
      </c>
      <c r="AL75" s="1033"/>
      <c r="AM75" s="983" t="s">
        <v>366</v>
      </c>
      <c r="AN75" s="507" t="s">
        <v>156</v>
      </c>
      <c r="AO75" s="509">
        <f>((AJ75/AE75)^(1/5)-1)*100</f>
        <v>-363.02343646119419</v>
      </c>
      <c r="AP75" s="961" t="s">
        <v>156</v>
      </c>
    </row>
    <row r="76" spans="1:42" hidden="1" outlineLevel="2">
      <c r="A76" s="993" t="s">
        <v>411</v>
      </c>
      <c r="B76" s="994"/>
      <c r="C76" s="994">
        <f t="shared" ref="C76:O76" si="51">C75/B75-1</f>
        <v>-0.26159038609051388</v>
      </c>
      <c r="D76" s="994">
        <f t="shared" si="51"/>
        <v>-0.87247605861313027</v>
      </c>
      <c r="E76" s="994">
        <f t="shared" si="51"/>
        <v>9.709681067631756</v>
      </c>
      <c r="F76" s="994">
        <f t="shared" si="51"/>
        <v>0.19700554169232265</v>
      </c>
      <c r="G76" s="994">
        <f t="shared" si="51"/>
        <v>0.14692982456140347</v>
      </c>
      <c r="H76" s="994">
        <f t="shared" si="51"/>
        <v>-0.1777777777777777</v>
      </c>
      <c r="I76" s="994">
        <f t="shared" si="51"/>
        <v>-0.32357508413846436</v>
      </c>
      <c r="J76" s="994">
        <f t="shared" si="51"/>
        <v>-7.5163491744709487E-2</v>
      </c>
      <c r="K76" s="994">
        <f t="shared" si="51"/>
        <v>4.8501722947838832E-2</v>
      </c>
      <c r="L76" s="994">
        <f t="shared" si="51"/>
        <v>-0.72616878148566977</v>
      </c>
      <c r="M76" s="994">
        <f t="shared" si="51"/>
        <v>-4.7211606368074879</v>
      </c>
      <c r="N76" s="994">
        <f t="shared" si="51"/>
        <v>-1.1469109604759635</v>
      </c>
      <c r="O76" s="994">
        <f t="shared" si="51"/>
        <v>2.9121332505926532</v>
      </c>
      <c r="P76" s="994">
        <f>P75/M75-1</f>
        <v>-1.2561035124477817</v>
      </c>
      <c r="Q76" s="994">
        <f t="shared" ref="Q76:AH76" si="52">Q75/P75-1</f>
        <v>0.64912280701754388</v>
      </c>
      <c r="R76" s="994">
        <f t="shared" si="52"/>
        <v>-4.3369152518088683</v>
      </c>
      <c r="S76" s="994">
        <f t="shared" si="52"/>
        <v>-1.5516056227262434</v>
      </c>
      <c r="T76" s="994">
        <f t="shared" si="52"/>
        <v>1.4640146840027932</v>
      </c>
      <c r="U76" s="1003">
        <f t="shared" si="52"/>
        <v>0.16713368794277361</v>
      </c>
      <c r="V76" s="1003">
        <f t="shared" si="52"/>
        <v>-1.2730277185269867E-2</v>
      </c>
      <c r="W76" s="1003">
        <f t="shared" si="52"/>
        <v>-0.47842613424755831</v>
      </c>
      <c r="X76" s="1003">
        <f t="shared" si="52"/>
        <v>-0.57831702127073914</v>
      </c>
      <c r="Y76" s="1003">
        <f t="shared" si="52"/>
        <v>0.51275752249847018</v>
      </c>
      <c r="Z76" s="1003">
        <f t="shared" si="52"/>
        <v>-0.210785951186792</v>
      </c>
      <c r="AA76" s="1003">
        <f t="shared" si="52"/>
        <v>-4.5616433682875055</v>
      </c>
      <c r="AB76" s="1003">
        <f t="shared" si="52"/>
        <v>0.21185122152193592</v>
      </c>
      <c r="AC76" s="1003">
        <f t="shared" si="52"/>
        <v>-0.54626460279270739</v>
      </c>
      <c r="AD76" s="1003">
        <f t="shared" si="52"/>
        <v>-0.29247878620591394</v>
      </c>
      <c r="AE76" s="1003">
        <f>AE75/AD75-1</f>
        <v>-1.0017875012234654</v>
      </c>
      <c r="AF76" s="1003">
        <f t="shared" si="52"/>
        <v>-118.0304082288653</v>
      </c>
      <c r="AG76" s="1003">
        <f t="shared" si="52"/>
        <v>-1.189752552792952</v>
      </c>
      <c r="AH76" s="1298">
        <f t="shared" si="52"/>
        <v>-1.6810444965190423</v>
      </c>
      <c r="AI76" s="1298">
        <f>AI75/AH75-1</f>
        <v>1.0368072846712244</v>
      </c>
      <c r="AJ76" s="1298">
        <f>AJ75/AI75-1</f>
        <v>3.0865843127145132</v>
      </c>
      <c r="AK76" s="1298"/>
      <c r="AL76" s="1003"/>
      <c r="AM76" s="500"/>
      <c r="AN76" s="507"/>
      <c r="AO76" s="507"/>
      <c r="AP76" s="961"/>
    </row>
    <row r="77" spans="1:42" hidden="1" outlineLevel="1" collapsed="1">
      <c r="A77" s="400"/>
      <c r="B77" s="1020"/>
      <c r="C77" s="1020"/>
      <c r="D77" s="1020"/>
      <c r="E77" s="1020"/>
      <c r="F77" s="1020"/>
      <c r="G77" s="1020"/>
      <c r="H77" s="1020"/>
      <c r="I77" s="1020"/>
      <c r="J77" s="1020"/>
      <c r="K77" s="1020"/>
      <c r="L77" s="1020"/>
      <c r="M77" s="1020"/>
      <c r="N77" s="1020"/>
      <c r="O77" s="1020"/>
      <c r="P77" s="1020"/>
      <c r="Q77" s="1020"/>
      <c r="R77" s="1020"/>
      <c r="S77" s="1020"/>
      <c r="T77" s="1020"/>
      <c r="U77" s="1021"/>
      <c r="V77" s="1021"/>
      <c r="W77" s="1021"/>
      <c r="X77" s="1021"/>
      <c r="Y77" s="1021"/>
      <c r="Z77" s="792"/>
      <c r="AA77" s="792"/>
      <c r="AM77" s="500"/>
      <c r="AN77" s="507"/>
      <c r="AO77" s="507"/>
      <c r="AP77" s="961"/>
    </row>
    <row r="78" spans="1:42" collapsed="1">
      <c r="A78" s="507" t="s">
        <v>499</v>
      </c>
      <c r="B78" s="645">
        <f>INDEX('qtrP&amp;L'!224:224,MATCH(B5,'qtrP&amp;L'!6:6,0))</f>
        <v>267.39999999999998</v>
      </c>
      <c r="C78" s="645">
        <f>INDEX('qtrP&amp;L'!224:224,MATCH(C5,'qtrP&amp;L'!6:6,0))</f>
        <v>259.8</v>
      </c>
      <c r="D78" s="645">
        <f>INDEX('qtrP&amp;L'!224:224,MATCH(D5,'qtrP&amp;L'!6:6,0))</f>
        <v>256.8</v>
      </c>
      <c r="E78" s="645">
        <f>INDEX('qtrP&amp;L'!224:224,MATCH(E5,'qtrP&amp;L'!6:6,0))</f>
        <v>258.60000000000002</v>
      </c>
      <c r="F78" s="645">
        <f>INDEX('qtrP&amp;L'!224:224,MATCH(F5,'qtrP&amp;L'!6:6,0))</f>
        <v>261.5</v>
      </c>
      <c r="G78" s="645">
        <f>INDEX('qtrP&amp;L'!224:224,MATCH(G5,'qtrP&amp;L'!6:6,0))</f>
        <v>258.39999999999998</v>
      </c>
      <c r="H78" s="645">
        <f>INDEX('qtrP&amp;L'!224:224,MATCH(H5,'qtrP&amp;L'!6:6,0))</f>
        <v>249.5</v>
      </c>
      <c r="I78" s="645">
        <f>INDEX('qtrP&amp;L'!224:224,MATCH(I5,'qtrP&amp;L'!6:6,0))</f>
        <v>248.5</v>
      </c>
      <c r="J78" s="645">
        <f>INDEX('qtrP&amp;L'!224:224,MATCH(J5,'qtrP&amp;L'!6:6,0))</f>
        <v>267.82499999999999</v>
      </c>
      <c r="K78" s="645">
        <f>INDEX('qtrP&amp;L'!224:224,MATCH(K5,'qtrP&amp;L'!6:6,0))</f>
        <v>271.64999999999998</v>
      </c>
      <c r="L78" s="645">
        <f>INDEX('qtrP&amp;L'!224:224,MATCH(L5,'qtrP&amp;L'!6:6,0))</f>
        <v>275.10000000000002</v>
      </c>
      <c r="M78" s="645">
        <f>INDEX('qtrP&amp;L'!224:224,MATCH(M5,'qtrP&amp;L'!6:6,0))</f>
        <v>276.2</v>
      </c>
      <c r="N78" s="645">
        <f>INDEX('qtrP&amp;L'!224:224,MATCH(N5,'qtrP&amp;L'!6:6,0))</f>
        <v>267.7</v>
      </c>
      <c r="O78" s="645">
        <f>INDEX('qtrP&amp;L'!224:224,MATCH(O5,'qtrP&amp;L'!6:6,0))</f>
        <v>295.22500000000002</v>
      </c>
      <c r="P78" s="645">
        <f>INDEX('qtrP&amp;L'!224:224,MATCH(P5,'qtrP&amp;L'!6:6,0))</f>
        <v>267</v>
      </c>
      <c r="Q78" s="645">
        <f>INDEX('qtrP&amp;L'!224:224,MATCH(Q5,'qtrP&amp;L'!6:6,0))</f>
        <v>293</v>
      </c>
      <c r="R78" s="645">
        <f>INDEX('qtrP&amp;L'!224:224,MATCH(R5,'qtrP&amp;L'!6:6,0))</f>
        <v>297</v>
      </c>
      <c r="S78" s="645">
        <f>INDEX('qtrP&amp;L'!224:224,MATCH(S5,'qtrP&amp;L'!6:6,0))</f>
        <v>302.42500000000001</v>
      </c>
      <c r="T78" s="645">
        <f>INDEX('qtrP&amp;L'!224:224,MATCH(T5,'qtrP&amp;L'!6:6,0))</f>
        <v>255.4</v>
      </c>
      <c r="U78" s="1039">
        <f>INDEX('qtrP&amp;L'!224:224,MATCH(U5,'qtrP&amp;L'!6:6,0))</f>
        <v>232.2</v>
      </c>
      <c r="V78" s="1039">
        <f>INDEX('qtrP&amp;L'!224:224,MATCH(V5,'qtrP&amp;L'!6:6,0))</f>
        <v>225.17500000000001</v>
      </c>
      <c r="W78" s="1039">
        <f>INDEX('qtrP&amp;L'!224:224,MATCH(W5,'qtrP&amp;L'!6:6,0))</f>
        <v>222.875</v>
      </c>
      <c r="X78" s="1039">
        <f>INDEX('qtrP&amp;L'!224:224,MATCH(X5,'qtrP&amp;L'!6:6,0))</f>
        <v>232.85</v>
      </c>
      <c r="Y78" s="1039">
        <f>INDEX('qtrP&amp;L'!224:224,MATCH(Y5,'qtrP&amp;L'!6:6,0))</f>
        <v>238</v>
      </c>
      <c r="Z78" s="1039">
        <f>INDEX('qtrP&amp;L'!224:224,MATCH(Z5,'qtrP&amp;L'!6:6,0))</f>
        <v>217.4</v>
      </c>
      <c r="AA78" s="1039">
        <f>INDEX('qtrP&amp;L'!224:224,MATCH(AA5,'qtrP&amp;L'!6:6,0))</f>
        <v>219.2</v>
      </c>
      <c r="AB78" s="1039">
        <f>INDEX('qtrP&amp;L'!224:224,MATCH(AB5,'qtrP&amp;L'!6:6,0))</f>
        <v>249.3</v>
      </c>
      <c r="AC78" s="1039">
        <f>INDEX('qtrP&amp;L'!224:224,MATCH(AC5,'qtrP&amp;L'!6:6,0))</f>
        <v>305.2</v>
      </c>
      <c r="AD78" s="1039">
        <f>INDEX('qtrP&amp;L'!224:224,MATCH(AD5,'qtrP&amp;L'!6:6,0))</f>
        <v>305.89999999999998</v>
      </c>
      <c r="AE78" s="1039">
        <f>INDEX('qtrP&amp;L'!224:224,MATCH(AE5,'qtrP&amp;L'!6:6,0))</f>
        <v>313</v>
      </c>
      <c r="AF78" s="1039">
        <f>INDEX('qtrP&amp;L'!224:224,MATCH(AF5,'qtrP&amp;L'!6:6,0))</f>
        <v>311.10000000000002</v>
      </c>
      <c r="AG78" s="1039">
        <f>'qtrP&amp;L'!EE224</f>
        <v>314.60000000000002</v>
      </c>
      <c r="AH78" s="1039">
        <f>AG78</f>
        <v>314.60000000000002</v>
      </c>
      <c r="AI78" s="1039">
        <f>AH78</f>
        <v>314.60000000000002</v>
      </c>
      <c r="AJ78" s="1039">
        <f>AI78</f>
        <v>314.60000000000002</v>
      </c>
      <c r="AK78" s="1039">
        <f>AJ78</f>
        <v>314.60000000000002</v>
      </c>
      <c r="AL78" s="1040"/>
      <c r="AM78" s="1041">
        <f>((AE78/Z78)^(1/4)-1)*100</f>
        <v>9.5396122943475437</v>
      </c>
      <c r="AN78" s="584" t="s">
        <v>156</v>
      </c>
      <c r="AO78" s="770">
        <f>((AJ78/AE78)^(1/5)-1)*100</f>
        <v>0.10202801488390367</v>
      </c>
      <c r="AP78" s="985" t="s">
        <v>156</v>
      </c>
    </row>
    <row r="79" spans="1:42" ht="13.5" hidden="1" outlineLevel="1" thickBot="1">
      <c r="U79" s="858"/>
      <c r="V79" s="858"/>
      <c r="W79" s="858"/>
      <c r="X79" s="858"/>
      <c r="Y79" s="858"/>
      <c r="Z79" s="858"/>
      <c r="AB79" s="1042">
        <v>22</v>
      </c>
      <c r="AC79" s="1042">
        <v>22</v>
      </c>
      <c r="AD79" s="1042">
        <v>22</v>
      </c>
      <c r="AE79" s="1043">
        <v>22</v>
      </c>
      <c r="AF79" s="1043">
        <v>22</v>
      </c>
      <c r="AG79" s="1043">
        <v>22</v>
      </c>
      <c r="AH79" s="1316">
        <v>22</v>
      </c>
      <c r="AI79" s="1316">
        <v>22</v>
      </c>
      <c r="AJ79" s="1316">
        <v>22</v>
      </c>
      <c r="AK79" s="1316"/>
      <c r="AL79" s="1043"/>
      <c r="AM79" s="507"/>
      <c r="AN79" s="507"/>
      <c r="AO79" s="507"/>
      <c r="AP79" s="507"/>
    </row>
    <row r="80" spans="1:42" hidden="1" outlineLevel="1">
      <c r="A80" s="653"/>
      <c r="B80" s="653"/>
      <c r="C80" s="653"/>
      <c r="D80" s="653"/>
      <c r="E80" s="653"/>
      <c r="F80" s="653"/>
      <c r="G80" s="653"/>
      <c r="H80" s="653"/>
      <c r="I80" s="653"/>
      <c r="J80" s="653"/>
      <c r="K80" s="653"/>
      <c r="L80" s="653"/>
      <c r="M80" s="653"/>
      <c r="N80" s="653"/>
      <c r="O80" s="653"/>
      <c r="P80" s="653"/>
      <c r="Q80" s="653"/>
      <c r="R80" s="653"/>
      <c r="S80" s="653"/>
      <c r="T80" s="653"/>
      <c r="U80" s="653"/>
      <c r="V80" s="653"/>
      <c r="W80" s="653"/>
      <c r="X80" s="653"/>
      <c r="Y80" s="653"/>
      <c r="Z80" s="653"/>
      <c r="AA80" s="653"/>
      <c r="AB80" s="653"/>
      <c r="AC80" s="653"/>
      <c r="AD80" s="653"/>
      <c r="AE80" s="653"/>
      <c r="AF80" s="653"/>
      <c r="AG80" s="653"/>
      <c r="AH80" s="1317"/>
      <c r="AI80" s="1317"/>
      <c r="AJ80" s="1317"/>
      <c r="AK80" s="1317"/>
      <c r="AL80" s="653"/>
      <c r="AM80" s="507"/>
      <c r="AN80" s="507"/>
      <c r="AO80" s="507"/>
      <c r="AP80" s="507"/>
    </row>
    <row r="81" spans="1:58" collapsed="1">
      <c r="A81" s="653"/>
      <c r="B81" s="653"/>
      <c r="C81" s="653"/>
      <c r="D81" s="653"/>
      <c r="E81" s="653"/>
      <c r="F81" s="653"/>
      <c r="G81" s="653"/>
      <c r="H81" s="653"/>
      <c r="I81" s="653"/>
      <c r="J81" s="653"/>
      <c r="K81" s="653"/>
      <c r="L81" s="653"/>
      <c r="M81" s="653"/>
      <c r="N81" s="653"/>
      <c r="O81" s="653"/>
      <c r="P81" s="653"/>
      <c r="Q81" s="653"/>
      <c r="R81" s="653"/>
      <c r="S81" s="653"/>
      <c r="T81" s="653"/>
      <c r="U81" s="653"/>
      <c r="V81" s="653"/>
      <c r="W81" s="653"/>
      <c r="X81" s="653"/>
      <c r="Y81" s="653"/>
      <c r="Z81" s="653"/>
      <c r="AA81" s="653"/>
      <c r="AB81" s="653"/>
      <c r="AC81" s="653"/>
      <c r="AD81" s="653"/>
      <c r="AE81" s="653"/>
      <c r="AF81" s="653"/>
      <c r="AG81" s="653"/>
      <c r="AH81" s="1317"/>
      <c r="AI81" s="1317"/>
      <c r="AJ81" s="1317"/>
      <c r="AK81" s="1317"/>
      <c r="AL81" s="653"/>
      <c r="AM81" s="507"/>
      <c r="AN81" s="507"/>
      <c r="AO81" s="507"/>
      <c r="AP81" s="507"/>
    </row>
    <row r="82" spans="1:58">
      <c r="A82" s="1044" t="s">
        <v>139</v>
      </c>
      <c r="B82" s="1044"/>
      <c r="C82" s="1044"/>
      <c r="D82" s="1044"/>
      <c r="E82" s="1044"/>
      <c r="F82" s="1044"/>
      <c r="G82" s="1044"/>
      <c r="H82" s="1044"/>
      <c r="I82" s="1044"/>
      <c r="J82" s="1044"/>
      <c r="K82" s="1044"/>
      <c r="L82" s="1044"/>
      <c r="M82" s="1044"/>
      <c r="N82" s="1044"/>
      <c r="O82" s="1044"/>
      <c r="P82" s="1044"/>
      <c r="Q82" s="1044"/>
      <c r="R82" s="1044"/>
      <c r="S82" s="1044"/>
      <c r="AE82" s="612"/>
      <c r="AF82" s="612"/>
      <c r="AM82" s="507"/>
      <c r="AN82" s="507"/>
      <c r="AO82" s="507"/>
      <c r="AP82" s="507"/>
    </row>
    <row r="83" spans="1:58">
      <c r="AE83" s="612"/>
      <c r="AF83" s="612"/>
    </row>
    <row r="84" spans="1:58">
      <c r="A84" s="507" t="s">
        <v>565</v>
      </c>
      <c r="AR84" s="1045"/>
    </row>
    <row r="86" spans="1:58" ht="13.5" thickBot="1">
      <c r="AA86" s="678"/>
    </row>
    <row r="87" spans="1:58" ht="39" thickBot="1">
      <c r="AR87" s="1046" t="s">
        <v>617</v>
      </c>
      <c r="AS87" s="1047">
        <v>-0.01</v>
      </c>
      <c r="AT87" s="1047">
        <v>0</v>
      </c>
      <c r="AU87" s="1047">
        <v>0.01</v>
      </c>
      <c r="AV87" s="1047">
        <v>0.02</v>
      </c>
      <c r="AW87" s="1047">
        <v>0.03</v>
      </c>
      <c r="AX87" s="1048">
        <v>0.04</v>
      </c>
      <c r="AZ87" s="1046" t="s">
        <v>617</v>
      </c>
      <c r="BA87" s="1047">
        <v>-0.01</v>
      </c>
      <c r="BB87" s="1047">
        <v>0</v>
      </c>
      <c r="BC87" s="1047">
        <v>0.01</v>
      </c>
      <c r="BD87" s="1047">
        <v>0.02</v>
      </c>
      <c r="BE87" s="1047">
        <v>0.03</v>
      </c>
      <c r="BF87" s="1048">
        <v>0.04</v>
      </c>
    </row>
    <row r="88" spans="1:58">
      <c r="AR88" s="1049">
        <v>0.36</v>
      </c>
      <c r="AS88" s="642">
        <v>-1.7121191906964754</v>
      </c>
      <c r="AT88" s="642">
        <v>-1.3408800987889304</v>
      </c>
      <c r="AU88" s="642">
        <v>-0.962141479756217</v>
      </c>
      <c r="AV88" s="642">
        <v>-0.57582833832707725</v>
      </c>
      <c r="AW88" s="642">
        <v>-0.18186567923028549</v>
      </c>
      <c r="AX88" s="1050">
        <v>0.21982149280543395</v>
      </c>
      <c r="AZ88" s="1049">
        <v>0.36</v>
      </c>
      <c r="BA88" s="1051">
        <v>306.20981551856028</v>
      </c>
      <c r="BB88" s="1051">
        <v>437.53491164923958</v>
      </c>
      <c r="BC88" s="1051">
        <v>571.51295070030665</v>
      </c>
      <c r="BD88" s="1051">
        <v>708.1704621009676</v>
      </c>
      <c r="BE88" s="1051">
        <v>847.53397528041774</v>
      </c>
      <c r="BF88" s="1052">
        <v>989.63001966786851</v>
      </c>
    </row>
    <row r="89" spans="1:58">
      <c r="AR89" s="1049">
        <v>0.36499999999999999</v>
      </c>
      <c r="AS89" s="642">
        <v>-1.52064503876456</v>
      </c>
      <c r="AT89" s="642">
        <v>-1.1435448939377266</v>
      </c>
      <c r="AU89" s="642">
        <v>-0.75882682086281728</v>
      </c>
      <c r="AV89" s="642">
        <v>-0.36641464025734283</v>
      </c>
      <c r="AW89" s="642">
        <v>3.3767827161156894E-2</v>
      </c>
      <c r="AX89" s="1050">
        <v>0.44179676067518003</v>
      </c>
      <c r="AZ89" s="1049">
        <v>0.36499999999999999</v>
      </c>
      <c r="BA89" s="1051">
        <v>365.79657159977239</v>
      </c>
      <c r="BB89" s="1051">
        <v>498.94562739893422</v>
      </c>
      <c r="BC89" s="1051">
        <v>634.78447254793264</v>
      </c>
      <c r="BD89" s="1051">
        <v>773.34000494026895</v>
      </c>
      <c r="BE89" s="1051">
        <v>914.6391224694346</v>
      </c>
      <c r="BF89" s="1052">
        <v>1058.7087230289335</v>
      </c>
    </row>
    <row r="90" spans="1:58">
      <c r="AR90" s="1049">
        <v>0.37</v>
      </c>
      <c r="AS90" s="642">
        <v>-1.3291708868326415</v>
      </c>
      <c r="AT90" s="642">
        <v>-0.9462096890865227</v>
      </c>
      <c r="AU90" s="642">
        <v>-0.55551216196941755</v>
      </c>
      <c r="AV90" s="642">
        <v>-0.15700094218760841</v>
      </c>
      <c r="AW90" s="642">
        <v>0.24940133355259925</v>
      </c>
      <c r="AX90" s="1050">
        <v>0.66377202854492612</v>
      </c>
      <c r="AZ90" s="1049">
        <v>0.37</v>
      </c>
      <c r="BA90" s="1051">
        <v>425.38332768098542</v>
      </c>
      <c r="BB90" s="1051">
        <v>560.35634314862887</v>
      </c>
      <c r="BC90" s="1051">
        <v>698.05599439555863</v>
      </c>
      <c r="BD90" s="1051">
        <v>838.50954777957031</v>
      </c>
      <c r="BE90" s="1051">
        <v>981.74426965845146</v>
      </c>
      <c r="BF90" s="1052">
        <v>1127.7874263899985</v>
      </c>
    </row>
    <row r="91" spans="1:58">
      <c r="AR91" s="1049">
        <v>0.375</v>
      </c>
      <c r="AS91" s="642">
        <v>-1.137696734900723</v>
      </c>
      <c r="AT91" s="642">
        <v>-0.74887448423531877</v>
      </c>
      <c r="AU91" s="642">
        <v>-0.35219750307601783</v>
      </c>
      <c r="AV91" s="642">
        <v>5.2412755882128965E-2</v>
      </c>
      <c r="AW91" s="642">
        <v>0.4650348399440416</v>
      </c>
      <c r="AX91" s="1050">
        <v>0.88574729641466643</v>
      </c>
      <c r="AZ91" s="1049">
        <v>0.375</v>
      </c>
      <c r="BA91" s="1051">
        <v>484.97008376219844</v>
      </c>
      <c r="BB91" s="1051">
        <v>621.76705889832351</v>
      </c>
      <c r="BC91" s="1051">
        <v>761.32751624318462</v>
      </c>
      <c r="BD91" s="1051">
        <v>903.67909061887258</v>
      </c>
      <c r="BE91" s="1051">
        <v>1048.8494168474683</v>
      </c>
      <c r="BF91" s="1052">
        <v>1196.8661297510616</v>
      </c>
    </row>
    <row r="92" spans="1:58">
      <c r="AR92" s="1049">
        <v>0.38</v>
      </c>
      <c r="AS92" s="642">
        <v>-0.94622258296880457</v>
      </c>
      <c r="AT92" s="642">
        <v>-0.55153927938411496</v>
      </c>
      <c r="AU92" s="642">
        <v>-0.14888284418261813</v>
      </c>
      <c r="AV92" s="642">
        <v>0.26182645395186632</v>
      </c>
      <c r="AW92" s="642">
        <v>0.68066834633547812</v>
      </c>
      <c r="AX92" s="1050">
        <v>1.1077225642844124</v>
      </c>
      <c r="AZ92" s="1049">
        <v>0.38</v>
      </c>
      <c r="BA92" s="1051">
        <v>544.55683984341147</v>
      </c>
      <c r="BB92" s="1051">
        <v>683.17777464801816</v>
      </c>
      <c r="BC92" s="1051">
        <v>824.59903809081061</v>
      </c>
      <c r="BD92" s="1051">
        <v>968.84863345817485</v>
      </c>
      <c r="BE92" s="1051">
        <v>1115.9545640364834</v>
      </c>
      <c r="BF92" s="1052">
        <v>1265.9448331121266</v>
      </c>
    </row>
    <row r="93" spans="1:58" ht="13.5" thickBot="1">
      <c r="AR93" s="1053">
        <v>0.38500000000000001</v>
      </c>
      <c r="AS93" s="1054">
        <v>-0.75474843103688616</v>
      </c>
      <c r="AT93" s="1054">
        <v>-0.35420407453291103</v>
      </c>
      <c r="AU93" s="1054">
        <v>5.4431814710781588E-2</v>
      </c>
      <c r="AV93" s="1054">
        <v>0.471240152022601</v>
      </c>
      <c r="AW93" s="1054">
        <v>0.89630185272692053</v>
      </c>
      <c r="AX93" s="1055">
        <v>1.3296978321541586</v>
      </c>
      <c r="AZ93" s="1053">
        <v>0.38500000000000001</v>
      </c>
      <c r="BA93" s="1056">
        <v>604.14359592462449</v>
      </c>
      <c r="BB93" s="1056">
        <v>744.5884903977128</v>
      </c>
      <c r="BC93" s="1056">
        <v>887.8705599384366</v>
      </c>
      <c r="BD93" s="1056">
        <v>1034.0181762974762</v>
      </c>
      <c r="BE93" s="1056">
        <v>1183.0597112255002</v>
      </c>
      <c r="BF93" s="1057">
        <v>1335.0235364731916</v>
      </c>
    </row>
    <row r="96" spans="1:58">
      <c r="AG96" s="579"/>
      <c r="AH96" s="1313"/>
      <c r="AI96" s="1313"/>
      <c r="AJ96" s="1313"/>
      <c r="AK96" s="1313"/>
      <c r="AL96" s="579"/>
      <c r="AS96" s="579"/>
      <c r="AT96" s="709"/>
      <c r="AU96" s="709"/>
      <c r="AV96" s="709"/>
      <c r="AW96" s="709"/>
      <c r="AX96" s="709"/>
      <c r="AY96" s="709"/>
    </row>
    <row r="97" spans="33:51">
      <c r="AG97" s="709"/>
      <c r="AH97" s="1318"/>
      <c r="AI97" s="1318"/>
      <c r="AJ97" s="1318"/>
      <c r="AK97" s="1318"/>
      <c r="AL97" s="709"/>
      <c r="AS97" s="709"/>
      <c r="AT97" s="1058"/>
      <c r="AU97" s="1058"/>
      <c r="AV97" s="1058"/>
      <c r="AW97" s="1058"/>
      <c r="AX97" s="1058"/>
      <c r="AY97" s="1058"/>
    </row>
    <row r="98" spans="33:51">
      <c r="AG98" s="709"/>
      <c r="AH98" s="1318"/>
      <c r="AI98" s="1318"/>
      <c r="AJ98" s="1318"/>
      <c r="AK98" s="1318"/>
      <c r="AL98" s="709"/>
      <c r="AS98" s="709"/>
      <c r="AT98" s="1058"/>
      <c r="AU98" s="1058"/>
      <c r="AV98" s="1058"/>
      <c r="AW98" s="1058"/>
      <c r="AX98" s="1058"/>
      <c r="AY98" s="1058"/>
    </row>
    <row r="99" spans="33:51">
      <c r="AG99" s="709"/>
      <c r="AH99" s="1318"/>
      <c r="AI99" s="1318"/>
      <c r="AJ99" s="1318"/>
      <c r="AK99" s="1318"/>
      <c r="AL99" s="709"/>
      <c r="AS99" s="709"/>
      <c r="AT99" s="1058"/>
      <c r="AU99" s="1058"/>
      <c r="AV99" s="1058"/>
      <c r="AW99" s="1058"/>
      <c r="AX99" s="1058"/>
      <c r="AY99" s="1058"/>
    </row>
    <row r="100" spans="33:51">
      <c r="AG100" s="709"/>
      <c r="AH100" s="1318"/>
      <c r="AI100" s="1318"/>
      <c r="AJ100" s="1318"/>
      <c r="AK100" s="1318"/>
      <c r="AL100" s="709"/>
      <c r="AS100" s="709"/>
      <c r="AT100" s="1058"/>
      <c r="AU100" s="1058"/>
      <c r="AV100" s="1058"/>
      <c r="AW100" s="1058"/>
      <c r="AX100" s="1058"/>
      <c r="AY100" s="1058"/>
    </row>
    <row r="101" spans="33:51">
      <c r="AG101" s="709"/>
      <c r="AH101" s="1318"/>
      <c r="AI101" s="1318"/>
      <c r="AJ101" s="1318"/>
      <c r="AK101" s="1318"/>
      <c r="AL101" s="709"/>
      <c r="AS101" s="709"/>
      <c r="AT101" s="1058"/>
      <c r="AU101" s="1058"/>
      <c r="AV101" s="1058"/>
      <c r="AW101" s="1058"/>
      <c r="AX101" s="1058"/>
      <c r="AY101" s="1058"/>
    </row>
    <row r="102" spans="33:51">
      <c r="AG102" s="709"/>
      <c r="AH102" s="1318"/>
      <c r="AI102" s="1318"/>
      <c r="AJ102" s="1318"/>
      <c r="AK102" s="1318"/>
      <c r="AL102" s="709"/>
      <c r="AS102" s="709"/>
      <c r="AT102" s="1058"/>
      <c r="AU102" s="1058"/>
      <c r="AV102" s="1058"/>
      <c r="AW102" s="1058"/>
      <c r="AX102" s="1058"/>
      <c r="AY102" s="1058"/>
    </row>
  </sheetData>
  <phoneticPr fontId="10" type="noConversion"/>
  <conditionalFormatting sqref="AA20 AA18 C23:P23 C18:Z22 C13:AA13">
    <cfRule type="cellIs" dxfId="3" priority="3" stopIfTrue="1" operator="greaterThan">
      <formula>0</formula>
    </cfRule>
    <cfRule type="cellIs" dxfId="2" priority="4" stopIfTrue="1" operator="lessThan">
      <formula>0</formula>
    </cfRule>
  </conditionalFormatting>
  <conditionalFormatting sqref="AS88:AX93">
    <cfRule type="cellIs" dxfId="1" priority="2" stopIfTrue="1" operator="greaterThan">
      <formula>0.7</formula>
    </cfRule>
  </conditionalFormatting>
  <conditionalFormatting sqref="BA88:BF93">
    <cfRule type="cellIs" dxfId="0" priority="1" stopIfTrue="1" operator="greaterThan">
      <formula>1190</formula>
    </cfRule>
  </conditionalFormatting>
  <printOptions horizontalCentered="1" verticalCentered="1"/>
  <pageMargins left="0.5" right="0.5" top="0.5" bottom="0.5" header="0.5" footer="0.5"/>
  <pageSetup scale="76" orientation="landscape" horizontalDpi="300" verticalDpi="300" r:id="rId1"/>
  <headerFooter alignWithMargins="0"/>
  <rowBreaks count="2" manualBreakCount="2">
    <brk id="48" max="16383" man="1"/>
    <brk id="78" max="31" man="1"/>
  </rowBreaks>
  <colBreaks count="1" manualBreakCount="1">
    <brk id="38" max="77"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O61"/>
  <sheetViews>
    <sheetView showGridLines="0" zoomScale="85" zoomScaleNormal="85" workbookViewId="0"/>
  </sheetViews>
  <sheetFormatPr defaultRowHeight="12.75" outlineLevelRow="1"/>
  <cols>
    <col min="1" max="1" width="2" style="440" customWidth="1"/>
    <col min="2" max="2" width="32.140625" style="517" customWidth="1"/>
    <col min="3" max="3" width="10.5703125" style="440" customWidth="1"/>
    <col min="4" max="10" width="10.28515625" style="440" bestFit="1" customWidth="1"/>
    <col min="11" max="11" width="11.28515625" style="1437" hidden="1" customWidth="1"/>
    <col min="12" max="16384" width="9.140625" style="440"/>
  </cols>
  <sheetData>
    <row r="1" spans="2:15">
      <c r="C1" s="1586" t="s">
        <v>656</v>
      </c>
      <c r="D1" s="1586"/>
      <c r="E1" s="1586"/>
      <c r="F1" s="1586"/>
      <c r="G1" s="1586"/>
      <c r="H1" s="1587" t="s">
        <v>657</v>
      </c>
      <c r="I1" s="1587"/>
      <c r="J1" s="1587"/>
    </row>
    <row r="2" spans="2:15" s="519" customFormat="1">
      <c r="B2" s="518" t="s">
        <v>632</v>
      </c>
      <c r="C2" s="1404">
        <v>2018</v>
      </c>
      <c r="D2" s="1404">
        <f>C2+1</f>
        <v>2019</v>
      </c>
      <c r="E2" s="1404">
        <f t="shared" ref="E2:J2" si="0">D2+1</f>
        <v>2020</v>
      </c>
      <c r="F2" s="1404">
        <f t="shared" si="0"/>
        <v>2021</v>
      </c>
      <c r="G2" s="1404">
        <f t="shared" si="0"/>
        <v>2022</v>
      </c>
      <c r="H2" s="1405">
        <f t="shared" si="0"/>
        <v>2023</v>
      </c>
      <c r="I2" s="1405">
        <f t="shared" si="0"/>
        <v>2024</v>
      </c>
      <c r="J2" s="1405">
        <f t="shared" si="0"/>
        <v>2025</v>
      </c>
      <c r="K2" s="1438">
        <v>2025</v>
      </c>
      <c r="L2" s="520"/>
      <c r="M2" s="520"/>
      <c r="N2" s="520"/>
      <c r="O2" s="520"/>
    </row>
    <row r="3" spans="2:15" s="519" customFormat="1">
      <c r="B3" s="521"/>
      <c r="C3" s="520"/>
      <c r="D3" s="520"/>
      <c r="E3" s="520"/>
      <c r="F3" s="520"/>
      <c r="G3" s="520"/>
      <c r="H3" s="522"/>
      <c r="I3" s="522"/>
      <c r="J3" s="522"/>
      <c r="K3" s="1439"/>
      <c r="L3" s="520"/>
      <c r="M3" s="520"/>
      <c r="N3" s="520"/>
      <c r="O3" s="520"/>
    </row>
    <row r="4" spans="2:15">
      <c r="B4" s="517" t="s">
        <v>658</v>
      </c>
      <c r="C4" s="523">
        <f>'yrP&amp;L'!AG7</f>
        <v>12054.056</v>
      </c>
      <c r="D4" s="523">
        <f>'yrP&amp;L'!AH7</f>
        <v>11725.464803815385</v>
      </c>
      <c r="E4" s="523">
        <f>'yrP&amp;L'!AI7</f>
        <v>11327.560385207391</v>
      </c>
      <c r="F4" s="523">
        <f>'yrP&amp;L'!AJ7</f>
        <v>10860.185527968701</v>
      </c>
      <c r="G4" s="523">
        <f>'yrP&amp;L'!AK7</f>
        <v>10282.217070467816</v>
      </c>
      <c r="H4" s="524">
        <f>G4*(1+H5)</f>
        <v>9735.0075292861475</v>
      </c>
      <c r="I4" s="524">
        <f>H4*(1+I5)</f>
        <v>9248.2571528218396</v>
      </c>
      <c r="J4" s="524">
        <f>I4*(1+J5)</f>
        <v>8878.3268667089651</v>
      </c>
      <c r="K4" s="1440">
        <f>J4*(1+K5)</f>
        <v>8567.5854263741512</v>
      </c>
    </row>
    <row r="5" spans="2:15">
      <c r="B5" s="517" t="s">
        <v>361</v>
      </c>
      <c r="C5" s="525">
        <f>'yrP&amp;L'!AG8</f>
        <v>-3.6138173676635188E-2</v>
      </c>
      <c r="D5" s="525">
        <f>'yrP&amp;L'!AH8</f>
        <v>-2.7259803354540257E-2</v>
      </c>
      <c r="E5" s="525">
        <f>'yrP&amp;L'!AI8</f>
        <v>-3.3935065710872125E-2</v>
      </c>
      <c r="F5" s="525">
        <f>'yrP&amp;L'!AJ8</f>
        <v>-4.1259974905897057E-2</v>
      </c>
      <c r="G5" s="525">
        <f>'yrP&amp;L'!AK8</f>
        <v>-5.3219022457067444E-2</v>
      </c>
      <c r="H5" s="1536">
        <f>'yrP&amp;L'!AK8</f>
        <v>-5.3219022457067444E-2</v>
      </c>
      <c r="I5" s="526">
        <v>-0.05</v>
      </c>
      <c r="J5" s="526">
        <v>-0.04</v>
      </c>
      <c r="K5" s="1441">
        <v>-3.5000000000000003E-2</v>
      </c>
    </row>
    <row r="6" spans="2:15">
      <c r="B6" s="517" t="s">
        <v>659</v>
      </c>
      <c r="C6" s="523">
        <f>'yrP&amp;L'!AG42</f>
        <v>339.32033599999886</v>
      </c>
      <c r="D6" s="523">
        <f>'yrP&amp;L'!AH42</f>
        <v>264.79885800674492</v>
      </c>
      <c r="E6" s="523">
        <f>'yrP&amp;L'!AI42</f>
        <v>239.0382032528164</v>
      </c>
      <c r="F6" s="523">
        <f>'yrP&amp;L'!AJ42</f>
        <v>133.47200711950427</v>
      </c>
      <c r="G6" s="523">
        <f>'yrP&amp;L'!AK42</f>
        <v>-6.1142523228468235</v>
      </c>
      <c r="H6" s="524">
        <f>H4*H7</f>
        <v>-5.788857791169062</v>
      </c>
      <c r="I6" s="524">
        <f>I4*I7</f>
        <v>-5.4994149016106082</v>
      </c>
      <c r="J6" s="524">
        <f>J4*J7</f>
        <v>-5.2794383055461838</v>
      </c>
      <c r="K6" s="1440">
        <f>K4*K7</f>
        <v>214.1896356593538</v>
      </c>
    </row>
    <row r="7" spans="2:15">
      <c r="B7" s="527" t="s">
        <v>491</v>
      </c>
      <c r="C7" s="525">
        <f>C6/C4</f>
        <v>2.8149888800914718E-2</v>
      </c>
      <c r="D7" s="525">
        <f t="shared" ref="D7:G7" si="1">D6/D4</f>
        <v>2.2583229103257486E-2</v>
      </c>
      <c r="E7" s="525">
        <f t="shared" si="1"/>
        <v>2.1102355240142909E-2</v>
      </c>
      <c r="F7" s="525">
        <f t="shared" si="1"/>
        <v>1.2290030108212065E-2</v>
      </c>
      <c r="G7" s="525">
        <f t="shared" si="1"/>
        <v>-5.9464338098910025E-4</v>
      </c>
      <c r="H7" s="526">
        <f>G7</f>
        <v>-5.9464338098910025E-4</v>
      </c>
      <c r="I7" s="526">
        <f>H7</f>
        <v>-5.9464338098910025E-4</v>
      </c>
      <c r="J7" s="526">
        <f>I7</f>
        <v>-5.9464338098910025E-4</v>
      </c>
      <c r="K7" s="1441">
        <v>2.5000000000000001E-2</v>
      </c>
    </row>
    <row r="8" spans="2:15" s="531" customFormat="1">
      <c r="B8" s="528" t="s">
        <v>251</v>
      </c>
      <c r="C8" s="529">
        <f>'yrP&amp;L'!AG57</f>
        <v>0.43234625462001375</v>
      </c>
      <c r="D8" s="529">
        <f>'yrP&amp;L'!AH57</f>
        <v>0</v>
      </c>
      <c r="E8" s="529">
        <f>'yrP&amp;L'!AI57</f>
        <v>0</v>
      </c>
      <c r="F8" s="529">
        <f>'yrP&amp;L'!AJ57</f>
        <v>0</v>
      </c>
      <c r="G8" s="529">
        <f>'yrP&amp;L'!AK57</f>
        <v>0</v>
      </c>
      <c r="H8" s="530">
        <f>G8</f>
        <v>0</v>
      </c>
      <c r="I8" s="530">
        <v>0</v>
      </c>
      <c r="J8" s="530">
        <v>0</v>
      </c>
      <c r="K8" s="1442">
        <v>0</v>
      </c>
    </row>
    <row r="9" spans="2:15">
      <c r="B9" s="517" t="s">
        <v>660</v>
      </c>
      <c r="C9" s="532">
        <f t="shared" ref="C9:J9" si="2">-C6*C8</f>
        <v>-146.70387638600411</v>
      </c>
      <c r="D9" s="532">
        <f t="shared" ref="D9:G9" si="3">-D6*D8</f>
        <v>0</v>
      </c>
      <c r="E9" s="532">
        <f t="shared" si="3"/>
        <v>0</v>
      </c>
      <c r="F9" s="532">
        <f t="shared" si="3"/>
        <v>0</v>
      </c>
      <c r="G9" s="532">
        <f t="shared" si="3"/>
        <v>0</v>
      </c>
      <c r="H9" s="533">
        <f t="shared" si="2"/>
        <v>0</v>
      </c>
      <c r="I9" s="533">
        <f t="shared" si="2"/>
        <v>0</v>
      </c>
      <c r="J9" s="533">
        <f t="shared" si="2"/>
        <v>0</v>
      </c>
      <c r="K9" s="1443">
        <f t="shared" ref="K9" si="4">-K6*K8</f>
        <v>0</v>
      </c>
    </row>
    <row r="10" spans="2:15">
      <c r="B10" s="517" t="s">
        <v>661</v>
      </c>
      <c r="C10" s="534">
        <f t="shared" ref="C10:K10" si="5">C6+C9</f>
        <v>192.61645961399475</v>
      </c>
      <c r="D10" s="534">
        <f t="shared" ref="D10:G10" si="6">D6+D9</f>
        <v>264.79885800674492</v>
      </c>
      <c r="E10" s="534">
        <f t="shared" si="6"/>
        <v>239.0382032528164</v>
      </c>
      <c r="F10" s="534">
        <f t="shared" si="6"/>
        <v>133.47200711950427</v>
      </c>
      <c r="G10" s="534">
        <f t="shared" si="6"/>
        <v>-6.1142523228468235</v>
      </c>
      <c r="H10" s="535">
        <f t="shared" si="5"/>
        <v>-5.788857791169062</v>
      </c>
      <c r="I10" s="535">
        <f t="shared" si="5"/>
        <v>-5.4994149016106082</v>
      </c>
      <c r="J10" s="535">
        <f t="shared" si="5"/>
        <v>-5.2794383055461838</v>
      </c>
      <c r="K10" s="1444">
        <f t="shared" si="5"/>
        <v>214.1896356593538</v>
      </c>
    </row>
    <row r="11" spans="2:15" s="539" customFormat="1" hidden="1">
      <c r="B11" s="536" t="s">
        <v>662</v>
      </c>
      <c r="C11" s="537">
        <f t="shared" ref="C11:J11" si="7">C10/C4</f>
        <v>1.597938980986937E-2</v>
      </c>
      <c r="D11" s="537">
        <f t="shared" ref="D11:G11" si="8">D10/D4</f>
        <v>2.2583229103257486E-2</v>
      </c>
      <c r="E11" s="537">
        <f t="shared" si="8"/>
        <v>2.1102355240142909E-2</v>
      </c>
      <c r="F11" s="537">
        <f t="shared" si="8"/>
        <v>1.2290030108212065E-2</v>
      </c>
      <c r="G11" s="537">
        <f t="shared" si="8"/>
        <v>-5.9464338098910025E-4</v>
      </c>
      <c r="H11" s="538">
        <f t="shared" si="7"/>
        <v>-5.9464338098910025E-4</v>
      </c>
      <c r="I11" s="538">
        <f t="shared" si="7"/>
        <v>-5.9464338098910025E-4</v>
      </c>
      <c r="J11" s="538">
        <f t="shared" si="7"/>
        <v>-5.9464338098910025E-4</v>
      </c>
      <c r="K11" s="1445"/>
    </row>
    <row r="12" spans="2:15" ht="6.75" customHeight="1">
      <c r="H12" s="540"/>
      <c r="I12" s="540"/>
      <c r="J12" s="540"/>
    </row>
    <row r="13" spans="2:15">
      <c r="B13" s="541" t="s">
        <v>663</v>
      </c>
      <c r="C13" s="532">
        <f>'yrP&amp;L'!AG31</f>
        <v>549</v>
      </c>
      <c r="D13" s="532">
        <f>'yrP&amp;L'!AH31</f>
        <v>540.54392745588927</v>
      </c>
      <c r="E13" s="532">
        <f>'yrP&amp;L'!AI31</f>
        <v>515.40399752693622</v>
      </c>
      <c r="F13" s="532">
        <f>'yrP&amp;L'!AJ31</f>
        <v>499.56853428656024</v>
      </c>
      <c r="G13" s="532">
        <f>'yrP&amp;L'!AK31</f>
        <v>472.98198524151951</v>
      </c>
      <c r="H13" s="533">
        <f>H4*H14</f>
        <v>447.81034634716275</v>
      </c>
      <c r="I13" s="533">
        <f t="shared" ref="I13:J13" si="9">I4*I14</f>
        <v>425.41982902980459</v>
      </c>
      <c r="J13" s="533">
        <f t="shared" si="9"/>
        <v>408.40303586861239</v>
      </c>
      <c r="K13" s="1443">
        <f t="shared" ref="K13" si="10">K4*K14</f>
        <v>394.10892961321093</v>
      </c>
    </row>
    <row r="14" spans="2:15">
      <c r="C14" s="525">
        <f>C13/C4</f>
        <v>4.554483569679782E-2</v>
      </c>
      <c r="D14" s="525">
        <f t="shared" ref="D14:G14" si="11">D13/D4</f>
        <v>4.6100000000000002E-2</v>
      </c>
      <c r="E14" s="525">
        <f t="shared" si="11"/>
        <v>4.5499999999999992E-2</v>
      </c>
      <c r="F14" s="525">
        <f t="shared" si="11"/>
        <v>4.5999999999999999E-2</v>
      </c>
      <c r="G14" s="525">
        <f t="shared" si="11"/>
        <v>4.5999999999999999E-2</v>
      </c>
      <c r="H14" s="542">
        <f t="shared" ref="H14:K15" si="12">G14</f>
        <v>4.5999999999999999E-2</v>
      </c>
      <c r="I14" s="542">
        <f t="shared" si="12"/>
        <v>4.5999999999999999E-2</v>
      </c>
      <c r="J14" s="542">
        <f t="shared" si="12"/>
        <v>4.5999999999999999E-2</v>
      </c>
      <c r="K14" s="1446">
        <f t="shared" si="12"/>
        <v>4.5999999999999999E-2</v>
      </c>
    </row>
    <row r="15" spans="2:15">
      <c r="B15" s="541" t="s">
        <v>215</v>
      </c>
      <c r="C15" s="523">
        <f>flow!AH29</f>
        <v>-427</v>
      </c>
      <c r="D15" s="523">
        <f>flow!AI29</f>
        <v>-395</v>
      </c>
      <c r="E15" s="523">
        <f>flow!AJ29</f>
        <v>-375</v>
      </c>
      <c r="F15" s="523">
        <f>flow!AK29</f>
        <v>-375</v>
      </c>
      <c r="G15" s="523">
        <f>flow!AL29</f>
        <v>-375</v>
      </c>
      <c r="H15" s="524">
        <f t="shared" si="12"/>
        <v>-375</v>
      </c>
      <c r="I15" s="543">
        <f t="shared" si="12"/>
        <v>-375</v>
      </c>
      <c r="J15" s="524">
        <f t="shared" si="12"/>
        <v>-375</v>
      </c>
      <c r="K15" s="1440">
        <f t="shared" si="12"/>
        <v>-375</v>
      </c>
    </row>
    <row r="16" spans="2:15">
      <c r="B16" s="541"/>
      <c r="C16" s="523"/>
      <c r="D16" s="523"/>
      <c r="E16" s="523"/>
      <c r="F16" s="523"/>
      <c r="G16" s="523"/>
      <c r="H16" s="542"/>
      <c r="I16" s="542"/>
      <c r="J16" s="542"/>
    </row>
    <row r="17" spans="2:11">
      <c r="B17" s="541" t="s">
        <v>664</v>
      </c>
      <c r="C17" s="532">
        <f>flow!AJ43</f>
        <v>4.7648541548895764</v>
      </c>
      <c r="D17" s="532">
        <f>flow!AK43</f>
        <v>-16.257152737139563</v>
      </c>
      <c r="E17" s="532">
        <f>flow!AL43</f>
        <v>-15.824782873950085</v>
      </c>
      <c r="F17" s="532">
        <f>flow!AM43</f>
        <v>-3.3689702465518394</v>
      </c>
      <c r="G17" s="532">
        <f>flow!AN43</f>
        <v>-2.2079871684247792</v>
      </c>
      <c r="H17" s="533">
        <f>G17</f>
        <v>-2.2079871684247792</v>
      </c>
      <c r="I17" s="533">
        <f t="shared" ref="I17:K17" si="13">H17</f>
        <v>-2.2079871684247792</v>
      </c>
      <c r="J17" s="533">
        <f t="shared" si="13"/>
        <v>-2.2079871684247792</v>
      </c>
      <c r="K17" s="1443">
        <f t="shared" si="13"/>
        <v>-2.2079871684247792</v>
      </c>
    </row>
    <row r="18" spans="2:11">
      <c r="B18" s="517" t="s">
        <v>665</v>
      </c>
      <c r="C18" s="534">
        <f t="shared" ref="C18:J18" si="14">SUM(C15:C17)</f>
        <v>-422.23514584511042</v>
      </c>
      <c r="D18" s="534">
        <f t="shared" ref="D18:G18" si="15">SUM(D15:D17)</f>
        <v>-411.25715273713956</v>
      </c>
      <c r="E18" s="534">
        <f t="shared" si="15"/>
        <v>-390.82478287395008</v>
      </c>
      <c r="F18" s="534">
        <f t="shared" si="15"/>
        <v>-378.36897024655184</v>
      </c>
      <c r="G18" s="534">
        <f t="shared" si="15"/>
        <v>-377.20798716842478</v>
      </c>
      <c r="H18" s="535">
        <f t="shared" si="14"/>
        <v>-377.20798716842478</v>
      </c>
      <c r="I18" s="535">
        <f t="shared" si="14"/>
        <v>-377.20798716842478</v>
      </c>
      <c r="J18" s="535">
        <f t="shared" si="14"/>
        <v>-377.20798716842478</v>
      </c>
      <c r="K18" s="1444">
        <f t="shared" ref="K18" si="16">SUM(K15:K17)</f>
        <v>-377.20798716842478</v>
      </c>
    </row>
    <row r="19" spans="2:11" s="539" customFormat="1" hidden="1">
      <c r="B19" s="539" t="s">
        <v>666</v>
      </c>
      <c r="C19" s="544"/>
      <c r="D19" s="544"/>
      <c r="E19" s="544"/>
      <c r="F19" s="544"/>
      <c r="G19" s="544"/>
      <c r="H19" s="545"/>
      <c r="I19" s="545"/>
      <c r="J19" s="545"/>
      <c r="K19" s="1445"/>
    </row>
    <row r="20" spans="2:11" ht="9" customHeight="1">
      <c r="C20" s="546"/>
      <c r="D20" s="546"/>
      <c r="E20" s="546"/>
      <c r="F20" s="546"/>
      <c r="G20" s="546"/>
      <c r="H20" s="547"/>
      <c r="I20" s="547"/>
      <c r="J20" s="547"/>
    </row>
    <row r="21" spans="2:11">
      <c r="B21" s="521" t="s">
        <v>667</v>
      </c>
      <c r="C21" s="548">
        <f>C10+C13+C18</f>
        <v>319.3813137688843</v>
      </c>
      <c r="D21" s="548">
        <f t="shared" ref="D21:G21" si="17">D10+D13+D18</f>
        <v>394.08563272549463</v>
      </c>
      <c r="E21" s="548">
        <f t="shared" si="17"/>
        <v>363.61741790580254</v>
      </c>
      <c r="F21" s="548">
        <f t="shared" si="17"/>
        <v>254.67157115951261</v>
      </c>
      <c r="G21" s="548">
        <f t="shared" si="17"/>
        <v>89.659745750247907</v>
      </c>
      <c r="H21" s="549">
        <f t="shared" ref="H21:J21" si="18">H10+H13+H18</f>
        <v>64.81350138756892</v>
      </c>
      <c r="I21" s="549">
        <f t="shared" si="18"/>
        <v>42.712426959769175</v>
      </c>
      <c r="J21" s="549">
        <f t="shared" si="18"/>
        <v>25.915610394641419</v>
      </c>
    </row>
    <row r="22" spans="2:11" s="551" customFormat="1">
      <c r="B22" s="544"/>
      <c r="C22" s="544"/>
      <c r="D22" s="544"/>
      <c r="E22" s="544"/>
      <c r="F22" s="544"/>
      <c r="G22" s="544"/>
      <c r="H22" s="550"/>
      <c r="I22" s="550"/>
      <c r="J22" s="550"/>
      <c r="K22" s="1447"/>
    </row>
    <row r="23" spans="2:11" s="554" customFormat="1" ht="11.25">
      <c r="B23" s="552"/>
      <c r="C23" s="553">
        <v>0</v>
      </c>
      <c r="D23" s="553">
        <v>1</v>
      </c>
      <c r="E23" s="553">
        <f t="shared" ref="E23:J23" si="19">D23+1</f>
        <v>2</v>
      </c>
      <c r="F23" s="553">
        <f t="shared" si="19"/>
        <v>3</v>
      </c>
      <c r="G23" s="553">
        <f t="shared" si="19"/>
        <v>4</v>
      </c>
      <c r="H23" s="553">
        <f t="shared" si="19"/>
        <v>5</v>
      </c>
      <c r="I23" s="553">
        <f t="shared" si="19"/>
        <v>6</v>
      </c>
      <c r="J23" s="553">
        <f t="shared" si="19"/>
        <v>7</v>
      </c>
      <c r="K23" s="1448"/>
    </row>
    <row r="24" spans="2:11">
      <c r="B24" s="439" t="s">
        <v>668</v>
      </c>
      <c r="C24" s="555">
        <f t="shared" ref="C24:J24" si="20">1/(1+$H$35)^C23</f>
        <v>1</v>
      </c>
      <c r="D24" s="555">
        <f t="shared" si="20"/>
        <v>0.93831288757113751</v>
      </c>
      <c r="E24" s="555">
        <f t="shared" si="20"/>
        <v>0.88043107498208617</v>
      </c>
      <c r="F24" s="555">
        <f t="shared" si="20"/>
        <v>0.82611982427380182</v>
      </c>
      <c r="G24" s="555">
        <f t="shared" si="20"/>
        <v>0.77515887779411186</v>
      </c>
      <c r="H24" s="555">
        <f t="shared" si="20"/>
        <v>0.72734156494939561</v>
      </c>
      <c r="I24" s="555">
        <f t="shared" si="20"/>
        <v>0.6824739640581774</v>
      </c>
      <c r="J24" s="555">
        <f t="shared" si="20"/>
        <v>0.64037411590754911</v>
      </c>
    </row>
    <row r="25" spans="2:11">
      <c r="B25" s="450" t="s">
        <v>669</v>
      </c>
      <c r="C25" s="556">
        <f t="shared" ref="C25:J25" si="21">C21*C24</f>
        <v>319.3813137688843</v>
      </c>
      <c r="D25" s="556">
        <f t="shared" si="21"/>
        <v>369.77562799295765</v>
      </c>
      <c r="E25" s="556">
        <f t="shared" si="21"/>
        <v>320.14007412901617</v>
      </c>
      <c r="F25" s="556">
        <f t="shared" si="21"/>
        <v>210.38923361382956</v>
      </c>
      <c r="G25" s="556">
        <f t="shared" si="21"/>
        <v>69.500547899067556</v>
      </c>
      <c r="H25" s="556">
        <f t="shared" si="21"/>
        <v>47.141553529084199</v>
      </c>
      <c r="I25" s="556">
        <f t="shared" si="21"/>
        <v>29.150119341779035</v>
      </c>
      <c r="J25" s="557">
        <f t="shared" si="21"/>
        <v>16.595686094672988</v>
      </c>
    </row>
    <row r="26" spans="2:11">
      <c r="B26" s="439" t="s">
        <v>670</v>
      </c>
      <c r="J26" s="439">
        <f>(J21*(1+C28))/(H35-C28)</f>
        <v>394.19824117406711</v>
      </c>
    </row>
    <row r="27" spans="2:11">
      <c r="B27" s="558" t="s">
        <v>650</v>
      </c>
      <c r="C27" s="559"/>
      <c r="D27" s="559"/>
      <c r="E27" s="559"/>
      <c r="F27" s="559"/>
      <c r="G27" s="559"/>
      <c r="H27" s="559"/>
      <c r="I27" s="559"/>
      <c r="J27" s="557">
        <f>J26*J24</f>
        <v>252.43435018415406</v>
      </c>
    </row>
    <row r="28" spans="2:11">
      <c r="B28" s="439" t="s">
        <v>671</v>
      </c>
      <c r="C28" s="560">
        <v>0</v>
      </c>
    </row>
    <row r="29" spans="2:11">
      <c r="B29" s="439"/>
      <c r="H29" s="525"/>
    </row>
    <row r="30" spans="2:11">
      <c r="B30" s="439" t="s">
        <v>635</v>
      </c>
      <c r="C30" s="439">
        <f>dtc!AN29</f>
        <v>4067</v>
      </c>
      <c r="D30" s="439"/>
      <c r="E30" s="562" t="s">
        <v>636</v>
      </c>
      <c r="F30" s="563"/>
      <c r="G30" s="564"/>
      <c r="H30" s="472">
        <v>2.9499999999999998E-2</v>
      </c>
    </row>
    <row r="31" spans="2:11">
      <c r="B31" s="439" t="s">
        <v>707</v>
      </c>
      <c r="C31" s="441">
        <f>bal!AJ9</f>
        <v>480.76522355638974</v>
      </c>
      <c r="D31" s="439"/>
      <c r="E31" s="565" t="s">
        <v>638</v>
      </c>
      <c r="F31" s="452"/>
      <c r="G31" s="566"/>
      <c r="H31" s="475">
        <v>5.0799999999999998E-2</v>
      </c>
    </row>
    <row r="32" spans="2:11">
      <c r="B32" s="442" t="s">
        <v>639</v>
      </c>
      <c r="C32" s="442">
        <f>C30-C31</f>
        <v>3586.2347764436104</v>
      </c>
      <c r="D32" s="442"/>
      <c r="E32" s="565" t="s">
        <v>640</v>
      </c>
      <c r="F32" s="567"/>
      <c r="G32" s="566"/>
      <c r="H32" s="478">
        <v>1.65</v>
      </c>
    </row>
    <row r="33" spans="2:11">
      <c r="B33" s="443" t="s">
        <v>641</v>
      </c>
      <c r="C33" s="444">
        <v>6.3E-2</v>
      </c>
      <c r="D33" s="439"/>
      <c r="E33" s="565" t="s">
        <v>642</v>
      </c>
      <c r="F33" s="452"/>
      <c r="G33" s="566"/>
      <c r="H33" s="475">
        <f>H30+H32*(H31)</f>
        <v>0.11331999999999999</v>
      </c>
    </row>
    <row r="34" spans="2:11">
      <c r="B34" s="443" t="s">
        <v>722</v>
      </c>
      <c r="C34" s="444">
        <f>C33*(1-0.21)</f>
        <v>4.9770000000000002E-2</v>
      </c>
      <c r="D34" s="439"/>
      <c r="E34" s="565"/>
      <c r="F34" s="452"/>
      <c r="G34" s="452"/>
      <c r="H34" s="568"/>
    </row>
    <row r="35" spans="2:11">
      <c r="B35" s="439"/>
      <c r="C35" s="439"/>
      <c r="D35" s="439"/>
      <c r="E35" s="450" t="s">
        <v>648</v>
      </c>
      <c r="F35" s="451"/>
      <c r="G35" s="451"/>
      <c r="H35" s="561">
        <f>(C30/(C30+C38))*C34 + (C38/(C30+C38))*H33</f>
        <v>6.5742582507357761E-2</v>
      </c>
    </row>
    <row r="36" spans="2:11">
      <c r="B36" s="439" t="s">
        <v>644</v>
      </c>
      <c r="C36" s="439">
        <f>'qtrP&amp;L'!EE224</f>
        <v>314.60000000000002</v>
      </c>
      <c r="D36" s="439"/>
      <c r="E36" s="439"/>
      <c r="F36" s="445"/>
      <c r="G36" s="446"/>
      <c r="H36" s="446"/>
    </row>
    <row r="37" spans="2:11">
      <c r="B37" s="439" t="s">
        <v>645</v>
      </c>
      <c r="C37" s="447">
        <v>4.34</v>
      </c>
      <c r="D37" s="439"/>
      <c r="E37" s="448"/>
      <c r="F37" s="449"/>
      <c r="G37" s="446"/>
      <c r="H37" s="446"/>
    </row>
    <row r="38" spans="2:11">
      <c r="B38" s="442" t="s">
        <v>646</v>
      </c>
      <c r="C38" s="442">
        <f>C36*C37</f>
        <v>1365.364</v>
      </c>
      <c r="D38" s="439"/>
      <c r="E38" s="446"/>
      <c r="F38" s="449"/>
      <c r="G38" s="446"/>
      <c r="H38" s="446"/>
    </row>
    <row r="39" spans="2:11">
      <c r="B39" s="442" t="s">
        <v>647</v>
      </c>
      <c r="C39" s="442">
        <f>C32+C38</f>
        <v>4951.5987764436104</v>
      </c>
      <c r="D39" s="439"/>
    </row>
    <row r="40" spans="2:11">
      <c r="B40" s="439"/>
      <c r="C40" s="439"/>
      <c r="D40" s="439"/>
      <c r="E40" s="439"/>
      <c r="F40" s="439"/>
      <c r="G40" s="439"/>
      <c r="H40" s="439"/>
    </row>
    <row r="41" spans="2:11">
      <c r="B41" s="439" t="s">
        <v>649</v>
      </c>
      <c r="C41" s="439">
        <f>SUM(D25:J25)</f>
        <v>1062.6928426004072</v>
      </c>
      <c r="D41" s="439"/>
      <c r="E41" s="439"/>
      <c r="F41" s="439"/>
      <c r="G41" s="439"/>
      <c r="H41" s="439"/>
    </row>
    <row r="42" spans="2:11">
      <c r="B42" s="439" t="s">
        <v>650</v>
      </c>
      <c r="C42" s="441">
        <f>J27</f>
        <v>252.43435018415406</v>
      </c>
      <c r="D42" s="439"/>
      <c r="E42" s="439"/>
      <c r="F42" s="439"/>
      <c r="G42" s="439"/>
      <c r="H42" s="439"/>
    </row>
    <row r="43" spans="2:11">
      <c r="B43" s="442" t="s">
        <v>651</v>
      </c>
      <c r="C43" s="442">
        <f>SUM(C41:C42)</f>
        <v>1315.1271927845612</v>
      </c>
      <c r="D43" s="439"/>
      <c r="E43" s="439"/>
      <c r="F43" s="439"/>
      <c r="G43" s="439"/>
      <c r="H43" s="439"/>
      <c r="K43" s="1449"/>
    </row>
    <row r="44" spans="2:11">
      <c r="B44" s="439" t="s">
        <v>652</v>
      </c>
      <c r="C44" s="439">
        <f>-C30</f>
        <v>-4067</v>
      </c>
      <c r="D44" s="448"/>
      <c r="E44" s="448"/>
      <c r="F44" s="448"/>
      <c r="G44" s="448"/>
      <c r="H44" s="448"/>
      <c r="I44" s="448"/>
      <c r="J44" s="448"/>
      <c r="K44" s="1450"/>
    </row>
    <row r="45" spans="2:11">
      <c r="B45" s="439" t="s">
        <v>653</v>
      </c>
      <c r="C45" s="452">
        <f>+C31</f>
        <v>480.76522355638974</v>
      </c>
      <c r="D45" s="439"/>
      <c r="E45" s="439"/>
      <c r="F45" s="439"/>
      <c r="G45" s="439"/>
      <c r="H45" s="439"/>
    </row>
    <row r="46" spans="2:11" hidden="1" outlineLevel="1">
      <c r="B46" s="439" t="s">
        <v>654</v>
      </c>
      <c r="C46" s="452">
        <v>0</v>
      </c>
      <c r="D46" s="439"/>
      <c r="E46" s="439"/>
      <c r="F46" s="439"/>
      <c r="G46" s="439"/>
      <c r="H46" s="439"/>
    </row>
    <row r="47" spans="2:11" hidden="1" outlineLevel="1">
      <c r="B47" s="439" t="s">
        <v>655</v>
      </c>
      <c r="C47" s="453" t="s">
        <v>147</v>
      </c>
      <c r="D47" s="439"/>
      <c r="E47" s="439"/>
      <c r="F47" s="439"/>
      <c r="G47" s="439"/>
      <c r="H47" s="439"/>
    </row>
    <row r="48" spans="2:11" collapsed="1">
      <c r="B48" s="442" t="s">
        <v>526</v>
      </c>
      <c r="C48" s="442">
        <f>SUM(C43:C47)</f>
        <v>-2271.1075836590494</v>
      </c>
      <c r="D48" s="439"/>
      <c r="E48" s="439"/>
      <c r="F48" s="439"/>
      <c r="G48" s="439"/>
      <c r="H48" s="439"/>
    </row>
    <row r="49" spans="2:11">
      <c r="B49" s="450" t="s">
        <v>672</v>
      </c>
      <c r="C49" s="454">
        <f>C48/C36</f>
        <v>-7.2190323701813393</v>
      </c>
      <c r="D49" s="439"/>
      <c r="E49" s="439"/>
      <c r="F49" s="439"/>
      <c r="G49" s="439"/>
      <c r="H49" s="439"/>
    </row>
    <row r="50" spans="2:11">
      <c r="B50" s="439"/>
      <c r="C50" s="455"/>
    </row>
    <row r="51" spans="2:11">
      <c r="B51" s="450" t="s">
        <v>673</v>
      </c>
      <c r="C51" s="454">
        <f>C49*(1+H33)</f>
        <v>-8.0370931183702901</v>
      </c>
    </row>
    <row r="52" spans="2:11">
      <c r="B52" s="439"/>
    </row>
    <row r="53" spans="2:11">
      <c r="B53" s="439"/>
      <c r="C53" s="525"/>
      <c r="D53" s="525"/>
      <c r="E53" s="525"/>
      <c r="F53" s="525"/>
      <c r="G53" s="525"/>
      <c r="H53" s="525"/>
      <c r="I53" s="525"/>
      <c r="J53" s="525"/>
      <c r="K53" s="1446"/>
    </row>
    <row r="54" spans="2:11">
      <c r="B54" s="439"/>
    </row>
    <row r="55" spans="2:11">
      <c r="B55" s="439"/>
    </row>
    <row r="56" spans="2:11">
      <c r="B56" s="439"/>
    </row>
    <row r="57" spans="2:11">
      <c r="B57" s="439"/>
    </row>
    <row r="58" spans="2:11">
      <c r="B58" s="439"/>
    </row>
    <row r="59" spans="2:11">
      <c r="B59" s="439"/>
    </row>
    <row r="60" spans="2:11">
      <c r="B60" s="439"/>
    </row>
    <row r="61" spans="2:11">
      <c r="B61" s="439"/>
    </row>
  </sheetData>
  <mergeCells count="2">
    <mergeCell ref="C1:G1"/>
    <mergeCell ref="H1:J1"/>
  </mergeCells>
  <pageMargins left="0" right="0" top="0" bottom="0" header="0" footer="0"/>
  <pageSetup paperSize="5" scale="84"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AA123"/>
  <sheetViews>
    <sheetView topLeftCell="A61" zoomScale="85" zoomScaleNormal="85" workbookViewId="0">
      <selection activeCell="X8" sqref="X8"/>
    </sheetView>
  </sheetViews>
  <sheetFormatPr defaultRowHeight="12.75" outlineLevelRow="3" outlineLevelCol="1"/>
  <cols>
    <col min="1" max="1" width="1.85546875" style="2" customWidth="1"/>
    <col min="2" max="2" width="4" style="2" customWidth="1"/>
    <col min="3" max="3" width="29.140625" style="2" customWidth="1"/>
    <col min="4" max="4" width="2.140625" style="2" customWidth="1"/>
    <col min="5" max="8" width="10.140625" style="2" hidden="1" customWidth="1" outlineLevel="1"/>
    <col min="9" max="9" width="10.140625" style="190" customWidth="1" collapsed="1"/>
    <col min="10" max="10" width="10.140625" style="2" customWidth="1"/>
    <col min="11" max="12" width="10.140625" style="2" customWidth="1" collapsed="1"/>
    <col min="13" max="13" width="10.140625" style="136" hidden="1" customWidth="1" outlineLevel="1" collapsed="1"/>
    <col min="14" max="14" width="10.140625" style="191" hidden="1" customWidth="1" outlineLevel="1" collapsed="1"/>
    <col min="15" max="17" width="10.140625" style="2" customWidth="1" collapsed="1"/>
    <col min="18" max="18" width="10.140625" style="136" customWidth="1" outlineLevel="1" collapsed="1"/>
    <col min="19" max="19" width="10.140625" style="191" customWidth="1" outlineLevel="1" collapsed="1"/>
    <col min="20" max="21" width="10.140625" style="2" customWidth="1" outlineLevel="1"/>
    <col min="22" max="22" width="10.140625" style="368" customWidth="1" outlineLevel="1"/>
    <col min="23" max="23" width="10.140625" style="2" customWidth="1"/>
    <col min="24" max="24" width="10.140625" style="190" customWidth="1" collapsed="1"/>
    <col min="25" max="16384" width="9.140625" style="2"/>
  </cols>
  <sheetData>
    <row r="1" spans="1:24">
      <c r="A1" s="190" t="s">
        <v>442</v>
      </c>
    </row>
    <row r="2" spans="1:24">
      <c r="A2" s="247" t="s">
        <v>568</v>
      </c>
      <c r="B2" s="3"/>
      <c r="C2" s="3"/>
      <c r="D2" s="3"/>
      <c r="E2" s="3"/>
      <c r="F2" s="3"/>
      <c r="G2" s="3"/>
      <c r="H2" s="3"/>
      <c r="I2" s="247"/>
      <c r="J2" s="3"/>
      <c r="K2" s="3"/>
      <c r="L2" s="3"/>
      <c r="M2" s="186"/>
      <c r="N2" s="346"/>
      <c r="O2" s="3"/>
      <c r="P2" s="3"/>
      <c r="Q2" s="3"/>
      <c r="R2" s="186"/>
      <c r="S2" s="346"/>
      <c r="T2" s="3"/>
      <c r="U2" s="3"/>
      <c r="V2" s="369"/>
      <c r="W2" s="3"/>
      <c r="X2" s="247"/>
    </row>
    <row r="3" spans="1:24">
      <c r="A3" s="272" t="s">
        <v>148</v>
      </c>
    </row>
    <row r="4" spans="1:24">
      <c r="A4" s="272" t="s">
        <v>149</v>
      </c>
      <c r="E4" s="243"/>
      <c r="F4" s="243"/>
      <c r="G4" s="243"/>
      <c r="H4" s="243"/>
      <c r="I4" s="248"/>
      <c r="J4" s="243"/>
      <c r="K4" s="243"/>
      <c r="L4" s="243"/>
      <c r="M4" s="276"/>
      <c r="N4" s="347"/>
      <c r="O4" s="243"/>
      <c r="P4" s="243"/>
      <c r="Q4" s="243"/>
      <c r="R4" s="276"/>
      <c r="S4" s="347"/>
      <c r="T4" s="243"/>
      <c r="U4" s="243"/>
      <c r="V4" s="370"/>
      <c r="W4" s="243"/>
      <c r="X4" s="248"/>
    </row>
    <row r="5" spans="1:24">
      <c r="E5" s="268"/>
      <c r="F5" s="268"/>
      <c r="G5" s="268"/>
      <c r="H5" s="268"/>
      <c r="I5" s="304"/>
      <c r="J5" s="268"/>
      <c r="K5" s="268"/>
      <c r="L5" s="243"/>
      <c r="M5" s="276"/>
      <c r="N5" s="347"/>
      <c r="O5" s="268"/>
      <c r="P5" s="268"/>
      <c r="Q5" s="268"/>
      <c r="R5" s="276"/>
      <c r="S5" s="347"/>
      <c r="T5" s="268"/>
      <c r="U5" s="268"/>
      <c r="V5" s="371"/>
      <c r="W5" s="243"/>
      <c r="X5" s="248"/>
    </row>
    <row r="6" spans="1:24">
      <c r="E6" s="273" t="s">
        <v>569</v>
      </c>
      <c r="F6" s="273" t="s">
        <v>570</v>
      </c>
      <c r="G6" s="273" t="s">
        <v>571</v>
      </c>
      <c r="H6" s="273" t="s">
        <v>572</v>
      </c>
      <c r="I6" s="273" t="s">
        <v>575</v>
      </c>
      <c r="J6" s="273" t="s">
        <v>576</v>
      </c>
      <c r="K6" s="273" t="s">
        <v>605</v>
      </c>
      <c r="L6" s="273" t="s">
        <v>577</v>
      </c>
      <c r="M6" s="339" t="s">
        <v>578</v>
      </c>
      <c r="N6" s="277" t="s">
        <v>612</v>
      </c>
      <c r="O6" s="273" t="s">
        <v>604</v>
      </c>
      <c r="P6" s="273" t="s">
        <v>618</v>
      </c>
      <c r="Q6" s="273" t="s">
        <v>619</v>
      </c>
      <c r="R6" s="339" t="s">
        <v>603</v>
      </c>
      <c r="S6" s="277" t="s">
        <v>628</v>
      </c>
      <c r="T6" s="273" t="s">
        <v>620</v>
      </c>
      <c r="U6" s="273" t="s">
        <v>621</v>
      </c>
      <c r="V6" s="372" t="s">
        <v>622</v>
      </c>
      <c r="W6" s="355" t="s">
        <v>623</v>
      </c>
      <c r="X6" s="273" t="s">
        <v>631</v>
      </c>
    </row>
    <row r="7" spans="1:24">
      <c r="E7" s="268"/>
      <c r="F7" s="268"/>
      <c r="G7" s="268"/>
      <c r="H7" s="268"/>
      <c r="I7" s="304"/>
      <c r="J7" s="268"/>
      <c r="K7" s="268"/>
      <c r="L7" s="268"/>
      <c r="M7" s="278"/>
      <c r="N7" s="348"/>
      <c r="O7" s="268"/>
      <c r="P7" s="268"/>
      <c r="Q7" s="268"/>
      <c r="R7" s="278"/>
      <c r="S7" s="348"/>
      <c r="T7" s="268"/>
      <c r="U7" s="268"/>
      <c r="V7" s="371"/>
      <c r="W7" s="268"/>
      <c r="X7" s="304"/>
    </row>
    <row r="8" spans="1:24">
      <c r="B8" s="2" t="s">
        <v>212</v>
      </c>
      <c r="E8" s="279">
        <f>'qtrP&amp;L'!DC160</f>
        <v>-163</v>
      </c>
      <c r="F8" s="279">
        <f>'qtrP&amp;L'!DC161</f>
        <v>-147</v>
      </c>
      <c r="G8" s="279">
        <f>'qtrP&amp;L'!DC162</f>
        <v>-123</v>
      </c>
      <c r="H8" s="279">
        <f>'qtrP&amp;L'!DC163</f>
        <v>-552</v>
      </c>
      <c r="I8" s="305">
        <f>SUM(E8:H8)</f>
        <v>-985</v>
      </c>
      <c r="J8" s="279">
        <f>'qtrP&amp;L'!DG160</f>
        <v>-348</v>
      </c>
      <c r="K8" s="279">
        <f>'qtrP&amp;L'!DG161</f>
        <v>-586</v>
      </c>
      <c r="L8" s="279">
        <f>'qtrP&amp;L'!DG162</f>
        <v>-489</v>
      </c>
      <c r="M8" s="279">
        <f>'qtrP&amp;L'!DG163</f>
        <v>35</v>
      </c>
      <c r="N8" s="305">
        <f>SUM(J8:M8)</f>
        <v>-1388</v>
      </c>
      <c r="O8" s="279">
        <f>'qtrP&amp;L'!DK160</f>
        <v>-352</v>
      </c>
      <c r="P8" s="279">
        <f>'qtrP&amp;L'!DK161</f>
        <v>-172</v>
      </c>
      <c r="Q8" s="279">
        <f>'qtrP&amp;L'!DK162</f>
        <v>-188</v>
      </c>
      <c r="R8" s="279">
        <f>'qtrP&amp;L'!DK163</f>
        <v>-59</v>
      </c>
      <c r="S8" s="305">
        <f>SUM(O8:R8)</f>
        <v>-771</v>
      </c>
      <c r="T8" s="279">
        <f>'qtrP&amp;L'!DP160</f>
        <v>-140.75</v>
      </c>
      <c r="U8" s="279">
        <f>'qtrP&amp;L'!DP161</f>
        <v>-138</v>
      </c>
      <c r="V8" s="373">
        <f>'qtrP&amp;L'!DP162</f>
        <v>-137</v>
      </c>
      <c r="W8" s="279">
        <f>'qtrP&amp;L'!D163</f>
        <v>6.9732091962758886</v>
      </c>
      <c r="X8" s="362">
        <f>SUM(T8:W8)</f>
        <v>-408.77679080372411</v>
      </c>
    </row>
    <row r="9" spans="1:24">
      <c r="E9" s="281"/>
      <c r="F9" s="281"/>
      <c r="G9" s="281"/>
      <c r="H9" s="281"/>
      <c r="I9" s="306"/>
      <c r="J9" s="281"/>
      <c r="K9" s="281"/>
      <c r="L9" s="281"/>
      <c r="M9" s="281"/>
      <c r="N9" s="306"/>
      <c r="O9" s="281"/>
      <c r="P9" s="281"/>
      <c r="Q9" s="281"/>
      <c r="R9" s="281"/>
      <c r="S9" s="306"/>
      <c r="T9" s="281"/>
      <c r="U9" s="281"/>
      <c r="V9" s="374"/>
      <c r="W9" s="356"/>
      <c r="X9" s="363"/>
    </row>
    <row r="10" spans="1:24">
      <c r="B10" s="2" t="s">
        <v>380</v>
      </c>
      <c r="D10" s="187"/>
      <c r="E10" s="282">
        <f>12+1</f>
        <v>13</v>
      </c>
      <c r="F10" s="282">
        <f>78+3</f>
        <v>81</v>
      </c>
      <c r="G10" s="282">
        <f>12+6</f>
        <v>18</v>
      </c>
      <c r="H10" s="289">
        <f>I10-G10-F10-E10</f>
        <v>126</v>
      </c>
      <c r="I10" s="307">
        <f>121+117</f>
        <v>238</v>
      </c>
      <c r="J10" s="282">
        <f>37+2</f>
        <v>39</v>
      </c>
      <c r="K10" s="282">
        <f>31+7</f>
        <v>38</v>
      </c>
      <c r="L10" s="282">
        <f>48+3</f>
        <v>51</v>
      </c>
      <c r="M10" s="289">
        <f>N10-L10-K10-J10</f>
        <v>34</v>
      </c>
      <c r="N10" s="307">
        <f>132+30</f>
        <v>162</v>
      </c>
      <c r="O10" s="282">
        <f>2+2</f>
        <v>4</v>
      </c>
      <c r="P10" s="282">
        <f>1+2</f>
        <v>3</v>
      </c>
      <c r="Q10" s="282">
        <f>2+5</f>
        <v>7</v>
      </c>
      <c r="R10" s="289">
        <f>S10-Q10-P10-O10</f>
        <v>57</v>
      </c>
      <c r="S10" s="307">
        <f>32+39</f>
        <v>71</v>
      </c>
      <c r="T10" s="282">
        <f>3+1</f>
        <v>4</v>
      </c>
      <c r="U10" s="282">
        <f>1+1</f>
        <v>2</v>
      </c>
      <c r="V10" s="375">
        <f>-1+4</f>
        <v>3</v>
      </c>
      <c r="W10" s="291">
        <v>0</v>
      </c>
      <c r="X10" s="308">
        <f>SUM(T10:W10)</f>
        <v>9</v>
      </c>
    </row>
    <row r="11" spans="1:24">
      <c r="B11" s="2" t="s">
        <v>381</v>
      </c>
      <c r="D11" s="187"/>
      <c r="E11" s="282">
        <v>125</v>
      </c>
      <c r="F11" s="282">
        <v>128</v>
      </c>
      <c r="G11" s="282">
        <v>133</v>
      </c>
      <c r="H11" s="289">
        <f>I11-G11-F11-E11</f>
        <v>157</v>
      </c>
      <c r="I11" s="307">
        <v>543</v>
      </c>
      <c r="J11" s="282">
        <v>136</v>
      </c>
      <c r="K11" s="282">
        <v>143</v>
      </c>
      <c r="L11" s="282">
        <v>161</v>
      </c>
      <c r="M11" s="289">
        <f>N11-L11-K11-J11</f>
        <v>161</v>
      </c>
      <c r="N11" s="307">
        <v>601</v>
      </c>
      <c r="O11" s="282">
        <f>'qtrP&amp;L'!DK60</f>
        <v>158</v>
      </c>
      <c r="P11" s="282">
        <f>160</f>
        <v>160</v>
      </c>
      <c r="Q11" s="282">
        <v>156</v>
      </c>
      <c r="R11" s="289">
        <f>S11-Q11-P11-O11</f>
        <v>157</v>
      </c>
      <c r="S11" s="307">
        <v>631</v>
      </c>
      <c r="T11" s="282">
        <v>154</v>
      </c>
      <c r="U11" s="282">
        <v>153</v>
      </c>
      <c r="V11" s="375">
        <v>152</v>
      </c>
      <c r="W11" s="291">
        <f>'qtrP&amp;L'!$DP63</f>
        <v>157</v>
      </c>
      <c r="X11" s="308">
        <f>SUM(T11:W11)</f>
        <v>616</v>
      </c>
    </row>
    <row r="12" spans="1:24">
      <c r="B12" s="2" t="s">
        <v>382</v>
      </c>
      <c r="D12" s="187"/>
      <c r="E12" s="282">
        <v>0</v>
      </c>
      <c r="F12" s="282">
        <v>-202</v>
      </c>
      <c r="G12" s="282">
        <v>-197</v>
      </c>
      <c r="H12" s="289">
        <f>I12-G12-F12-E12</f>
        <v>2</v>
      </c>
      <c r="I12" s="307">
        <v>-397</v>
      </c>
      <c r="J12" s="282">
        <v>-16</v>
      </c>
      <c r="K12" s="282">
        <f>-62-2</f>
        <v>-64</v>
      </c>
      <c r="L12" s="282">
        <v>-24</v>
      </c>
      <c r="M12" s="289">
        <f>N12-L12-K12-J12</f>
        <v>-45</v>
      </c>
      <c r="N12" s="307">
        <f>-132-17</f>
        <v>-149</v>
      </c>
      <c r="O12" s="282">
        <f>-12-1</f>
        <v>-13</v>
      </c>
      <c r="P12" s="282">
        <v>-9</v>
      </c>
      <c r="Q12" s="282">
        <v>-2</v>
      </c>
      <c r="R12" s="289">
        <f>S12-Q12-P12-O12</f>
        <v>-93</v>
      </c>
      <c r="S12" s="307">
        <f>-25-92</f>
        <v>-117</v>
      </c>
      <c r="T12" s="282">
        <f>-2-5</f>
        <v>-7</v>
      </c>
      <c r="U12" s="282">
        <v>-6</v>
      </c>
      <c r="V12" s="375">
        <f>-1-1</f>
        <v>-2</v>
      </c>
      <c r="W12" s="291">
        <v>0</v>
      </c>
      <c r="X12" s="308">
        <f>SUM(T12:W12)</f>
        <v>-15</v>
      </c>
    </row>
    <row r="13" spans="1:24" outlineLevel="1">
      <c r="B13" s="2" t="s">
        <v>383</v>
      </c>
      <c r="D13" s="187"/>
      <c r="E13" s="282"/>
      <c r="F13" s="282"/>
      <c r="G13" s="282">
        <v>0</v>
      </c>
      <c r="H13" s="282"/>
      <c r="I13" s="307"/>
      <c r="J13" s="282"/>
      <c r="K13" s="282"/>
      <c r="L13" s="282"/>
      <c r="M13" s="282"/>
      <c r="N13" s="307"/>
      <c r="O13" s="282"/>
      <c r="P13" s="282"/>
      <c r="Q13" s="282"/>
      <c r="R13" s="282"/>
      <c r="S13" s="307"/>
      <c r="T13" s="282"/>
      <c r="U13" s="282"/>
      <c r="V13" s="375"/>
      <c r="W13" s="282"/>
      <c r="X13" s="307"/>
    </row>
    <row r="14" spans="1:24">
      <c r="B14" s="2" t="s">
        <v>487</v>
      </c>
      <c r="D14" s="187"/>
      <c r="E14" s="282">
        <v>38</v>
      </c>
      <c r="F14" s="282">
        <f>41</f>
        <v>41</v>
      </c>
      <c r="G14" s="282">
        <v>31</v>
      </c>
      <c r="H14" s="289">
        <f>I14-G14-F14-E14</f>
        <v>162</v>
      </c>
      <c r="I14" s="307">
        <v>272</v>
      </c>
      <c r="J14" s="282">
        <v>17</v>
      </c>
      <c r="K14" s="282">
        <v>24</v>
      </c>
      <c r="L14" s="282">
        <v>16</v>
      </c>
      <c r="M14" s="289">
        <f>N14-L14-K14-J14</f>
        <v>13</v>
      </c>
      <c r="N14" s="307">
        <v>70</v>
      </c>
      <c r="O14" s="282">
        <v>-9</v>
      </c>
      <c r="P14" s="282">
        <v>-4</v>
      </c>
      <c r="Q14" s="282">
        <v>-5</v>
      </c>
      <c r="R14" s="289">
        <f>S14-Q14-P14-O14</f>
        <v>-6</v>
      </c>
      <c r="S14" s="307">
        <v>-24</v>
      </c>
      <c r="T14" s="282">
        <v>4</v>
      </c>
      <c r="U14" s="282">
        <v>6</v>
      </c>
      <c r="V14" s="375">
        <v>4</v>
      </c>
      <c r="W14" s="291">
        <f>'qtrP&amp;L'!$DP43</f>
        <v>209</v>
      </c>
      <c r="X14" s="308">
        <f>SUM(T14:W14)</f>
        <v>223</v>
      </c>
    </row>
    <row r="15" spans="1:24" outlineLevel="2">
      <c r="B15" s="2" t="s">
        <v>384</v>
      </c>
      <c r="D15" s="187"/>
      <c r="E15" s="282"/>
      <c r="F15" s="282"/>
      <c r="G15" s="282">
        <v>0</v>
      </c>
      <c r="H15" s="282"/>
      <c r="I15" s="307"/>
      <c r="J15" s="282"/>
      <c r="K15" s="282"/>
      <c r="L15" s="282"/>
      <c r="M15" s="282"/>
      <c r="N15" s="307"/>
      <c r="O15" s="282"/>
      <c r="P15" s="282"/>
      <c r="Q15" s="282"/>
      <c r="R15" s="282"/>
      <c r="S15" s="307"/>
      <c r="T15" s="282"/>
      <c r="U15" s="282"/>
      <c r="V15" s="375"/>
      <c r="W15" s="282"/>
      <c r="X15" s="307"/>
    </row>
    <row r="16" spans="1:24">
      <c r="B16" s="2" t="s">
        <v>385</v>
      </c>
      <c r="D16" s="187"/>
      <c r="E16" s="282">
        <f>12-11</f>
        <v>1</v>
      </c>
      <c r="F16" s="282">
        <f>14-12</f>
        <v>2</v>
      </c>
      <c r="G16" s="282">
        <v>18</v>
      </c>
      <c r="H16" s="289">
        <f>I16-G16-F16-E16</f>
        <v>17</v>
      </c>
      <c r="I16" s="307">
        <f>-12+50</f>
        <v>38</v>
      </c>
      <c r="J16" s="282">
        <v>5</v>
      </c>
      <c r="K16" s="282">
        <v>11</v>
      </c>
      <c r="L16" s="282">
        <v>6</v>
      </c>
      <c r="M16" s="289">
        <f>N16-L16-K16-J16</f>
        <v>6</v>
      </c>
      <c r="N16" s="307">
        <f>28</f>
        <v>28</v>
      </c>
      <c r="O16" s="282">
        <v>7</v>
      </c>
      <c r="P16" s="282">
        <v>9</v>
      </c>
      <c r="Q16" s="282">
        <v>8</v>
      </c>
      <c r="R16" s="289">
        <f t="shared" ref="R16:R22" si="0">S16-Q16-P16-O16</f>
        <v>9</v>
      </c>
      <c r="S16" s="307">
        <v>33</v>
      </c>
      <c r="T16" s="282">
        <v>10</v>
      </c>
      <c r="U16" s="282">
        <v>11</v>
      </c>
      <c r="V16" s="375">
        <v>12</v>
      </c>
      <c r="W16" s="291">
        <v>0</v>
      </c>
      <c r="X16" s="308">
        <f>SUM(T16:W16)</f>
        <v>33</v>
      </c>
    </row>
    <row r="17" spans="1:24">
      <c r="B17" s="2" t="s">
        <v>213</v>
      </c>
      <c r="D17" s="187"/>
      <c r="E17" s="282">
        <v>21</v>
      </c>
      <c r="F17" s="282">
        <v>-153</v>
      </c>
      <c r="G17" s="282">
        <v>-27</v>
      </c>
      <c r="H17" s="289">
        <f>I17-G17-F17-E17</f>
        <v>-308</v>
      </c>
      <c r="I17" s="307">
        <v>-467</v>
      </c>
      <c r="J17" s="282">
        <v>-164</v>
      </c>
      <c r="K17" s="282">
        <v>-25</v>
      </c>
      <c r="L17" s="282">
        <v>-14</v>
      </c>
      <c r="M17" s="289">
        <f>N17-L17-K17-J17</f>
        <v>-264</v>
      </c>
      <c r="N17" s="307">
        <f>-164-303</f>
        <v>-467</v>
      </c>
      <c r="O17" s="282">
        <v>-5</v>
      </c>
      <c r="P17" s="282">
        <v>-14</v>
      </c>
      <c r="Q17" s="282">
        <v>-5</v>
      </c>
      <c r="R17" s="289">
        <f t="shared" si="0"/>
        <v>27</v>
      </c>
      <c r="S17" s="307">
        <v>3</v>
      </c>
      <c r="T17" s="282">
        <v>-11</v>
      </c>
      <c r="U17" s="282">
        <v>-6</v>
      </c>
      <c r="V17" s="375">
        <v>-15</v>
      </c>
      <c r="W17" s="291">
        <f>'qtrP&amp;L'!$DP153</f>
        <v>1</v>
      </c>
      <c r="X17" s="308">
        <f>SUM(T17:W17)</f>
        <v>-31</v>
      </c>
    </row>
    <row r="18" spans="1:24" outlineLevel="2">
      <c r="B18" s="2" t="s">
        <v>386</v>
      </c>
      <c r="D18" s="187"/>
      <c r="E18" s="282"/>
      <c r="F18" s="282"/>
      <c r="G18" s="282">
        <v>0</v>
      </c>
      <c r="H18" s="282"/>
      <c r="I18" s="308">
        <f t="shared" ref="I18:I25" si="1">SUM(E18:H18)</f>
        <v>0</v>
      </c>
      <c r="J18" s="282">
        <v>0</v>
      </c>
      <c r="K18" s="282">
        <v>0</v>
      </c>
      <c r="L18" s="282">
        <v>0</v>
      </c>
      <c r="M18" s="289">
        <f t="shared" ref="M18:M23" si="2">N18-L18-K18-J18</f>
        <v>0</v>
      </c>
      <c r="N18" s="308">
        <v>0</v>
      </c>
      <c r="O18" s="282">
        <v>0</v>
      </c>
      <c r="P18" s="282">
        <v>0</v>
      </c>
      <c r="Q18" s="282">
        <v>0</v>
      </c>
      <c r="R18" s="289">
        <f t="shared" si="0"/>
        <v>0</v>
      </c>
      <c r="S18" s="308">
        <v>0</v>
      </c>
      <c r="T18" s="282">
        <v>0</v>
      </c>
      <c r="U18" s="282">
        <v>0</v>
      </c>
      <c r="V18" s="375">
        <v>0</v>
      </c>
      <c r="W18" s="282">
        <v>0</v>
      </c>
      <c r="X18" s="308">
        <f t="shared" ref="X18:X25" si="3">SUM(T18:W18)</f>
        <v>0</v>
      </c>
    </row>
    <row r="19" spans="1:24" outlineLevel="2">
      <c r="B19" s="2" t="s">
        <v>214</v>
      </c>
      <c r="D19" s="187"/>
      <c r="E19" s="282"/>
      <c r="F19" s="282"/>
      <c r="G19" s="282">
        <v>0</v>
      </c>
      <c r="H19" s="282"/>
      <c r="I19" s="308">
        <f t="shared" si="1"/>
        <v>0</v>
      </c>
      <c r="J19" s="282">
        <v>0</v>
      </c>
      <c r="K19" s="282">
        <v>0</v>
      </c>
      <c r="L19" s="282">
        <v>0</v>
      </c>
      <c r="M19" s="289">
        <f t="shared" si="2"/>
        <v>0</v>
      </c>
      <c r="N19" s="308">
        <v>0</v>
      </c>
      <c r="O19" s="282">
        <v>0</v>
      </c>
      <c r="P19" s="282">
        <v>0</v>
      </c>
      <c r="Q19" s="282">
        <v>0</v>
      </c>
      <c r="R19" s="289">
        <f t="shared" si="0"/>
        <v>0</v>
      </c>
      <c r="S19" s="308">
        <v>0</v>
      </c>
      <c r="T19" s="282">
        <v>0</v>
      </c>
      <c r="U19" s="282">
        <v>0</v>
      </c>
      <c r="V19" s="375">
        <v>0</v>
      </c>
      <c r="W19" s="282">
        <v>0</v>
      </c>
      <c r="X19" s="308">
        <f t="shared" si="3"/>
        <v>0</v>
      </c>
    </row>
    <row r="20" spans="1:24" outlineLevel="2">
      <c r="B20" s="2" t="s">
        <v>387</v>
      </c>
      <c r="D20" s="187"/>
      <c r="E20" s="282"/>
      <c r="F20" s="282"/>
      <c r="G20" s="282">
        <v>0</v>
      </c>
      <c r="H20" s="282"/>
      <c r="I20" s="308">
        <f t="shared" si="1"/>
        <v>0</v>
      </c>
      <c r="J20" s="282">
        <v>0</v>
      </c>
      <c r="K20" s="282">
        <v>0</v>
      </c>
      <c r="L20" s="282">
        <v>0</v>
      </c>
      <c r="M20" s="289">
        <f t="shared" si="2"/>
        <v>0</v>
      </c>
      <c r="N20" s="308">
        <v>0</v>
      </c>
      <c r="O20" s="282">
        <v>0</v>
      </c>
      <c r="P20" s="282">
        <v>0</v>
      </c>
      <c r="Q20" s="282">
        <v>0</v>
      </c>
      <c r="R20" s="289">
        <f t="shared" si="0"/>
        <v>0</v>
      </c>
      <c r="S20" s="308">
        <v>0</v>
      </c>
      <c r="T20" s="282">
        <v>0</v>
      </c>
      <c r="U20" s="282">
        <v>0</v>
      </c>
      <c r="V20" s="375">
        <v>0</v>
      </c>
      <c r="W20" s="282">
        <v>0</v>
      </c>
      <c r="X20" s="308">
        <f t="shared" si="3"/>
        <v>0</v>
      </c>
    </row>
    <row r="21" spans="1:24" outlineLevel="2">
      <c r="B21" s="2" t="s">
        <v>388</v>
      </c>
      <c r="D21" s="187"/>
      <c r="E21" s="282"/>
      <c r="F21" s="282"/>
      <c r="G21" s="282">
        <v>0</v>
      </c>
      <c r="H21" s="282"/>
      <c r="I21" s="308">
        <f t="shared" si="1"/>
        <v>0</v>
      </c>
      <c r="J21" s="282">
        <v>0</v>
      </c>
      <c r="K21" s="282">
        <v>0</v>
      </c>
      <c r="L21" s="282">
        <v>0</v>
      </c>
      <c r="M21" s="289">
        <f t="shared" si="2"/>
        <v>0</v>
      </c>
      <c r="N21" s="308">
        <v>0</v>
      </c>
      <c r="O21" s="282">
        <v>0</v>
      </c>
      <c r="P21" s="282">
        <v>0</v>
      </c>
      <c r="Q21" s="282">
        <v>0</v>
      </c>
      <c r="R21" s="289">
        <f t="shared" si="0"/>
        <v>0</v>
      </c>
      <c r="S21" s="308">
        <v>0</v>
      </c>
      <c r="T21" s="282">
        <v>0</v>
      </c>
      <c r="U21" s="282">
        <v>0</v>
      </c>
      <c r="V21" s="375">
        <v>0</v>
      </c>
      <c r="W21" s="282">
        <v>0</v>
      </c>
      <c r="X21" s="308">
        <f t="shared" si="3"/>
        <v>0</v>
      </c>
    </row>
    <row r="22" spans="1:24" outlineLevel="2">
      <c r="B22" s="2" t="s">
        <v>389</v>
      </c>
      <c r="D22" s="187"/>
      <c r="E22" s="282"/>
      <c r="F22" s="282"/>
      <c r="G22" s="282">
        <v>0</v>
      </c>
      <c r="H22" s="282"/>
      <c r="I22" s="308">
        <f t="shared" si="1"/>
        <v>0</v>
      </c>
      <c r="J22" s="282">
        <v>0</v>
      </c>
      <c r="K22" s="282">
        <v>0</v>
      </c>
      <c r="L22" s="282">
        <v>0</v>
      </c>
      <c r="M22" s="289">
        <f t="shared" si="2"/>
        <v>0</v>
      </c>
      <c r="N22" s="308">
        <v>0</v>
      </c>
      <c r="O22" s="282">
        <v>0</v>
      </c>
      <c r="P22" s="282">
        <v>0</v>
      </c>
      <c r="Q22" s="282">
        <v>0</v>
      </c>
      <c r="R22" s="289">
        <f t="shared" si="0"/>
        <v>0</v>
      </c>
      <c r="S22" s="308">
        <v>0</v>
      </c>
      <c r="T22" s="282">
        <v>0</v>
      </c>
      <c r="U22" s="282">
        <v>0</v>
      </c>
      <c r="V22" s="375">
        <v>0</v>
      </c>
      <c r="W22" s="282">
        <v>0</v>
      </c>
      <c r="X22" s="308">
        <f t="shared" si="3"/>
        <v>0</v>
      </c>
    </row>
    <row r="23" spans="1:24" outlineLevel="1">
      <c r="B23" s="2" t="s">
        <v>390</v>
      </c>
      <c r="D23" s="187"/>
      <c r="E23" s="282"/>
      <c r="F23" s="282"/>
      <c r="G23" s="282">
        <v>0</v>
      </c>
      <c r="H23" s="282"/>
      <c r="I23" s="308">
        <v>0</v>
      </c>
      <c r="J23" s="282">
        <v>0</v>
      </c>
      <c r="K23" s="282">
        <v>114</v>
      </c>
      <c r="L23" s="282">
        <v>0</v>
      </c>
      <c r="M23" s="289">
        <f t="shared" si="2"/>
        <v>0</v>
      </c>
      <c r="N23" s="307">
        <f>114</f>
        <v>114</v>
      </c>
      <c r="O23" s="282">
        <v>0</v>
      </c>
      <c r="P23" s="282">
        <v>0</v>
      </c>
      <c r="Q23" s="282">
        <v>34</v>
      </c>
      <c r="R23" s="289">
        <v>5</v>
      </c>
      <c r="S23" s="307">
        <f>SUM(O23:R23)</f>
        <v>39</v>
      </c>
      <c r="T23" s="282">
        <v>0</v>
      </c>
      <c r="U23" s="282">
        <v>0</v>
      </c>
      <c r="V23" s="375">
        <v>0</v>
      </c>
      <c r="W23" s="282">
        <v>0</v>
      </c>
      <c r="X23" s="308">
        <f t="shared" si="3"/>
        <v>0</v>
      </c>
    </row>
    <row r="24" spans="1:24" outlineLevel="3">
      <c r="B24" s="2" t="s">
        <v>391</v>
      </c>
      <c r="D24" s="187"/>
      <c r="E24" s="282"/>
      <c r="F24" s="282"/>
      <c r="G24" s="282">
        <v>0</v>
      </c>
      <c r="H24" s="282"/>
      <c r="I24" s="308">
        <f t="shared" si="1"/>
        <v>0</v>
      </c>
      <c r="J24" s="282">
        <v>0</v>
      </c>
      <c r="K24" s="282">
        <v>0</v>
      </c>
      <c r="L24" s="282">
        <v>0</v>
      </c>
      <c r="M24" s="282">
        <v>0</v>
      </c>
      <c r="N24" s="308">
        <f>SUM(J24:M24)</f>
        <v>0</v>
      </c>
      <c r="O24" s="282">
        <v>0</v>
      </c>
      <c r="P24" s="282">
        <v>0</v>
      </c>
      <c r="Q24" s="282">
        <v>0</v>
      </c>
      <c r="R24" s="282">
        <v>0</v>
      </c>
      <c r="S24" s="308">
        <v>0</v>
      </c>
      <c r="T24" s="282">
        <v>0</v>
      </c>
      <c r="U24" s="282">
        <v>0</v>
      </c>
      <c r="V24" s="375">
        <v>0</v>
      </c>
      <c r="W24" s="282">
        <v>0</v>
      </c>
      <c r="X24" s="308">
        <f t="shared" si="3"/>
        <v>0</v>
      </c>
    </row>
    <row r="25" spans="1:24" outlineLevel="3">
      <c r="B25" s="2" t="s">
        <v>392</v>
      </c>
      <c r="D25" s="187"/>
      <c r="E25" s="282"/>
      <c r="F25" s="282"/>
      <c r="G25" s="282">
        <v>0</v>
      </c>
      <c r="H25" s="282"/>
      <c r="I25" s="308">
        <f t="shared" si="1"/>
        <v>0</v>
      </c>
      <c r="J25" s="282">
        <v>0</v>
      </c>
      <c r="K25" s="282">
        <v>0</v>
      </c>
      <c r="L25" s="282">
        <v>0</v>
      </c>
      <c r="M25" s="282">
        <v>0</v>
      </c>
      <c r="N25" s="308">
        <f>SUM(J25:M25)</f>
        <v>0</v>
      </c>
      <c r="O25" s="282">
        <v>0</v>
      </c>
      <c r="P25" s="282">
        <v>0</v>
      </c>
      <c r="Q25" s="282">
        <v>0</v>
      </c>
      <c r="R25" s="282">
        <v>0</v>
      </c>
      <c r="S25" s="308">
        <f>SUM(O25:R25)</f>
        <v>0</v>
      </c>
      <c r="T25" s="282">
        <v>0</v>
      </c>
      <c r="U25" s="282">
        <v>0</v>
      </c>
      <c r="V25" s="375">
        <v>0</v>
      </c>
      <c r="W25" s="282">
        <v>0</v>
      </c>
      <c r="X25" s="308">
        <f t="shared" si="3"/>
        <v>0</v>
      </c>
    </row>
    <row r="26" spans="1:24">
      <c r="A26" s="2" t="s">
        <v>217</v>
      </c>
      <c r="E26" s="309">
        <f t="shared" ref="E26:N26" si="4">SUM(E8:E25)</f>
        <v>35</v>
      </c>
      <c r="F26" s="309">
        <f t="shared" si="4"/>
        <v>-250</v>
      </c>
      <c r="G26" s="309">
        <f t="shared" si="4"/>
        <v>-147</v>
      </c>
      <c r="H26" s="309">
        <f t="shared" si="4"/>
        <v>-396</v>
      </c>
      <c r="I26" s="310">
        <f t="shared" si="4"/>
        <v>-758</v>
      </c>
      <c r="J26" s="309">
        <f t="shared" si="4"/>
        <v>-331</v>
      </c>
      <c r="K26" s="309">
        <f>SUM(K8:K25)</f>
        <v>-345</v>
      </c>
      <c r="L26" s="309">
        <f t="shared" si="4"/>
        <v>-293</v>
      </c>
      <c r="M26" s="309">
        <f t="shared" si="4"/>
        <v>-60</v>
      </c>
      <c r="N26" s="310">
        <f t="shared" si="4"/>
        <v>-1029</v>
      </c>
      <c r="O26" s="309">
        <f t="shared" ref="O26:X26" si="5">SUM(O8:O25)</f>
        <v>-210</v>
      </c>
      <c r="P26" s="309">
        <f t="shared" si="5"/>
        <v>-27</v>
      </c>
      <c r="Q26" s="309">
        <f t="shared" si="5"/>
        <v>5</v>
      </c>
      <c r="R26" s="309">
        <f t="shared" si="5"/>
        <v>97</v>
      </c>
      <c r="S26" s="310">
        <f t="shared" si="5"/>
        <v>-135</v>
      </c>
      <c r="T26" s="309">
        <f t="shared" si="5"/>
        <v>13.25</v>
      </c>
      <c r="U26" s="309">
        <f t="shared" si="5"/>
        <v>22</v>
      </c>
      <c r="V26" s="376">
        <f t="shared" si="5"/>
        <v>17</v>
      </c>
      <c r="W26" s="309">
        <f t="shared" si="5"/>
        <v>373.97320919627589</v>
      </c>
      <c r="X26" s="310">
        <f t="shared" si="5"/>
        <v>426.22320919627589</v>
      </c>
    </row>
    <row r="27" spans="1:24" ht="4.5" customHeight="1">
      <c r="E27" s="136"/>
      <c r="F27" s="136"/>
      <c r="G27" s="136"/>
      <c r="H27" s="136"/>
      <c r="I27" s="191"/>
      <c r="J27" s="136"/>
      <c r="K27" s="136"/>
      <c r="L27" s="136"/>
      <c r="O27" s="136"/>
      <c r="P27" s="136"/>
      <c r="Q27" s="136"/>
      <c r="T27" s="136"/>
      <c r="U27" s="136"/>
      <c r="W27" s="136"/>
      <c r="X27" s="191"/>
    </row>
    <row r="28" spans="1:24">
      <c r="B28" s="2" t="s">
        <v>215</v>
      </c>
      <c r="D28" s="187"/>
      <c r="E28" s="282">
        <f>-107</f>
        <v>-107</v>
      </c>
      <c r="F28" s="282">
        <v>-132</v>
      </c>
      <c r="G28" s="282">
        <v>-341</v>
      </c>
      <c r="H28" s="289">
        <f>I28-G28-F28-E28</f>
        <v>-239</v>
      </c>
      <c r="I28" s="307">
        <f>-810-9</f>
        <v>-819</v>
      </c>
      <c r="J28" s="282">
        <v>-214</v>
      </c>
      <c r="K28" s="282">
        <v>-439</v>
      </c>
      <c r="L28" s="282">
        <v>-161</v>
      </c>
      <c r="M28" s="289">
        <f>N28-L28-K28-J28</f>
        <v>-137</v>
      </c>
      <c r="N28" s="307">
        <v>-951</v>
      </c>
      <c r="O28" s="282">
        <v>-80</v>
      </c>
      <c r="P28" s="282">
        <v>-61</v>
      </c>
      <c r="Q28" s="282">
        <v>-61</v>
      </c>
      <c r="R28" s="289">
        <f>S28-Q28-P28-O28</f>
        <v>-50</v>
      </c>
      <c r="S28" s="307">
        <v>-252</v>
      </c>
      <c r="T28" s="282">
        <v>-46</v>
      </c>
      <c r="U28" s="282">
        <f>-95+7</f>
        <v>-88</v>
      </c>
      <c r="V28" s="375">
        <v>-93</v>
      </c>
      <c r="W28" s="291">
        <f>X28-SUM(T28:V28)</f>
        <v>-93</v>
      </c>
      <c r="X28" s="308">
        <f>flow!AG29</f>
        <v>-320</v>
      </c>
    </row>
    <row r="29" spans="1:24">
      <c r="B29" s="2" t="s">
        <v>495</v>
      </c>
      <c r="D29" s="187"/>
      <c r="E29" s="282">
        <v>-9</v>
      </c>
      <c r="F29" s="282">
        <v>248</v>
      </c>
      <c r="G29" s="282">
        <v>279</v>
      </c>
      <c r="H29" s="289">
        <f>I29-G29-F29-E29</f>
        <v>8</v>
      </c>
      <c r="I29" s="307">
        <v>526</v>
      </c>
      <c r="J29" s="282">
        <v>18</v>
      </c>
      <c r="K29" s="282">
        <f>55+1</f>
        <v>56</v>
      </c>
      <c r="L29" s="282">
        <v>33</v>
      </c>
      <c r="M29" s="289">
        <f>N29-L29-K29-J29</f>
        <v>55</v>
      </c>
      <c r="N29" s="307">
        <f>143+19</f>
        <v>162</v>
      </c>
      <c r="O29" s="282">
        <f>15+2</f>
        <v>17</v>
      </c>
      <c r="P29" s="282">
        <f>11+8</f>
        <v>19</v>
      </c>
      <c r="Q29" s="282">
        <f>2+66</f>
        <v>68</v>
      </c>
      <c r="R29" s="289">
        <f>S29-Q29-P29-O29</f>
        <v>1</v>
      </c>
      <c r="S29" s="307">
        <f>35+70</f>
        <v>105</v>
      </c>
      <c r="T29" s="282">
        <f>6+5</f>
        <v>11</v>
      </c>
      <c r="U29" s="282"/>
      <c r="V29" s="375">
        <v>1</v>
      </c>
      <c r="W29" s="282"/>
      <c r="X29" s="308">
        <f>SUM(T29:W29)</f>
        <v>12</v>
      </c>
    </row>
    <row r="30" spans="1:24" outlineLevel="1">
      <c r="B30" s="2" t="s">
        <v>393</v>
      </c>
      <c r="D30" s="187"/>
      <c r="E30" s="282"/>
      <c r="F30" s="282"/>
      <c r="G30" s="282">
        <v>0</v>
      </c>
      <c r="H30" s="282"/>
      <c r="I30" s="307"/>
      <c r="J30" s="282">
        <v>0</v>
      </c>
      <c r="K30" s="282">
        <v>0</v>
      </c>
      <c r="L30" s="282">
        <v>0</v>
      </c>
      <c r="M30" s="289">
        <f t="shared" ref="M30:M41" si="6">N30-L30-K30-J30</f>
        <v>0</v>
      </c>
      <c r="N30" s="307"/>
      <c r="O30" s="282">
        <v>0</v>
      </c>
      <c r="P30" s="282">
        <v>0</v>
      </c>
      <c r="Q30" s="282">
        <v>0</v>
      </c>
      <c r="R30" s="289">
        <f t="shared" ref="R30:R41" si="7">S30-Q30-P30-O30</f>
        <v>0</v>
      </c>
      <c r="S30" s="307">
        <v>0</v>
      </c>
      <c r="T30" s="282">
        <v>0</v>
      </c>
      <c r="U30" s="282">
        <v>0</v>
      </c>
      <c r="V30" s="375">
        <v>0</v>
      </c>
      <c r="W30" s="282">
        <v>0</v>
      </c>
      <c r="X30" s="307">
        <v>0</v>
      </c>
    </row>
    <row r="31" spans="1:24" outlineLevel="1">
      <c r="B31" s="2" t="s">
        <v>394</v>
      </c>
      <c r="D31" s="187"/>
      <c r="E31" s="282"/>
      <c r="F31" s="282"/>
      <c r="G31" s="282">
        <v>0</v>
      </c>
      <c r="H31" s="282"/>
      <c r="I31" s="307"/>
      <c r="J31" s="282">
        <v>0</v>
      </c>
      <c r="K31" s="282">
        <v>0</v>
      </c>
      <c r="L31" s="282">
        <v>0</v>
      </c>
      <c r="M31" s="289">
        <f t="shared" si="6"/>
        <v>0</v>
      </c>
      <c r="N31" s="307"/>
      <c r="O31" s="282">
        <v>0</v>
      </c>
      <c r="P31" s="282">
        <v>0</v>
      </c>
      <c r="Q31" s="282">
        <v>0</v>
      </c>
      <c r="R31" s="289">
        <f t="shared" si="7"/>
        <v>0</v>
      </c>
      <c r="S31" s="307">
        <v>0</v>
      </c>
      <c r="T31" s="282">
        <v>0</v>
      </c>
      <c r="U31" s="282">
        <v>0</v>
      </c>
      <c r="V31" s="375">
        <v>0</v>
      </c>
      <c r="W31" s="282">
        <v>0</v>
      </c>
      <c r="X31" s="307">
        <v>0</v>
      </c>
    </row>
    <row r="32" spans="1:24" ht="12.75" customHeight="1">
      <c r="D32" s="187"/>
      <c r="E32" s="136"/>
      <c r="F32" s="136"/>
      <c r="G32" s="136"/>
      <c r="H32" s="136"/>
      <c r="I32" s="191"/>
      <c r="J32" s="136"/>
      <c r="K32" s="136"/>
      <c r="L32" s="136"/>
      <c r="M32" s="289">
        <f t="shared" si="6"/>
        <v>0</v>
      </c>
      <c r="O32" s="136"/>
      <c r="P32" s="136"/>
      <c r="Q32" s="136"/>
      <c r="R32" s="289">
        <f t="shared" si="7"/>
        <v>0</v>
      </c>
      <c r="T32" s="136"/>
      <c r="U32" s="136"/>
      <c r="W32" s="136"/>
      <c r="X32" s="191"/>
    </row>
    <row r="33" spans="1:24">
      <c r="B33" s="2" t="s">
        <v>224</v>
      </c>
      <c r="D33" s="187"/>
      <c r="E33" s="136"/>
      <c r="F33" s="136"/>
      <c r="G33" s="136"/>
      <c r="H33" s="136"/>
      <c r="I33" s="191"/>
      <c r="J33" s="136"/>
      <c r="K33" s="136"/>
      <c r="L33" s="136"/>
      <c r="M33" s="289">
        <f t="shared" si="6"/>
        <v>0</v>
      </c>
      <c r="O33" s="136"/>
      <c r="P33" s="136"/>
      <c r="Q33" s="136"/>
      <c r="R33" s="289">
        <f t="shared" si="7"/>
        <v>0</v>
      </c>
      <c r="T33" s="136"/>
      <c r="U33" s="136"/>
      <c r="W33" s="136"/>
      <c r="X33" s="191"/>
    </row>
    <row r="34" spans="1:24" outlineLevel="1">
      <c r="B34" s="2" t="s">
        <v>67</v>
      </c>
      <c r="D34" s="187"/>
      <c r="E34" s="288"/>
      <c r="F34" s="288"/>
      <c r="G34" s="288">
        <v>0</v>
      </c>
      <c r="H34" s="288"/>
      <c r="I34" s="311"/>
      <c r="J34" s="288">
        <v>0</v>
      </c>
      <c r="K34" s="288">
        <v>0</v>
      </c>
      <c r="L34" s="288">
        <v>0</v>
      </c>
      <c r="M34" s="289">
        <f t="shared" si="6"/>
        <v>0</v>
      </c>
      <c r="N34" s="311"/>
      <c r="O34" s="288">
        <v>0</v>
      </c>
      <c r="P34" s="288">
        <v>0</v>
      </c>
      <c r="Q34" s="288">
        <v>0</v>
      </c>
      <c r="R34" s="289">
        <f t="shared" si="7"/>
        <v>0</v>
      </c>
      <c r="S34" s="311">
        <v>0</v>
      </c>
      <c r="T34" s="288"/>
      <c r="U34" s="288">
        <v>0</v>
      </c>
      <c r="V34" s="368">
        <v>0</v>
      </c>
      <c r="W34" s="357">
        <v>0</v>
      </c>
      <c r="X34" s="364">
        <v>0</v>
      </c>
    </row>
    <row r="35" spans="1:24">
      <c r="B35" s="2" t="s">
        <v>58</v>
      </c>
      <c r="D35" s="187"/>
      <c r="E35" s="282">
        <v>-168</v>
      </c>
      <c r="F35" s="282">
        <v>91</v>
      </c>
      <c r="G35" s="282">
        <v>-369</v>
      </c>
      <c r="H35" s="289">
        <f t="shared" ref="H35:H43" si="8">I35-G35-F35-E35</f>
        <v>1021</v>
      </c>
      <c r="I35" s="307">
        <v>575</v>
      </c>
      <c r="J35" s="282">
        <v>-457</v>
      </c>
      <c r="K35" s="282">
        <v>-357</v>
      </c>
      <c r="L35" s="282">
        <v>-592</v>
      </c>
      <c r="M35" s="289">
        <f t="shared" si="6"/>
        <v>812</v>
      </c>
      <c r="N35" s="307">
        <v>-594</v>
      </c>
      <c r="O35" s="282">
        <v>100</v>
      </c>
      <c r="P35" s="282">
        <v>-13</v>
      </c>
      <c r="Q35" s="282">
        <v>-510</v>
      </c>
      <c r="R35" s="289">
        <f t="shared" si="7"/>
        <v>706</v>
      </c>
      <c r="S35" s="307">
        <v>283</v>
      </c>
      <c r="T35" s="282">
        <v>-159</v>
      </c>
      <c r="U35" s="282">
        <f>T77-U77</f>
        <v>-194</v>
      </c>
      <c r="V35" s="375">
        <f>U77-V77</f>
        <v>-664</v>
      </c>
      <c r="W35" s="291">
        <f>V77-W77</f>
        <v>948</v>
      </c>
      <c r="X35" s="308">
        <f>SUM(T35:W35)</f>
        <v>-69</v>
      </c>
    </row>
    <row r="36" spans="1:24">
      <c r="B36" s="2" t="s">
        <v>601</v>
      </c>
      <c r="D36" s="187"/>
      <c r="E36" s="282">
        <v>29</v>
      </c>
      <c r="F36" s="282">
        <v>-44</v>
      </c>
      <c r="G36" s="282">
        <v>-26</v>
      </c>
      <c r="H36" s="289">
        <f t="shared" si="8"/>
        <v>36</v>
      </c>
      <c r="I36" s="307">
        <v>-5</v>
      </c>
      <c r="J36" s="282">
        <v>50</v>
      </c>
      <c r="K36" s="282">
        <v>-9</v>
      </c>
      <c r="L36" s="282">
        <v>-30</v>
      </c>
      <c r="M36" s="289">
        <f t="shared" si="6"/>
        <v>63</v>
      </c>
      <c r="N36" s="307">
        <v>74</v>
      </c>
      <c r="O36" s="282">
        <v>-27</v>
      </c>
      <c r="P36" s="282">
        <v>8</v>
      </c>
      <c r="Q36" s="282">
        <v>-15</v>
      </c>
      <c r="R36" s="289">
        <f t="shared" si="7"/>
        <v>33</v>
      </c>
      <c r="S36" s="307">
        <v>-1</v>
      </c>
      <c r="T36" s="282">
        <v>-37</v>
      </c>
      <c r="U36" s="282">
        <v>26</v>
      </c>
      <c r="V36" s="375">
        <v>-22</v>
      </c>
      <c r="W36" s="289">
        <f>SUM(V78:V79,V76)-SUM(W78:W79,W76)</f>
        <v>0</v>
      </c>
      <c r="X36" s="308">
        <f>SUM(T36:W36)</f>
        <v>-33</v>
      </c>
    </row>
    <row r="37" spans="1:24">
      <c r="A37" s="190"/>
      <c r="B37" s="216" t="s">
        <v>225</v>
      </c>
      <c r="C37" s="190"/>
      <c r="D37" s="187"/>
      <c r="E37" s="136"/>
      <c r="F37" s="136"/>
      <c r="G37" s="136"/>
      <c r="H37" s="136"/>
      <c r="I37" s="191"/>
      <c r="J37" s="136"/>
      <c r="K37" s="136"/>
      <c r="L37" s="136"/>
      <c r="M37" s="289">
        <f t="shared" si="6"/>
        <v>0</v>
      </c>
      <c r="O37" s="136"/>
      <c r="P37" s="136"/>
      <c r="Q37" s="136"/>
      <c r="R37" s="289">
        <f t="shared" si="7"/>
        <v>0</v>
      </c>
      <c r="T37" s="136"/>
      <c r="U37" s="136"/>
      <c r="W37" s="136"/>
      <c r="X37" s="191"/>
    </row>
    <row r="38" spans="1:24">
      <c r="B38" s="2" t="s">
        <v>61</v>
      </c>
      <c r="D38" s="187"/>
      <c r="E38" s="282">
        <v>-38</v>
      </c>
      <c r="F38" s="282">
        <v>31</v>
      </c>
      <c r="G38" s="282">
        <v>393</v>
      </c>
      <c r="H38" s="289">
        <f t="shared" si="8"/>
        <v>-246</v>
      </c>
      <c r="I38" s="307">
        <v>140</v>
      </c>
      <c r="J38" s="282">
        <v>85</v>
      </c>
      <c r="K38" s="282">
        <v>29</v>
      </c>
      <c r="L38" s="282">
        <v>133</v>
      </c>
      <c r="M38" s="289">
        <f t="shared" si="6"/>
        <v>-461</v>
      </c>
      <c r="N38" s="307">
        <v>-214</v>
      </c>
      <c r="O38" s="282">
        <v>-107</v>
      </c>
      <c r="P38" s="282">
        <v>143</v>
      </c>
      <c r="Q38" s="282">
        <v>305</v>
      </c>
      <c r="R38" s="289">
        <f t="shared" si="7"/>
        <v>-292</v>
      </c>
      <c r="S38" s="307">
        <v>49</v>
      </c>
      <c r="T38" s="282">
        <v>66</v>
      </c>
      <c r="U38" s="282">
        <f>U90-T90</f>
        <v>59</v>
      </c>
      <c r="V38" s="375">
        <v>331</v>
      </c>
      <c r="W38" s="291">
        <f>W90-V90</f>
        <v>-528</v>
      </c>
      <c r="X38" s="308">
        <f>SUM(T38:W38)</f>
        <v>-72</v>
      </c>
    </row>
    <row r="39" spans="1:24">
      <c r="B39" s="2" t="s">
        <v>62</v>
      </c>
      <c r="D39" s="187"/>
      <c r="E39" s="290">
        <v>-291</v>
      </c>
      <c r="F39" s="290">
        <v>27</v>
      </c>
      <c r="G39" s="290">
        <v>27</v>
      </c>
      <c r="H39" s="303">
        <f t="shared" si="8"/>
        <v>158</v>
      </c>
      <c r="I39" s="312">
        <v>-79</v>
      </c>
      <c r="J39" s="290">
        <v>-154</v>
      </c>
      <c r="K39" s="282">
        <v>-31</v>
      </c>
      <c r="L39" s="282">
        <v>43</v>
      </c>
      <c r="M39" s="289">
        <f t="shared" si="6"/>
        <v>41</v>
      </c>
      <c r="N39" s="312">
        <v>-101</v>
      </c>
      <c r="O39" s="290">
        <v>-37</v>
      </c>
      <c r="P39" s="282">
        <v>32</v>
      </c>
      <c r="Q39" s="282">
        <v>-17</v>
      </c>
      <c r="R39" s="289">
        <f t="shared" si="7"/>
        <v>80</v>
      </c>
      <c r="S39" s="312">
        <v>58</v>
      </c>
      <c r="T39" s="290">
        <v>-87</v>
      </c>
      <c r="U39" s="290">
        <v>127</v>
      </c>
      <c r="V39" s="377">
        <v>102</v>
      </c>
      <c r="W39" s="291">
        <f>W91-V91</f>
        <v>-263.29551785262095</v>
      </c>
      <c r="X39" s="308">
        <f>SUM(T39:W39)</f>
        <v>-121.29551785262095</v>
      </c>
    </row>
    <row r="40" spans="1:24" outlineLevel="1">
      <c r="B40" s="2" t="s">
        <v>579</v>
      </c>
      <c r="D40" s="187"/>
      <c r="E40" s="282">
        <v>0</v>
      </c>
      <c r="F40" s="282">
        <v>0</v>
      </c>
      <c r="G40" s="282">
        <v>0</v>
      </c>
      <c r="H40" s="313">
        <f>I40-G40-F40-E40</f>
        <v>0</v>
      </c>
      <c r="I40" s="307">
        <v>0</v>
      </c>
      <c r="J40" s="282">
        <v>90</v>
      </c>
      <c r="K40" s="282">
        <v>0</v>
      </c>
      <c r="L40" s="282">
        <f>K40</f>
        <v>0</v>
      </c>
      <c r="M40" s="282">
        <f t="shared" si="6"/>
        <v>-90</v>
      </c>
      <c r="N40" s="282">
        <v>0</v>
      </c>
      <c r="O40" s="282">
        <v>0</v>
      </c>
      <c r="P40" s="282">
        <v>0</v>
      </c>
      <c r="Q40" s="282">
        <f>P40</f>
        <v>0</v>
      </c>
      <c r="R40" s="282">
        <f t="shared" si="7"/>
        <v>0</v>
      </c>
      <c r="S40" s="282">
        <v>0</v>
      </c>
      <c r="T40" s="282">
        <v>0</v>
      </c>
      <c r="U40" s="282">
        <v>0</v>
      </c>
      <c r="V40" s="375">
        <f>U40</f>
        <v>0</v>
      </c>
      <c r="W40" s="291">
        <f>V40</f>
        <v>0</v>
      </c>
      <c r="X40" s="308">
        <f>SUM(T40:W40)</f>
        <v>0</v>
      </c>
    </row>
    <row r="41" spans="1:24">
      <c r="B41" s="2" t="s">
        <v>396</v>
      </c>
      <c r="D41" s="187"/>
      <c r="E41" s="292">
        <v>-144</v>
      </c>
      <c r="F41" s="292">
        <v>113</v>
      </c>
      <c r="G41" s="292">
        <v>74</v>
      </c>
      <c r="H41" s="314">
        <f t="shared" si="8"/>
        <v>74</v>
      </c>
      <c r="I41" s="307">
        <v>117</v>
      </c>
      <c r="J41" s="282">
        <f>55-J40</f>
        <v>-35</v>
      </c>
      <c r="K41" s="282">
        <v>5</v>
      </c>
      <c r="L41" s="282">
        <v>2</v>
      </c>
      <c r="M41" s="282">
        <f t="shared" si="6"/>
        <v>78</v>
      </c>
      <c r="N41" s="282">
        <v>50</v>
      </c>
      <c r="O41" s="282">
        <v>10</v>
      </c>
      <c r="P41" s="282">
        <v>-6</v>
      </c>
      <c r="Q41" s="282">
        <v>2</v>
      </c>
      <c r="R41" s="282">
        <f t="shared" si="7"/>
        <v>-16</v>
      </c>
      <c r="S41" s="282">
        <v>-10</v>
      </c>
      <c r="T41" s="282">
        <v>4</v>
      </c>
      <c r="U41" s="282">
        <v>2</v>
      </c>
      <c r="V41" s="375">
        <v>4</v>
      </c>
      <c r="W41" s="293">
        <v>0</v>
      </c>
      <c r="X41" s="367">
        <f>SUM(T41:W41)</f>
        <v>10</v>
      </c>
    </row>
    <row r="42" spans="1:24" outlineLevel="1">
      <c r="B42" s="2" t="s">
        <v>430</v>
      </c>
      <c r="D42" s="187"/>
      <c r="E42" s="284"/>
      <c r="F42" s="284"/>
      <c r="G42" s="284">
        <v>0</v>
      </c>
      <c r="H42" s="284">
        <f t="shared" si="8"/>
        <v>0</v>
      </c>
      <c r="I42" s="315"/>
      <c r="J42" s="292">
        <v>0</v>
      </c>
      <c r="K42" s="292">
        <v>0</v>
      </c>
      <c r="L42" s="292">
        <v>0</v>
      </c>
      <c r="M42" s="292">
        <v>0</v>
      </c>
      <c r="N42" s="292">
        <v>0</v>
      </c>
      <c r="O42" s="292">
        <v>0</v>
      </c>
      <c r="P42" s="292">
        <v>0</v>
      </c>
      <c r="Q42" s="292">
        <v>0</v>
      </c>
      <c r="R42" s="292">
        <v>0</v>
      </c>
      <c r="S42" s="292">
        <v>0</v>
      </c>
      <c r="T42" s="292">
        <v>0</v>
      </c>
      <c r="U42" s="292">
        <v>0</v>
      </c>
      <c r="V42" s="378">
        <v>0</v>
      </c>
      <c r="W42" s="284">
        <v>0</v>
      </c>
      <c r="X42" s="366">
        <v>0</v>
      </c>
    </row>
    <row r="43" spans="1:24">
      <c r="B43" s="2" t="s">
        <v>218</v>
      </c>
      <c r="E43" s="285">
        <f t="shared" ref="E43:N43" si="9">SUM(E34:E42)</f>
        <v>-612</v>
      </c>
      <c r="F43" s="285">
        <f t="shared" si="9"/>
        <v>218</v>
      </c>
      <c r="G43" s="285">
        <f t="shared" si="9"/>
        <v>99</v>
      </c>
      <c r="H43" s="285">
        <f t="shared" si="8"/>
        <v>1043</v>
      </c>
      <c r="I43" s="316">
        <f t="shared" si="9"/>
        <v>748</v>
      </c>
      <c r="J43" s="285">
        <f t="shared" si="9"/>
        <v>-421</v>
      </c>
      <c r="K43" s="285">
        <f>SUM(K34:K42)</f>
        <v>-363</v>
      </c>
      <c r="L43" s="285">
        <f t="shared" si="9"/>
        <v>-444</v>
      </c>
      <c r="M43" s="285">
        <f t="shared" si="9"/>
        <v>443</v>
      </c>
      <c r="N43" s="316">
        <f t="shared" si="9"/>
        <v>-785</v>
      </c>
      <c r="O43" s="285">
        <f t="shared" ref="O43:X43" si="10">SUM(O34:O42)</f>
        <v>-61</v>
      </c>
      <c r="P43" s="285">
        <f t="shared" si="10"/>
        <v>164</v>
      </c>
      <c r="Q43" s="285">
        <f t="shared" si="10"/>
        <v>-235</v>
      </c>
      <c r="R43" s="285">
        <f t="shared" si="10"/>
        <v>511</v>
      </c>
      <c r="S43" s="316">
        <f t="shared" si="10"/>
        <v>379</v>
      </c>
      <c r="T43" s="285">
        <f t="shared" si="10"/>
        <v>-213</v>
      </c>
      <c r="U43" s="285">
        <f t="shared" si="10"/>
        <v>20</v>
      </c>
      <c r="V43" s="379">
        <f t="shared" si="10"/>
        <v>-249</v>
      </c>
      <c r="W43" s="285">
        <f t="shared" si="10"/>
        <v>156.70448214737905</v>
      </c>
      <c r="X43" s="316">
        <f t="shared" si="10"/>
        <v>-285.29551785262095</v>
      </c>
    </row>
    <row r="44" spans="1:24" ht="4.5" customHeight="1">
      <c r="E44" s="294"/>
      <c r="F44" s="294"/>
      <c r="G44" s="294"/>
      <c r="H44" s="294"/>
      <c r="I44" s="317"/>
      <c r="J44" s="294"/>
      <c r="K44" s="294"/>
      <c r="L44" s="294"/>
      <c r="M44" s="294"/>
      <c r="N44" s="317"/>
      <c r="O44" s="294"/>
      <c r="P44" s="294"/>
      <c r="Q44" s="294"/>
      <c r="R44" s="294"/>
      <c r="S44" s="317"/>
      <c r="T44" s="294"/>
      <c r="U44" s="294"/>
      <c r="V44" s="380"/>
      <c r="W44" s="294"/>
      <c r="X44" s="317"/>
    </row>
    <row r="45" spans="1:24">
      <c r="A45" s="2" t="s">
        <v>219</v>
      </c>
      <c r="E45" s="286">
        <f>SUM(E28:E31)+E43</f>
        <v>-728</v>
      </c>
      <c r="F45" s="286">
        <f>SUM(F28:F31)+F43</f>
        <v>334</v>
      </c>
      <c r="G45" s="286">
        <f t="shared" ref="G45:M45" si="11">SUM(G28:G31)+G43</f>
        <v>37</v>
      </c>
      <c r="H45" s="286">
        <f t="shared" si="11"/>
        <v>812</v>
      </c>
      <c r="I45" s="318">
        <f t="shared" si="11"/>
        <v>455</v>
      </c>
      <c r="J45" s="286">
        <f t="shared" si="11"/>
        <v>-617</v>
      </c>
      <c r="K45" s="286">
        <f t="shared" si="11"/>
        <v>-746</v>
      </c>
      <c r="L45" s="286">
        <f t="shared" si="11"/>
        <v>-572</v>
      </c>
      <c r="M45" s="286">
        <f t="shared" si="11"/>
        <v>361</v>
      </c>
      <c r="N45" s="318">
        <f t="shared" ref="N45:S45" si="12">SUM(N28:N31)+N43</f>
        <v>-1574</v>
      </c>
      <c r="O45" s="286">
        <f t="shared" si="12"/>
        <v>-124</v>
      </c>
      <c r="P45" s="286">
        <f t="shared" si="12"/>
        <v>122</v>
      </c>
      <c r="Q45" s="286">
        <f t="shared" si="12"/>
        <v>-228</v>
      </c>
      <c r="R45" s="286">
        <f t="shared" si="12"/>
        <v>462</v>
      </c>
      <c r="S45" s="318">
        <f t="shared" si="12"/>
        <v>232</v>
      </c>
      <c r="T45" s="286">
        <f>SUM(T28:T31)+T43</f>
        <v>-248</v>
      </c>
      <c r="U45" s="286">
        <f>SUM(U28:U31)+U43</f>
        <v>-68</v>
      </c>
      <c r="V45" s="381">
        <f>SUM(V28:V31)+V43</f>
        <v>-341</v>
      </c>
      <c r="W45" s="286">
        <f>SUM(W28:W31)+W43</f>
        <v>63.704482147379053</v>
      </c>
      <c r="X45" s="318">
        <f>SUM(X28:X31)+X43</f>
        <v>-593.29551785262095</v>
      </c>
    </row>
    <row r="46" spans="1:24" ht="4.5" customHeight="1">
      <c r="E46" s="286"/>
      <c r="F46" s="286"/>
      <c r="G46" s="286"/>
      <c r="H46" s="286"/>
      <c r="I46" s="318"/>
      <c r="J46" s="286"/>
      <c r="K46" s="286"/>
      <c r="L46" s="286"/>
      <c r="M46" s="286"/>
      <c r="N46" s="318"/>
      <c r="O46" s="286"/>
      <c r="P46" s="286"/>
      <c r="Q46" s="286"/>
      <c r="R46" s="286"/>
      <c r="S46" s="318"/>
      <c r="T46" s="286"/>
      <c r="U46" s="286"/>
      <c r="V46" s="381"/>
      <c r="W46" s="286"/>
      <c r="X46" s="318"/>
    </row>
    <row r="47" spans="1:24">
      <c r="A47" s="269" t="s">
        <v>220</v>
      </c>
      <c r="B47" s="269"/>
      <c r="C47" s="269"/>
      <c r="D47" s="269"/>
      <c r="E47" s="319">
        <f>E26+E28+E43</f>
        <v>-684</v>
      </c>
      <c r="F47" s="319">
        <f>F26+F28+F43</f>
        <v>-164</v>
      </c>
      <c r="G47" s="319">
        <f t="shared" ref="G47:N47" si="13">G26+G28+G43</f>
        <v>-389</v>
      </c>
      <c r="H47" s="319">
        <f t="shared" si="13"/>
        <v>408</v>
      </c>
      <c r="I47" s="295">
        <f t="shared" si="13"/>
        <v>-829</v>
      </c>
      <c r="J47" s="319">
        <f t="shared" si="13"/>
        <v>-966</v>
      </c>
      <c r="K47" s="319">
        <f t="shared" si="13"/>
        <v>-1147</v>
      </c>
      <c r="L47" s="319">
        <f t="shared" si="13"/>
        <v>-898</v>
      </c>
      <c r="M47" s="319">
        <f t="shared" si="13"/>
        <v>246</v>
      </c>
      <c r="N47" s="295">
        <f t="shared" si="13"/>
        <v>-2765</v>
      </c>
      <c r="O47" s="319">
        <f t="shared" ref="O47:X47" si="14">O26+O28+O43</f>
        <v>-351</v>
      </c>
      <c r="P47" s="319">
        <f t="shared" si="14"/>
        <v>76</v>
      </c>
      <c r="Q47" s="319">
        <f t="shared" si="14"/>
        <v>-291</v>
      </c>
      <c r="R47" s="319">
        <f t="shared" si="14"/>
        <v>558</v>
      </c>
      <c r="S47" s="295">
        <f t="shared" si="14"/>
        <v>-8</v>
      </c>
      <c r="T47" s="319">
        <f t="shared" si="14"/>
        <v>-245.75</v>
      </c>
      <c r="U47" s="319">
        <f t="shared" si="14"/>
        <v>-46</v>
      </c>
      <c r="V47" s="382">
        <f t="shared" si="14"/>
        <v>-325</v>
      </c>
      <c r="W47" s="319">
        <f t="shared" si="14"/>
        <v>437.67769134365494</v>
      </c>
      <c r="X47" s="295">
        <f t="shared" si="14"/>
        <v>-179.07230865634506</v>
      </c>
    </row>
    <row r="48" spans="1:24" ht="4.5" customHeight="1">
      <c r="E48" s="136"/>
      <c r="F48" s="136"/>
      <c r="G48" s="136"/>
      <c r="H48" s="136"/>
      <c r="I48" s="191"/>
      <c r="J48" s="136"/>
      <c r="K48" s="136"/>
      <c r="L48" s="136"/>
      <c r="O48" s="136"/>
      <c r="P48" s="136"/>
      <c r="Q48" s="136"/>
      <c r="T48" s="136"/>
      <c r="U48" s="136"/>
      <c r="W48" s="136"/>
      <c r="X48" s="191"/>
    </row>
    <row r="49" spans="1:24">
      <c r="C49" s="2" t="s">
        <v>583</v>
      </c>
      <c r="D49" s="187"/>
      <c r="E49" s="320">
        <v>0</v>
      </c>
      <c r="F49" s="296">
        <v>0</v>
      </c>
      <c r="G49" s="296">
        <v>0</v>
      </c>
      <c r="H49" s="321">
        <f>I49-G49-F49-E49</f>
        <v>-250</v>
      </c>
      <c r="I49" s="282">
        <v>-250</v>
      </c>
      <c r="J49" s="282">
        <f>850-5</f>
        <v>845</v>
      </c>
      <c r="K49" s="282">
        <v>0</v>
      </c>
      <c r="L49" s="282">
        <v>-200</v>
      </c>
      <c r="M49" s="321">
        <f>N49-L49-K49-J49</f>
        <v>5</v>
      </c>
      <c r="N49" s="282">
        <f>850-200</f>
        <v>650</v>
      </c>
      <c r="O49" s="282">
        <v>-5</v>
      </c>
      <c r="P49" s="282">
        <v>-650</v>
      </c>
      <c r="Q49" s="282">
        <v>0</v>
      </c>
      <c r="R49" s="321">
        <f>S49-Q49-P49-O49</f>
        <v>5</v>
      </c>
      <c r="S49" s="282">
        <v>-650</v>
      </c>
      <c r="T49" s="282">
        <v>-5</v>
      </c>
      <c r="U49" s="282">
        <v>0</v>
      </c>
      <c r="V49" s="375">
        <v>0</v>
      </c>
      <c r="W49" s="358">
        <v>0</v>
      </c>
      <c r="X49" s="365">
        <f>SUM(T49:W49)</f>
        <v>-5</v>
      </c>
    </row>
    <row r="50" spans="1:24">
      <c r="C50" s="2" t="s">
        <v>398</v>
      </c>
      <c r="D50" s="187"/>
      <c r="E50" s="320">
        <v>0</v>
      </c>
      <c r="F50" s="320">
        <v>0</v>
      </c>
      <c r="G50" s="296">
        <v>0</v>
      </c>
      <c r="H50" s="321">
        <f>I50-G50-F50-E50</f>
        <v>0</v>
      </c>
      <c r="I50" s="296">
        <v>0</v>
      </c>
      <c r="J50" s="296">
        <v>0</v>
      </c>
      <c r="K50" s="290">
        <v>2180</v>
      </c>
      <c r="L50" s="296">
        <v>0</v>
      </c>
      <c r="M50" s="321">
        <f>N50-L50-K50-J50</f>
        <v>0</v>
      </c>
      <c r="N50" s="296">
        <v>2180</v>
      </c>
      <c r="O50" s="296">
        <v>0</v>
      </c>
      <c r="P50" s="290">
        <v>500</v>
      </c>
      <c r="Q50" s="290">
        <v>393</v>
      </c>
      <c r="R50" s="321">
        <f>S50-Q50-P50-O50</f>
        <v>0</v>
      </c>
      <c r="S50" s="296">
        <v>893</v>
      </c>
      <c r="T50" s="296">
        <v>0</v>
      </c>
      <c r="U50" s="296">
        <v>0</v>
      </c>
      <c r="V50" s="383">
        <v>0</v>
      </c>
      <c r="W50" s="358">
        <v>0</v>
      </c>
      <c r="X50" s="365">
        <f t="shared" ref="X50:X56" si="15">SUM(T50:W50)</f>
        <v>0</v>
      </c>
    </row>
    <row r="51" spans="1:24">
      <c r="C51" s="2" t="s">
        <v>399</v>
      </c>
      <c r="D51" s="187"/>
      <c r="E51" s="320">
        <v>0</v>
      </c>
      <c r="F51" s="322">
        <v>0</v>
      </c>
      <c r="G51" s="296">
        <f>-230-13</f>
        <v>-243</v>
      </c>
      <c r="H51" s="321">
        <f>I51-G51-F51-E51</f>
        <v>243</v>
      </c>
      <c r="I51" s="296">
        <v>0</v>
      </c>
      <c r="J51" s="296">
        <v>0</v>
      </c>
      <c r="K51" s="290">
        <v>-245</v>
      </c>
      <c r="L51" s="290">
        <v>-5</v>
      </c>
      <c r="M51" s="321">
        <f>N51-L51-K51-J51</f>
        <v>-145</v>
      </c>
      <c r="N51" s="296">
        <f>-110-29-256</f>
        <v>-395</v>
      </c>
      <c r="O51" s="296">
        <v>-5</v>
      </c>
      <c r="P51" s="290">
        <v>-6</v>
      </c>
      <c r="Q51" s="290">
        <v>-394</v>
      </c>
      <c r="R51" s="321">
        <f>S51-Q51-P51-O51</f>
        <v>-66</v>
      </c>
      <c r="S51" s="296">
        <f>-33-26-412</f>
        <v>-471</v>
      </c>
      <c r="T51" s="296">
        <v>-6</v>
      </c>
      <c r="U51" s="296">
        <v>0</v>
      </c>
      <c r="V51" s="383">
        <v>-7</v>
      </c>
      <c r="W51" s="358">
        <v>0</v>
      </c>
      <c r="X51" s="365">
        <f t="shared" si="15"/>
        <v>-13</v>
      </c>
    </row>
    <row r="52" spans="1:24" outlineLevel="1">
      <c r="C52" s="2" t="s">
        <v>400</v>
      </c>
      <c r="D52" s="187"/>
      <c r="E52" s="280"/>
      <c r="F52" s="297"/>
      <c r="G52" s="296">
        <v>0</v>
      </c>
      <c r="H52" s="296"/>
      <c r="I52" s="280"/>
      <c r="J52" s="296"/>
      <c r="K52" s="290"/>
      <c r="L52" s="296"/>
      <c r="M52" s="296"/>
      <c r="N52" s="280">
        <v>0</v>
      </c>
      <c r="O52" s="296"/>
      <c r="P52" s="290"/>
      <c r="Q52" s="290"/>
      <c r="R52" s="296"/>
      <c r="S52" s="280">
        <f>SUM(O52:R52)</f>
        <v>0</v>
      </c>
      <c r="T52" s="296"/>
      <c r="U52" s="296"/>
      <c r="V52" s="383"/>
      <c r="W52" s="359"/>
      <c r="X52" s="365">
        <f t="shared" si="15"/>
        <v>0</v>
      </c>
    </row>
    <row r="53" spans="1:24">
      <c r="C53" s="2" t="s">
        <v>401</v>
      </c>
      <c r="D53" s="187"/>
      <c r="E53" s="282">
        <v>68</v>
      </c>
      <c r="F53" s="282">
        <v>1</v>
      </c>
      <c r="G53" s="282">
        <v>1</v>
      </c>
      <c r="H53" s="321">
        <f>I53-G53-F53-E53</f>
        <v>13</v>
      </c>
      <c r="I53" s="282">
        <f>71+12</f>
        <v>83</v>
      </c>
      <c r="J53" s="282">
        <v>5</v>
      </c>
      <c r="K53" s="290">
        <v>2</v>
      </c>
      <c r="L53" s="290">
        <v>786</v>
      </c>
      <c r="M53" s="321">
        <f>N53-L53-K53-J53</f>
        <v>0</v>
      </c>
      <c r="N53" s="282">
        <f>786+7</f>
        <v>793</v>
      </c>
      <c r="O53" s="282">
        <v>0</v>
      </c>
      <c r="P53" s="290">
        <v>0</v>
      </c>
      <c r="Q53" s="290">
        <v>0</v>
      </c>
      <c r="R53" s="321">
        <f>S53-Q53-P53-O53</f>
        <v>0</v>
      </c>
      <c r="S53" s="282">
        <v>0</v>
      </c>
      <c r="T53" s="282">
        <v>0</v>
      </c>
      <c r="U53" s="282">
        <v>0</v>
      </c>
      <c r="V53" s="375">
        <v>0</v>
      </c>
      <c r="W53" s="358">
        <v>0</v>
      </c>
      <c r="X53" s="308">
        <f t="shared" si="15"/>
        <v>0</v>
      </c>
    </row>
    <row r="54" spans="1:24" outlineLevel="1">
      <c r="C54" s="2" t="s">
        <v>402</v>
      </c>
      <c r="D54" s="187"/>
      <c r="E54" s="298"/>
      <c r="F54" s="297"/>
      <c r="G54" s="282">
        <v>0</v>
      </c>
      <c r="H54" s="282"/>
      <c r="I54" s="299"/>
      <c r="J54" s="282"/>
      <c r="K54" s="290"/>
      <c r="L54" s="291"/>
      <c r="M54" s="282"/>
      <c r="N54" s="299">
        <v>0</v>
      </c>
      <c r="O54" s="282"/>
      <c r="P54" s="290"/>
      <c r="Q54" s="290"/>
      <c r="R54" s="282"/>
      <c r="S54" s="299">
        <f>SUM(O54:R54)</f>
        <v>0</v>
      </c>
      <c r="T54" s="282"/>
      <c r="U54" s="282"/>
      <c r="V54" s="375"/>
      <c r="W54" s="291"/>
      <c r="X54" s="308">
        <f t="shared" si="15"/>
        <v>0</v>
      </c>
    </row>
    <row r="55" spans="1:24">
      <c r="C55" s="2" t="s">
        <v>216</v>
      </c>
      <c r="D55" s="187"/>
      <c r="E55" s="282">
        <v>-43</v>
      </c>
      <c r="F55" s="282">
        <v>-43</v>
      </c>
      <c r="G55" s="282">
        <v>0</v>
      </c>
      <c r="H55" s="321">
        <f>I55-G55-F55-E55</f>
        <v>0</v>
      </c>
      <c r="I55" s="282">
        <v>-86</v>
      </c>
      <c r="J55" s="282">
        <v>0</v>
      </c>
      <c r="K55" s="290">
        <v>0</v>
      </c>
      <c r="L55" s="291">
        <v>0</v>
      </c>
      <c r="M55" s="321">
        <f>N55-L55-K55-J55</f>
        <v>0</v>
      </c>
      <c r="N55" s="282">
        <v>0</v>
      </c>
      <c r="O55" s="282">
        <v>0</v>
      </c>
      <c r="P55" s="290">
        <v>0</v>
      </c>
      <c r="Q55" s="290">
        <v>0</v>
      </c>
      <c r="R55" s="321">
        <f>S55-Q55-P55-O55</f>
        <v>0</v>
      </c>
      <c r="S55" s="282">
        <v>0</v>
      </c>
      <c r="T55" s="282">
        <v>0</v>
      </c>
      <c r="U55" s="282">
        <v>0</v>
      </c>
      <c r="V55" s="375">
        <v>0</v>
      </c>
      <c r="W55" s="291">
        <v>0</v>
      </c>
      <c r="X55" s="308">
        <f t="shared" si="15"/>
        <v>0</v>
      </c>
    </row>
    <row r="56" spans="1:24">
      <c r="C56" s="2" t="s">
        <v>390</v>
      </c>
      <c r="D56" s="187"/>
      <c r="E56" s="282">
        <f>-9-2+11</f>
        <v>0</v>
      </c>
      <c r="F56" s="282">
        <f>12-3-2</f>
        <v>7</v>
      </c>
      <c r="G56" s="282">
        <f>-11</f>
        <v>-11</v>
      </c>
      <c r="H56" s="321">
        <f>I56-G56-F56-E56</f>
        <v>-17</v>
      </c>
      <c r="I56" s="282">
        <f>-4-17</f>
        <v>-21</v>
      </c>
      <c r="J56" s="282">
        <f>-8-3</f>
        <v>-11</v>
      </c>
      <c r="K56" s="290">
        <f>-110-14-4-4</f>
        <v>-132</v>
      </c>
      <c r="L56" s="282">
        <f>-5-18-1</f>
        <v>-24</v>
      </c>
      <c r="M56" s="321">
        <f>N56-L56-K56-J56</f>
        <v>127</v>
      </c>
      <c r="N56" s="282">
        <f>-31-9</f>
        <v>-40</v>
      </c>
      <c r="O56" s="282">
        <v>-1</v>
      </c>
      <c r="P56" s="290">
        <f>-13-60</f>
        <v>-73</v>
      </c>
      <c r="Q56" s="290">
        <f>-33-4-1</f>
        <v>-38</v>
      </c>
      <c r="R56" s="321">
        <f>S56-Q56-P56-O56</f>
        <v>46</v>
      </c>
      <c r="S56" s="282">
        <f>-65-1</f>
        <v>-66</v>
      </c>
      <c r="T56" s="282">
        <v>-2</v>
      </c>
      <c r="U56" s="282">
        <f>-18-7</f>
        <v>-25</v>
      </c>
      <c r="V56" s="375">
        <v>-4</v>
      </c>
      <c r="W56" s="358">
        <v>0</v>
      </c>
      <c r="X56" s="308">
        <f t="shared" si="15"/>
        <v>-31</v>
      </c>
    </row>
    <row r="57" spans="1:24" ht="4.5" customHeight="1">
      <c r="E57" s="136"/>
      <c r="F57" s="297"/>
      <c r="G57" s="136"/>
      <c r="H57" s="321"/>
      <c r="I57" s="191"/>
      <c r="J57" s="136"/>
      <c r="K57" s="136"/>
      <c r="L57" s="136"/>
      <c r="O57" s="136"/>
      <c r="P57" s="136"/>
      <c r="Q57" s="136"/>
      <c r="T57" s="136"/>
      <c r="U57" s="136"/>
      <c r="W57" s="136"/>
      <c r="X57" s="191"/>
    </row>
    <row r="58" spans="1:24">
      <c r="A58" s="2" t="s">
        <v>221</v>
      </c>
      <c r="E58" s="286">
        <f t="shared" ref="E58:M58" si="16">SUM(E49:E56)</f>
        <v>25</v>
      </c>
      <c r="F58" s="286">
        <f t="shared" si="16"/>
        <v>-35</v>
      </c>
      <c r="G58" s="286">
        <f t="shared" si="16"/>
        <v>-253</v>
      </c>
      <c r="H58" s="321">
        <f>I58-G58-F58-E58</f>
        <v>-11</v>
      </c>
      <c r="I58" s="318">
        <f t="shared" si="16"/>
        <v>-274</v>
      </c>
      <c r="J58" s="286">
        <f t="shared" si="16"/>
        <v>839</v>
      </c>
      <c r="K58" s="286">
        <f>SUM(K50:K56)</f>
        <v>1805</v>
      </c>
      <c r="L58" s="286">
        <f t="shared" si="16"/>
        <v>557</v>
      </c>
      <c r="M58" s="286">
        <f t="shared" si="16"/>
        <v>-13</v>
      </c>
      <c r="N58" s="318">
        <f t="shared" ref="N58:S58" si="17">SUM(N49:N56)</f>
        <v>3188</v>
      </c>
      <c r="O58" s="286">
        <f t="shared" si="17"/>
        <v>-11</v>
      </c>
      <c r="P58" s="286">
        <f t="shared" si="17"/>
        <v>-229</v>
      </c>
      <c r="Q58" s="286">
        <f t="shared" si="17"/>
        <v>-39</v>
      </c>
      <c r="R58" s="286">
        <f t="shared" si="17"/>
        <v>-15</v>
      </c>
      <c r="S58" s="318">
        <f t="shared" si="17"/>
        <v>-294</v>
      </c>
      <c r="T58" s="286">
        <f>SUM(T49:T56)</f>
        <v>-13</v>
      </c>
      <c r="U58" s="286">
        <f>SUM(U50:U56)</f>
        <v>-25</v>
      </c>
      <c r="V58" s="381">
        <f>SUM(V49:V56)</f>
        <v>-11</v>
      </c>
      <c r="W58" s="286">
        <f>SUM(W49:W56)</f>
        <v>0</v>
      </c>
      <c r="X58" s="318">
        <f>SUM(X49:X56)</f>
        <v>-49</v>
      </c>
    </row>
    <row r="59" spans="1:24" ht="4.5" customHeight="1">
      <c r="E59" s="286"/>
      <c r="F59" s="286"/>
      <c r="G59" s="286"/>
      <c r="H59" s="286"/>
      <c r="I59" s="318"/>
      <c r="J59" s="286"/>
      <c r="K59" s="286"/>
      <c r="L59" s="286"/>
      <c r="M59" s="286"/>
      <c r="N59" s="318"/>
      <c r="O59" s="286"/>
      <c r="P59" s="286"/>
      <c r="Q59" s="286"/>
      <c r="R59" s="286"/>
      <c r="S59" s="318"/>
      <c r="T59" s="286"/>
      <c r="U59" s="286"/>
      <c r="V59" s="381"/>
      <c r="W59" s="286"/>
      <c r="X59" s="318"/>
    </row>
    <row r="60" spans="1:24">
      <c r="B60" s="2" t="s">
        <v>222</v>
      </c>
      <c r="E60" s="323">
        <v>1507</v>
      </c>
      <c r="F60" s="301">
        <f>E62</f>
        <v>839</v>
      </c>
      <c r="G60" s="301">
        <f>F62</f>
        <v>888</v>
      </c>
      <c r="H60" s="301">
        <f>G62</f>
        <v>525</v>
      </c>
      <c r="I60" s="324">
        <f>E60</f>
        <v>1507</v>
      </c>
      <c r="J60" s="301">
        <f>I62</f>
        <v>930</v>
      </c>
      <c r="K60" s="301">
        <f>J62</f>
        <v>821</v>
      </c>
      <c r="L60" s="301">
        <f>K62</f>
        <v>1535</v>
      </c>
      <c r="M60" s="301">
        <f>L62</f>
        <v>1227</v>
      </c>
      <c r="N60" s="324">
        <f>I62</f>
        <v>930</v>
      </c>
      <c r="O60" s="301">
        <f>N62</f>
        <v>1515</v>
      </c>
      <c r="P60" s="301">
        <f>O62</f>
        <v>1170</v>
      </c>
      <c r="Q60" s="301">
        <f>P62</f>
        <v>1036</v>
      </c>
      <c r="R60" s="301">
        <f>Q62</f>
        <v>774</v>
      </c>
      <c r="S60" s="324">
        <f>N62</f>
        <v>1515</v>
      </c>
      <c r="T60" s="301">
        <f>S62</f>
        <v>1318</v>
      </c>
      <c r="U60" s="301">
        <f>T62</f>
        <v>1070.25</v>
      </c>
      <c r="V60" s="384">
        <f>U62</f>
        <v>999.25</v>
      </c>
      <c r="W60" s="301">
        <f>V62</f>
        <v>664.25</v>
      </c>
      <c r="X60" s="324">
        <f>S62</f>
        <v>1318</v>
      </c>
    </row>
    <row r="61" spans="1:24">
      <c r="A61" s="190"/>
      <c r="B61" s="190"/>
      <c r="C61" s="2" t="s">
        <v>223</v>
      </c>
      <c r="D61" s="190"/>
      <c r="E61" s="286">
        <f t="shared" ref="E61:N61" si="18">E58+E26+E45</f>
        <v>-668</v>
      </c>
      <c r="F61" s="286">
        <f t="shared" si="18"/>
        <v>49</v>
      </c>
      <c r="G61" s="286">
        <f t="shared" si="18"/>
        <v>-363</v>
      </c>
      <c r="H61" s="286">
        <f t="shared" si="18"/>
        <v>405</v>
      </c>
      <c r="I61" s="318">
        <f t="shared" si="18"/>
        <v>-577</v>
      </c>
      <c r="J61" s="286">
        <f t="shared" si="18"/>
        <v>-109</v>
      </c>
      <c r="K61" s="286">
        <f t="shared" si="18"/>
        <v>714</v>
      </c>
      <c r="L61" s="286">
        <f t="shared" si="18"/>
        <v>-308</v>
      </c>
      <c r="M61" s="286">
        <f t="shared" si="18"/>
        <v>288</v>
      </c>
      <c r="N61" s="318">
        <f t="shared" si="18"/>
        <v>585</v>
      </c>
      <c r="O61" s="286">
        <f t="shared" ref="O61:X61" si="19">O58+O26+O45</f>
        <v>-345</v>
      </c>
      <c r="P61" s="286">
        <f t="shared" si="19"/>
        <v>-134</v>
      </c>
      <c r="Q61" s="286">
        <f t="shared" si="19"/>
        <v>-262</v>
      </c>
      <c r="R61" s="286">
        <f t="shared" si="19"/>
        <v>544</v>
      </c>
      <c r="S61" s="318">
        <f t="shared" si="19"/>
        <v>-197</v>
      </c>
      <c r="T61" s="286">
        <f t="shared" si="19"/>
        <v>-247.75</v>
      </c>
      <c r="U61" s="286">
        <f t="shared" si="19"/>
        <v>-71</v>
      </c>
      <c r="V61" s="381">
        <f t="shared" si="19"/>
        <v>-335</v>
      </c>
      <c r="W61" s="286">
        <f t="shared" si="19"/>
        <v>437.67769134365494</v>
      </c>
      <c r="X61" s="318">
        <f t="shared" si="19"/>
        <v>-216.07230865634506</v>
      </c>
    </row>
    <row r="62" spans="1:24">
      <c r="B62" s="2" t="s">
        <v>226</v>
      </c>
      <c r="E62" s="285">
        <f>E60+E61</f>
        <v>839</v>
      </c>
      <c r="F62" s="285">
        <f>F60+F61</f>
        <v>888</v>
      </c>
      <c r="G62" s="285">
        <f t="shared" ref="G62:L62" si="20">G60+G61</f>
        <v>525</v>
      </c>
      <c r="H62" s="285">
        <f t="shared" si="20"/>
        <v>930</v>
      </c>
      <c r="I62" s="316">
        <f t="shared" si="20"/>
        <v>930</v>
      </c>
      <c r="J62" s="285">
        <f t="shared" si="20"/>
        <v>821</v>
      </c>
      <c r="K62" s="285">
        <f t="shared" si="20"/>
        <v>1535</v>
      </c>
      <c r="L62" s="285">
        <f t="shared" si="20"/>
        <v>1227</v>
      </c>
      <c r="M62" s="285">
        <f t="shared" ref="M62:S62" si="21">M60+M61</f>
        <v>1515</v>
      </c>
      <c r="N62" s="316">
        <f t="shared" si="21"/>
        <v>1515</v>
      </c>
      <c r="O62" s="285">
        <f t="shared" si="21"/>
        <v>1170</v>
      </c>
      <c r="P62" s="285">
        <f t="shared" si="21"/>
        <v>1036</v>
      </c>
      <c r="Q62" s="285">
        <f t="shared" si="21"/>
        <v>774</v>
      </c>
      <c r="R62" s="285">
        <f>R60+R61</f>
        <v>1318</v>
      </c>
      <c r="S62" s="316">
        <f t="shared" si="21"/>
        <v>1318</v>
      </c>
      <c r="T62" s="285">
        <f>T60+T61</f>
        <v>1070.25</v>
      </c>
      <c r="U62" s="285">
        <f>U60+U61</f>
        <v>999.25</v>
      </c>
      <c r="V62" s="379">
        <f>V60+V61</f>
        <v>664.25</v>
      </c>
      <c r="W62" s="285">
        <f>W60+W61</f>
        <v>1101.9276913436549</v>
      </c>
      <c r="X62" s="316">
        <f>X60+X61</f>
        <v>1101.9276913436549</v>
      </c>
    </row>
    <row r="63" spans="1:24">
      <c r="E63" s="286"/>
      <c r="F63" s="286"/>
      <c r="G63" s="286"/>
      <c r="H63" s="286"/>
      <c r="I63" s="318"/>
      <c r="J63" s="286"/>
      <c r="K63" s="286"/>
      <c r="L63" s="286"/>
      <c r="M63" s="286"/>
      <c r="N63" s="318"/>
      <c r="O63" s="286"/>
      <c r="P63" s="286"/>
      <c r="Q63" s="286"/>
      <c r="R63" s="286"/>
      <c r="S63" s="318"/>
      <c r="T63" s="286"/>
      <c r="U63" s="286"/>
      <c r="V63" s="381"/>
      <c r="W63" s="286"/>
      <c r="X63" s="318"/>
    </row>
    <row r="64" spans="1:24" ht="4.5" customHeight="1">
      <c r="E64" s="136"/>
      <c r="F64" s="136"/>
      <c r="G64" s="136"/>
      <c r="H64" s="136"/>
      <c r="I64" s="191"/>
      <c r="J64" s="136"/>
      <c r="K64" s="136"/>
      <c r="L64" s="136"/>
      <c r="O64" s="136"/>
      <c r="P64" s="136"/>
      <c r="Q64" s="136"/>
      <c r="T64" s="136"/>
      <c r="U64" s="136"/>
      <c r="W64" s="136"/>
      <c r="X64" s="191"/>
    </row>
    <row r="65" spans="1:24">
      <c r="A65" s="2" t="s">
        <v>227</v>
      </c>
      <c r="E65" s="302">
        <f t="shared" ref="E65:N65" si="22">-E58+E61</f>
        <v>-693</v>
      </c>
      <c r="F65" s="302">
        <f t="shared" si="22"/>
        <v>84</v>
      </c>
      <c r="G65" s="302">
        <f t="shared" si="22"/>
        <v>-110</v>
      </c>
      <c r="H65" s="302">
        <f t="shared" si="22"/>
        <v>416</v>
      </c>
      <c r="I65" s="325">
        <f t="shared" si="22"/>
        <v>-303</v>
      </c>
      <c r="J65" s="302">
        <f t="shared" si="22"/>
        <v>-948</v>
      </c>
      <c r="K65" s="302">
        <f t="shared" si="22"/>
        <v>-1091</v>
      </c>
      <c r="L65" s="302">
        <f t="shared" si="22"/>
        <v>-865</v>
      </c>
      <c r="M65" s="302">
        <f t="shared" si="22"/>
        <v>301</v>
      </c>
      <c r="N65" s="325">
        <f t="shared" si="22"/>
        <v>-2603</v>
      </c>
      <c r="O65" s="302">
        <f t="shared" ref="O65:X65" si="23">-O58+O61</f>
        <v>-334</v>
      </c>
      <c r="P65" s="302">
        <f t="shared" si="23"/>
        <v>95</v>
      </c>
      <c r="Q65" s="302">
        <f t="shared" si="23"/>
        <v>-223</v>
      </c>
      <c r="R65" s="302">
        <f t="shared" si="23"/>
        <v>559</v>
      </c>
      <c r="S65" s="325">
        <f t="shared" si="23"/>
        <v>97</v>
      </c>
      <c r="T65" s="302">
        <f t="shared" si="23"/>
        <v>-234.75</v>
      </c>
      <c r="U65" s="302">
        <f t="shared" si="23"/>
        <v>-46</v>
      </c>
      <c r="V65" s="385">
        <f t="shared" si="23"/>
        <v>-324</v>
      </c>
      <c r="W65" s="302">
        <f t="shared" si="23"/>
        <v>437.67769134365494</v>
      </c>
      <c r="X65" s="325">
        <f t="shared" si="23"/>
        <v>-167.07230865634506</v>
      </c>
    </row>
    <row r="66" spans="1:24" ht="4.5" customHeight="1"/>
    <row r="67" spans="1:24">
      <c r="E67" s="270"/>
      <c r="F67" s="270"/>
      <c r="G67" s="270"/>
      <c r="H67" s="270"/>
      <c r="I67" s="326"/>
      <c r="J67" s="270"/>
      <c r="K67" s="285"/>
      <c r="L67" s="285"/>
      <c r="M67" s="285"/>
      <c r="N67" s="349"/>
      <c r="O67" s="270"/>
      <c r="P67" s="285"/>
      <c r="Q67" s="285"/>
      <c r="R67" s="285"/>
      <c r="S67" s="349"/>
      <c r="T67" s="270"/>
      <c r="U67" s="270"/>
      <c r="V67" s="386"/>
      <c r="W67" s="285"/>
      <c r="X67" s="326"/>
    </row>
    <row r="68" spans="1:24" ht="5.25" customHeight="1" thickBot="1">
      <c r="A68" s="327"/>
      <c r="B68" s="327"/>
      <c r="C68" s="327"/>
      <c r="D68" s="327"/>
      <c r="E68" s="327"/>
      <c r="F68" s="327"/>
      <c r="G68" s="327"/>
      <c r="H68" s="327"/>
      <c r="I68" s="328"/>
      <c r="J68" s="327"/>
      <c r="K68" s="327"/>
      <c r="L68" s="327"/>
      <c r="M68" s="340"/>
      <c r="N68" s="350"/>
      <c r="O68" s="327"/>
      <c r="P68" s="327"/>
      <c r="Q68" s="327"/>
      <c r="R68" s="340"/>
      <c r="S68" s="350"/>
      <c r="T68" s="327"/>
      <c r="U68" s="327"/>
      <c r="V68" s="387"/>
      <c r="W68" s="327"/>
      <c r="X68" s="328"/>
    </row>
    <row r="70" spans="1:24">
      <c r="K70" s="329"/>
      <c r="L70" s="329"/>
      <c r="M70" s="341"/>
      <c r="P70" s="329"/>
      <c r="Q70" s="329"/>
      <c r="R70" s="341"/>
      <c r="V70" s="370">
        <f>V97+V92+V93</f>
        <v>5293</v>
      </c>
      <c r="W70" s="329"/>
    </row>
    <row r="71" spans="1:24">
      <c r="V71" s="436">
        <f>V70/V113</f>
        <v>0.50170616113744071</v>
      </c>
    </row>
    <row r="72" spans="1:24">
      <c r="A72" s="190" t="s">
        <v>442</v>
      </c>
      <c r="H72" s="244"/>
    </row>
    <row r="73" spans="1:24">
      <c r="A73" s="247" t="s">
        <v>600</v>
      </c>
      <c r="B73" s="3"/>
      <c r="C73" s="3"/>
      <c r="D73" s="3"/>
      <c r="E73" s="330" t="str">
        <f>E6</f>
        <v>1Q12</v>
      </c>
      <c r="F73" s="330" t="str">
        <f t="shared" ref="F73:N73" si="24">F6</f>
        <v>2Q12</v>
      </c>
      <c r="G73" s="330" t="str">
        <f t="shared" si="24"/>
        <v>3Q12</v>
      </c>
      <c r="H73" s="330" t="str">
        <f t="shared" si="24"/>
        <v>4Q12</v>
      </c>
      <c r="I73" s="330" t="str">
        <f t="shared" si="24"/>
        <v>FY12</v>
      </c>
      <c r="J73" s="330" t="str">
        <f t="shared" si="24"/>
        <v>1Q13</v>
      </c>
      <c r="K73" s="330" t="str">
        <f t="shared" si="24"/>
        <v>2Q13</v>
      </c>
      <c r="L73" s="331" t="str">
        <f t="shared" si="24"/>
        <v>3Q13E</v>
      </c>
      <c r="M73" s="342" t="str">
        <f t="shared" si="24"/>
        <v>4Q13E</v>
      </c>
      <c r="N73" s="351" t="str">
        <f t="shared" si="24"/>
        <v>FY13</v>
      </c>
      <c r="O73" s="330" t="str">
        <f t="shared" ref="O73:X73" si="25">O6</f>
        <v>1Q14</v>
      </c>
      <c r="P73" s="330" t="str">
        <f t="shared" si="25"/>
        <v>2Q14</v>
      </c>
      <c r="Q73" s="330" t="str">
        <f t="shared" si="25"/>
        <v>3Q14</v>
      </c>
      <c r="R73" s="342" t="str">
        <f t="shared" si="25"/>
        <v>4Q14E</v>
      </c>
      <c r="S73" s="351" t="str">
        <f t="shared" si="25"/>
        <v>FY14</v>
      </c>
      <c r="T73" s="330" t="str">
        <f t="shared" si="25"/>
        <v>1Q15</v>
      </c>
      <c r="U73" s="330" t="str">
        <f t="shared" si="25"/>
        <v>2Q15E</v>
      </c>
      <c r="V73" s="388" t="str">
        <f t="shared" si="25"/>
        <v>3Q15E</v>
      </c>
      <c r="W73" s="331" t="str">
        <f t="shared" si="25"/>
        <v>4Q15E</v>
      </c>
      <c r="X73" s="330" t="str">
        <f t="shared" si="25"/>
        <v>FY15E</v>
      </c>
    </row>
    <row r="74" spans="1:24">
      <c r="A74" s="274" t="s">
        <v>187</v>
      </c>
      <c r="J74" s="243"/>
      <c r="K74" s="243"/>
      <c r="O74" s="243"/>
      <c r="P74" s="243"/>
      <c r="Q74" s="243"/>
      <c r="T74" s="243"/>
      <c r="U74" s="243"/>
      <c r="V74" s="370"/>
    </row>
    <row r="75" spans="1:24">
      <c r="A75" s="136"/>
      <c r="B75" s="2" t="s">
        <v>57</v>
      </c>
      <c r="E75" s="287">
        <v>839</v>
      </c>
      <c r="F75" s="287">
        <v>888</v>
      </c>
      <c r="G75" s="287">
        <f>141+384</f>
        <v>525</v>
      </c>
      <c r="H75" s="287">
        <v>930</v>
      </c>
      <c r="I75" s="324">
        <f>H75</f>
        <v>930</v>
      </c>
      <c r="J75" s="287">
        <v>821</v>
      </c>
      <c r="K75" s="287">
        <v>1535</v>
      </c>
      <c r="L75" s="287">
        <v>1227</v>
      </c>
      <c r="M75" s="287">
        <v>1515</v>
      </c>
      <c r="N75" s="324">
        <f>M75</f>
        <v>1515</v>
      </c>
      <c r="O75" s="287">
        <v>1170</v>
      </c>
      <c r="P75" s="287">
        <v>1036</v>
      </c>
      <c r="Q75" s="287">
        <v>684</v>
      </c>
      <c r="R75" s="287">
        <f>S62</f>
        <v>1318</v>
      </c>
      <c r="S75" s="324">
        <f>S62</f>
        <v>1318</v>
      </c>
      <c r="T75" s="287">
        <f>175+869</f>
        <v>1044</v>
      </c>
      <c r="U75" s="287">
        <f>178+795</f>
        <v>973</v>
      </c>
      <c r="V75" s="389">
        <f>V62</f>
        <v>664.25</v>
      </c>
      <c r="W75" s="301">
        <f>W62</f>
        <v>1101.9276913436549</v>
      </c>
      <c r="X75" s="324">
        <f>X62</f>
        <v>1101.9276913436549</v>
      </c>
    </row>
    <row r="76" spans="1:24">
      <c r="A76" s="136"/>
      <c r="B76" s="2" t="s">
        <v>489</v>
      </c>
      <c r="E76" s="282">
        <v>386</v>
      </c>
      <c r="F76" s="282">
        <v>209</v>
      </c>
      <c r="G76" s="282">
        <v>69</v>
      </c>
      <c r="H76" s="282">
        <v>57</v>
      </c>
      <c r="I76" s="308">
        <f t="shared" ref="I76:I87" si="26">H76</f>
        <v>57</v>
      </c>
      <c r="J76" s="282">
        <v>1</v>
      </c>
      <c r="K76" s="282">
        <v>0</v>
      </c>
      <c r="L76" s="289">
        <f t="shared" ref="L76:Q76" si="27">K76</f>
        <v>0</v>
      </c>
      <c r="M76" s="282">
        <v>4</v>
      </c>
      <c r="N76" s="308">
        <f>M76</f>
        <v>4</v>
      </c>
      <c r="O76" s="282">
        <v>0</v>
      </c>
      <c r="P76" s="282">
        <f t="shared" si="27"/>
        <v>0</v>
      </c>
      <c r="Q76" s="282">
        <f t="shared" si="27"/>
        <v>0</v>
      </c>
      <c r="R76" s="282">
        <v>0</v>
      </c>
      <c r="S76" s="308">
        <f>R76</f>
        <v>0</v>
      </c>
      <c r="T76" s="282">
        <v>0</v>
      </c>
      <c r="U76" s="282">
        <f>T76</f>
        <v>0</v>
      </c>
      <c r="V76" s="375">
        <f>U76</f>
        <v>0</v>
      </c>
      <c r="W76" s="289">
        <f>V76</f>
        <v>0</v>
      </c>
      <c r="X76" s="308">
        <f>W76</f>
        <v>0</v>
      </c>
    </row>
    <row r="77" spans="1:24">
      <c r="A77" s="136"/>
      <c r="B77" s="2" t="s">
        <v>58</v>
      </c>
      <c r="E77" s="282">
        <v>3084</v>
      </c>
      <c r="F77" s="282">
        <v>2993</v>
      </c>
      <c r="G77" s="282">
        <v>3362</v>
      </c>
      <c r="H77" s="282">
        <v>2341</v>
      </c>
      <c r="I77" s="308">
        <f t="shared" si="26"/>
        <v>2341</v>
      </c>
      <c r="J77" s="282">
        <v>2798</v>
      </c>
      <c r="K77" s="282">
        <v>3155</v>
      </c>
      <c r="L77" s="282">
        <v>3747</v>
      </c>
      <c r="M77" s="282">
        <v>2935</v>
      </c>
      <c r="N77" s="308">
        <f>M77</f>
        <v>2935</v>
      </c>
      <c r="O77" s="282">
        <v>2835</v>
      </c>
      <c r="P77" s="282">
        <v>2848</v>
      </c>
      <c r="Q77" s="282">
        <v>3358</v>
      </c>
      <c r="R77" s="282">
        <v>2652</v>
      </c>
      <c r="S77" s="308">
        <f>R77</f>
        <v>2652</v>
      </c>
      <c r="T77" s="282">
        <v>2811</v>
      </c>
      <c r="U77" s="282">
        <f>wc!BP11</f>
        <v>3005</v>
      </c>
      <c r="V77" s="375">
        <f>wc!BP12</f>
        <v>3669</v>
      </c>
      <c r="W77" s="291">
        <f>wc!BP13</f>
        <v>2721</v>
      </c>
      <c r="X77" s="308">
        <f>W77</f>
        <v>2721</v>
      </c>
    </row>
    <row r="78" spans="1:24">
      <c r="A78" s="136"/>
      <c r="B78" s="2" t="s">
        <v>213</v>
      </c>
      <c r="E78" s="282">
        <v>156</v>
      </c>
      <c r="F78" s="282">
        <v>407</v>
      </c>
      <c r="G78" s="282">
        <v>409</v>
      </c>
      <c r="H78" s="282">
        <v>106</v>
      </c>
      <c r="I78" s="308">
        <f t="shared" si="26"/>
        <v>106</v>
      </c>
      <c r="J78" s="282">
        <v>113</v>
      </c>
      <c r="K78" s="282">
        <v>115</v>
      </c>
      <c r="L78" s="282">
        <v>119</v>
      </c>
      <c r="M78" s="282">
        <v>193</v>
      </c>
      <c r="N78" s="308">
        <f>M78</f>
        <v>193</v>
      </c>
      <c r="O78" s="282">
        <v>178</v>
      </c>
      <c r="P78" s="282">
        <v>182</v>
      </c>
      <c r="Q78" s="282">
        <v>175</v>
      </c>
      <c r="R78" s="282">
        <v>172</v>
      </c>
      <c r="S78" s="308">
        <f>R78</f>
        <v>172</v>
      </c>
      <c r="T78" s="282">
        <v>176</v>
      </c>
      <c r="U78" s="282">
        <v>184</v>
      </c>
      <c r="V78" s="375">
        <v>208</v>
      </c>
      <c r="W78" s="291">
        <f>V78</f>
        <v>208</v>
      </c>
      <c r="X78" s="308">
        <f>W78</f>
        <v>208</v>
      </c>
    </row>
    <row r="79" spans="1:24">
      <c r="A79" s="136"/>
      <c r="B79" s="2" t="s">
        <v>59</v>
      </c>
      <c r="E79" s="282">
        <v>217</v>
      </c>
      <c r="F79" s="282">
        <v>239</v>
      </c>
      <c r="G79" s="282">
        <v>265</v>
      </c>
      <c r="H79" s="282">
        <v>249</v>
      </c>
      <c r="I79" s="308">
        <f t="shared" si="26"/>
        <v>249</v>
      </c>
      <c r="J79" s="282">
        <v>199</v>
      </c>
      <c r="K79" s="282">
        <v>209</v>
      </c>
      <c r="L79" s="282">
        <v>249</v>
      </c>
      <c r="M79" s="282">
        <v>186</v>
      </c>
      <c r="N79" s="308">
        <f>M79</f>
        <v>186</v>
      </c>
      <c r="O79" s="282">
        <v>212</v>
      </c>
      <c r="P79" s="282">
        <v>207</v>
      </c>
      <c r="Q79" s="282">
        <v>223</v>
      </c>
      <c r="R79" s="282">
        <v>189</v>
      </c>
      <c r="S79" s="308">
        <f>R79</f>
        <v>189</v>
      </c>
      <c r="T79" s="282">
        <v>226</v>
      </c>
      <c r="U79" s="282">
        <v>200</v>
      </c>
      <c r="V79" s="375">
        <v>218</v>
      </c>
      <c r="W79" s="289">
        <f>V79</f>
        <v>218</v>
      </c>
      <c r="X79" s="308">
        <f>W79</f>
        <v>218</v>
      </c>
    </row>
    <row r="80" spans="1:24">
      <c r="A80" s="136"/>
      <c r="C80" s="2" t="s">
        <v>68</v>
      </c>
      <c r="E80" s="243">
        <f t="shared" ref="E80:N80" si="28">SUM(E75:E79)</f>
        <v>4682</v>
      </c>
      <c r="F80" s="243">
        <f t="shared" si="28"/>
        <v>4736</v>
      </c>
      <c r="G80" s="243">
        <f t="shared" si="28"/>
        <v>4630</v>
      </c>
      <c r="H80" s="243">
        <f t="shared" si="28"/>
        <v>3683</v>
      </c>
      <c r="I80" s="248">
        <f t="shared" si="28"/>
        <v>3683</v>
      </c>
      <c r="J80" s="243">
        <f t="shared" si="28"/>
        <v>3932</v>
      </c>
      <c r="K80" s="243">
        <f t="shared" si="28"/>
        <v>5014</v>
      </c>
      <c r="L80" s="243">
        <f t="shared" si="28"/>
        <v>5342</v>
      </c>
      <c r="M80" s="276">
        <f t="shared" si="28"/>
        <v>4833</v>
      </c>
      <c r="N80" s="347">
        <f t="shared" si="28"/>
        <v>4833</v>
      </c>
      <c r="O80" s="243">
        <f t="shared" ref="O80:X80" si="29">SUM(O75:O79)</f>
        <v>4395</v>
      </c>
      <c r="P80" s="243">
        <f t="shared" si="29"/>
        <v>4273</v>
      </c>
      <c r="Q80" s="243">
        <f t="shared" si="29"/>
        <v>4440</v>
      </c>
      <c r="R80" s="276">
        <f t="shared" si="29"/>
        <v>4331</v>
      </c>
      <c r="S80" s="347">
        <f t="shared" si="29"/>
        <v>4331</v>
      </c>
      <c r="T80" s="243">
        <f t="shared" si="29"/>
        <v>4257</v>
      </c>
      <c r="U80" s="243">
        <f t="shared" si="29"/>
        <v>4362</v>
      </c>
      <c r="V80" s="370">
        <f t="shared" si="29"/>
        <v>4759.25</v>
      </c>
      <c r="W80" s="243">
        <f t="shared" si="29"/>
        <v>4248.9276913436552</v>
      </c>
      <c r="X80" s="248">
        <f t="shared" si="29"/>
        <v>4248.9276913436552</v>
      </c>
    </row>
    <row r="81" spans="1:24" ht="6.75" customHeight="1">
      <c r="A81" s="136"/>
      <c r="L81" s="243"/>
    </row>
    <row r="82" spans="1:24">
      <c r="A82" s="136"/>
      <c r="B82" s="2" t="s">
        <v>60</v>
      </c>
      <c r="E82" s="287">
        <v>5126</v>
      </c>
      <c r="F82" s="287">
        <v>5153</v>
      </c>
      <c r="G82" s="287">
        <v>5493</v>
      </c>
      <c r="H82" s="287">
        <v>5353</v>
      </c>
      <c r="I82" s="324">
        <f t="shared" si="26"/>
        <v>5353</v>
      </c>
      <c r="J82" s="287">
        <v>5690</v>
      </c>
      <c r="K82" s="287">
        <v>5820</v>
      </c>
      <c r="L82" s="287">
        <v>5753</v>
      </c>
      <c r="M82" s="287">
        <v>5619</v>
      </c>
      <c r="N82" s="324">
        <f>M82</f>
        <v>5619</v>
      </c>
      <c r="O82" s="287">
        <v>5510</v>
      </c>
      <c r="P82" s="287">
        <v>5415</v>
      </c>
      <c r="Q82" s="287">
        <v>5312</v>
      </c>
      <c r="R82" s="287">
        <v>5148</v>
      </c>
      <c r="S82" s="324">
        <f>R82</f>
        <v>5148</v>
      </c>
      <c r="T82" s="287">
        <v>5049</v>
      </c>
      <c r="U82" s="287">
        <v>4989</v>
      </c>
      <c r="V82" s="389">
        <v>4905</v>
      </c>
      <c r="W82" s="300">
        <f>V82-W28-W29-W11</f>
        <v>4841</v>
      </c>
      <c r="X82" s="324">
        <f>W82</f>
        <v>4841</v>
      </c>
    </row>
    <row r="83" spans="1:24" outlineLevel="1">
      <c r="A83" s="136"/>
      <c r="B83" s="2" t="s">
        <v>370</v>
      </c>
      <c r="F83" s="282">
        <v>0</v>
      </c>
      <c r="G83" s="282">
        <v>0</v>
      </c>
      <c r="H83" s="282"/>
      <c r="I83" s="308">
        <f t="shared" si="26"/>
        <v>0</v>
      </c>
      <c r="J83" s="282">
        <v>7</v>
      </c>
      <c r="K83" s="282"/>
      <c r="L83" s="282">
        <v>36</v>
      </c>
      <c r="M83" s="282">
        <v>663</v>
      </c>
      <c r="N83" s="308">
        <f>M83</f>
        <v>663</v>
      </c>
      <c r="O83" s="282">
        <v>682</v>
      </c>
      <c r="P83" s="282">
        <v>701</v>
      </c>
      <c r="Q83" s="282">
        <v>695</v>
      </c>
      <c r="R83" s="282">
        <v>220</v>
      </c>
      <c r="S83" s="308">
        <f>R83</f>
        <v>220</v>
      </c>
      <c r="T83" s="282">
        <v>243</v>
      </c>
      <c r="U83" s="282">
        <v>266</v>
      </c>
      <c r="V83" s="375">
        <v>289</v>
      </c>
      <c r="W83" s="289">
        <f t="shared" ref="W83:X85" si="30">V83</f>
        <v>289</v>
      </c>
      <c r="X83" s="308">
        <f t="shared" si="30"/>
        <v>289</v>
      </c>
    </row>
    <row r="84" spans="1:24" outlineLevel="1">
      <c r="A84" s="136"/>
      <c r="B84" s="2" t="s">
        <v>23</v>
      </c>
      <c r="F84" s="282">
        <v>0</v>
      </c>
      <c r="G84" s="282">
        <v>0</v>
      </c>
      <c r="H84" s="282"/>
      <c r="I84" s="308">
        <f t="shared" si="26"/>
        <v>0</v>
      </c>
      <c r="J84" s="282"/>
      <c r="K84" s="282"/>
      <c r="L84" s="282"/>
      <c r="M84" s="282"/>
      <c r="N84" s="308">
        <f>M84</f>
        <v>0</v>
      </c>
      <c r="O84" s="282"/>
      <c r="P84" s="282"/>
      <c r="Q84" s="282"/>
      <c r="R84" s="282"/>
      <c r="S84" s="308"/>
      <c r="T84" s="282"/>
      <c r="U84" s="282"/>
      <c r="V84" s="375"/>
      <c r="W84" s="282"/>
      <c r="X84" s="307"/>
    </row>
    <row r="85" spans="1:24">
      <c r="A85" s="136"/>
      <c r="B85" s="2" t="s">
        <v>371</v>
      </c>
      <c r="E85" s="282">
        <v>1231</v>
      </c>
      <c r="F85" s="282">
        <v>923</v>
      </c>
      <c r="G85" s="282">
        <v>767</v>
      </c>
      <c r="H85" s="282">
        <v>745</v>
      </c>
      <c r="I85" s="308">
        <f t="shared" si="26"/>
        <v>745</v>
      </c>
      <c r="J85" s="282">
        <f>743</f>
        <v>743</v>
      </c>
      <c r="K85" s="282">
        <f>798+22</f>
        <v>820</v>
      </c>
      <c r="L85" s="282">
        <v>744</v>
      </c>
      <c r="M85" s="282">
        <v>686</v>
      </c>
      <c r="N85" s="308">
        <f>M85</f>
        <v>686</v>
      </c>
      <c r="O85" s="282">
        <v>705</v>
      </c>
      <c r="P85" s="282">
        <v>723</v>
      </c>
      <c r="Q85" s="282">
        <v>718</v>
      </c>
      <c r="R85" s="282">
        <v>705</v>
      </c>
      <c r="S85" s="308">
        <f>R85</f>
        <v>705</v>
      </c>
      <c r="T85" s="282">
        <v>690</v>
      </c>
      <c r="U85" s="282">
        <v>615</v>
      </c>
      <c r="V85" s="375">
        <v>623</v>
      </c>
      <c r="W85" s="289">
        <f t="shared" si="30"/>
        <v>623</v>
      </c>
      <c r="X85" s="308">
        <f t="shared" si="30"/>
        <v>623</v>
      </c>
    </row>
    <row r="86" spans="1:24" hidden="1" outlineLevel="1">
      <c r="A86" s="136"/>
      <c r="B86" s="2" t="s">
        <v>372</v>
      </c>
      <c r="E86" s="282"/>
      <c r="F86" s="282">
        <v>0</v>
      </c>
      <c r="G86" s="282">
        <v>0</v>
      </c>
      <c r="H86" s="282"/>
      <c r="I86" s="308">
        <f t="shared" si="26"/>
        <v>0</v>
      </c>
      <c r="J86" s="282"/>
      <c r="K86" s="282"/>
      <c r="L86" s="282"/>
      <c r="M86" s="282"/>
      <c r="N86" s="307"/>
      <c r="O86" s="282"/>
      <c r="P86" s="282"/>
      <c r="Q86" s="282"/>
      <c r="R86" s="282"/>
      <c r="S86" s="307"/>
      <c r="T86" s="282"/>
      <c r="U86" s="282"/>
      <c r="V86" s="375"/>
      <c r="W86" s="282"/>
      <c r="X86" s="307"/>
    </row>
    <row r="87" spans="1:24" collapsed="1">
      <c r="A87" s="136" t="s">
        <v>178</v>
      </c>
      <c r="E87" s="332">
        <f>SUM(E80:E86)</f>
        <v>11039</v>
      </c>
      <c r="F87" s="332">
        <f>SUM(F80:F86)</f>
        <v>10812</v>
      </c>
      <c r="G87" s="332">
        <f>SUM(G80:G86)</f>
        <v>10890</v>
      </c>
      <c r="H87" s="332">
        <f>SUM(H80:H86)</f>
        <v>9781</v>
      </c>
      <c r="I87" s="333">
        <f t="shared" si="26"/>
        <v>9781</v>
      </c>
      <c r="J87" s="332">
        <f t="shared" ref="J87:Q87" si="31">SUM(J80:J86)</f>
        <v>10372</v>
      </c>
      <c r="K87" s="332">
        <f t="shared" si="31"/>
        <v>11654</v>
      </c>
      <c r="L87" s="332">
        <f t="shared" si="31"/>
        <v>11875</v>
      </c>
      <c r="M87" s="343">
        <f t="shared" si="31"/>
        <v>11801</v>
      </c>
      <c r="N87" s="352">
        <f t="shared" si="31"/>
        <v>11801</v>
      </c>
      <c r="O87" s="332">
        <f t="shared" si="31"/>
        <v>11292</v>
      </c>
      <c r="P87" s="332">
        <f t="shared" si="31"/>
        <v>11112</v>
      </c>
      <c r="Q87" s="332">
        <f t="shared" si="31"/>
        <v>11165</v>
      </c>
      <c r="R87" s="343">
        <f t="shared" ref="R87:X87" si="32">SUM(R80:R86)</f>
        <v>10404</v>
      </c>
      <c r="S87" s="352">
        <f t="shared" si="32"/>
        <v>10404</v>
      </c>
      <c r="T87" s="332">
        <f t="shared" si="32"/>
        <v>10239</v>
      </c>
      <c r="U87" s="332">
        <f t="shared" si="32"/>
        <v>10232</v>
      </c>
      <c r="V87" s="390">
        <f t="shared" si="32"/>
        <v>10576.25</v>
      </c>
      <c r="W87" s="332">
        <f t="shared" si="32"/>
        <v>10001.927691343655</v>
      </c>
      <c r="X87" s="333">
        <f t="shared" si="32"/>
        <v>10001.927691343655</v>
      </c>
    </row>
    <row r="88" spans="1:24" ht="6.75" customHeight="1">
      <c r="A88" s="136"/>
    </row>
    <row r="89" spans="1:24">
      <c r="A89" s="274" t="s">
        <v>69</v>
      </c>
      <c r="K89" s="271"/>
      <c r="P89" s="271"/>
      <c r="Q89" s="271"/>
    </row>
    <row r="90" spans="1:24">
      <c r="A90" s="136"/>
      <c r="B90" s="2" t="s">
        <v>573</v>
      </c>
      <c r="E90" s="287">
        <v>984</v>
      </c>
      <c r="F90" s="287">
        <v>1015</v>
      </c>
      <c r="G90" s="287">
        <v>1408</v>
      </c>
      <c r="H90" s="287">
        <v>1162</v>
      </c>
      <c r="I90" s="324">
        <f t="shared" ref="I90:I103" si="33">H90</f>
        <v>1162</v>
      </c>
      <c r="J90" s="287">
        <v>1248</v>
      </c>
      <c r="K90" s="287">
        <v>1276</v>
      </c>
      <c r="L90" s="287">
        <v>1409</v>
      </c>
      <c r="M90" s="287">
        <v>948</v>
      </c>
      <c r="N90" s="324">
        <f>M90</f>
        <v>948</v>
      </c>
      <c r="O90" s="287">
        <v>841</v>
      </c>
      <c r="P90" s="287">
        <v>984</v>
      </c>
      <c r="Q90" s="287">
        <v>1289</v>
      </c>
      <c r="R90" s="287">
        <v>997</v>
      </c>
      <c r="S90" s="324">
        <f>R90</f>
        <v>997</v>
      </c>
      <c r="T90" s="287">
        <v>1063</v>
      </c>
      <c r="U90" s="287">
        <v>1122</v>
      </c>
      <c r="V90" s="389">
        <v>1453</v>
      </c>
      <c r="W90" s="300">
        <f>bal!AG26</f>
        <v>925</v>
      </c>
      <c r="X90" s="324">
        <f>W90</f>
        <v>925</v>
      </c>
    </row>
    <row r="91" spans="1:24">
      <c r="A91" s="136"/>
      <c r="B91" s="2" t="s">
        <v>574</v>
      </c>
      <c r="E91" s="282">
        <v>1222</v>
      </c>
      <c r="F91" s="282">
        <v>1219</v>
      </c>
      <c r="G91" s="282">
        <v>1344</v>
      </c>
      <c r="H91" s="282">
        <v>1395</v>
      </c>
      <c r="I91" s="308">
        <f t="shared" si="33"/>
        <v>1395</v>
      </c>
      <c r="J91" s="282">
        <v>1524</v>
      </c>
      <c r="K91" s="282">
        <v>1346</v>
      </c>
      <c r="L91" s="282">
        <v>1269</v>
      </c>
      <c r="M91" s="282">
        <v>1198</v>
      </c>
      <c r="N91" s="308">
        <f>M91</f>
        <v>1198</v>
      </c>
      <c r="O91" s="282">
        <v>1167</v>
      </c>
      <c r="P91" s="282">
        <v>1176</v>
      </c>
      <c r="Q91" s="282">
        <v>1163</v>
      </c>
      <c r="R91" s="282">
        <v>1188</v>
      </c>
      <c r="S91" s="308">
        <f>R91</f>
        <v>1188</v>
      </c>
      <c r="T91" s="282">
        <v>1028</v>
      </c>
      <c r="U91" s="282">
        <v>1170</v>
      </c>
      <c r="V91" s="375">
        <v>1246</v>
      </c>
      <c r="W91" s="291">
        <f>W122*W121/365</f>
        <v>982.70448214737905</v>
      </c>
      <c r="X91" s="308">
        <f>W91</f>
        <v>982.70448214737905</v>
      </c>
    </row>
    <row r="92" spans="1:24">
      <c r="A92" s="136"/>
      <c r="B92" s="2" t="s">
        <v>168</v>
      </c>
      <c r="E92" s="282">
        <v>231</v>
      </c>
      <c r="F92" s="282">
        <v>250</v>
      </c>
      <c r="G92" s="282">
        <v>22</v>
      </c>
      <c r="H92" s="282">
        <v>26</v>
      </c>
      <c r="I92" s="308">
        <f t="shared" si="33"/>
        <v>26</v>
      </c>
      <c r="J92" s="282">
        <f>26+850</f>
        <v>876</v>
      </c>
      <c r="K92" s="282">
        <f>850</f>
        <v>850</v>
      </c>
      <c r="L92" s="282">
        <v>650</v>
      </c>
      <c r="M92" s="282">
        <f>650+27</f>
        <v>677</v>
      </c>
      <c r="N92" s="308">
        <f>M92</f>
        <v>677</v>
      </c>
      <c r="O92" s="282">
        <f>650+30</f>
        <v>680</v>
      </c>
      <c r="P92" s="282">
        <v>0</v>
      </c>
      <c r="Q92" s="282">
        <v>0</v>
      </c>
      <c r="R92" s="282">
        <v>28</v>
      </c>
      <c r="S92" s="308">
        <f>R92</f>
        <v>28</v>
      </c>
      <c r="T92" s="282">
        <v>40</v>
      </c>
      <c r="U92" s="282">
        <v>27</v>
      </c>
      <c r="V92" s="375">
        <v>26</v>
      </c>
      <c r="W92" s="291">
        <f>V92+W49</f>
        <v>26</v>
      </c>
      <c r="X92" s="308">
        <f>W92</f>
        <v>26</v>
      </c>
    </row>
    <row r="93" spans="1:24" outlineLevel="1">
      <c r="A93" s="136"/>
      <c r="B93" s="2" t="s">
        <v>373</v>
      </c>
      <c r="E93" s="282"/>
      <c r="F93" s="282">
        <v>0</v>
      </c>
      <c r="G93" s="282">
        <v>0</v>
      </c>
      <c r="H93" s="282"/>
      <c r="I93" s="308">
        <f t="shared" si="33"/>
        <v>0</v>
      </c>
      <c r="J93" s="282"/>
      <c r="K93" s="282">
        <f>27+23+4</f>
        <v>54</v>
      </c>
      <c r="L93" s="282">
        <f>27+23</f>
        <v>50</v>
      </c>
      <c r="M93" s="282">
        <v>23</v>
      </c>
      <c r="N93" s="308">
        <f>M93</f>
        <v>23</v>
      </c>
      <c r="O93" s="282">
        <v>23</v>
      </c>
      <c r="P93" s="282">
        <f>30+28</f>
        <v>58</v>
      </c>
      <c r="Q93" s="282">
        <f>30+28</f>
        <v>58</v>
      </c>
      <c r="R93" s="282">
        <v>28</v>
      </c>
      <c r="S93" s="308">
        <f>R93</f>
        <v>28</v>
      </c>
      <c r="T93" s="282">
        <v>28</v>
      </c>
      <c r="U93" s="282">
        <v>28</v>
      </c>
      <c r="V93" s="375">
        <v>106</v>
      </c>
      <c r="W93" s="291">
        <f>V93+W50</f>
        <v>106</v>
      </c>
      <c r="X93" s="308">
        <f>W93</f>
        <v>106</v>
      </c>
    </row>
    <row r="94" spans="1:24" outlineLevel="1">
      <c r="A94" s="136"/>
      <c r="B94" s="2" t="s">
        <v>374</v>
      </c>
      <c r="E94" s="282"/>
      <c r="F94" s="282">
        <v>0</v>
      </c>
      <c r="G94" s="282">
        <v>0</v>
      </c>
      <c r="H94" s="282"/>
      <c r="I94" s="308">
        <f t="shared" si="33"/>
        <v>0</v>
      </c>
      <c r="J94" s="282"/>
      <c r="K94" s="282"/>
      <c r="L94" s="282"/>
      <c r="M94" s="282"/>
      <c r="N94" s="307"/>
      <c r="O94" s="282"/>
      <c r="P94" s="282"/>
      <c r="Q94" s="282"/>
      <c r="R94" s="282"/>
      <c r="S94" s="307"/>
      <c r="T94" s="282"/>
      <c r="U94" s="282"/>
      <c r="V94" s="375"/>
      <c r="W94" s="282"/>
      <c r="X94" s="307"/>
    </row>
    <row r="95" spans="1:24">
      <c r="A95" s="136"/>
      <c r="C95" s="2" t="s">
        <v>63</v>
      </c>
      <c r="E95" s="332">
        <f>SUM(E90:E94)</f>
        <v>2437</v>
      </c>
      <c r="F95" s="332">
        <f>SUM(F90:F94)</f>
        <v>2484</v>
      </c>
      <c r="G95" s="332">
        <f>SUM(G90:G94)</f>
        <v>2774</v>
      </c>
      <c r="H95" s="332">
        <f>SUM(H90:H94)</f>
        <v>2583</v>
      </c>
      <c r="I95" s="333">
        <f t="shared" si="33"/>
        <v>2583</v>
      </c>
      <c r="J95" s="332">
        <f t="shared" ref="J95:S95" si="34">SUM(J90:J94)</f>
        <v>3648</v>
      </c>
      <c r="K95" s="332">
        <f t="shared" si="34"/>
        <v>3526</v>
      </c>
      <c r="L95" s="332">
        <f t="shared" si="34"/>
        <v>3378</v>
      </c>
      <c r="M95" s="343">
        <f t="shared" si="34"/>
        <v>2846</v>
      </c>
      <c r="N95" s="352">
        <f t="shared" si="34"/>
        <v>2846</v>
      </c>
      <c r="O95" s="332">
        <f t="shared" si="34"/>
        <v>2711</v>
      </c>
      <c r="P95" s="332">
        <f t="shared" si="34"/>
        <v>2218</v>
      </c>
      <c r="Q95" s="332">
        <f t="shared" si="34"/>
        <v>2510</v>
      </c>
      <c r="R95" s="343">
        <f>SUM(R90:R94)</f>
        <v>2241</v>
      </c>
      <c r="S95" s="352">
        <f t="shared" si="34"/>
        <v>2241</v>
      </c>
      <c r="T95" s="332">
        <f>SUM(T90:T94)</f>
        <v>2159</v>
      </c>
      <c r="U95" s="332">
        <f>SUM(U90:U94)</f>
        <v>2347</v>
      </c>
      <c r="V95" s="390">
        <f>SUM(V90:V94)</f>
        <v>2831</v>
      </c>
      <c r="W95" s="332">
        <f>SUM(W90:W94)</f>
        <v>2039.7044821473792</v>
      </c>
      <c r="X95" s="333">
        <f>SUM(X90:X94)</f>
        <v>2039.7044821473792</v>
      </c>
    </row>
    <row r="96" spans="1:24" ht="6.75" customHeight="1">
      <c r="A96" s="136"/>
    </row>
    <row r="97" spans="1:24">
      <c r="A97" s="136"/>
      <c r="B97" s="2" t="s">
        <v>169</v>
      </c>
      <c r="E97" s="287">
        <v>2871</v>
      </c>
      <c r="F97" s="287">
        <v>2901</v>
      </c>
      <c r="G97" s="287">
        <f>2868+75</f>
        <v>2943</v>
      </c>
      <c r="H97" s="287">
        <f>2868+88</f>
        <v>2956</v>
      </c>
      <c r="I97" s="324">
        <f t="shared" si="33"/>
        <v>2956</v>
      </c>
      <c r="J97" s="287">
        <f>2868+82</f>
        <v>2950</v>
      </c>
      <c r="K97" s="287">
        <f>4850+71</f>
        <v>4921</v>
      </c>
      <c r="L97" s="287">
        <f>67+4845</f>
        <v>4912</v>
      </c>
      <c r="M97" s="287">
        <f>4839+62</f>
        <v>4901</v>
      </c>
      <c r="N97" s="324">
        <f>M97</f>
        <v>4901</v>
      </c>
      <c r="O97" s="287">
        <f>4834+57</f>
        <v>4891</v>
      </c>
      <c r="P97" s="287">
        <f>5323+44</f>
        <v>5367</v>
      </c>
      <c r="Q97" s="287">
        <f>40+5329</f>
        <v>5369</v>
      </c>
      <c r="R97" s="287">
        <f>5322+38</f>
        <v>5360</v>
      </c>
      <c r="S97" s="324">
        <f>R97</f>
        <v>5360</v>
      </c>
      <c r="T97" s="287">
        <f>5315+22</f>
        <v>5337</v>
      </c>
      <c r="U97" s="287">
        <f>5225+18</f>
        <v>5243</v>
      </c>
      <c r="V97" s="389">
        <f>5147+14</f>
        <v>5161</v>
      </c>
      <c r="W97" s="300">
        <f>V97+W50+W51</f>
        <v>5161</v>
      </c>
      <c r="X97" s="324">
        <f>W97</f>
        <v>5161</v>
      </c>
    </row>
    <row r="98" spans="1:24">
      <c r="A98" s="136"/>
      <c r="B98" s="2" t="s">
        <v>213</v>
      </c>
      <c r="E98" s="282">
        <v>924</v>
      </c>
      <c r="F98" s="282">
        <v>904</v>
      </c>
      <c r="G98" s="282">
        <v>786</v>
      </c>
      <c r="H98" s="282">
        <v>388</v>
      </c>
      <c r="I98" s="308">
        <f t="shared" si="33"/>
        <v>388</v>
      </c>
      <c r="J98" s="282">
        <v>250</v>
      </c>
      <c r="K98" s="282">
        <v>242</v>
      </c>
      <c r="L98" s="282">
        <v>250</v>
      </c>
      <c r="M98" s="282">
        <v>335</v>
      </c>
      <c r="N98" s="308">
        <f>M98</f>
        <v>335</v>
      </c>
      <c r="O98" s="282">
        <v>365</v>
      </c>
      <c r="P98" s="282">
        <f>364</f>
        <v>364</v>
      </c>
      <c r="Q98" s="282">
        <f>357</f>
        <v>357</v>
      </c>
      <c r="R98" s="282">
        <v>363</v>
      </c>
      <c r="S98" s="308">
        <f>R98</f>
        <v>363</v>
      </c>
      <c r="T98" s="282">
        <v>369</v>
      </c>
      <c r="U98" s="282">
        <v>378</v>
      </c>
      <c r="V98" s="375">
        <v>395</v>
      </c>
      <c r="W98" s="291">
        <f>IF(V98+W17+W40&lt;0,0,V98+W17+W40)</f>
        <v>396</v>
      </c>
      <c r="X98" s="308">
        <f>W98</f>
        <v>396</v>
      </c>
    </row>
    <row r="99" spans="1:24">
      <c r="A99" s="136"/>
      <c r="B99" s="2" t="s">
        <v>64</v>
      </c>
      <c r="E99" s="282">
        <v>871</v>
      </c>
      <c r="F99" s="282">
        <v>852</v>
      </c>
      <c r="G99" s="282">
        <v>885</v>
      </c>
      <c r="H99" s="282">
        <v>683</v>
      </c>
      <c r="I99" s="308">
        <f t="shared" si="33"/>
        <v>683</v>
      </c>
      <c r="J99" s="282">
        <v>658</v>
      </c>
      <c r="K99" s="282">
        <v>645</v>
      </c>
      <c r="L99" s="282">
        <v>688</v>
      </c>
      <c r="M99" s="282">
        <v>632</v>
      </c>
      <c r="N99" s="308">
        <f>M99</f>
        <v>632</v>
      </c>
      <c r="O99" s="282">
        <v>572</v>
      </c>
      <c r="P99" s="282">
        <f>563</f>
        <v>563</v>
      </c>
      <c r="Q99" s="282">
        <f>499</f>
        <v>499</v>
      </c>
      <c r="R99" s="282">
        <v>526</v>
      </c>
      <c r="S99" s="308">
        <f>R99</f>
        <v>526</v>
      </c>
      <c r="T99" s="282">
        <v>599</v>
      </c>
      <c r="U99" s="282">
        <v>604</v>
      </c>
      <c r="V99" s="375">
        <v>616</v>
      </c>
      <c r="W99" s="291">
        <f>V99+W14</f>
        <v>825</v>
      </c>
      <c r="X99" s="308">
        <f>W99</f>
        <v>825</v>
      </c>
    </row>
    <row r="100" spans="1:24" outlineLevel="1">
      <c r="A100" s="136"/>
      <c r="B100" s="2" t="s">
        <v>375</v>
      </c>
      <c r="E100" s="282"/>
      <c r="F100" s="282"/>
      <c r="G100" s="282">
        <v>0</v>
      </c>
      <c r="H100" s="282"/>
      <c r="I100" s="308">
        <f t="shared" si="33"/>
        <v>0</v>
      </c>
      <c r="J100" s="282"/>
      <c r="K100" s="282"/>
      <c r="L100" s="282"/>
      <c r="M100" s="282"/>
      <c r="N100" s="307"/>
      <c r="O100" s="282"/>
      <c r="P100" s="282"/>
      <c r="Q100" s="282"/>
      <c r="R100" s="282"/>
      <c r="S100" s="307"/>
      <c r="T100" s="282"/>
      <c r="U100" s="282"/>
      <c r="V100" s="375"/>
      <c r="W100" s="282"/>
      <c r="X100" s="307"/>
    </row>
    <row r="101" spans="1:24">
      <c r="A101" s="136"/>
      <c r="C101" s="2" t="s">
        <v>65</v>
      </c>
      <c r="E101" s="332">
        <f>SUM(E97:E100)</f>
        <v>4666</v>
      </c>
      <c r="F101" s="332">
        <f>SUM(F97:F100)</f>
        <v>4657</v>
      </c>
      <c r="G101" s="332">
        <f>SUM(G97:G100)</f>
        <v>4614</v>
      </c>
      <c r="H101" s="332">
        <f>SUM(H97:H100)</f>
        <v>4027</v>
      </c>
      <c r="I101" s="333">
        <f t="shared" si="33"/>
        <v>4027</v>
      </c>
      <c r="J101" s="332">
        <f t="shared" ref="J101:S101" si="35">SUM(J97:J100)</f>
        <v>3858</v>
      </c>
      <c r="K101" s="332">
        <f t="shared" si="35"/>
        <v>5808</v>
      </c>
      <c r="L101" s="332">
        <f t="shared" si="35"/>
        <v>5850</v>
      </c>
      <c r="M101" s="343">
        <f t="shared" si="35"/>
        <v>5868</v>
      </c>
      <c r="N101" s="352">
        <f t="shared" si="35"/>
        <v>5868</v>
      </c>
      <c r="O101" s="332">
        <f t="shared" si="35"/>
        <v>5828</v>
      </c>
      <c r="P101" s="332">
        <f t="shared" si="35"/>
        <v>6294</v>
      </c>
      <c r="Q101" s="332">
        <f t="shared" si="35"/>
        <v>6225</v>
      </c>
      <c r="R101" s="343">
        <f>SUM(R97:R100)</f>
        <v>6249</v>
      </c>
      <c r="S101" s="352">
        <f t="shared" si="35"/>
        <v>6249</v>
      </c>
      <c r="T101" s="332">
        <f>SUM(T97:T100)</f>
        <v>6305</v>
      </c>
      <c r="U101" s="332">
        <f>SUM(U97:U100)</f>
        <v>6225</v>
      </c>
      <c r="V101" s="390">
        <f>SUM(V97:V100)</f>
        <v>6172</v>
      </c>
      <c r="W101" s="332">
        <f>SUM(W97:W100)</f>
        <v>6382</v>
      </c>
      <c r="X101" s="333">
        <f>SUM(X97:X100)</f>
        <v>6382</v>
      </c>
    </row>
    <row r="102" spans="1:24" ht="6.75" customHeight="1">
      <c r="A102" s="136"/>
    </row>
    <row r="103" spans="1:24">
      <c r="A103" s="136" t="s">
        <v>70</v>
      </c>
      <c r="E103" s="332">
        <f>E101+E95</f>
        <v>7103</v>
      </c>
      <c r="F103" s="332">
        <f>F101+F95</f>
        <v>7141</v>
      </c>
      <c r="G103" s="332">
        <f>G101+G95</f>
        <v>7388</v>
      </c>
      <c r="H103" s="332">
        <f>H101+H95</f>
        <v>6610</v>
      </c>
      <c r="I103" s="333">
        <f t="shared" si="33"/>
        <v>6610</v>
      </c>
      <c r="J103" s="332">
        <f t="shared" ref="J103:S103" si="36">J101+J95</f>
        <v>7506</v>
      </c>
      <c r="K103" s="332">
        <f t="shared" si="36"/>
        <v>9334</v>
      </c>
      <c r="L103" s="332">
        <f t="shared" si="36"/>
        <v>9228</v>
      </c>
      <c r="M103" s="343">
        <f t="shared" si="36"/>
        <v>8714</v>
      </c>
      <c r="N103" s="352">
        <f t="shared" si="36"/>
        <v>8714</v>
      </c>
      <c r="O103" s="332">
        <f t="shared" si="36"/>
        <v>8539</v>
      </c>
      <c r="P103" s="332">
        <f t="shared" si="36"/>
        <v>8512</v>
      </c>
      <c r="Q103" s="332">
        <f t="shared" si="36"/>
        <v>8735</v>
      </c>
      <c r="R103" s="343">
        <f>R101+R95</f>
        <v>8490</v>
      </c>
      <c r="S103" s="352">
        <f t="shared" si="36"/>
        <v>8490</v>
      </c>
      <c r="T103" s="332">
        <f>T101+T95</f>
        <v>8464</v>
      </c>
      <c r="U103" s="332">
        <f>U101+U95</f>
        <v>8572</v>
      </c>
      <c r="V103" s="390">
        <f>V101+V95</f>
        <v>9003</v>
      </c>
      <c r="W103" s="332">
        <f>W101+W95</f>
        <v>8421.7044821473792</v>
      </c>
      <c r="X103" s="333">
        <f>X101+X95</f>
        <v>8421.7044821473792</v>
      </c>
    </row>
    <row r="104" spans="1:24" ht="6.75" customHeight="1">
      <c r="A104" s="136"/>
    </row>
    <row r="105" spans="1:24">
      <c r="A105" s="274" t="s">
        <v>172</v>
      </c>
    </row>
    <row r="106" spans="1:24" hidden="1" outlineLevel="1">
      <c r="A106" s="136"/>
      <c r="B106" s="2" t="s">
        <v>208</v>
      </c>
      <c r="E106" s="287"/>
      <c r="F106" s="287">
        <v>0</v>
      </c>
      <c r="G106" s="287">
        <v>0</v>
      </c>
      <c r="H106" s="287"/>
      <c r="I106" s="334"/>
      <c r="J106" s="287"/>
      <c r="K106" s="287"/>
      <c r="L106" s="287"/>
      <c r="M106" s="287"/>
      <c r="N106" s="334"/>
      <c r="O106" s="287"/>
      <c r="P106" s="287"/>
      <c r="Q106" s="287"/>
      <c r="R106" s="287"/>
      <c r="S106" s="334"/>
      <c r="T106" s="287"/>
      <c r="U106" s="287"/>
      <c r="V106" s="389"/>
      <c r="W106" s="287"/>
      <c r="X106" s="334"/>
    </row>
    <row r="107" spans="1:24" hidden="1" outlineLevel="1">
      <c r="A107" s="136"/>
      <c r="B107" s="2" t="s">
        <v>376</v>
      </c>
      <c r="E107" s="282"/>
      <c r="F107" s="282">
        <v>0</v>
      </c>
      <c r="G107" s="282">
        <v>0</v>
      </c>
      <c r="H107" s="282"/>
      <c r="I107" s="307"/>
      <c r="J107" s="282"/>
      <c r="K107" s="282"/>
      <c r="L107" s="282"/>
      <c r="M107" s="282"/>
      <c r="N107" s="307"/>
      <c r="O107" s="282"/>
      <c r="P107" s="282"/>
      <c r="Q107" s="282"/>
      <c r="R107" s="282"/>
      <c r="S107" s="307"/>
      <c r="T107" s="282"/>
      <c r="U107" s="282"/>
      <c r="V107" s="375"/>
      <c r="W107" s="282"/>
      <c r="X107" s="307"/>
    </row>
    <row r="108" spans="1:24" hidden="1" outlineLevel="1" collapsed="1">
      <c r="A108" s="136"/>
      <c r="B108" s="2" t="s">
        <v>377</v>
      </c>
      <c r="E108" s="282">
        <f>109+3767</f>
        <v>3876</v>
      </c>
      <c r="F108" s="282">
        <f>109+3782</f>
        <v>3891</v>
      </c>
      <c r="G108" s="282">
        <f>3789+110</f>
        <v>3899</v>
      </c>
      <c r="H108" s="282">
        <f>110+3799</f>
        <v>3909</v>
      </c>
      <c r="I108" s="308">
        <f>H108</f>
        <v>3909</v>
      </c>
      <c r="J108" s="283">
        <f>I108+J53</f>
        <v>3914</v>
      </c>
      <c r="K108" s="283">
        <f>J108+K53</f>
        <v>3916</v>
      </c>
      <c r="L108" s="283">
        <f>K108+L53</f>
        <v>4702</v>
      </c>
      <c r="M108" s="283">
        <f>L108+M53</f>
        <v>4702</v>
      </c>
      <c r="N108" s="308">
        <f>M108</f>
        <v>4702</v>
      </c>
      <c r="O108" s="283">
        <f>N108+O53</f>
        <v>4702</v>
      </c>
      <c r="P108" s="283">
        <f>O108+P53</f>
        <v>4702</v>
      </c>
      <c r="Q108" s="283">
        <f>P108+Q53</f>
        <v>4702</v>
      </c>
      <c r="R108" s="283">
        <f>Q108+R53</f>
        <v>4702</v>
      </c>
      <c r="S108" s="308">
        <f>R108</f>
        <v>4702</v>
      </c>
      <c r="T108" s="283">
        <f>S108+T53</f>
        <v>4702</v>
      </c>
      <c r="U108" s="283">
        <f>T108+U53</f>
        <v>4702</v>
      </c>
      <c r="V108" s="391">
        <f>U108+V53</f>
        <v>4702</v>
      </c>
      <c r="W108" s="291">
        <f>V108+W53</f>
        <v>4702</v>
      </c>
      <c r="X108" s="308">
        <f>W108</f>
        <v>4702</v>
      </c>
    </row>
    <row r="109" spans="1:24" hidden="1" outlineLevel="1">
      <c r="A109" s="136"/>
      <c r="B109" s="2" t="s">
        <v>378</v>
      </c>
      <c r="E109" s="282">
        <v>1204</v>
      </c>
      <c r="F109" s="282">
        <v>1057</v>
      </c>
      <c r="G109" s="282">
        <v>932</v>
      </c>
      <c r="H109" s="282">
        <v>380</v>
      </c>
      <c r="I109" s="308">
        <f>H109</f>
        <v>380</v>
      </c>
      <c r="J109" s="283">
        <f>I109+J8+J11</f>
        <v>168</v>
      </c>
      <c r="K109" s="283">
        <f>J109+K8+K56</f>
        <v>-550</v>
      </c>
      <c r="L109" s="283">
        <f>K109+L8+L56</f>
        <v>-1063</v>
      </c>
      <c r="M109" s="283">
        <f>L109+M8+M56</f>
        <v>-901</v>
      </c>
      <c r="N109" s="308">
        <f>M109</f>
        <v>-901</v>
      </c>
      <c r="O109" s="283">
        <f>N109+O8+O11</f>
        <v>-1095</v>
      </c>
      <c r="P109" s="283">
        <f>O109+P8+P10</f>
        <v>-1264</v>
      </c>
      <c r="Q109" s="283">
        <f>P109+Q8+Q10</f>
        <v>-1445</v>
      </c>
      <c r="R109" s="283">
        <f>Q109+R8+R56</f>
        <v>-1458</v>
      </c>
      <c r="S109" s="308">
        <f>R109</f>
        <v>-1458</v>
      </c>
      <c r="T109" s="283">
        <f>S109+T8+T11</f>
        <v>-1444.75</v>
      </c>
      <c r="U109" s="283">
        <f>T109+U8+U10</f>
        <v>-1580.75</v>
      </c>
      <c r="V109" s="391">
        <f>U109+V8+V10</f>
        <v>-1714.75</v>
      </c>
      <c r="W109" s="291">
        <f>V109+W8+W10</f>
        <v>-1707.776790803724</v>
      </c>
      <c r="X109" s="308">
        <f>W109</f>
        <v>-1707.776790803724</v>
      </c>
    </row>
    <row r="110" spans="1:24" hidden="1" outlineLevel="1">
      <c r="A110" s="136"/>
      <c r="B110" s="2" t="s">
        <v>379</v>
      </c>
      <c r="E110" s="282">
        <v>-1144</v>
      </c>
      <c r="F110" s="282">
        <v>-1277</v>
      </c>
      <c r="G110" s="282">
        <f>-1329</f>
        <v>-1329</v>
      </c>
      <c r="H110" s="282">
        <v>-1118</v>
      </c>
      <c r="I110" s="308">
        <f>H110</f>
        <v>-1118</v>
      </c>
      <c r="J110" s="283">
        <f t="shared" ref="J110:Q110" si="37">J111-J109-J108</f>
        <v>-1216</v>
      </c>
      <c r="K110" s="283">
        <f t="shared" si="37"/>
        <v>-1046</v>
      </c>
      <c r="L110" s="283">
        <f t="shared" si="37"/>
        <v>-992</v>
      </c>
      <c r="M110" s="283">
        <f>M111-M109-M108</f>
        <v>-714</v>
      </c>
      <c r="N110" s="283">
        <f t="shared" si="37"/>
        <v>-714</v>
      </c>
      <c r="O110" s="283">
        <f t="shared" si="37"/>
        <v>-854</v>
      </c>
      <c r="P110" s="283">
        <f t="shared" si="37"/>
        <v>-838</v>
      </c>
      <c r="Q110" s="283">
        <f t="shared" si="37"/>
        <v>-827</v>
      </c>
      <c r="R110" s="283">
        <f>R111-R109-R108</f>
        <v>-1330</v>
      </c>
      <c r="S110" s="283">
        <f>R110</f>
        <v>-1330</v>
      </c>
      <c r="T110" s="283">
        <f>T111-T109-T108</f>
        <v>-1482.25</v>
      </c>
      <c r="U110" s="283">
        <f>T110</f>
        <v>-1482.25</v>
      </c>
      <c r="V110" s="391">
        <f>U110</f>
        <v>-1482.25</v>
      </c>
      <c r="W110" s="289">
        <f>V110</f>
        <v>-1482.25</v>
      </c>
      <c r="X110" s="308">
        <f>W110</f>
        <v>-1482.25</v>
      </c>
    </row>
    <row r="111" spans="1:24" collapsed="1">
      <c r="A111" s="136"/>
      <c r="C111" s="2" t="s">
        <v>66</v>
      </c>
      <c r="E111" s="332">
        <f>SUM(E106:E110)</f>
        <v>3936</v>
      </c>
      <c r="F111" s="332">
        <f>SUM(F106:F110)</f>
        <v>3671</v>
      </c>
      <c r="G111" s="332">
        <f>SUM(G106:G110)</f>
        <v>3502</v>
      </c>
      <c r="H111" s="332">
        <f>SUM(H106:H110)</f>
        <v>3171</v>
      </c>
      <c r="I111" s="333">
        <f>H111</f>
        <v>3171</v>
      </c>
      <c r="J111" s="335">
        <v>2866</v>
      </c>
      <c r="K111" s="335">
        <v>2320</v>
      </c>
      <c r="L111" s="335">
        <v>2647</v>
      </c>
      <c r="M111" s="344">
        <v>3087</v>
      </c>
      <c r="N111" s="352">
        <f>M111</f>
        <v>3087</v>
      </c>
      <c r="O111" s="335">
        <v>2753</v>
      </c>
      <c r="P111" s="335">
        <v>2600</v>
      </c>
      <c r="Q111" s="335">
        <v>2430</v>
      </c>
      <c r="R111" s="344">
        <v>1914</v>
      </c>
      <c r="S111" s="352">
        <f>SUM(S108:S110)</f>
        <v>1914</v>
      </c>
      <c r="T111" s="335">
        <v>1775</v>
      </c>
      <c r="U111" s="335">
        <v>1660</v>
      </c>
      <c r="V111" s="392">
        <v>1547</v>
      </c>
      <c r="W111" s="332">
        <f>SUM(W108:W110)</f>
        <v>1511.973209196276</v>
      </c>
      <c r="X111" s="333">
        <f>SUM(X108:X110)</f>
        <v>1511.973209196276</v>
      </c>
    </row>
    <row r="112" spans="1:24" ht="6.75" customHeight="1">
      <c r="A112" s="136"/>
    </row>
    <row r="113" spans="1:27">
      <c r="A113" s="2" t="s">
        <v>189</v>
      </c>
      <c r="E113" s="332">
        <f>E111+E103</f>
        <v>11039</v>
      </c>
      <c r="F113" s="332">
        <f>F111+F103</f>
        <v>10812</v>
      </c>
      <c r="G113" s="332">
        <f>G111+G103</f>
        <v>10890</v>
      </c>
      <c r="H113" s="332">
        <f>H111+H103</f>
        <v>9781</v>
      </c>
      <c r="I113" s="333">
        <f t="shared" ref="I113:N113" si="38">I111+I103</f>
        <v>9781</v>
      </c>
      <c r="J113" s="332">
        <f t="shared" si="38"/>
        <v>10372</v>
      </c>
      <c r="K113" s="332">
        <f t="shared" si="38"/>
        <v>11654</v>
      </c>
      <c r="L113" s="332">
        <f t="shared" si="38"/>
        <v>11875</v>
      </c>
      <c r="M113" s="343">
        <f t="shared" si="38"/>
        <v>11801</v>
      </c>
      <c r="N113" s="352">
        <f t="shared" si="38"/>
        <v>11801</v>
      </c>
      <c r="O113" s="332">
        <f t="shared" ref="O113:X113" si="39">O111+O103</f>
        <v>11292</v>
      </c>
      <c r="P113" s="332">
        <f t="shared" si="39"/>
        <v>11112</v>
      </c>
      <c r="Q113" s="332">
        <f t="shared" si="39"/>
        <v>11165</v>
      </c>
      <c r="R113" s="343">
        <f t="shared" si="39"/>
        <v>10404</v>
      </c>
      <c r="S113" s="352">
        <f t="shared" si="39"/>
        <v>10404</v>
      </c>
      <c r="T113" s="332">
        <f t="shared" si="39"/>
        <v>10239</v>
      </c>
      <c r="U113" s="332">
        <f t="shared" si="39"/>
        <v>10232</v>
      </c>
      <c r="V113" s="390">
        <f t="shared" si="39"/>
        <v>10550</v>
      </c>
      <c r="W113" s="332">
        <f t="shared" si="39"/>
        <v>9933.6776913436552</v>
      </c>
      <c r="X113" s="333">
        <f t="shared" si="39"/>
        <v>9933.6776913436552</v>
      </c>
    </row>
    <row r="114" spans="1:27" s="275" customFormat="1">
      <c r="E114" s="336">
        <f t="shared" ref="E114:N114" si="40">E113-E87</f>
        <v>0</v>
      </c>
      <c r="F114" s="336">
        <f t="shared" si="40"/>
        <v>0</v>
      </c>
      <c r="G114" s="336">
        <f t="shared" si="40"/>
        <v>0</v>
      </c>
      <c r="H114" s="336">
        <f t="shared" si="40"/>
        <v>0</v>
      </c>
      <c r="I114" s="337">
        <f t="shared" si="40"/>
        <v>0</v>
      </c>
      <c r="J114" s="336">
        <f t="shared" si="40"/>
        <v>0</v>
      </c>
      <c r="K114" s="336">
        <f>K113-K87</f>
        <v>0</v>
      </c>
      <c r="L114" s="336">
        <f t="shared" si="40"/>
        <v>0</v>
      </c>
      <c r="M114" s="345">
        <f t="shared" si="40"/>
        <v>0</v>
      </c>
      <c r="N114" s="353">
        <f t="shared" si="40"/>
        <v>0</v>
      </c>
      <c r="O114" s="336">
        <f t="shared" ref="O114:X114" si="41">O113-O87</f>
        <v>0</v>
      </c>
      <c r="P114" s="336">
        <f t="shared" si="41"/>
        <v>0</v>
      </c>
      <c r="Q114" s="336">
        <f t="shared" si="41"/>
        <v>0</v>
      </c>
      <c r="R114" s="345">
        <f t="shared" si="41"/>
        <v>0</v>
      </c>
      <c r="S114" s="353">
        <f t="shared" si="41"/>
        <v>0</v>
      </c>
      <c r="T114" s="336">
        <f t="shared" si="41"/>
        <v>0</v>
      </c>
      <c r="U114" s="336">
        <f t="shared" si="41"/>
        <v>0</v>
      </c>
      <c r="V114" s="393">
        <f t="shared" si="41"/>
        <v>-26.25</v>
      </c>
      <c r="W114" s="336">
        <f t="shared" si="41"/>
        <v>-68.25</v>
      </c>
      <c r="X114" s="337">
        <f t="shared" si="41"/>
        <v>-68.25</v>
      </c>
      <c r="AA114" s="275">
        <f>5174+106+26</f>
        <v>5306</v>
      </c>
    </row>
    <row r="115" spans="1:27">
      <c r="E115" s="243"/>
      <c r="F115" s="243"/>
      <c r="G115" s="243"/>
      <c r="H115" s="243"/>
      <c r="I115" s="248"/>
      <c r="J115" s="243"/>
      <c r="K115" s="243"/>
      <c r="L115" s="243"/>
      <c r="M115" s="276"/>
      <c r="N115" s="347"/>
      <c r="O115" s="243"/>
      <c r="P115" s="243"/>
      <c r="Q115" s="243"/>
      <c r="R115" s="276"/>
      <c r="S115" s="347"/>
      <c r="T115" s="243"/>
      <c r="U115" s="243"/>
      <c r="V115" s="370"/>
      <c r="W115" s="243"/>
      <c r="X115" s="248"/>
    </row>
    <row r="116" spans="1:27">
      <c r="B116" s="338" t="s">
        <v>581</v>
      </c>
      <c r="E116" s="185">
        <f>'qtrP&amp;L'!DD10%</f>
        <v>-0.20060867359878265</v>
      </c>
      <c r="F116" s="185">
        <f>'qtrP&amp;L'!DD11%</f>
        <v>-0.22631848438300051</v>
      </c>
      <c r="G116" s="185">
        <f>'qtrP&amp;L'!DD12%</f>
        <v>-0.26567987957852479</v>
      </c>
      <c r="H116" s="185">
        <f>'qtrP&amp;L'!DD13%</f>
        <v>-0.28405529953917052</v>
      </c>
      <c r="I116" s="195">
        <f>'qtrP&amp;L'!DD14%</f>
        <v>-0.24768250289687133</v>
      </c>
      <c r="J116" s="185">
        <f>'qtrP&amp;L'!DH10%</f>
        <v>-0.16402284263959388</v>
      </c>
      <c r="K116" s="185">
        <f>'qtrP&amp;L'!DH11%</f>
        <v>-0.11879549966909331</v>
      </c>
      <c r="L116" s="185">
        <f>'qtrP&amp;L'!DH12%</f>
        <v>-5.0563717116501546E-2</v>
      </c>
      <c r="M116" s="196">
        <f>'qtrP&amp;L'!DH13%</f>
        <v>-2.626158599382078E-2</v>
      </c>
      <c r="N116" s="354">
        <f>'qtrP&amp;L'!DH14%</f>
        <v>-8.6715440893338491E-2</v>
      </c>
      <c r="O116" s="185">
        <f>'qtrP&amp;L'!DM10%</f>
        <v>6.2E-2</v>
      </c>
      <c r="P116" s="185">
        <f>'qtrP&amp;L'!DM11%</f>
        <v>0.06</v>
      </c>
      <c r="Q116" s="185">
        <f>'qtrP&amp;L'!DM12%</f>
        <v>0</v>
      </c>
      <c r="R116" s="196">
        <f>'qtrP&amp;L'!DM13%</f>
        <v>4.4000000000000004E-2</v>
      </c>
      <c r="S116" s="354">
        <f>'qtrP&amp;L'!DM14%</f>
        <v>4.4000000000000004E-2</v>
      </c>
      <c r="T116" s="185">
        <f>'qtrP&amp;L'!DS10%</f>
        <v>0</v>
      </c>
      <c r="U116" s="185">
        <v>0</v>
      </c>
      <c r="V116" s="394">
        <v>0</v>
      </c>
      <c r="W116" s="185">
        <v>0</v>
      </c>
      <c r="X116" s="195">
        <v>0</v>
      </c>
    </row>
    <row r="117" spans="1:27" s="338" customFormat="1">
      <c r="B117" s="338" t="s">
        <v>580</v>
      </c>
      <c r="E117" s="185">
        <f>wc!BE10%</f>
        <v>-9.5070422535211238E-2</v>
      </c>
      <c r="F117" s="185">
        <f>wc!BE11%</f>
        <v>-0.1620940649496081</v>
      </c>
      <c r="G117" s="185">
        <f>wc!BE12%</f>
        <v>-0.23171846435100552</v>
      </c>
      <c r="H117" s="185">
        <f>wc!BE13%</f>
        <v>-0.19718792866941015</v>
      </c>
      <c r="I117" s="195">
        <f>H117</f>
        <v>-0.19718792866941015</v>
      </c>
      <c r="J117" s="185">
        <f t="shared" ref="J117:S117" si="42">J77/E77-1</f>
        <v>-9.2736705577172507E-2</v>
      </c>
      <c r="K117" s="185">
        <f t="shared" si="42"/>
        <v>5.4126294687604437E-2</v>
      </c>
      <c r="L117" s="185">
        <f t="shared" si="42"/>
        <v>0.1145151695419393</v>
      </c>
      <c r="M117" s="196">
        <f t="shared" si="42"/>
        <v>0.25373771892353703</v>
      </c>
      <c r="N117" s="354">
        <f t="shared" si="42"/>
        <v>0.25373771892353703</v>
      </c>
      <c r="O117" s="185">
        <f t="shared" si="42"/>
        <v>1.322373123659748E-2</v>
      </c>
      <c r="P117" s="185">
        <f t="shared" si="42"/>
        <v>-9.7305863708399332E-2</v>
      </c>
      <c r="Q117" s="185">
        <f>Q77/L77-1</f>
        <v>-0.10381638644248736</v>
      </c>
      <c r="R117" s="196">
        <f t="shared" si="42"/>
        <v>-9.6422487223168707E-2</v>
      </c>
      <c r="S117" s="354">
        <f t="shared" si="42"/>
        <v>-9.6422487223168707E-2</v>
      </c>
      <c r="T117" s="185">
        <f>T77/O77-1</f>
        <v>-8.4656084656085095E-3</v>
      </c>
      <c r="U117" s="185">
        <f>U77/P77-1</f>
        <v>5.5126404494381998E-2</v>
      </c>
      <c r="V117" s="394">
        <f>V77/Q77-1</f>
        <v>9.2614651578320384E-2</v>
      </c>
      <c r="W117" s="185">
        <f>W77/R77-1</f>
        <v>2.601809954751122E-2</v>
      </c>
      <c r="X117" s="195">
        <f>X77/S77-1</f>
        <v>2.601809954751122E-2</v>
      </c>
    </row>
    <row r="118" spans="1:27" s="338" customFormat="1">
      <c r="B118" s="338" t="s">
        <v>602</v>
      </c>
      <c r="E118" s="185"/>
      <c r="F118" s="185"/>
      <c r="G118" s="185"/>
      <c r="H118" s="185"/>
      <c r="I118" s="195"/>
      <c r="J118" s="185">
        <f t="shared" ref="J118:S118" si="43">J90/E90-1</f>
        <v>0.26829268292682928</v>
      </c>
      <c r="K118" s="185">
        <f t="shared" si="43"/>
        <v>0.25714285714285712</v>
      </c>
      <c r="L118" s="185">
        <f t="shared" si="43"/>
        <v>7.1022727272729291E-4</v>
      </c>
      <c r="M118" s="196">
        <f t="shared" si="43"/>
        <v>-0.18416523235800342</v>
      </c>
      <c r="N118" s="354">
        <f t="shared" si="43"/>
        <v>-0.18416523235800342</v>
      </c>
      <c r="O118" s="185">
        <f t="shared" si="43"/>
        <v>-0.32612179487179482</v>
      </c>
      <c r="P118" s="185">
        <f t="shared" si="43"/>
        <v>-0.2288401253918495</v>
      </c>
      <c r="Q118" s="185">
        <f t="shared" si="43"/>
        <v>-8.516678495386798E-2</v>
      </c>
      <c r="R118" s="196">
        <f t="shared" si="43"/>
        <v>5.1687763713080148E-2</v>
      </c>
      <c r="S118" s="354">
        <f t="shared" si="43"/>
        <v>5.1687763713080148E-2</v>
      </c>
      <c r="T118" s="185">
        <f>T90/O90-1</f>
        <v>0.2639714625445897</v>
      </c>
      <c r="U118" s="185">
        <f>U90/P90-1</f>
        <v>0.14024390243902429</v>
      </c>
      <c r="V118" s="394">
        <f>V90/Q90-1</f>
        <v>0.12723041117145084</v>
      </c>
      <c r="W118" s="185">
        <f>W90/R90-1</f>
        <v>-7.2216649949849554E-2</v>
      </c>
      <c r="X118" s="195">
        <f>X90/S90-1</f>
        <v>-7.2216649949849554E-2</v>
      </c>
    </row>
    <row r="120" spans="1:27">
      <c r="B120" s="338" t="s">
        <v>582</v>
      </c>
      <c r="E120" s="185">
        <f>E90/E77</f>
        <v>0.31906614785992216</v>
      </c>
      <c r="F120" s="185">
        <f t="shared" ref="F120:Q120" si="44">F90/F77</f>
        <v>0.33912462412295358</v>
      </c>
      <c r="G120" s="185">
        <f t="shared" si="44"/>
        <v>0.41879833432480668</v>
      </c>
      <c r="H120" s="185">
        <f t="shared" si="44"/>
        <v>0.49636907304570699</v>
      </c>
      <c r="I120" s="195">
        <f t="shared" si="44"/>
        <v>0.49636907304570699</v>
      </c>
      <c r="J120" s="185">
        <f t="shared" si="44"/>
        <v>0.44603288062902074</v>
      </c>
      <c r="K120" s="185">
        <f t="shared" si="44"/>
        <v>0.40443740095087161</v>
      </c>
      <c r="L120" s="185">
        <f t="shared" si="44"/>
        <v>0.37603416066186285</v>
      </c>
      <c r="M120" s="196">
        <f t="shared" si="44"/>
        <v>0.32299829642248723</v>
      </c>
      <c r="N120" s="196">
        <f t="shared" si="44"/>
        <v>0.32299829642248723</v>
      </c>
      <c r="O120" s="185">
        <f t="shared" si="44"/>
        <v>0.29664902998236331</v>
      </c>
      <c r="P120" s="185">
        <f t="shared" si="44"/>
        <v>0.3455056179775281</v>
      </c>
      <c r="Q120" s="185">
        <f t="shared" si="44"/>
        <v>0.38385944014294221</v>
      </c>
      <c r="R120" s="196">
        <f>R90/R77</f>
        <v>0.37594268476621417</v>
      </c>
      <c r="S120" s="196">
        <f>S90/S77</f>
        <v>0.37594268476621417</v>
      </c>
      <c r="T120" s="185">
        <f>T90/T77</f>
        <v>0.37815723941657775</v>
      </c>
      <c r="U120" s="185">
        <v>0.3</v>
      </c>
      <c r="V120" s="394">
        <v>0.3</v>
      </c>
      <c r="W120" s="360">
        <v>0.3</v>
      </c>
      <c r="X120" s="195">
        <f>X90/X77</f>
        <v>0.33994854832782068</v>
      </c>
    </row>
    <row r="121" spans="1:27" outlineLevel="1">
      <c r="B121" s="338" t="s">
        <v>589</v>
      </c>
      <c r="E121" s="289">
        <f>wc!BD122</f>
        <v>4988</v>
      </c>
      <c r="F121" s="289">
        <f>wc!BD123</f>
        <v>4795</v>
      </c>
      <c r="G121" s="289">
        <f>wc!BD124</f>
        <v>4640</v>
      </c>
      <c r="H121" s="289">
        <f>wc!BD125</f>
        <v>4506</v>
      </c>
      <c r="I121" s="308">
        <f>'yrP&amp;L'!AA15</f>
        <v>4506</v>
      </c>
      <c r="J121" s="289">
        <f>wc!BH122</f>
        <v>4424</v>
      </c>
      <c r="K121" s="289">
        <f>wc!BH123</f>
        <v>4400</v>
      </c>
      <c r="L121" s="289">
        <f>wc!BH124</f>
        <v>4319</v>
      </c>
      <c r="M121" s="289">
        <f>wc!BH125</f>
        <v>4114</v>
      </c>
      <c r="N121" s="308">
        <f>'yrP&amp;L'!AB15</f>
        <v>4114</v>
      </c>
      <c r="O121" s="289">
        <f>wc!BL122</f>
        <v>4045</v>
      </c>
      <c r="P121" s="289">
        <f>wc!BL123</f>
        <v>3983</v>
      </c>
      <c r="Q121" s="289">
        <f>wc!BL124</f>
        <v>3965</v>
      </c>
      <c r="R121" s="289">
        <f>wc!BL125</f>
        <v>3993</v>
      </c>
      <c r="S121" s="289">
        <f>wc!BL125</f>
        <v>3993</v>
      </c>
      <c r="T121" s="289">
        <f>wc!BP122</f>
        <v>3949</v>
      </c>
      <c r="U121" s="289">
        <f>wc!$BP123</f>
        <v>3886</v>
      </c>
      <c r="V121" s="395">
        <f>wc!$BP124</f>
        <v>3845</v>
      </c>
      <c r="W121" s="289">
        <f>wc!$BP125</f>
        <v>3775</v>
      </c>
      <c r="X121" s="308">
        <f>W121</f>
        <v>3775</v>
      </c>
    </row>
    <row r="122" spans="1:27">
      <c r="B122" s="338" t="s">
        <v>593</v>
      </c>
      <c r="E122" s="289">
        <f t="shared" ref="E122:Q122" si="45">365/(E121/E91)</f>
        <v>89.420609462710502</v>
      </c>
      <c r="F122" s="289">
        <f t="shared" si="45"/>
        <v>92.791449426485926</v>
      </c>
      <c r="G122" s="289">
        <f t="shared" si="45"/>
        <v>105.72413793103448</v>
      </c>
      <c r="H122" s="289">
        <f t="shared" si="45"/>
        <v>112.99933422103862</v>
      </c>
      <c r="I122" s="308">
        <f t="shared" si="45"/>
        <v>112.99933422103862</v>
      </c>
      <c r="J122" s="289">
        <f t="shared" si="45"/>
        <v>125.7368896925859</v>
      </c>
      <c r="K122" s="289">
        <f t="shared" si="45"/>
        <v>111.65681818181818</v>
      </c>
      <c r="L122" s="289">
        <f t="shared" si="45"/>
        <v>107.24357490159758</v>
      </c>
      <c r="M122" s="289">
        <f t="shared" si="45"/>
        <v>106.28828390860477</v>
      </c>
      <c r="N122" s="289">
        <f t="shared" si="45"/>
        <v>106.28828390860477</v>
      </c>
      <c r="O122" s="289">
        <f t="shared" si="45"/>
        <v>105.30407911001237</v>
      </c>
      <c r="P122" s="289">
        <f t="shared" si="45"/>
        <v>107.76801405975395</v>
      </c>
      <c r="Q122" s="289">
        <f t="shared" si="45"/>
        <v>107.06052963430012</v>
      </c>
      <c r="R122" s="289">
        <f>365/(R121/R91)</f>
        <v>108.59504132231405</v>
      </c>
      <c r="S122" s="289">
        <f>365/(S121/S91)</f>
        <v>108.59504132231405</v>
      </c>
      <c r="T122" s="289">
        <f>365/(T121/T91)</f>
        <v>95.016459863256514</v>
      </c>
      <c r="U122" s="289">
        <f>T122</f>
        <v>95.016459863256514</v>
      </c>
      <c r="V122" s="395">
        <f>U122</f>
        <v>95.016459863256514</v>
      </c>
      <c r="W122" s="361">
        <f>V122</f>
        <v>95.016459863256514</v>
      </c>
      <c r="X122" s="308">
        <f>365/(X121/X91)</f>
        <v>95.016459863256514</v>
      </c>
    </row>
    <row r="123" spans="1:27">
      <c r="B123" s="338" t="s">
        <v>594</v>
      </c>
      <c r="E123" s="185">
        <f>E91/E121</f>
        <v>0.24498797113071372</v>
      </c>
      <c r="F123" s="185">
        <f t="shared" ref="F123:N123" si="46">F91/F121</f>
        <v>0.25422314911366006</v>
      </c>
      <c r="G123" s="185">
        <f t="shared" si="46"/>
        <v>0.28965517241379313</v>
      </c>
      <c r="H123" s="185">
        <f t="shared" si="46"/>
        <v>0.30958721704394143</v>
      </c>
      <c r="I123" s="195">
        <f t="shared" si="46"/>
        <v>0.30958721704394143</v>
      </c>
      <c r="J123" s="185">
        <f t="shared" si="46"/>
        <v>0.34448462929475587</v>
      </c>
      <c r="K123" s="185">
        <f t="shared" si="46"/>
        <v>0.30590909090909091</v>
      </c>
      <c r="L123" s="185">
        <f t="shared" si="46"/>
        <v>0.29381801342903452</v>
      </c>
      <c r="M123" s="196">
        <f t="shared" si="46"/>
        <v>0.29120077783179388</v>
      </c>
      <c r="N123" s="354">
        <f t="shared" si="46"/>
        <v>0.29120077783179388</v>
      </c>
      <c r="O123" s="185">
        <f t="shared" ref="O123:X123" si="47">O91/O121</f>
        <v>0.28850432632880096</v>
      </c>
      <c r="P123" s="185">
        <f t="shared" si="47"/>
        <v>0.29525483304042177</v>
      </c>
      <c r="Q123" s="185">
        <f t="shared" si="47"/>
        <v>0.29331651954602772</v>
      </c>
      <c r="R123" s="196">
        <f t="shared" si="47"/>
        <v>0.2975206611570248</v>
      </c>
      <c r="S123" s="196">
        <f t="shared" si="47"/>
        <v>0.2975206611570248</v>
      </c>
      <c r="T123" s="185">
        <f t="shared" si="47"/>
        <v>0.26031906811851102</v>
      </c>
      <c r="U123" s="185">
        <f t="shared" si="47"/>
        <v>0.30108080288214101</v>
      </c>
      <c r="V123" s="394">
        <f t="shared" si="47"/>
        <v>0.32405721716514957</v>
      </c>
      <c r="W123" s="185">
        <f t="shared" si="47"/>
        <v>0.26031906811851102</v>
      </c>
      <c r="X123" s="195">
        <f t="shared" si="47"/>
        <v>0.26031906811851102</v>
      </c>
    </row>
  </sheetData>
  <phoneticPr fontId="10" type="noConversion"/>
  <printOptions horizontalCentered="1" verticalCentered="1"/>
  <pageMargins left="0.5" right="0.5" top="0" bottom="0" header="0.5" footer="0.5"/>
  <pageSetup scale="88" orientation="landscape" r:id="rId1"/>
  <headerFooter alignWithMargins="0"/>
  <rowBreaks count="1" manualBreakCount="1">
    <brk id="67" max="13"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V61"/>
  <sheetViews>
    <sheetView zoomScaleNormal="100" workbookViewId="0"/>
  </sheetViews>
  <sheetFormatPr defaultRowHeight="12.75" outlineLevelCol="1"/>
  <cols>
    <col min="1" max="1" width="3.140625" style="398" customWidth="1"/>
    <col min="2" max="2" width="4.42578125" style="398" customWidth="1"/>
    <col min="3" max="3" width="4.28515625" style="398" customWidth="1"/>
    <col min="4" max="4" width="10.28515625" style="398" hidden="1" customWidth="1" outlineLevel="1"/>
    <col min="5" max="5" width="2.140625" style="398" hidden="1" customWidth="1" outlineLevel="1"/>
    <col min="6" max="6" width="10.28515625" style="398" hidden="1" customWidth="1" outlineLevel="1"/>
    <col min="7" max="7" width="2.140625" style="398" hidden="1" customWidth="1" outlineLevel="1"/>
    <col min="8" max="8" width="10.28515625" style="398" hidden="1" customWidth="1" outlineLevel="1"/>
    <col min="9" max="9" width="2.140625" style="398" hidden="1" customWidth="1" outlineLevel="1"/>
    <col min="10" max="10" width="10.28515625" style="398" hidden="1" customWidth="1" outlineLevel="1"/>
    <col min="11" max="11" width="2.140625" style="398" hidden="1" customWidth="1" outlineLevel="1"/>
    <col min="12" max="12" width="10.28515625" style="398" hidden="1" customWidth="1" outlineLevel="1"/>
    <col min="13" max="13" width="2.140625" style="398" hidden="1" customWidth="1" outlineLevel="1"/>
    <col min="14" max="14" width="10.28515625" style="398" hidden="1" customWidth="1" outlineLevel="1"/>
    <col min="15" max="15" width="2.140625" style="398" hidden="1" customWidth="1" outlineLevel="1"/>
    <col min="16" max="16" width="10.28515625" style="398" hidden="1" customWidth="1" outlineLevel="1"/>
    <col min="17" max="17" width="2.140625" style="398" hidden="1" customWidth="1" outlineLevel="1"/>
    <col min="18" max="18" width="10.28515625" style="398" hidden="1" customWidth="1" outlineLevel="1"/>
    <col min="19" max="19" width="2.140625" style="398" hidden="1" customWidth="1" outlineLevel="1"/>
    <col min="20" max="20" width="10.28515625" style="398" hidden="1" customWidth="1" outlineLevel="1"/>
    <col min="21" max="21" width="2.140625" style="398" hidden="1" customWidth="1" outlineLevel="1"/>
    <col min="22" max="22" width="10.28515625" style="398" hidden="1" customWidth="1" outlineLevel="1"/>
    <col min="23" max="23" width="2.140625" style="398" hidden="1" customWidth="1" outlineLevel="1"/>
    <col min="24" max="24" width="10.28515625" style="398" hidden="1" customWidth="1" outlineLevel="1"/>
    <col min="25" max="25" width="2.140625" style="398" hidden="1" customWidth="1" outlineLevel="1"/>
    <col min="26" max="26" width="10.28515625" style="398" customWidth="1" collapsed="1"/>
    <col min="27" max="27" width="2.140625" style="398" customWidth="1"/>
    <col min="28" max="28" width="10.28515625" style="398" customWidth="1"/>
    <col min="29" max="29" width="2.140625" style="398" customWidth="1"/>
    <col min="30" max="30" width="10.28515625" style="398" customWidth="1"/>
    <col min="31" max="31" width="2.140625" style="398" customWidth="1"/>
    <col min="32" max="32" width="10.28515625" style="398" customWidth="1"/>
    <col min="33" max="33" width="2.140625" style="398" customWidth="1"/>
    <col min="34" max="34" width="10.28515625" style="398" customWidth="1"/>
    <col min="35" max="35" width="2.140625" style="398" customWidth="1"/>
    <col min="36" max="36" width="10.28515625" style="398" customWidth="1"/>
    <col min="37" max="37" width="2.140625" style="398" customWidth="1"/>
    <col min="38" max="38" width="10.28515625" style="398" customWidth="1"/>
    <col min="39" max="39" width="2.140625" style="398" customWidth="1"/>
    <col min="40" max="40" width="10.28515625" style="398" customWidth="1"/>
    <col min="41" max="41" width="2.140625" style="398" customWidth="1"/>
    <col min="42" max="42" width="10.28515625" style="398" hidden="1" customWidth="1"/>
    <col min="43" max="16384" width="9.140625" style="398"/>
  </cols>
  <sheetData>
    <row r="1" spans="1:42">
      <c r="A1" s="582" t="s">
        <v>442</v>
      </c>
    </row>
    <row r="2" spans="1:42">
      <c r="A2" s="686" t="s">
        <v>724</v>
      </c>
      <c r="B2" s="584"/>
      <c r="C2" s="584"/>
      <c r="D2" s="584"/>
      <c r="E2" s="584"/>
      <c r="F2" s="584"/>
      <c r="G2" s="584"/>
      <c r="H2" s="584"/>
      <c r="I2" s="584"/>
      <c r="J2" s="584"/>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584"/>
      <c r="AJ2" s="584"/>
      <c r="AK2" s="584"/>
      <c r="AL2" s="584"/>
      <c r="AM2" s="584"/>
      <c r="AN2" s="584"/>
      <c r="AO2" s="584"/>
      <c r="AP2" s="584"/>
    </row>
    <row r="3" spans="1:42">
      <c r="A3" s="987" t="s">
        <v>166</v>
      </c>
    </row>
    <row r="5" spans="1:42">
      <c r="D5" s="811">
        <v>2001</v>
      </c>
      <c r="F5" s="811">
        <f>D5+1</f>
        <v>2002</v>
      </c>
      <c r="H5" s="811" t="s">
        <v>354</v>
      </c>
      <c r="J5" s="811" t="s">
        <v>355</v>
      </c>
      <c r="L5" s="811">
        <v>2003</v>
      </c>
      <c r="N5" s="811">
        <f>L5+1</f>
        <v>2004</v>
      </c>
      <c r="P5" s="811">
        <f>N5+1</f>
        <v>2005</v>
      </c>
      <c r="R5" s="811">
        <f>P5+1</f>
        <v>2006</v>
      </c>
      <c r="T5" s="811">
        <f>R5+1</f>
        <v>2007</v>
      </c>
      <c r="V5" s="811">
        <f>T5+1</f>
        <v>2008</v>
      </c>
      <c r="X5" s="811">
        <f>V5+1</f>
        <v>2009</v>
      </c>
      <c r="Z5" s="811">
        <f>X5+1</f>
        <v>2010</v>
      </c>
      <c r="AB5" s="811">
        <f>Z5+1</f>
        <v>2011</v>
      </c>
      <c r="AD5" s="811">
        <f>AB5+1</f>
        <v>2012</v>
      </c>
      <c r="AF5" s="811">
        <f>AD5+1</f>
        <v>2013</v>
      </c>
      <c r="AH5" s="811">
        <f>AF5+1</f>
        <v>2014</v>
      </c>
      <c r="AI5" s="811"/>
      <c r="AJ5" s="811">
        <f>AH5+1</f>
        <v>2015</v>
      </c>
      <c r="AK5" s="811"/>
      <c r="AL5" s="811">
        <f>AJ5+1</f>
        <v>2016</v>
      </c>
      <c r="AM5" s="685"/>
      <c r="AN5" s="811">
        <f>AL5+1</f>
        <v>2017</v>
      </c>
      <c r="AO5" s="685"/>
      <c r="AP5" s="811">
        <f>AN5+1</f>
        <v>2018</v>
      </c>
    </row>
    <row r="7" spans="1:42">
      <c r="A7" s="1121" t="s">
        <v>167</v>
      </c>
      <c r="B7" s="1121"/>
      <c r="C7" s="1121"/>
      <c r="D7" s="1121"/>
      <c r="E7" s="1121"/>
      <c r="F7" s="1121"/>
      <c r="G7" s="1121"/>
      <c r="H7" s="1121"/>
      <c r="I7" s="1121"/>
      <c r="J7" s="1121"/>
      <c r="K7" s="1121"/>
      <c r="L7" s="1121"/>
      <c r="M7" s="1121"/>
      <c r="N7" s="1121"/>
      <c r="O7" s="1121"/>
      <c r="P7" s="1121"/>
      <c r="Q7" s="1121"/>
      <c r="R7" s="1121"/>
      <c r="S7" s="1121"/>
      <c r="T7" s="1121"/>
      <c r="U7" s="1121"/>
      <c r="V7" s="1121"/>
      <c r="W7" s="1121"/>
      <c r="X7" s="1121"/>
      <c r="Y7" s="1121"/>
      <c r="Z7" s="1121"/>
      <c r="AA7" s="1121"/>
      <c r="AB7" s="1121"/>
      <c r="AC7" s="1121"/>
      <c r="AD7" s="1121"/>
      <c r="AE7" s="1121"/>
      <c r="AF7" s="1121"/>
      <c r="AG7" s="1121"/>
      <c r="AH7" s="1121"/>
      <c r="AI7" s="1121"/>
      <c r="AJ7" s="1121"/>
      <c r="AK7" s="1121"/>
      <c r="AL7" s="1121"/>
      <c r="AM7" s="1121"/>
      <c r="AN7" s="1121"/>
      <c r="AO7" s="1121"/>
      <c r="AP7" s="1121"/>
    </row>
    <row r="8" spans="1:42">
      <c r="A8" s="398" t="s">
        <v>158</v>
      </c>
      <c r="B8" s="398" t="s">
        <v>140</v>
      </c>
      <c r="C8" s="898"/>
      <c r="D8" s="791">
        <v>568</v>
      </c>
      <c r="E8" s="898"/>
      <c r="F8" s="791">
        <v>2274</v>
      </c>
      <c r="G8" s="898"/>
      <c r="H8" s="791">
        <v>568</v>
      </c>
      <c r="I8" s="898"/>
      <c r="J8" s="791">
        <v>2248</v>
      </c>
      <c r="K8" s="898"/>
      <c r="L8" s="791">
        <v>2609</v>
      </c>
      <c r="M8" s="791"/>
      <c r="N8" s="791">
        <v>2997</v>
      </c>
      <c r="O8" s="898"/>
      <c r="P8" s="791">
        <v>4115.430594795539</v>
      </c>
      <c r="Q8" s="898"/>
      <c r="R8" s="791">
        <v>2791.1305947955389</v>
      </c>
      <c r="S8" s="898"/>
      <c r="T8" s="791">
        <v>3149.1305947955389</v>
      </c>
      <c r="U8" s="898"/>
      <c r="V8" s="791">
        <v>2044.1305947955389</v>
      </c>
      <c r="W8" s="898"/>
      <c r="X8" s="791">
        <v>2137.6269754407003</v>
      </c>
      <c r="Y8" s="898"/>
      <c r="Z8" s="1406">
        <v>2378.2089754407007</v>
      </c>
      <c r="AA8" s="1363"/>
      <c r="AB8" s="1406">
        <v>1767.2089754407007</v>
      </c>
      <c r="AC8" s="1363"/>
      <c r="AD8" s="1406">
        <v>839.07060236702273</v>
      </c>
      <c r="AE8" s="1363"/>
      <c r="AF8" s="1406">
        <f>821</f>
        <v>821</v>
      </c>
      <c r="AG8" s="1363"/>
      <c r="AH8" s="1406">
        <v>1170</v>
      </c>
      <c r="AI8" s="1363"/>
      <c r="AJ8" s="1406">
        <v>1044</v>
      </c>
      <c r="AK8" s="1363"/>
      <c r="AL8" s="1406">
        <v>415</v>
      </c>
      <c r="AM8" s="1363"/>
      <c r="AN8" s="1406">
        <v>363</v>
      </c>
      <c r="AO8" s="1363"/>
      <c r="AP8" s="1406"/>
    </row>
    <row r="9" spans="1:42">
      <c r="A9" s="398" t="s">
        <v>159</v>
      </c>
      <c r="B9" s="398" t="s">
        <v>141</v>
      </c>
      <c r="C9" s="898"/>
      <c r="D9" s="791">
        <v>1696</v>
      </c>
      <c r="E9" s="898"/>
      <c r="F9" s="791">
        <v>2004</v>
      </c>
      <c r="G9" s="898"/>
      <c r="H9" s="791">
        <v>1696</v>
      </c>
      <c r="I9" s="898"/>
      <c r="J9" s="791">
        <v>1978</v>
      </c>
      <c r="K9" s="898"/>
      <c r="L9" s="791">
        <v>2588</v>
      </c>
      <c r="M9" s="791"/>
      <c r="N9" s="791">
        <v>7383.37</v>
      </c>
      <c r="O9" s="898"/>
      <c r="P9" s="791">
        <v>3385.430594795539</v>
      </c>
      <c r="Q9" s="898"/>
      <c r="R9" s="791">
        <v>2374.1305947955389</v>
      </c>
      <c r="S9" s="898"/>
      <c r="T9" s="791">
        <v>2297.1305947955389</v>
      </c>
      <c r="U9" s="898"/>
      <c r="V9" s="791">
        <v>2243.1305947955389</v>
      </c>
      <c r="W9" s="898"/>
      <c r="X9" s="791">
        <v>2312.0089754407004</v>
      </c>
      <c r="Y9" s="898"/>
      <c r="Z9" s="1406">
        <v>2003.2089754407007</v>
      </c>
      <c r="AA9" s="1363"/>
      <c r="AB9" s="1406">
        <v>1551.1306023670227</v>
      </c>
      <c r="AC9" s="1363"/>
      <c r="AD9" s="1406">
        <v>888.07060236702273</v>
      </c>
      <c r="AE9" s="1363"/>
      <c r="AF9" s="1406">
        <v>1535</v>
      </c>
      <c r="AG9" s="1363"/>
      <c r="AH9" s="1406">
        <v>1036</v>
      </c>
      <c r="AI9" s="1363"/>
      <c r="AJ9" s="1406">
        <v>973</v>
      </c>
      <c r="AK9" s="1363"/>
      <c r="AL9" s="1406">
        <v>429</v>
      </c>
      <c r="AM9" s="1363"/>
      <c r="AN9" s="1406">
        <f>186+128</f>
        <v>314</v>
      </c>
      <c r="AO9" s="1363"/>
      <c r="AP9" s="1406"/>
    </row>
    <row r="10" spans="1:42">
      <c r="A10" s="398" t="s">
        <v>160</v>
      </c>
      <c r="B10" s="398" t="s">
        <v>142</v>
      </c>
      <c r="C10" s="898"/>
      <c r="D10" s="791">
        <v>1791</v>
      </c>
      <c r="E10" s="898"/>
      <c r="F10" s="791">
        <v>1748</v>
      </c>
      <c r="G10" s="898"/>
      <c r="H10" s="791">
        <v>1791</v>
      </c>
      <c r="I10" s="898"/>
      <c r="J10" s="791">
        <v>1722</v>
      </c>
      <c r="K10" s="898"/>
      <c r="L10" s="791">
        <v>1890</v>
      </c>
      <c r="M10" s="791"/>
      <c r="N10" s="791">
        <v>4541.37</v>
      </c>
      <c r="O10" s="898"/>
      <c r="P10" s="791">
        <v>2044.0305947955389</v>
      </c>
      <c r="Q10" s="898"/>
      <c r="R10" s="791">
        <v>1976.1305947955389</v>
      </c>
      <c r="S10" s="898"/>
      <c r="T10" s="791">
        <v>1827.1305947955389</v>
      </c>
      <c r="U10" s="898"/>
      <c r="V10" s="791">
        <v>1623.6269754407001</v>
      </c>
      <c r="W10" s="898"/>
      <c r="X10" s="791">
        <v>2129.0089754407004</v>
      </c>
      <c r="Y10" s="898"/>
      <c r="Z10" s="1406">
        <v>1666.2089754407007</v>
      </c>
      <c r="AA10" s="1363"/>
      <c r="AB10" s="1406">
        <v>1084.8006023670227</v>
      </c>
      <c r="AC10" s="1363"/>
      <c r="AD10" s="1406">
        <f>525</f>
        <v>525</v>
      </c>
      <c r="AE10" s="1363"/>
      <c r="AF10" s="1406">
        <v>1227</v>
      </c>
      <c r="AG10" s="1363"/>
      <c r="AH10" s="1406">
        <v>684</v>
      </c>
      <c r="AI10" s="1363"/>
      <c r="AJ10" s="1406">
        <v>638</v>
      </c>
      <c r="AK10" s="1363"/>
      <c r="AL10" s="1406">
        <v>183</v>
      </c>
      <c r="AM10" s="1363"/>
      <c r="AN10" s="1406">
        <v>185</v>
      </c>
      <c r="AO10" s="1363"/>
      <c r="AP10" s="1406"/>
    </row>
    <row r="11" spans="1:42">
      <c r="A11" s="398" t="s">
        <v>161</v>
      </c>
      <c r="B11" s="398" t="s">
        <v>143</v>
      </c>
      <c r="C11" s="898"/>
      <c r="D11" s="791">
        <v>2840</v>
      </c>
      <c r="E11" s="898"/>
      <c r="F11" s="791">
        <v>2474</v>
      </c>
      <c r="G11" s="898"/>
      <c r="H11" s="791">
        <v>2814</v>
      </c>
      <c r="I11" s="898"/>
      <c r="J11" s="791">
        <v>2454</v>
      </c>
      <c r="K11" s="898"/>
      <c r="L11" s="791">
        <v>2964</v>
      </c>
      <c r="M11" s="791"/>
      <c r="N11" s="791">
        <v>4649.37</v>
      </c>
      <c r="O11" s="898"/>
      <c r="P11" s="791">
        <v>3016.1305947955389</v>
      </c>
      <c r="Q11" s="898"/>
      <c r="R11" s="791">
        <v>2803.1305947955389</v>
      </c>
      <c r="S11" s="898"/>
      <c r="T11" s="791">
        <v>2532.1305947955389</v>
      </c>
      <c r="U11" s="898"/>
      <c r="V11" s="791">
        <v>2351.6269754407003</v>
      </c>
      <c r="W11" s="898"/>
      <c r="X11" s="791">
        <v>3011.2089754407007</v>
      </c>
      <c r="Y11" s="898"/>
      <c r="Z11" s="1406">
        <v>2622.2089754407007</v>
      </c>
      <c r="AA11" s="1363"/>
      <c r="AB11" s="1406">
        <v>1507.0706023670227</v>
      </c>
      <c r="AC11" s="1363"/>
      <c r="AD11" s="1406">
        <f>bal!AD9</f>
        <v>930</v>
      </c>
      <c r="AE11" s="1363"/>
      <c r="AF11" s="1406">
        <f>bal!AE9</f>
        <v>1515</v>
      </c>
      <c r="AG11" s="1363"/>
      <c r="AH11" s="1406">
        <v>1318</v>
      </c>
      <c r="AI11" s="1363"/>
      <c r="AJ11" s="1406">
        <f>bal!AG9</f>
        <v>900.00003340150124</v>
      </c>
      <c r="AK11" s="1363"/>
      <c r="AL11" s="1406">
        <f>125+762</f>
        <v>887</v>
      </c>
      <c r="AM11" s="1363"/>
      <c r="AN11" s="1565">
        <f>bal!$AI$9</f>
        <v>457.6800334015013</v>
      </c>
      <c r="AO11" s="1363"/>
      <c r="AP11" s="1407">
        <f>bal!$AJ$9</f>
        <v>480.76522355638974</v>
      </c>
    </row>
    <row r="13" spans="1:42">
      <c r="A13" s="1121" t="s">
        <v>168</v>
      </c>
      <c r="B13" s="1121"/>
      <c r="C13" s="1121"/>
      <c r="D13" s="1121"/>
      <c r="E13" s="1121"/>
      <c r="F13" s="1121"/>
      <c r="G13" s="1121"/>
      <c r="H13" s="1121"/>
      <c r="I13" s="1121"/>
      <c r="J13" s="1121"/>
      <c r="K13" s="1121"/>
      <c r="L13" s="1121"/>
      <c r="M13" s="1121"/>
      <c r="N13" s="1121"/>
      <c r="O13" s="1121"/>
      <c r="P13" s="1121"/>
      <c r="Q13" s="1121"/>
      <c r="R13" s="1121"/>
      <c r="S13" s="1121"/>
      <c r="T13" s="1121"/>
      <c r="U13" s="1121"/>
      <c r="V13" s="1121"/>
      <c r="W13" s="1121"/>
      <c r="X13" s="1121"/>
      <c r="Y13" s="1121"/>
      <c r="Z13" s="1121"/>
      <c r="AA13" s="1121"/>
      <c r="AB13" s="1121"/>
      <c r="AC13" s="1121"/>
      <c r="AD13" s="1121"/>
      <c r="AE13" s="1121"/>
      <c r="AF13" s="1121"/>
      <c r="AG13" s="1121"/>
      <c r="AH13" s="1121"/>
      <c r="AI13" s="1121"/>
      <c r="AJ13" s="1121"/>
      <c r="AK13" s="1121"/>
      <c r="AL13" s="1121"/>
      <c r="AM13" s="1121"/>
      <c r="AN13" s="1121"/>
      <c r="AO13" s="1121"/>
      <c r="AP13" s="1121"/>
    </row>
    <row r="14" spans="1:42">
      <c r="A14" s="398" t="s">
        <v>158</v>
      </c>
      <c r="B14" s="398" t="s">
        <v>140</v>
      </c>
      <c r="C14" s="898"/>
      <c r="D14" s="791">
        <v>710</v>
      </c>
      <c r="E14" s="898"/>
      <c r="F14" s="791">
        <v>250</v>
      </c>
      <c r="G14" s="898"/>
      <c r="H14" s="791">
        <v>710</v>
      </c>
      <c r="I14" s="898"/>
      <c r="J14" s="791">
        <v>254</v>
      </c>
      <c r="K14" s="898"/>
      <c r="L14" s="791">
        <v>278</v>
      </c>
      <c r="M14" s="791"/>
      <c r="N14" s="791">
        <v>243</v>
      </c>
      <c r="O14" s="898"/>
      <c r="P14" s="791">
        <v>336</v>
      </c>
      <c r="Q14" s="898"/>
      <c r="R14" s="791">
        <v>345</v>
      </c>
      <c r="S14" s="898"/>
      <c r="T14" s="791">
        <v>410</v>
      </c>
      <c r="U14" s="898"/>
      <c r="V14" s="791">
        <v>202</v>
      </c>
      <c r="W14" s="898"/>
      <c r="X14" s="791">
        <v>506</v>
      </c>
      <c r="Y14" s="898"/>
      <c r="Z14" s="1406">
        <v>0</v>
      </c>
      <c r="AA14" s="1363"/>
      <c r="AB14" s="1406">
        <v>0</v>
      </c>
      <c r="AC14" s="1363"/>
      <c r="AD14" s="1406">
        <v>231</v>
      </c>
      <c r="AE14" s="1363"/>
      <c r="AF14" s="1406">
        <f>850+26</f>
        <v>876</v>
      </c>
      <c r="AG14" s="1363"/>
      <c r="AH14" s="1406">
        <f>650+30+23</f>
        <v>703</v>
      </c>
      <c r="AI14" s="1363"/>
      <c r="AJ14" s="1406">
        <f>40+28</f>
        <v>68</v>
      </c>
      <c r="AK14" s="1363"/>
      <c r="AL14" s="1406">
        <f>321+17</f>
        <v>338</v>
      </c>
      <c r="AM14" s="1363"/>
      <c r="AN14" s="1406">
        <f>307+12</f>
        <v>319</v>
      </c>
      <c r="AO14" s="1363"/>
      <c r="AP14" s="1406"/>
    </row>
    <row r="15" spans="1:42">
      <c r="A15" s="398" t="s">
        <v>159</v>
      </c>
      <c r="B15" s="398" t="s">
        <v>141</v>
      </c>
      <c r="C15" s="898"/>
      <c r="D15" s="791">
        <v>928</v>
      </c>
      <c r="E15" s="898"/>
      <c r="F15" s="791">
        <v>31</v>
      </c>
      <c r="G15" s="898"/>
      <c r="H15" s="791">
        <v>928</v>
      </c>
      <c r="I15" s="898"/>
      <c r="J15" s="791">
        <v>31</v>
      </c>
      <c r="K15" s="898"/>
      <c r="L15" s="791">
        <v>626</v>
      </c>
      <c r="M15" s="791"/>
      <c r="N15" s="791">
        <v>1165</v>
      </c>
      <c r="O15" s="898"/>
      <c r="P15" s="791">
        <v>15</v>
      </c>
      <c r="Q15" s="898"/>
      <c r="R15" s="791">
        <v>343</v>
      </c>
      <c r="S15" s="898"/>
      <c r="T15" s="791">
        <v>105</v>
      </c>
      <c r="U15" s="898"/>
      <c r="V15" s="791">
        <v>201</v>
      </c>
      <c r="W15" s="898"/>
      <c r="X15" s="791">
        <v>393</v>
      </c>
      <c r="Y15" s="898"/>
      <c r="Z15" s="1406">
        <v>0</v>
      </c>
      <c r="AA15" s="1363"/>
      <c r="AB15" s="1406">
        <v>0</v>
      </c>
      <c r="AC15" s="1363"/>
      <c r="AD15" s="1406">
        <v>250</v>
      </c>
      <c r="AE15" s="1363"/>
      <c r="AF15" s="1406">
        <f>850+27+23+4</f>
        <v>904</v>
      </c>
      <c r="AG15" s="1363"/>
      <c r="AH15" s="1406">
        <f>30+28</f>
        <v>58</v>
      </c>
      <c r="AI15" s="1363"/>
      <c r="AJ15" s="1406">
        <f>27+28</f>
        <v>55</v>
      </c>
      <c r="AK15" s="1363"/>
      <c r="AL15" s="1406">
        <f>341+18</f>
        <v>359</v>
      </c>
      <c r="AM15" s="1363"/>
      <c r="AN15" s="1406">
        <f>232+9</f>
        <v>241</v>
      </c>
      <c r="AO15" s="1363"/>
      <c r="AP15" s="1406"/>
    </row>
    <row r="16" spans="1:42">
      <c r="A16" s="398" t="s">
        <v>160</v>
      </c>
      <c r="B16" s="398" t="s">
        <v>142</v>
      </c>
      <c r="C16" s="898"/>
      <c r="D16" s="791">
        <v>926</v>
      </c>
      <c r="E16" s="898"/>
      <c r="F16" s="791">
        <v>43</v>
      </c>
      <c r="G16" s="898"/>
      <c r="H16" s="791">
        <v>926</v>
      </c>
      <c r="I16" s="898"/>
      <c r="J16" s="791">
        <v>43</v>
      </c>
      <c r="K16" s="898"/>
      <c r="L16" s="791">
        <v>485</v>
      </c>
      <c r="M16" s="791"/>
      <c r="N16" s="791">
        <v>603</v>
      </c>
      <c r="O16" s="898"/>
      <c r="P16" s="791">
        <v>15</v>
      </c>
      <c r="Q16" s="898"/>
      <c r="R16" s="791">
        <v>341</v>
      </c>
      <c r="S16" s="898"/>
      <c r="T16" s="791">
        <v>304</v>
      </c>
      <c r="U16" s="898"/>
      <c r="V16" s="791">
        <v>0</v>
      </c>
      <c r="W16" s="898"/>
      <c r="X16" s="791">
        <v>393</v>
      </c>
      <c r="Y16" s="898"/>
      <c r="Z16" s="1406">
        <v>0</v>
      </c>
      <c r="AA16" s="1363"/>
      <c r="AB16" s="1406">
        <v>231</v>
      </c>
      <c r="AC16" s="1363"/>
      <c r="AD16" s="1406">
        <v>22</v>
      </c>
      <c r="AE16" s="1363"/>
      <c r="AF16" s="1406">
        <f>650+27+23</f>
        <v>700</v>
      </c>
      <c r="AG16" s="1363"/>
      <c r="AH16" s="1406">
        <f>30+28</f>
        <v>58</v>
      </c>
      <c r="AI16" s="1363"/>
      <c r="AJ16" s="1406">
        <f>106+26</f>
        <v>132</v>
      </c>
      <c r="AK16" s="1363"/>
      <c r="AL16" s="1406">
        <f>15+263</f>
        <v>278</v>
      </c>
      <c r="AM16" s="898"/>
      <c r="AN16" s="1406">
        <f>232+8</f>
        <v>240</v>
      </c>
      <c r="AO16" s="898"/>
      <c r="AP16" s="791"/>
    </row>
    <row r="17" spans="1:48">
      <c r="A17" s="398" t="s">
        <v>161</v>
      </c>
      <c r="B17" s="398" t="s">
        <v>143</v>
      </c>
      <c r="C17" s="898"/>
      <c r="D17" s="791">
        <v>935</v>
      </c>
      <c r="E17" s="898"/>
      <c r="F17" s="791">
        <v>288</v>
      </c>
      <c r="G17" s="898"/>
      <c r="H17" s="791">
        <v>920</v>
      </c>
      <c r="I17" s="898"/>
      <c r="J17" s="791">
        <v>276</v>
      </c>
      <c r="K17" s="898"/>
      <c r="L17" s="791">
        <v>242</v>
      </c>
      <c r="M17" s="791"/>
      <c r="N17" s="791">
        <v>459</v>
      </c>
      <c r="O17" s="898"/>
      <c r="P17" s="791">
        <v>21</v>
      </c>
      <c r="Q17" s="898"/>
      <c r="R17" s="791">
        <v>434</v>
      </c>
      <c r="S17" s="898"/>
      <c r="T17" s="791">
        <v>203</v>
      </c>
      <c r="U17" s="898"/>
      <c r="V17" s="791">
        <v>0</v>
      </c>
      <c r="W17" s="898"/>
      <c r="X17" s="791">
        <v>393</v>
      </c>
      <c r="Y17" s="898"/>
      <c r="Z17" s="1406">
        <v>0</v>
      </c>
      <c r="AA17" s="1363"/>
      <c r="AB17" s="1406">
        <v>231</v>
      </c>
      <c r="AC17" s="1363"/>
      <c r="AD17" s="1406">
        <f>bal!AD28+bal!AD29</f>
        <v>26</v>
      </c>
      <c r="AE17" s="1363"/>
      <c r="AF17" s="1406">
        <f>bal!AE28+bal!AE29</f>
        <v>700</v>
      </c>
      <c r="AG17" s="1363"/>
      <c r="AH17" s="1406">
        <v>56</v>
      </c>
      <c r="AI17" s="1363"/>
      <c r="AJ17" s="1406">
        <f>bal!AG28+bal!AG29</f>
        <v>127</v>
      </c>
      <c r="AK17" s="1363"/>
      <c r="AL17" s="1406">
        <f>15+263</f>
        <v>278</v>
      </c>
      <c r="AM17" s="898"/>
      <c r="AN17" s="1126">
        <f>bal!AJ28+bal!AJ29</f>
        <v>240</v>
      </c>
      <c r="AO17" s="898"/>
      <c r="AP17" s="1408"/>
    </row>
    <row r="19" spans="1:48">
      <c r="A19" s="1121" t="s">
        <v>169</v>
      </c>
      <c r="B19" s="1121"/>
      <c r="C19" s="1121"/>
      <c r="D19" s="1121"/>
      <c r="E19" s="1121"/>
      <c r="F19" s="1121"/>
      <c r="G19" s="1121"/>
      <c r="H19" s="1121"/>
      <c r="I19" s="1121"/>
      <c r="J19" s="1121"/>
      <c r="K19" s="1121"/>
      <c r="L19" s="1121"/>
      <c r="M19" s="1121"/>
      <c r="N19" s="1121"/>
      <c r="O19" s="1121"/>
      <c r="P19" s="1121"/>
      <c r="Q19" s="1121"/>
      <c r="R19" s="1121"/>
      <c r="S19" s="1121"/>
      <c r="T19" s="1121"/>
      <c r="U19" s="1121"/>
      <c r="V19" s="1121"/>
      <c r="W19" s="1121"/>
      <c r="X19" s="1121"/>
      <c r="Y19" s="1121"/>
      <c r="Z19" s="1121"/>
      <c r="AA19" s="1121"/>
      <c r="AB19" s="1121"/>
      <c r="AC19" s="1121"/>
      <c r="AD19" s="1121"/>
      <c r="AE19" s="1121"/>
      <c r="AF19" s="1121"/>
      <c r="AG19" s="1121"/>
      <c r="AH19" s="1121"/>
      <c r="AI19" s="1121"/>
      <c r="AJ19" s="1121"/>
      <c r="AK19" s="1121"/>
      <c r="AL19" s="1121"/>
      <c r="AM19" s="1121"/>
      <c r="AN19" s="1121"/>
      <c r="AO19" s="1121"/>
      <c r="AP19" s="1121"/>
    </row>
    <row r="20" spans="1:48">
      <c r="A20" s="398" t="s">
        <v>158</v>
      </c>
      <c r="B20" s="398" t="s">
        <v>140</v>
      </c>
      <c r="C20" s="898"/>
      <c r="D20" s="791">
        <v>4746</v>
      </c>
      <c r="E20" s="898"/>
      <c r="F20" s="791">
        <v>5175</v>
      </c>
      <c r="G20" s="898"/>
      <c r="H20" s="791">
        <v>4746</v>
      </c>
      <c r="I20" s="898"/>
      <c r="J20" s="791">
        <v>5136</v>
      </c>
      <c r="K20" s="898"/>
      <c r="L20" s="791">
        <v>5505</v>
      </c>
      <c r="M20" s="791"/>
      <c r="N20" s="791">
        <v>5113</v>
      </c>
      <c r="O20" s="898"/>
      <c r="P20" s="791">
        <v>3461</v>
      </c>
      <c r="Q20" s="898"/>
      <c r="R20" s="791">
        <v>3116</v>
      </c>
      <c r="S20" s="898"/>
      <c r="T20" s="791">
        <v>3706</v>
      </c>
      <c r="U20" s="898"/>
      <c r="V20" s="791">
        <v>3505</v>
      </c>
      <c r="W20" s="898"/>
      <c r="X20" s="791">
        <v>2999</v>
      </c>
      <c r="Y20" s="898"/>
      <c r="Z20" s="1406">
        <v>2999</v>
      </c>
      <c r="AA20" s="1363"/>
      <c r="AB20" s="1406">
        <v>3099</v>
      </c>
      <c r="AC20" s="1363"/>
      <c r="AD20" s="1406">
        <v>2871</v>
      </c>
      <c r="AE20" s="1363"/>
      <c r="AF20" s="1406">
        <f>2868+82</f>
        <v>2950</v>
      </c>
      <c r="AG20" s="1363"/>
      <c r="AH20" s="1406">
        <f>4834+57</f>
        <v>4891</v>
      </c>
      <c r="AI20" s="1363"/>
      <c r="AJ20" s="1406">
        <v>5226</v>
      </c>
      <c r="AK20" s="1363"/>
      <c r="AL20" s="1406">
        <f>4388</f>
        <v>4388</v>
      </c>
      <c r="AM20" s="1363"/>
      <c r="AN20" s="1406">
        <v>4066</v>
      </c>
      <c r="AO20" s="1363"/>
      <c r="AP20" s="1406"/>
    </row>
    <row r="21" spans="1:48">
      <c r="A21" s="398" t="s">
        <v>159</v>
      </c>
      <c r="B21" s="398" t="s">
        <v>141</v>
      </c>
      <c r="C21" s="898"/>
      <c r="D21" s="791">
        <v>4545</v>
      </c>
      <c r="E21" s="898"/>
      <c r="F21" s="791">
        <v>5172</v>
      </c>
      <c r="G21" s="898"/>
      <c r="H21" s="791">
        <v>4545</v>
      </c>
      <c r="I21" s="898"/>
      <c r="J21" s="791">
        <v>5139</v>
      </c>
      <c r="K21" s="898"/>
      <c r="L21" s="791">
        <v>5128</v>
      </c>
      <c r="M21" s="791"/>
      <c r="N21" s="791">
        <v>3960</v>
      </c>
      <c r="O21" s="898"/>
      <c r="P21" s="791">
        <v>3457</v>
      </c>
      <c r="Q21" s="898"/>
      <c r="R21" s="791">
        <v>3114</v>
      </c>
      <c r="S21" s="898"/>
      <c r="T21" s="791">
        <v>3705</v>
      </c>
      <c r="U21" s="898"/>
      <c r="V21" s="791">
        <v>3505</v>
      </c>
      <c r="W21" s="898"/>
      <c r="X21" s="791">
        <v>2999</v>
      </c>
      <c r="Y21" s="898"/>
      <c r="Z21" s="1406">
        <v>3099</v>
      </c>
      <c r="AA21" s="1363"/>
      <c r="AB21" s="1406">
        <v>3099</v>
      </c>
      <c r="AC21" s="1363"/>
      <c r="AD21" s="1406">
        <v>2901</v>
      </c>
      <c r="AE21" s="1363"/>
      <c r="AF21" s="1406">
        <f>4850+71</f>
        <v>4921</v>
      </c>
      <c r="AG21" s="1363"/>
      <c r="AH21" s="1406">
        <v>5227</v>
      </c>
      <c r="AI21" s="1363"/>
      <c r="AJ21" s="1406">
        <v>5225</v>
      </c>
      <c r="AK21" s="1363"/>
      <c r="AL21" s="1406">
        <v>4356</v>
      </c>
      <c r="AM21" s="1363"/>
      <c r="AN21" s="1406">
        <v>3836</v>
      </c>
      <c r="AO21" s="1363"/>
      <c r="AP21" s="1406"/>
    </row>
    <row r="22" spans="1:48">
      <c r="A22" s="398" t="s">
        <v>160</v>
      </c>
      <c r="B22" s="398" t="s">
        <v>142</v>
      </c>
      <c r="C22" s="898"/>
      <c r="D22" s="791">
        <v>5193</v>
      </c>
      <c r="E22" s="898"/>
      <c r="F22" s="791">
        <v>5158</v>
      </c>
      <c r="G22" s="898"/>
      <c r="H22" s="791">
        <v>5193</v>
      </c>
      <c r="I22" s="898"/>
      <c r="J22" s="791">
        <v>5135</v>
      </c>
      <c r="K22" s="898"/>
      <c r="L22" s="791">
        <v>5103</v>
      </c>
      <c r="M22" s="791"/>
      <c r="N22" s="791">
        <v>3955</v>
      </c>
      <c r="O22" s="898"/>
      <c r="P22" s="791">
        <v>3454</v>
      </c>
      <c r="Q22" s="898"/>
      <c r="R22" s="791">
        <v>3112</v>
      </c>
      <c r="S22" s="898"/>
      <c r="T22" s="791">
        <v>3505</v>
      </c>
      <c r="U22" s="898"/>
      <c r="V22" s="791">
        <v>3505</v>
      </c>
      <c r="W22" s="898"/>
      <c r="X22" s="791">
        <v>2999</v>
      </c>
      <c r="Y22" s="898"/>
      <c r="Z22" s="1406">
        <v>3099</v>
      </c>
      <c r="AA22" s="1363"/>
      <c r="AB22" s="1406">
        <v>2871</v>
      </c>
      <c r="AC22" s="1363"/>
      <c r="AD22" s="1406">
        <f>2868+75</f>
        <v>2943</v>
      </c>
      <c r="AE22" s="1363"/>
      <c r="AF22" s="1406">
        <f>67+4845</f>
        <v>4912</v>
      </c>
      <c r="AG22" s="1363"/>
      <c r="AH22" s="1409">
        <v>5229</v>
      </c>
      <c r="AI22" s="1363"/>
      <c r="AJ22" s="1409">
        <v>5147</v>
      </c>
      <c r="AK22" s="1363"/>
      <c r="AL22" s="1406">
        <v>4509</v>
      </c>
      <c r="AM22" s="898"/>
      <c r="AN22" s="1406">
        <v>4039</v>
      </c>
      <c r="AO22" s="898"/>
      <c r="AP22" s="791"/>
    </row>
    <row r="23" spans="1:48">
      <c r="A23" s="398" t="s">
        <v>161</v>
      </c>
      <c r="B23" s="398" t="s">
        <v>143</v>
      </c>
      <c r="C23" s="898"/>
      <c r="D23" s="791">
        <v>5179</v>
      </c>
      <c r="E23" s="898"/>
      <c r="F23" s="791">
        <v>4940</v>
      </c>
      <c r="G23" s="898"/>
      <c r="H23" s="791">
        <v>5140</v>
      </c>
      <c r="I23" s="898"/>
      <c r="J23" s="791">
        <v>4897</v>
      </c>
      <c r="K23" s="898"/>
      <c r="L23" s="791">
        <v>5114</v>
      </c>
      <c r="M23" s="791"/>
      <c r="N23" s="791">
        <v>3464</v>
      </c>
      <c r="O23" s="898"/>
      <c r="P23" s="791">
        <v>3444</v>
      </c>
      <c r="Q23" s="898"/>
      <c r="R23" s="791">
        <v>3010</v>
      </c>
      <c r="S23" s="898"/>
      <c r="T23" s="791">
        <v>3505</v>
      </c>
      <c r="U23" s="898"/>
      <c r="V23" s="791">
        <v>3505</v>
      </c>
      <c r="W23" s="898"/>
      <c r="X23" s="791">
        <v>2999</v>
      </c>
      <c r="Y23" s="898"/>
      <c r="Z23" s="1406">
        <v>3099</v>
      </c>
      <c r="AA23" s="1363"/>
      <c r="AB23" s="1406">
        <v>2871</v>
      </c>
      <c r="AC23" s="1363"/>
      <c r="AD23" s="1406">
        <f>bal!AD33</f>
        <v>2956</v>
      </c>
      <c r="AE23" s="1363"/>
      <c r="AF23" s="1406">
        <f>bal!AE33</f>
        <v>4901</v>
      </c>
      <c r="AG23" s="1363"/>
      <c r="AH23" s="1406">
        <f>5322+38</f>
        <v>5360</v>
      </c>
      <c r="AI23" s="1363"/>
      <c r="AJ23" s="1406">
        <f>bal!AG33</f>
        <v>4678</v>
      </c>
      <c r="AK23" s="1363"/>
      <c r="AL23" s="1406">
        <v>4339</v>
      </c>
      <c r="AM23" s="898"/>
      <c r="AN23" s="1126">
        <f>bal!AJ33</f>
        <v>3827</v>
      </c>
      <c r="AO23" s="898"/>
      <c r="AP23" s="1408"/>
    </row>
    <row r="24" spans="1:48">
      <c r="C24" s="898"/>
      <c r="D24" s="898"/>
      <c r="E24" s="898"/>
      <c r="F24" s="898"/>
      <c r="G24" s="898"/>
      <c r="H24" s="898"/>
      <c r="I24" s="898"/>
      <c r="J24" s="898"/>
      <c r="K24" s="898"/>
      <c r="L24" s="898"/>
      <c r="M24" s="898"/>
      <c r="N24" s="898"/>
      <c r="O24" s="898"/>
      <c r="P24" s="898"/>
      <c r="Q24" s="898"/>
      <c r="R24" s="898"/>
      <c r="S24" s="898"/>
      <c r="T24" s="898"/>
      <c r="U24" s="898"/>
      <c r="V24" s="898"/>
      <c r="W24" s="898"/>
      <c r="X24" s="898"/>
      <c r="Y24" s="898"/>
      <c r="Z24" s="898"/>
      <c r="AA24" s="898"/>
      <c r="AB24" s="898"/>
      <c r="AC24" s="898"/>
      <c r="AD24" s="898"/>
      <c r="AE24" s="898"/>
      <c r="AF24" s="898"/>
      <c r="AG24" s="898"/>
      <c r="AH24" s="898"/>
      <c r="AI24" s="898"/>
      <c r="AJ24" s="898"/>
      <c r="AK24" s="898"/>
      <c r="AL24" s="898"/>
      <c r="AM24" s="898"/>
      <c r="AN24" s="898"/>
      <c r="AO24" s="898"/>
      <c r="AP24" s="898"/>
    </row>
    <row r="25" spans="1:48">
      <c r="A25" s="1121" t="s">
        <v>170</v>
      </c>
      <c r="B25" s="1157"/>
      <c r="C25" s="1157"/>
      <c r="D25" s="1157"/>
      <c r="E25" s="1157"/>
      <c r="F25" s="1157"/>
      <c r="G25" s="1157"/>
      <c r="H25" s="1157"/>
      <c r="I25" s="1157"/>
      <c r="J25" s="1157"/>
      <c r="K25" s="1157"/>
      <c r="L25" s="1157"/>
      <c r="M25" s="1157"/>
      <c r="N25" s="1157"/>
      <c r="O25" s="1157"/>
      <c r="P25" s="1157"/>
      <c r="Q25" s="1157"/>
      <c r="R25" s="1157"/>
      <c r="S25" s="1157"/>
      <c r="T25" s="1157"/>
      <c r="U25" s="1157"/>
      <c r="V25" s="1157"/>
      <c r="W25" s="1157"/>
      <c r="X25" s="1157"/>
      <c r="Y25" s="1157"/>
      <c r="Z25" s="1157"/>
      <c r="AA25" s="1157"/>
      <c r="AB25" s="1157"/>
      <c r="AC25" s="1157"/>
      <c r="AD25" s="1157"/>
      <c r="AE25" s="1157"/>
      <c r="AF25" s="1157"/>
      <c r="AG25" s="1157"/>
      <c r="AH25" s="1157"/>
      <c r="AI25" s="1157"/>
      <c r="AJ25" s="1157"/>
      <c r="AK25" s="1157"/>
      <c r="AL25" s="1157"/>
      <c r="AM25" s="1157"/>
      <c r="AN25" s="1157"/>
      <c r="AO25" s="1157"/>
      <c r="AP25" s="1157"/>
    </row>
    <row r="26" spans="1:48">
      <c r="A26" s="398" t="s">
        <v>158</v>
      </c>
      <c r="B26" s="398" t="s">
        <v>140</v>
      </c>
      <c r="D26" s="680">
        <f>D20+D14</f>
        <v>5456</v>
      </c>
      <c r="F26" s="680">
        <f>F20+F14</f>
        <v>5425</v>
      </c>
      <c r="H26" s="680">
        <f>H20+H14</f>
        <v>5456</v>
      </c>
      <c r="J26" s="680">
        <f>J20+J14</f>
        <v>5390</v>
      </c>
      <c r="L26" s="680">
        <f>L20+L14</f>
        <v>5783</v>
      </c>
      <c r="N26" s="680">
        <f>N20+N14</f>
        <v>5356</v>
      </c>
      <c r="P26" s="680">
        <f>P20+P14</f>
        <v>3797</v>
      </c>
      <c r="R26" s="680">
        <f>R20+R14</f>
        <v>3461</v>
      </c>
      <c r="T26" s="680">
        <f>T20+T14</f>
        <v>4116</v>
      </c>
      <c r="V26" s="680">
        <f>V20+V14</f>
        <v>3707</v>
      </c>
      <c r="X26" s="680">
        <f>X20+X14</f>
        <v>3505</v>
      </c>
      <c r="Y26" s="895"/>
      <c r="Z26" s="680">
        <f>Z20+Z14</f>
        <v>2999</v>
      </c>
      <c r="AA26" s="895"/>
      <c r="AB26" s="680">
        <f>AB20+AB14</f>
        <v>3099</v>
      </c>
      <c r="AC26" s="895"/>
      <c r="AD26" s="680">
        <f>AD20+AD14</f>
        <v>3102</v>
      </c>
      <c r="AE26" s="895"/>
      <c r="AF26" s="680">
        <f>AF20+AF14</f>
        <v>3826</v>
      </c>
      <c r="AG26" s="895"/>
      <c r="AH26" s="680">
        <f>AH20+AH14</f>
        <v>5594</v>
      </c>
      <c r="AI26" s="895"/>
      <c r="AJ26" s="680">
        <f>AJ20+AJ14</f>
        <v>5294</v>
      </c>
      <c r="AK26" s="895"/>
      <c r="AL26" s="680">
        <f>AL20+AL14</f>
        <v>4726</v>
      </c>
      <c r="AM26" s="895"/>
      <c r="AN26" s="680">
        <f>AN20+AN14</f>
        <v>4385</v>
      </c>
      <c r="AO26" s="895"/>
      <c r="AP26" s="680"/>
    </row>
    <row r="27" spans="1:48">
      <c r="A27" s="398" t="s">
        <v>159</v>
      </c>
      <c r="B27" s="398" t="s">
        <v>141</v>
      </c>
      <c r="D27" s="680">
        <f t="shared" ref="D27:F29" si="0">D21+D15</f>
        <v>5473</v>
      </c>
      <c r="F27" s="680">
        <f t="shared" si="0"/>
        <v>5203</v>
      </c>
      <c r="H27" s="680">
        <f>H21+H15</f>
        <v>5473</v>
      </c>
      <c r="J27" s="680">
        <f>J21+J15</f>
        <v>5170</v>
      </c>
      <c r="L27" s="680">
        <f>L21+L15</f>
        <v>5754</v>
      </c>
      <c r="N27" s="680">
        <f>N21+N15</f>
        <v>5125</v>
      </c>
      <c r="P27" s="680">
        <f>P21+P15</f>
        <v>3472</v>
      </c>
      <c r="R27" s="680">
        <f>R21+R15</f>
        <v>3457</v>
      </c>
      <c r="T27" s="680">
        <f>T21+T15</f>
        <v>3810</v>
      </c>
      <c r="V27" s="680">
        <f>V21+V15</f>
        <v>3706</v>
      </c>
      <c r="X27" s="680">
        <f>X21+X15</f>
        <v>3392</v>
      </c>
      <c r="Y27" s="756"/>
      <c r="Z27" s="680">
        <f>Z21+Z15</f>
        <v>3099</v>
      </c>
      <c r="AA27" s="756"/>
      <c r="AB27" s="680">
        <f>AB21+AB15</f>
        <v>3099</v>
      </c>
      <c r="AC27" s="756"/>
      <c r="AD27" s="680">
        <f>AD21+AD15</f>
        <v>3151</v>
      </c>
      <c r="AE27" s="756"/>
      <c r="AF27" s="680">
        <f>AF21+AF15</f>
        <v>5825</v>
      </c>
      <c r="AG27" s="756"/>
      <c r="AH27" s="680">
        <f>AH21+AH15</f>
        <v>5285</v>
      </c>
      <c r="AI27" s="756"/>
      <c r="AJ27" s="680">
        <f>AJ21+AJ15</f>
        <v>5280</v>
      </c>
      <c r="AK27" s="756"/>
      <c r="AL27" s="680">
        <f>AL21+AL15</f>
        <v>4715</v>
      </c>
      <c r="AM27" s="756"/>
      <c r="AN27" s="680">
        <f>AN21+AN15</f>
        <v>4077</v>
      </c>
      <c r="AO27" s="756"/>
      <c r="AP27" s="680"/>
    </row>
    <row r="28" spans="1:48">
      <c r="A28" s="398" t="s">
        <v>160</v>
      </c>
      <c r="B28" s="398" t="s">
        <v>142</v>
      </c>
      <c r="D28" s="680">
        <f t="shared" si="0"/>
        <v>6119</v>
      </c>
      <c r="F28" s="680">
        <f t="shared" si="0"/>
        <v>5201</v>
      </c>
      <c r="H28" s="680">
        <f>H22+H16</f>
        <v>6119</v>
      </c>
      <c r="J28" s="680">
        <f>J22+J16</f>
        <v>5178</v>
      </c>
      <c r="L28" s="680">
        <f>L22+L16</f>
        <v>5588</v>
      </c>
      <c r="N28" s="680">
        <f>N22+N16</f>
        <v>4558</v>
      </c>
      <c r="P28" s="680">
        <f>P22+P16</f>
        <v>3469</v>
      </c>
      <c r="R28" s="680">
        <f>R22+R16</f>
        <v>3453</v>
      </c>
      <c r="T28" s="680">
        <f>T22+T16</f>
        <v>3809</v>
      </c>
      <c r="V28" s="680">
        <f>V22+V16</f>
        <v>3505</v>
      </c>
      <c r="X28" s="680">
        <f>X22+X16</f>
        <v>3392</v>
      </c>
      <c r="Y28" s="756"/>
      <c r="Z28" s="680">
        <f>Z22+Z16</f>
        <v>3099</v>
      </c>
      <c r="AA28" s="756"/>
      <c r="AB28" s="680">
        <f>AB22+AB16</f>
        <v>3102</v>
      </c>
      <c r="AC28" s="756"/>
      <c r="AD28" s="680">
        <f>AD22+AD16</f>
        <v>2965</v>
      </c>
      <c r="AE28" s="756"/>
      <c r="AF28" s="680">
        <f>AF22+AF16</f>
        <v>5612</v>
      </c>
      <c r="AG28" s="756"/>
      <c r="AH28" s="680">
        <f>AH22+AH16</f>
        <v>5287</v>
      </c>
      <c r="AI28" s="756"/>
      <c r="AJ28" s="680">
        <f>AJ22+AJ16</f>
        <v>5279</v>
      </c>
      <c r="AK28" s="756"/>
      <c r="AL28" s="680">
        <f>AL22+AL16</f>
        <v>4787</v>
      </c>
      <c r="AM28" s="756"/>
      <c r="AN28" s="680">
        <f>AN22+AN16</f>
        <v>4279</v>
      </c>
      <c r="AO28" s="756"/>
      <c r="AP28" s="680"/>
      <c r="AS28" s="398" t="s">
        <v>674</v>
      </c>
      <c r="AT28" s="398" t="s">
        <v>675</v>
      </c>
      <c r="AU28" s="398" t="s">
        <v>676</v>
      </c>
    </row>
    <row r="29" spans="1:48">
      <c r="A29" s="398" t="s">
        <v>161</v>
      </c>
      <c r="B29" s="398" t="s">
        <v>143</v>
      </c>
      <c r="D29" s="680">
        <f t="shared" si="0"/>
        <v>6114</v>
      </c>
      <c r="F29" s="680">
        <f t="shared" si="0"/>
        <v>5228</v>
      </c>
      <c r="H29" s="680">
        <f>H23+H17</f>
        <v>6060</v>
      </c>
      <c r="J29" s="680">
        <f>J23+J17</f>
        <v>5173</v>
      </c>
      <c r="L29" s="680">
        <f>L23+L17</f>
        <v>5356</v>
      </c>
      <c r="N29" s="680">
        <f>N23+N17</f>
        <v>3923</v>
      </c>
      <c r="P29" s="680">
        <f>P23+P17</f>
        <v>3465</v>
      </c>
      <c r="R29" s="680">
        <f>R23+R17</f>
        <v>3444</v>
      </c>
      <c r="T29" s="680">
        <f>T23+T17</f>
        <v>3708</v>
      </c>
      <c r="V29" s="680">
        <f>V23+V17</f>
        <v>3505</v>
      </c>
      <c r="X29" s="680">
        <f>X23+X17</f>
        <v>3392</v>
      </c>
      <c r="Y29" s="756"/>
      <c r="Z29" s="680">
        <f>Z23+Z17</f>
        <v>3099</v>
      </c>
      <c r="AA29" s="756"/>
      <c r="AB29" s="680">
        <f>AB23+AB17</f>
        <v>3102</v>
      </c>
      <c r="AC29" s="756"/>
      <c r="AD29" s="680">
        <f>AD23+AD17</f>
        <v>2982</v>
      </c>
      <c r="AE29" s="756"/>
      <c r="AF29" s="680">
        <f>AF23+AF17</f>
        <v>5601</v>
      </c>
      <c r="AG29" s="756"/>
      <c r="AH29" s="680">
        <f>AH23+AH17</f>
        <v>5416</v>
      </c>
      <c r="AI29" s="756"/>
      <c r="AJ29" s="680">
        <f>AJ23+AJ17</f>
        <v>4805</v>
      </c>
      <c r="AK29" s="756"/>
      <c r="AL29" s="680">
        <f>AL23+AL17</f>
        <v>4617</v>
      </c>
      <c r="AM29" s="756"/>
      <c r="AN29" s="680">
        <f>AN23+AN17</f>
        <v>4067</v>
      </c>
      <c r="AO29" s="756"/>
      <c r="AP29" s="680"/>
      <c r="AS29" s="398">
        <f>9.8</f>
        <v>9.8000000000000007</v>
      </c>
      <c r="AT29" s="398">
        <f>'qtrP&amp;L'!$DP$224</f>
        <v>305.89999999999998</v>
      </c>
      <c r="AU29" s="680">
        <f>AJ23</f>
        <v>4678</v>
      </c>
      <c r="AV29" s="398">
        <f>AS29*AT29</f>
        <v>2997.82</v>
      </c>
    </row>
    <row r="31" spans="1:48">
      <c r="A31" s="1121" t="s">
        <v>171</v>
      </c>
      <c r="B31" s="1157"/>
      <c r="C31" s="1157"/>
      <c r="D31" s="1157"/>
      <c r="E31" s="1157"/>
      <c r="F31" s="1157"/>
      <c r="G31" s="1157"/>
      <c r="H31" s="1157"/>
      <c r="I31" s="1157"/>
      <c r="J31" s="1157"/>
      <c r="K31" s="1157"/>
      <c r="L31" s="1157"/>
      <c r="M31" s="1157"/>
      <c r="N31" s="1157"/>
      <c r="O31" s="1157"/>
      <c r="P31" s="1157"/>
      <c r="Q31" s="1157"/>
      <c r="R31" s="1157"/>
      <c r="S31" s="1157"/>
      <c r="T31" s="1157"/>
      <c r="U31" s="1157"/>
      <c r="V31" s="1157"/>
      <c r="W31" s="1157"/>
      <c r="X31" s="1157"/>
      <c r="Y31" s="1157"/>
      <c r="Z31" s="1157"/>
      <c r="AA31" s="1157"/>
      <c r="AB31" s="1157"/>
      <c r="AC31" s="1157"/>
      <c r="AD31" s="1157"/>
      <c r="AE31" s="1157"/>
      <c r="AF31" s="1157"/>
      <c r="AG31" s="1157"/>
      <c r="AH31" s="1157"/>
      <c r="AI31" s="1157"/>
      <c r="AJ31" s="1157"/>
      <c r="AK31" s="1157"/>
      <c r="AL31" s="1157"/>
      <c r="AM31" s="1157"/>
      <c r="AN31" s="1157"/>
      <c r="AO31" s="1157"/>
      <c r="AP31" s="1157"/>
    </row>
    <row r="32" spans="1:48">
      <c r="A32" s="398" t="s">
        <v>158</v>
      </c>
      <c r="B32" s="398" t="s">
        <v>140</v>
      </c>
      <c r="D32" s="680">
        <f>D26-D8</f>
        <v>4888</v>
      </c>
      <c r="F32" s="680">
        <f>F26-F8</f>
        <v>3151</v>
      </c>
      <c r="H32" s="680">
        <f>H26-H8</f>
        <v>4888</v>
      </c>
      <c r="J32" s="680">
        <f>J26-J8</f>
        <v>3142</v>
      </c>
      <c r="L32" s="680">
        <f>L26-L8</f>
        <v>3174</v>
      </c>
      <c r="N32" s="680">
        <f>N26-N8</f>
        <v>2359</v>
      </c>
      <c r="P32" s="680">
        <f>P26-P8</f>
        <v>-318.43059479553904</v>
      </c>
      <c r="R32" s="680">
        <f>R26-R8</f>
        <v>669.86940520446115</v>
      </c>
      <c r="T32" s="680">
        <f>T26-T8</f>
        <v>966.86940520446115</v>
      </c>
      <c r="V32" s="680">
        <f>V26-V8</f>
        <v>1662.8694052044611</v>
      </c>
      <c r="X32" s="680">
        <f>X26-X8</f>
        <v>1367.3730245592997</v>
      </c>
      <c r="Y32" s="895"/>
      <c r="Z32" s="680">
        <f>Z26-Z8</f>
        <v>620.79102455929933</v>
      </c>
      <c r="AA32" s="895"/>
      <c r="AB32" s="680">
        <f>AB26-AB8</f>
        <v>1331.7910245592993</v>
      </c>
      <c r="AC32" s="895"/>
      <c r="AD32" s="680">
        <f>AD26-AD8</f>
        <v>2262.9293976329773</v>
      </c>
      <c r="AE32" s="895"/>
      <c r="AF32" s="680">
        <f>AF26-AF8</f>
        <v>3005</v>
      </c>
      <c r="AG32" s="895"/>
      <c r="AH32" s="680">
        <f>AH26-AH8</f>
        <v>4424</v>
      </c>
      <c r="AI32" s="895"/>
      <c r="AJ32" s="680">
        <f>AJ26-AJ8</f>
        <v>4250</v>
      </c>
      <c r="AK32" s="895"/>
      <c r="AL32" s="680">
        <f>AL26-AL8</f>
        <v>4311</v>
      </c>
      <c r="AM32" s="895"/>
      <c r="AN32" s="680">
        <f>AN26-AN8</f>
        <v>4022</v>
      </c>
      <c r="AO32" s="895"/>
      <c r="AP32" s="680"/>
    </row>
    <row r="33" spans="1:42">
      <c r="A33" s="398" t="s">
        <v>159</v>
      </c>
      <c r="B33" s="398" t="s">
        <v>141</v>
      </c>
      <c r="D33" s="680">
        <f t="shared" ref="D33:F35" si="1">D27-D9</f>
        <v>3777</v>
      </c>
      <c r="F33" s="680">
        <f t="shared" si="1"/>
        <v>3199</v>
      </c>
      <c r="H33" s="680">
        <f>H27-H9</f>
        <v>3777</v>
      </c>
      <c r="J33" s="680">
        <f>J27-J9</f>
        <v>3192</v>
      </c>
      <c r="L33" s="680">
        <f>L27-L9</f>
        <v>3166</v>
      </c>
      <c r="N33" s="680">
        <f>N27-N9</f>
        <v>-2258.37</v>
      </c>
      <c r="P33" s="680">
        <f>P27-P9</f>
        <v>86.569405204460963</v>
      </c>
      <c r="R33" s="680">
        <f>R27-R9</f>
        <v>1082.8694052044611</v>
      </c>
      <c r="T33" s="680">
        <f>T27-T9</f>
        <v>1512.8694052044611</v>
      </c>
      <c r="V33" s="680">
        <f>V27-V9</f>
        <v>1462.8694052044611</v>
      </c>
      <c r="X33" s="680">
        <f>X27-X9</f>
        <v>1079.9910245592996</v>
      </c>
      <c r="Y33" s="756"/>
      <c r="Z33" s="680">
        <f>Z27-Z9</f>
        <v>1095.7910245592993</v>
      </c>
      <c r="AA33" s="756"/>
      <c r="AB33" s="680">
        <f>AB27-AB9</f>
        <v>1547.8693976329773</v>
      </c>
      <c r="AC33" s="756"/>
      <c r="AD33" s="680">
        <f>AD27-AD9</f>
        <v>2262.9293976329773</v>
      </c>
      <c r="AE33" s="756"/>
      <c r="AF33" s="680">
        <f>AF27-AF9</f>
        <v>4290</v>
      </c>
      <c r="AG33" s="756"/>
      <c r="AH33" s="680">
        <f>AH27-AH9</f>
        <v>4249</v>
      </c>
      <c r="AI33" s="756"/>
      <c r="AJ33" s="680">
        <f>AJ27-AJ9</f>
        <v>4307</v>
      </c>
      <c r="AK33" s="756"/>
      <c r="AL33" s="680">
        <f>AL27-AL9</f>
        <v>4286</v>
      </c>
      <c r="AM33" s="756"/>
      <c r="AN33" s="680">
        <f>AN27-AN9</f>
        <v>3763</v>
      </c>
      <c r="AO33" s="756"/>
      <c r="AP33" s="680"/>
    </row>
    <row r="34" spans="1:42">
      <c r="A34" s="398" t="s">
        <v>160</v>
      </c>
      <c r="B34" s="398" t="s">
        <v>142</v>
      </c>
      <c r="D34" s="680">
        <f t="shared" si="1"/>
        <v>4328</v>
      </c>
      <c r="F34" s="680">
        <f t="shared" si="1"/>
        <v>3453</v>
      </c>
      <c r="H34" s="680">
        <f>H28-H10</f>
        <v>4328</v>
      </c>
      <c r="J34" s="680">
        <f>J28-J10</f>
        <v>3456</v>
      </c>
      <c r="L34" s="680">
        <f>L28-L10</f>
        <v>3698</v>
      </c>
      <c r="N34" s="680">
        <f>N28-N10</f>
        <v>16.630000000000109</v>
      </c>
      <c r="P34" s="680">
        <f>P28-P10</f>
        <v>1424.9694052044611</v>
      </c>
      <c r="R34" s="680">
        <f>R28-R10</f>
        <v>1476.8694052044611</v>
      </c>
      <c r="T34" s="680">
        <f>T28-T10</f>
        <v>1981.8694052044611</v>
      </c>
      <c r="V34" s="680">
        <f>V28-V10</f>
        <v>1881.3730245592999</v>
      </c>
      <c r="X34" s="680">
        <f>X28-X10</f>
        <v>1262.9910245592996</v>
      </c>
      <c r="Y34" s="756"/>
      <c r="Z34" s="680">
        <f>Z28-Z10</f>
        <v>1432.7910245592993</v>
      </c>
      <c r="AA34" s="756"/>
      <c r="AB34" s="680">
        <f>AB28-AB10</f>
        <v>2017.1993976329773</v>
      </c>
      <c r="AC34" s="756"/>
      <c r="AD34" s="680">
        <f>AD28-AD10</f>
        <v>2440</v>
      </c>
      <c r="AE34" s="756"/>
      <c r="AF34" s="680">
        <f>AF28-AF10</f>
        <v>4385</v>
      </c>
      <c r="AG34" s="756"/>
      <c r="AH34" s="680">
        <f>AH28-AH10</f>
        <v>4603</v>
      </c>
      <c r="AI34" s="756"/>
      <c r="AJ34" s="680">
        <f>AJ28-AJ10</f>
        <v>4641</v>
      </c>
      <c r="AK34" s="756"/>
      <c r="AL34" s="680">
        <f>AL28-AL10</f>
        <v>4604</v>
      </c>
      <c r="AM34" s="756"/>
      <c r="AN34" s="680">
        <f>AN28-AN10</f>
        <v>4094</v>
      </c>
      <c r="AO34" s="756"/>
      <c r="AP34" s="680"/>
    </row>
    <row r="35" spans="1:42">
      <c r="A35" s="398" t="s">
        <v>161</v>
      </c>
      <c r="B35" s="398" t="s">
        <v>143</v>
      </c>
      <c r="D35" s="680">
        <f t="shared" si="1"/>
        <v>3274</v>
      </c>
      <c r="F35" s="680">
        <f t="shared" si="1"/>
        <v>2754</v>
      </c>
      <c r="H35" s="680">
        <f>H29-H11</f>
        <v>3246</v>
      </c>
      <c r="J35" s="680">
        <f>J29-J11</f>
        <v>2719</v>
      </c>
      <c r="L35" s="680">
        <f>L29-L11</f>
        <v>2392</v>
      </c>
      <c r="N35" s="680">
        <f>N29-N11</f>
        <v>-726.36999999999989</v>
      </c>
      <c r="P35" s="680">
        <f>P29-P11</f>
        <v>448.86940520446115</v>
      </c>
      <c r="R35" s="680">
        <f>R29-R11</f>
        <v>640.86940520446115</v>
      </c>
      <c r="T35" s="680">
        <f>T29-T11</f>
        <v>1175.8694052044611</v>
      </c>
      <c r="V35" s="680">
        <f>V29-V11</f>
        <v>1153.3730245592997</v>
      </c>
      <c r="X35" s="680">
        <f>X29-X11</f>
        <v>380.79102455929933</v>
      </c>
      <c r="Y35" s="756"/>
      <c r="Z35" s="680">
        <f>Z29-Z11</f>
        <v>476.79102455929933</v>
      </c>
      <c r="AA35" s="756"/>
      <c r="AB35" s="680">
        <f>AB29-AB11</f>
        <v>1594.9293976329773</v>
      </c>
      <c r="AC35" s="756"/>
      <c r="AD35" s="680">
        <f>AD29-AD11</f>
        <v>2052</v>
      </c>
      <c r="AE35" s="756"/>
      <c r="AF35" s="680">
        <f>AF29-AF11</f>
        <v>4086</v>
      </c>
      <c r="AG35" s="756"/>
      <c r="AH35" s="680">
        <f>AH29-AH11</f>
        <v>4098</v>
      </c>
      <c r="AI35" s="756"/>
      <c r="AJ35" s="680">
        <f>AJ29-AJ11</f>
        <v>3904.9999665984988</v>
      </c>
      <c r="AK35" s="756"/>
      <c r="AL35" s="680">
        <f>AL29-AL11</f>
        <v>3730</v>
      </c>
      <c r="AM35" s="756"/>
      <c r="AN35" s="680">
        <f>AN29-AN11</f>
        <v>3609.3199665984985</v>
      </c>
      <c r="AO35" s="756"/>
      <c r="AP35" s="680"/>
    </row>
    <row r="37" spans="1:42">
      <c r="A37" s="1121" t="s">
        <v>172</v>
      </c>
      <c r="B37" s="1121"/>
      <c r="C37" s="1121"/>
      <c r="D37" s="1121"/>
      <c r="E37" s="1121"/>
      <c r="F37" s="1121"/>
      <c r="G37" s="1121"/>
      <c r="H37" s="1121"/>
      <c r="I37" s="1121"/>
      <c r="J37" s="1121"/>
      <c r="K37" s="1121"/>
      <c r="L37" s="1121"/>
      <c r="M37" s="1121"/>
      <c r="N37" s="1121"/>
      <c r="O37" s="1121"/>
      <c r="P37" s="1121"/>
      <c r="Q37" s="1121"/>
      <c r="R37" s="1121"/>
      <c r="S37" s="1121"/>
      <c r="T37" s="1121"/>
      <c r="U37" s="1121"/>
      <c r="V37" s="1121"/>
      <c r="W37" s="1121"/>
      <c r="X37" s="1121"/>
      <c r="Y37" s="1121"/>
      <c r="Z37" s="1121"/>
      <c r="AA37" s="1121"/>
      <c r="AB37" s="1121"/>
      <c r="AC37" s="1121"/>
      <c r="AD37" s="1121"/>
      <c r="AE37" s="1121"/>
      <c r="AF37" s="1121"/>
      <c r="AG37" s="1121"/>
      <c r="AH37" s="1121"/>
      <c r="AI37" s="1121"/>
      <c r="AJ37" s="1121"/>
      <c r="AK37" s="1121"/>
      <c r="AL37" s="1121"/>
      <c r="AM37" s="1121"/>
      <c r="AN37" s="1121"/>
      <c r="AO37" s="1121"/>
      <c r="AP37" s="1121"/>
    </row>
    <row r="38" spans="1:42">
      <c r="A38" s="398" t="s">
        <v>158</v>
      </c>
      <c r="B38" s="398" t="s">
        <v>140</v>
      </c>
      <c r="C38" s="898"/>
      <c r="D38" s="1158">
        <v>6215</v>
      </c>
      <c r="E38" s="898"/>
      <c r="F38" s="1158">
        <v>6245</v>
      </c>
      <c r="G38" s="898"/>
      <c r="H38" s="1158">
        <v>6215</v>
      </c>
      <c r="I38" s="898"/>
      <c r="J38" s="1158">
        <v>6245</v>
      </c>
      <c r="K38" s="898"/>
      <c r="L38" s="1158">
        <v>6462</v>
      </c>
      <c r="M38" s="898"/>
      <c r="N38" s="1158">
        <v>5598</v>
      </c>
      <c r="O38" s="898"/>
      <c r="P38" s="1158">
        <v>4762</v>
      </c>
      <c r="Q38" s="898"/>
      <c r="R38" s="1158">
        <v>4249</v>
      </c>
      <c r="S38" s="898"/>
      <c r="T38" s="1158">
        <v>4522</v>
      </c>
      <c r="U38" s="898"/>
      <c r="V38" s="1158">
        <v>5093</v>
      </c>
      <c r="W38" s="898"/>
      <c r="X38" s="1158">
        <v>4196</v>
      </c>
      <c r="Y38" s="898"/>
      <c r="Z38" s="1410">
        <v>4870</v>
      </c>
      <c r="AA38" s="1363"/>
      <c r="AB38" s="1410">
        <v>4751</v>
      </c>
      <c r="AC38" s="1363"/>
      <c r="AD38" s="1410">
        <v>3931</v>
      </c>
      <c r="AE38" s="1363"/>
      <c r="AF38" s="1410">
        <v>2866</v>
      </c>
      <c r="AG38" s="1363"/>
      <c r="AH38" s="1410">
        <v>2753</v>
      </c>
      <c r="AI38" s="1363"/>
      <c r="AJ38" s="1410">
        <v>1775</v>
      </c>
      <c r="AK38" s="1363"/>
      <c r="AL38" s="1410">
        <v>1250</v>
      </c>
      <c r="AM38" s="1363"/>
      <c r="AN38" s="1410">
        <v>1205</v>
      </c>
      <c r="AO38" s="1363"/>
      <c r="AP38" s="1410"/>
    </row>
    <row r="39" spans="1:42">
      <c r="A39" s="398" t="s">
        <v>159</v>
      </c>
      <c r="B39" s="398" t="s">
        <v>141</v>
      </c>
      <c r="C39" s="898"/>
      <c r="D39" s="1158">
        <v>6088</v>
      </c>
      <c r="E39" s="898"/>
      <c r="F39" s="1158">
        <v>6163</v>
      </c>
      <c r="G39" s="898"/>
      <c r="H39" s="1158">
        <v>6088</v>
      </c>
      <c r="I39" s="898"/>
      <c r="J39" s="1158">
        <v>6163</v>
      </c>
      <c r="K39" s="898"/>
      <c r="L39" s="1158">
        <v>6442</v>
      </c>
      <c r="M39" s="898"/>
      <c r="N39" s="1158">
        <v>5602</v>
      </c>
      <c r="O39" s="898"/>
      <c r="P39" s="1158">
        <v>4394</v>
      </c>
      <c r="Q39" s="898"/>
      <c r="R39" s="1158">
        <v>3905</v>
      </c>
      <c r="S39" s="898"/>
      <c r="T39" s="1158">
        <v>4242</v>
      </c>
      <c r="U39" s="898"/>
      <c r="V39" s="1158">
        <v>5151</v>
      </c>
      <c r="W39" s="898"/>
      <c r="X39" s="1158">
        <v>4536</v>
      </c>
      <c r="Y39" s="898"/>
      <c r="Z39" s="1410">
        <v>4886</v>
      </c>
      <c r="AA39" s="1363"/>
      <c r="AB39" s="1410">
        <v>4703</v>
      </c>
      <c r="AC39" s="1363"/>
      <c r="AD39" s="1410">
        <v>3671</v>
      </c>
      <c r="AE39" s="1363"/>
      <c r="AF39" s="1410">
        <v>2320</v>
      </c>
      <c r="AG39" s="1363"/>
      <c r="AH39" s="1410">
        <v>2600</v>
      </c>
      <c r="AI39" s="1363"/>
      <c r="AJ39" s="1410">
        <v>1660</v>
      </c>
      <c r="AK39" s="1363"/>
      <c r="AL39" s="1410">
        <v>1197</v>
      </c>
      <c r="AM39" s="1363"/>
      <c r="AN39" s="1410">
        <v>1155</v>
      </c>
      <c r="AO39" s="1363"/>
      <c r="AP39" s="1410"/>
    </row>
    <row r="40" spans="1:42">
      <c r="A40" s="398" t="s">
        <v>160</v>
      </c>
      <c r="B40" s="398" t="s">
        <v>142</v>
      </c>
      <c r="C40" s="898"/>
      <c r="D40" s="1158">
        <v>6063</v>
      </c>
      <c r="E40" s="898"/>
      <c r="F40" s="1158">
        <v>6218</v>
      </c>
      <c r="G40" s="898"/>
      <c r="H40" s="1158">
        <v>6063</v>
      </c>
      <c r="I40" s="898"/>
      <c r="J40" s="1158">
        <v>6218</v>
      </c>
      <c r="K40" s="898"/>
      <c r="L40" s="1158">
        <v>6503</v>
      </c>
      <c r="M40" s="898"/>
      <c r="N40" s="1158">
        <v>4743</v>
      </c>
      <c r="O40" s="898"/>
      <c r="P40" s="1158">
        <v>3423</v>
      </c>
      <c r="Q40" s="898"/>
      <c r="R40" s="1158">
        <v>4000</v>
      </c>
      <c r="S40" s="898"/>
      <c r="T40" s="1158">
        <v>4491</v>
      </c>
      <c r="U40" s="898"/>
      <c r="V40" s="1158">
        <v>5197</v>
      </c>
      <c r="W40" s="898"/>
      <c r="X40" s="1158">
        <v>4588</v>
      </c>
      <c r="Y40" s="898"/>
      <c r="Z40" s="1410">
        <v>4941</v>
      </c>
      <c r="AA40" s="1363"/>
      <c r="AB40" s="1410">
        <v>4522</v>
      </c>
      <c r="AC40" s="1363"/>
      <c r="AD40" s="1410">
        <v>3522</v>
      </c>
      <c r="AE40" s="1363"/>
      <c r="AF40" s="1410">
        <v>2647</v>
      </c>
      <c r="AG40" s="1363"/>
      <c r="AH40" s="1410">
        <v>2430</v>
      </c>
      <c r="AI40" s="1363"/>
      <c r="AJ40" s="1410">
        <v>1547</v>
      </c>
      <c r="AK40" s="1363"/>
      <c r="AL40" s="1410">
        <v>1140</v>
      </c>
      <c r="AM40" s="1363"/>
      <c r="AN40" s="1410">
        <v>1078</v>
      </c>
      <c r="AO40" s="1363"/>
      <c r="AP40" s="1410"/>
    </row>
    <row r="41" spans="1:42">
      <c r="A41" s="398" t="s">
        <v>161</v>
      </c>
      <c r="B41" s="398" t="s">
        <v>143</v>
      </c>
      <c r="C41" s="898"/>
      <c r="D41" s="1158">
        <v>6129</v>
      </c>
      <c r="E41" s="898"/>
      <c r="F41" s="1158">
        <v>6370</v>
      </c>
      <c r="G41" s="898"/>
      <c r="H41" s="1158">
        <v>6129</v>
      </c>
      <c r="I41" s="898"/>
      <c r="J41" s="1158">
        <v>6370</v>
      </c>
      <c r="K41" s="898"/>
      <c r="L41" s="1158">
        <v>5425</v>
      </c>
      <c r="M41" s="898"/>
      <c r="N41" s="1158">
        <v>4856</v>
      </c>
      <c r="O41" s="898"/>
      <c r="P41" s="1158">
        <v>4007</v>
      </c>
      <c r="Q41" s="898"/>
      <c r="R41" s="1158">
        <v>4288</v>
      </c>
      <c r="S41" s="898"/>
      <c r="T41" s="1158">
        <v>5312</v>
      </c>
      <c r="U41" s="898"/>
      <c r="V41" s="1158">
        <v>4155</v>
      </c>
      <c r="W41" s="898"/>
      <c r="X41" s="1158">
        <v>4778</v>
      </c>
      <c r="Y41" s="898"/>
      <c r="Z41" s="1410">
        <v>5460</v>
      </c>
      <c r="AA41" s="1363"/>
      <c r="AB41" s="1410">
        <v>4010</v>
      </c>
      <c r="AC41" s="1363"/>
      <c r="AD41" s="1410">
        <f>bal!AD47</f>
        <v>3171</v>
      </c>
      <c r="AE41" s="1363"/>
      <c r="AF41" s="1410">
        <f>bal!AE47</f>
        <v>3087</v>
      </c>
      <c r="AG41" s="1363"/>
      <c r="AH41" s="1410">
        <v>1914</v>
      </c>
      <c r="AI41" s="1363"/>
      <c r="AJ41" s="1410">
        <f>bal!AG47</f>
        <v>1309</v>
      </c>
      <c r="AK41" s="1363"/>
      <c r="AL41" s="1410">
        <v>1354</v>
      </c>
      <c r="AM41" s="898"/>
      <c r="AN41" s="1131">
        <f>bal!AJ47</f>
        <v>1401.3203359999989</v>
      </c>
      <c r="AO41" s="898"/>
      <c r="AP41" s="1411"/>
    </row>
    <row r="43" spans="1:42">
      <c r="A43" s="1121" t="s">
        <v>173</v>
      </c>
      <c r="B43" s="1157"/>
      <c r="C43" s="1157"/>
      <c r="D43" s="1157"/>
      <c r="E43" s="1157"/>
      <c r="F43" s="1157"/>
      <c r="G43" s="1157"/>
      <c r="H43" s="1157"/>
      <c r="I43" s="1157"/>
      <c r="J43" s="1157"/>
      <c r="K43" s="1157"/>
      <c r="L43" s="1157"/>
      <c r="M43" s="1157"/>
      <c r="N43" s="1157"/>
      <c r="O43" s="1157"/>
      <c r="P43" s="1157"/>
      <c r="Q43" s="1157"/>
      <c r="R43" s="1157"/>
      <c r="S43" s="1157"/>
      <c r="T43" s="1157"/>
      <c r="U43" s="1157"/>
      <c r="V43" s="1157"/>
      <c r="W43" s="1157"/>
      <c r="X43" s="1157"/>
      <c r="Y43" s="1157"/>
      <c r="Z43" s="1157"/>
      <c r="AA43" s="1157"/>
      <c r="AB43" s="1157"/>
      <c r="AC43" s="1157"/>
      <c r="AD43" s="1157"/>
      <c r="AE43" s="1157"/>
      <c r="AF43" s="1157"/>
      <c r="AG43" s="1157"/>
      <c r="AH43" s="1157"/>
      <c r="AI43" s="1157"/>
      <c r="AJ43" s="1157"/>
      <c r="AK43" s="1157"/>
      <c r="AL43" s="1157"/>
      <c r="AM43" s="1157"/>
      <c r="AN43" s="1157"/>
      <c r="AO43" s="1157"/>
      <c r="AP43" s="1157"/>
    </row>
    <row r="44" spans="1:42">
      <c r="A44" s="398" t="s">
        <v>158</v>
      </c>
      <c r="B44" s="398" t="s">
        <v>140</v>
      </c>
      <c r="D44" s="680">
        <f>D38+D32</f>
        <v>11103</v>
      </c>
      <c r="F44" s="680">
        <f>F38+F32</f>
        <v>9396</v>
      </c>
      <c r="H44" s="680">
        <f>H38+H32</f>
        <v>11103</v>
      </c>
      <c r="J44" s="680">
        <f>J38+J32</f>
        <v>9387</v>
      </c>
      <c r="L44" s="680">
        <f>L38+L32</f>
        <v>9636</v>
      </c>
      <c r="N44" s="680">
        <f>N38+N32</f>
        <v>7957</v>
      </c>
      <c r="P44" s="680">
        <f>P38+P32</f>
        <v>4443.569405204461</v>
      </c>
      <c r="R44" s="680">
        <f>R38+R32</f>
        <v>4918.8694052044611</v>
      </c>
      <c r="T44" s="680">
        <f>T38+T32</f>
        <v>5488.8694052044611</v>
      </c>
      <c r="V44" s="680">
        <f>V38+V32</f>
        <v>6755.8694052044611</v>
      </c>
      <c r="X44" s="680">
        <f>X38+X32</f>
        <v>5563.3730245592997</v>
      </c>
      <c r="Y44" s="895"/>
      <c r="Z44" s="680">
        <f>Z38+Z32</f>
        <v>5490.7910245592993</v>
      </c>
      <c r="AA44" s="895"/>
      <c r="AB44" s="680">
        <f>AB38+AB32</f>
        <v>6082.7910245592993</v>
      </c>
      <c r="AC44" s="895"/>
      <c r="AD44" s="680">
        <f>AD38+AD32</f>
        <v>6193.9293976329773</v>
      </c>
      <c r="AE44" s="895"/>
      <c r="AF44" s="680">
        <f>AF38+AF32</f>
        <v>5871</v>
      </c>
      <c r="AG44" s="895"/>
      <c r="AH44" s="680">
        <f>AH38+AH32</f>
        <v>7177</v>
      </c>
      <c r="AI44" s="895"/>
      <c r="AJ44" s="680">
        <f>AJ38+AJ32</f>
        <v>6025</v>
      </c>
      <c r="AK44" s="895"/>
      <c r="AL44" s="680">
        <f>AL38+AL32</f>
        <v>5561</v>
      </c>
      <c r="AM44" s="895"/>
      <c r="AN44" s="680">
        <f>AN38+AN32</f>
        <v>5227</v>
      </c>
      <c r="AO44" s="895"/>
      <c r="AP44" s="680"/>
    </row>
    <row r="45" spans="1:42">
      <c r="A45" s="398" t="s">
        <v>159</v>
      </c>
      <c r="B45" s="398" t="s">
        <v>141</v>
      </c>
      <c r="D45" s="680">
        <f t="shared" ref="D45:F47" si="2">D39+D33</f>
        <v>9865</v>
      </c>
      <c r="F45" s="680">
        <f t="shared" si="2"/>
        <v>9362</v>
      </c>
      <c r="H45" s="680">
        <f>H39+H33</f>
        <v>9865</v>
      </c>
      <c r="J45" s="680">
        <f>J39+J33</f>
        <v>9355</v>
      </c>
      <c r="L45" s="680">
        <f>L39+L33</f>
        <v>9608</v>
      </c>
      <c r="N45" s="680">
        <f>N39+N33</f>
        <v>3343.63</v>
      </c>
      <c r="P45" s="680">
        <f>P39+P33</f>
        <v>4480.569405204461</v>
      </c>
      <c r="R45" s="680">
        <f>R39+R33</f>
        <v>4987.8694052044611</v>
      </c>
      <c r="T45" s="680">
        <f>T39+T33</f>
        <v>5754.8694052044611</v>
      </c>
      <c r="V45" s="680">
        <f>V39+V33</f>
        <v>6613.8694052044611</v>
      </c>
      <c r="X45" s="680">
        <f>X39+X33</f>
        <v>5615.9910245593001</v>
      </c>
      <c r="Y45" s="756"/>
      <c r="Z45" s="680">
        <f>Z39+Z33</f>
        <v>5981.7910245592993</v>
      </c>
      <c r="AA45" s="756"/>
      <c r="AB45" s="680">
        <f>AB39+AB33</f>
        <v>6250.8693976329778</v>
      </c>
      <c r="AC45" s="756"/>
      <c r="AD45" s="680">
        <f>AD39+AD33</f>
        <v>5933.9293976329773</v>
      </c>
      <c r="AE45" s="756"/>
      <c r="AF45" s="680">
        <f>AF39+AF33</f>
        <v>6610</v>
      </c>
      <c r="AG45" s="756"/>
      <c r="AH45" s="680">
        <f>AH39+AH33</f>
        <v>6849</v>
      </c>
      <c r="AI45" s="756"/>
      <c r="AJ45" s="680">
        <f>AJ39+AJ33</f>
        <v>5967</v>
      </c>
      <c r="AK45" s="756"/>
      <c r="AL45" s="680">
        <f>AL39+AL33</f>
        <v>5483</v>
      </c>
      <c r="AM45" s="756"/>
      <c r="AN45" s="680">
        <f>AN39+AN33</f>
        <v>4918</v>
      </c>
      <c r="AO45" s="756"/>
      <c r="AP45" s="680"/>
    </row>
    <row r="46" spans="1:42">
      <c r="A46" s="398" t="s">
        <v>160</v>
      </c>
      <c r="B46" s="398" t="s">
        <v>142</v>
      </c>
      <c r="D46" s="680">
        <f t="shared" si="2"/>
        <v>10391</v>
      </c>
      <c r="F46" s="680">
        <f t="shared" si="2"/>
        <v>9671</v>
      </c>
      <c r="H46" s="680">
        <f>H40+H34</f>
        <v>10391</v>
      </c>
      <c r="J46" s="680">
        <f>J40+J34</f>
        <v>9674</v>
      </c>
      <c r="L46" s="680">
        <f>L40+L34</f>
        <v>10201</v>
      </c>
      <c r="N46" s="680">
        <f>N40+N34</f>
        <v>4759.63</v>
      </c>
      <c r="P46" s="680">
        <f>P40+P34</f>
        <v>4847.9694052044615</v>
      </c>
      <c r="R46" s="680">
        <f>R40+R34</f>
        <v>5476.8694052044611</v>
      </c>
      <c r="T46" s="680">
        <f>T40+T34</f>
        <v>6472.8694052044611</v>
      </c>
      <c r="V46" s="680">
        <f>V40+V34</f>
        <v>7078.3730245592997</v>
      </c>
      <c r="X46" s="680">
        <f>X40+X34</f>
        <v>5850.9910245593001</v>
      </c>
      <c r="Y46" s="756"/>
      <c r="Z46" s="680">
        <f>Z40+Z34</f>
        <v>6373.7910245592993</v>
      </c>
      <c r="AA46" s="756"/>
      <c r="AB46" s="680">
        <f>AB40+AB34</f>
        <v>6539.1993976329777</v>
      </c>
      <c r="AC46" s="756"/>
      <c r="AD46" s="680">
        <f>AD40+AD34</f>
        <v>5962</v>
      </c>
      <c r="AE46" s="756"/>
      <c r="AF46" s="680">
        <f>AF40+AF34</f>
        <v>7032</v>
      </c>
      <c r="AG46" s="756"/>
      <c r="AH46" s="680">
        <f>AH40+AH34</f>
        <v>7033</v>
      </c>
      <c r="AI46" s="756"/>
      <c r="AJ46" s="680">
        <f>AJ40+AJ34</f>
        <v>6188</v>
      </c>
      <c r="AK46" s="756"/>
      <c r="AL46" s="680">
        <f>AL40+AL34</f>
        <v>5744</v>
      </c>
      <c r="AM46" s="756"/>
      <c r="AN46" s="680">
        <f>AN40+AN34</f>
        <v>5172</v>
      </c>
      <c r="AO46" s="756"/>
      <c r="AP46" s="680"/>
    </row>
    <row r="47" spans="1:42">
      <c r="A47" s="398" t="s">
        <v>161</v>
      </c>
      <c r="B47" s="398" t="s">
        <v>143</v>
      </c>
      <c r="D47" s="680">
        <f t="shared" si="2"/>
        <v>9403</v>
      </c>
      <c r="F47" s="680">
        <f t="shared" si="2"/>
        <v>9124</v>
      </c>
      <c r="H47" s="680">
        <f>H41+H35</f>
        <v>9375</v>
      </c>
      <c r="J47" s="680">
        <f>J41+J35</f>
        <v>9089</v>
      </c>
      <c r="L47" s="680">
        <f>L41+L35</f>
        <v>7817</v>
      </c>
      <c r="N47" s="680">
        <f>N41+N35</f>
        <v>4129.63</v>
      </c>
      <c r="P47" s="680">
        <f>P41+P35</f>
        <v>4455.8694052044611</v>
      </c>
      <c r="R47" s="680">
        <f>R41+R35</f>
        <v>4928.8694052044611</v>
      </c>
      <c r="T47" s="680">
        <f>T41+T35</f>
        <v>6487.8694052044611</v>
      </c>
      <c r="V47" s="680">
        <f>V41+V35</f>
        <v>5308.3730245592997</v>
      </c>
      <c r="X47" s="680">
        <f>X41+X35</f>
        <v>5158.7910245592993</v>
      </c>
      <c r="Y47" s="756"/>
      <c r="Z47" s="680">
        <f>Z41+Z35</f>
        <v>5936.7910245592993</v>
      </c>
      <c r="AA47" s="756"/>
      <c r="AB47" s="680">
        <f>AB41+AB35</f>
        <v>5604.9293976329773</v>
      </c>
      <c r="AC47" s="756"/>
      <c r="AD47" s="680">
        <f>AD41+AD35</f>
        <v>5223</v>
      </c>
      <c r="AE47" s="756"/>
      <c r="AF47" s="680">
        <f>AF41+AF35</f>
        <v>7173</v>
      </c>
      <c r="AG47" s="756"/>
      <c r="AH47" s="680">
        <f>AH41+AH35</f>
        <v>6012</v>
      </c>
      <c r="AI47" s="756"/>
      <c r="AJ47" s="680">
        <f>AJ41+AJ35</f>
        <v>5213.9999665984988</v>
      </c>
      <c r="AK47" s="756"/>
      <c r="AL47" s="680">
        <f>AL41+AL35</f>
        <v>5084</v>
      </c>
      <c r="AM47" s="756"/>
      <c r="AN47" s="680">
        <f>AN41+AN35</f>
        <v>5010.6403025984973</v>
      </c>
      <c r="AO47" s="756"/>
      <c r="AP47" s="680"/>
    </row>
    <row r="48" spans="1:42">
      <c r="D48" s="680"/>
      <c r="F48" s="680"/>
      <c r="H48" s="680"/>
      <c r="J48" s="680"/>
      <c r="L48" s="680"/>
      <c r="N48" s="680"/>
      <c r="P48" s="680"/>
      <c r="R48" s="680"/>
      <c r="T48" s="680"/>
      <c r="V48" s="680"/>
      <c r="X48" s="680"/>
      <c r="Z48" s="680"/>
      <c r="AB48" s="680"/>
      <c r="AD48" s="680"/>
      <c r="AF48" s="680"/>
      <c r="AH48" s="680"/>
      <c r="AJ48" s="680"/>
      <c r="AL48" s="680"/>
      <c r="AN48" s="680"/>
      <c r="AP48" s="680"/>
    </row>
    <row r="49" spans="1:42">
      <c r="A49" s="1121" t="s">
        <v>174</v>
      </c>
      <c r="B49" s="1157"/>
      <c r="C49" s="1157"/>
      <c r="D49" s="1157"/>
      <c r="E49" s="1157"/>
      <c r="F49" s="1157"/>
      <c r="G49" s="1157"/>
      <c r="H49" s="1157"/>
      <c r="I49" s="1157"/>
      <c r="J49" s="1157"/>
      <c r="K49" s="1157"/>
      <c r="L49" s="1157"/>
      <c r="M49" s="1157"/>
      <c r="N49" s="1157"/>
      <c r="O49" s="1157"/>
      <c r="P49" s="1157"/>
      <c r="Q49" s="1157"/>
      <c r="R49" s="1157"/>
      <c r="S49" s="1157"/>
      <c r="T49" s="1157"/>
      <c r="U49" s="1157"/>
      <c r="V49" s="1157"/>
      <c r="W49" s="1157"/>
      <c r="X49" s="1157"/>
      <c r="Y49" s="1157"/>
      <c r="Z49" s="1157"/>
      <c r="AA49" s="1157"/>
      <c r="AB49" s="1157"/>
      <c r="AC49" s="1157"/>
      <c r="AD49" s="1157"/>
      <c r="AE49" s="1157"/>
      <c r="AF49" s="1157"/>
      <c r="AG49" s="1157"/>
      <c r="AH49" s="1157"/>
      <c r="AI49" s="1157"/>
      <c r="AJ49" s="1157"/>
      <c r="AK49" s="1157"/>
      <c r="AL49" s="1157"/>
      <c r="AM49" s="1157"/>
      <c r="AN49" s="1157"/>
      <c r="AO49" s="1157"/>
      <c r="AP49" s="1157"/>
    </row>
    <row r="50" spans="1:42">
      <c r="A50" s="398" t="s">
        <v>158</v>
      </c>
      <c r="B50" s="398" t="s">
        <v>140</v>
      </c>
      <c r="D50" s="587">
        <f>D26/D44</f>
        <v>0.49139872106637844</v>
      </c>
      <c r="F50" s="587">
        <f>F26/F44</f>
        <v>0.57737335036185611</v>
      </c>
      <c r="H50" s="587">
        <f>H26/H44</f>
        <v>0.49139872106637844</v>
      </c>
      <c r="J50" s="587">
        <f>J26/J44</f>
        <v>0.57419835943325881</v>
      </c>
      <c r="L50" s="587">
        <f>L26/L44</f>
        <v>0.60014528850145288</v>
      </c>
      <c r="N50" s="587">
        <f>N26/N44</f>
        <v>0.67311800929998744</v>
      </c>
      <c r="P50" s="587">
        <f>P26/P44</f>
        <v>0.85449323590013548</v>
      </c>
      <c r="R50" s="587">
        <f>R26/R44</f>
        <v>0.70361697270068868</v>
      </c>
      <c r="T50" s="587">
        <f>T26/T44</f>
        <v>0.74988120433276706</v>
      </c>
      <c r="V50" s="587">
        <f>V26/V44</f>
        <v>0.54870806074852041</v>
      </c>
      <c r="X50" s="587">
        <f>X26/X44</f>
        <v>0.63001348004660307</v>
      </c>
      <c r="Z50" s="587">
        <f>Z26/Z44</f>
        <v>0.54618724088861226</v>
      </c>
      <c r="AB50" s="587">
        <f>AB26/AB44</f>
        <v>0.50947007508358777</v>
      </c>
      <c r="AD50" s="587">
        <f>AD26/AD44</f>
        <v>0.50081294132694432</v>
      </c>
      <c r="AF50" s="587">
        <f>AF26/AF44</f>
        <v>0.65167773803440643</v>
      </c>
      <c r="AH50" s="587">
        <f>AH26/AH44</f>
        <v>0.77943430402675218</v>
      </c>
      <c r="AJ50" s="587">
        <f>AJ26/AJ44</f>
        <v>0.87867219917012451</v>
      </c>
      <c r="AL50" s="587">
        <f>AL26/AL44</f>
        <v>0.84984714979320264</v>
      </c>
      <c r="AN50" s="587">
        <f>AN26/AN44</f>
        <v>0.83891333460876216</v>
      </c>
      <c r="AP50" s="587"/>
    </row>
    <row r="51" spans="1:42">
      <c r="A51" s="398" t="s">
        <v>159</v>
      </c>
      <c r="B51" s="398" t="s">
        <v>141</v>
      </c>
      <c r="D51" s="587">
        <f>D27/D45</f>
        <v>0.55478966041561073</v>
      </c>
      <c r="F51" s="587">
        <f>F27/F45</f>
        <v>0.55575731681264684</v>
      </c>
      <c r="H51" s="587">
        <f>H27/H45</f>
        <v>0.55478966041561073</v>
      </c>
      <c r="J51" s="587">
        <f>J27/J45</f>
        <v>0.55264564404062</v>
      </c>
      <c r="L51" s="587">
        <f>L27/L45</f>
        <v>0.59887593671940054</v>
      </c>
      <c r="N51" s="587">
        <f>N27/N45</f>
        <v>1.5327652880252898</v>
      </c>
      <c r="P51" s="587">
        <f>P27/P45</f>
        <v>0.77490151050155709</v>
      </c>
      <c r="R51" s="587">
        <f>R27/R45</f>
        <v>0.69308149816289988</v>
      </c>
      <c r="T51" s="587">
        <f>T27/T45</f>
        <v>0.66204803823252645</v>
      </c>
      <c r="V51" s="587">
        <f>V27/V45</f>
        <v>0.56033764396432506</v>
      </c>
      <c r="X51" s="587">
        <f>X27/X45</f>
        <v>0.60398956927930247</v>
      </c>
      <c r="Z51" s="587">
        <f>Z27/Z45</f>
        <v>0.51807226084570801</v>
      </c>
      <c r="AB51" s="587">
        <f>AB27/AB45</f>
        <v>0.49577103645350534</v>
      </c>
      <c r="AD51" s="587">
        <f>AD27/AD45</f>
        <v>0.53101406991072764</v>
      </c>
      <c r="AF51" s="587">
        <f>AF27/AF45</f>
        <v>0.88124054462934942</v>
      </c>
      <c r="AH51" s="587">
        <f>AH27/AH45</f>
        <v>0.77164549569280183</v>
      </c>
      <c r="AJ51" s="587">
        <f>AJ27/AJ45</f>
        <v>0.88486676721970836</v>
      </c>
      <c r="AL51" s="587">
        <f>AL27/AL45</f>
        <v>0.85993069487506835</v>
      </c>
      <c r="AN51" s="587">
        <f>AN27/AN45</f>
        <v>0.82899552663684428</v>
      </c>
      <c r="AP51" s="587"/>
    </row>
    <row r="52" spans="1:42">
      <c r="A52" s="398" t="s">
        <v>160</v>
      </c>
      <c r="B52" s="398" t="s">
        <v>142</v>
      </c>
      <c r="D52" s="587">
        <f>D28/D46</f>
        <v>0.58887498797035898</v>
      </c>
      <c r="F52" s="587">
        <f>F28/F46</f>
        <v>0.53779340295729505</v>
      </c>
      <c r="H52" s="587">
        <f>H28/H46</f>
        <v>0.58887498797035898</v>
      </c>
      <c r="J52" s="587">
        <f>J28/J46</f>
        <v>0.5352491213562125</v>
      </c>
      <c r="L52" s="587">
        <f>L28/L46</f>
        <v>0.54778943240858735</v>
      </c>
      <c r="N52" s="587">
        <f>N28/N46</f>
        <v>0.95763746341627398</v>
      </c>
      <c r="P52" s="587">
        <f>P28/P46</f>
        <v>0.71555732102515113</v>
      </c>
      <c r="R52" s="587">
        <f>R28/R46</f>
        <v>0.63046966150384109</v>
      </c>
      <c r="T52" s="587">
        <f>T28/T46</f>
        <v>0.58845617940899642</v>
      </c>
      <c r="V52" s="587">
        <f>V28/V46</f>
        <v>0.49517028670839536</v>
      </c>
      <c r="X52" s="587">
        <f>X28/X46</f>
        <v>0.57973084999826796</v>
      </c>
      <c r="Z52" s="587">
        <f>Z28/Z46</f>
        <v>0.48620985345440831</v>
      </c>
      <c r="AB52" s="587">
        <f>AB28/AB46</f>
        <v>0.47436999720835005</v>
      </c>
      <c r="AD52" s="587">
        <f>AD28/AD46</f>
        <v>0.49731633679973164</v>
      </c>
      <c r="AF52" s="587">
        <f>AF28/AF46</f>
        <v>0.79806598407281004</v>
      </c>
      <c r="AH52" s="587">
        <f>AH28/AH46</f>
        <v>0.75174178871036546</v>
      </c>
      <c r="AJ52" s="587">
        <f>AJ28/AJ46</f>
        <v>0.85310277957336778</v>
      </c>
      <c r="AL52" s="587">
        <f>AL28/AL46</f>
        <v>0.83339136490250698</v>
      </c>
      <c r="AN52" s="587">
        <f>AN28/AN46</f>
        <v>0.82733952049497295</v>
      </c>
      <c r="AP52" s="587"/>
    </row>
    <row r="53" spans="1:42">
      <c r="A53" s="398" t="s">
        <v>161</v>
      </c>
      <c r="B53" s="398" t="s">
        <v>143</v>
      </c>
      <c r="D53" s="587">
        <f>D29/D47</f>
        <v>0.65021801552695946</v>
      </c>
      <c r="F53" s="587">
        <f>F29/F47</f>
        <v>0.57299430074528712</v>
      </c>
      <c r="H53" s="587">
        <f>H29/H47</f>
        <v>0.64639999999999997</v>
      </c>
      <c r="J53" s="587">
        <f>J29/J47</f>
        <v>0.56914952139949393</v>
      </c>
      <c r="L53" s="587">
        <f>L29/L47</f>
        <v>0.68517334015607012</v>
      </c>
      <c r="N53" s="587">
        <f>N29/N47</f>
        <v>0.94996404036196946</v>
      </c>
      <c r="P53" s="587">
        <f>P29/P47</f>
        <v>0.77762602197292308</v>
      </c>
      <c r="R53" s="587">
        <f>R29/R47</f>
        <v>0.69874036353315283</v>
      </c>
      <c r="T53" s="587">
        <f>T29/T47</f>
        <v>0.57152815021607928</v>
      </c>
      <c r="V53" s="587">
        <f>V29/V47</f>
        <v>0.66027763757069136</v>
      </c>
      <c r="X53" s="587">
        <f>X29/X47</f>
        <v>0.65751839604508278</v>
      </c>
      <c r="Z53" s="587">
        <f>Z29/Z47</f>
        <v>0.52199917214199831</v>
      </c>
      <c r="AB53" s="587">
        <f>AB29/AB47</f>
        <v>0.55344140486586835</v>
      </c>
      <c r="AD53" s="587">
        <f>AD29/AD47</f>
        <v>0.57093624353819639</v>
      </c>
      <c r="AF53" s="587">
        <f>AF29/AF47</f>
        <v>0.78084483479715605</v>
      </c>
      <c r="AH53" s="587">
        <f>AH29/AH47</f>
        <v>0.90086493679308055</v>
      </c>
      <c r="AJ53" s="587">
        <f>AJ29/AJ47</f>
        <v>0.92155735151158402</v>
      </c>
      <c r="AL53" s="587">
        <f>AL29/AL47</f>
        <v>0.90814319433516921</v>
      </c>
      <c r="AN53" s="587">
        <f>AN29/AN47</f>
        <v>0.81167271134806274</v>
      </c>
      <c r="AP53" s="587"/>
    </row>
    <row r="55" spans="1:42">
      <c r="A55" s="1121" t="s">
        <v>175</v>
      </c>
      <c r="B55" s="1157"/>
      <c r="C55" s="1157"/>
      <c r="D55" s="1157"/>
      <c r="E55" s="1157"/>
      <c r="F55" s="1157"/>
      <c r="G55" s="1157"/>
      <c r="H55" s="1157"/>
      <c r="I55" s="1157"/>
      <c r="J55" s="1157"/>
      <c r="K55" s="1157"/>
      <c r="L55" s="1157"/>
      <c r="M55" s="1157"/>
      <c r="N55" s="1157"/>
      <c r="O55" s="1157"/>
      <c r="P55" s="1157"/>
      <c r="Q55" s="1157"/>
      <c r="R55" s="1157"/>
      <c r="S55" s="1157"/>
      <c r="T55" s="1157"/>
      <c r="U55" s="1157"/>
      <c r="V55" s="1157"/>
      <c r="W55" s="1157"/>
      <c r="X55" s="1157"/>
      <c r="Y55" s="1157"/>
      <c r="Z55" s="1157"/>
      <c r="AA55" s="1157"/>
      <c r="AB55" s="1157"/>
      <c r="AC55" s="1157"/>
      <c r="AD55" s="1157"/>
      <c r="AE55" s="1157"/>
      <c r="AF55" s="1157"/>
      <c r="AG55" s="1157"/>
      <c r="AH55" s="1157"/>
      <c r="AI55" s="1157"/>
      <c r="AJ55" s="1157"/>
      <c r="AK55" s="1157"/>
      <c r="AL55" s="1157"/>
      <c r="AM55" s="1157"/>
      <c r="AN55" s="1157"/>
      <c r="AO55" s="1157"/>
      <c r="AP55" s="1157"/>
    </row>
    <row r="56" spans="1:42">
      <c r="A56" s="398" t="s">
        <v>158</v>
      </c>
      <c r="B56" s="398" t="s">
        <v>140</v>
      </c>
      <c r="D56" s="1159">
        <f>D32/D44</f>
        <v>0.44024137620462939</v>
      </c>
      <c r="F56" s="1159">
        <f>F32/F44</f>
        <v>0.33535547041294167</v>
      </c>
      <c r="H56" s="1159">
        <f>H32/H44</f>
        <v>0.44024137620462939</v>
      </c>
      <c r="J56" s="1159">
        <f>J32/J44</f>
        <v>0.33471822733567702</v>
      </c>
      <c r="L56" s="1159">
        <f>L32/L44</f>
        <v>0.32938978829389787</v>
      </c>
      <c r="N56" s="1159">
        <f>N32/N44</f>
        <v>0.29646851828578608</v>
      </c>
      <c r="P56" s="1159">
        <f>P32/P44</f>
        <v>-7.1660992719632596E-2</v>
      </c>
      <c r="R56" s="1159">
        <f>R32/R44</f>
        <v>0.1361836125382184</v>
      </c>
      <c r="T56" s="1159">
        <f>T32/T44</f>
        <v>0.17615092177046343</v>
      </c>
      <c r="V56" s="1159">
        <f>V32/V44</f>
        <v>0.24613699665707728</v>
      </c>
      <c r="X56" s="1159">
        <f>X32/X44</f>
        <v>0.24578129464321072</v>
      </c>
      <c r="Y56" s="1160"/>
      <c r="Z56" s="1159">
        <f>Z32/Z44</f>
        <v>0.11306039909051631</v>
      </c>
      <c r="AA56" s="1160"/>
      <c r="AB56" s="1159">
        <f>AB32/AB44</f>
        <v>0.21894407011225381</v>
      </c>
      <c r="AC56" s="1160"/>
      <c r="AD56" s="1159">
        <f>AD32/AD44</f>
        <v>0.36534633386324361</v>
      </c>
      <c r="AE56" s="1160"/>
      <c r="AF56" s="1159">
        <f>AF32/AF44</f>
        <v>0.51183784704479651</v>
      </c>
      <c r="AG56" s="1160"/>
      <c r="AH56" s="1159">
        <f>AH32/AH44</f>
        <v>0.61641354326320186</v>
      </c>
      <c r="AI56" s="1160"/>
      <c r="AJ56" s="1159">
        <f>AJ32/AJ44</f>
        <v>0.70539419087136934</v>
      </c>
      <c r="AK56" s="1160"/>
      <c r="AL56" s="1159">
        <f>AL32/AL44</f>
        <v>0.77522028412156085</v>
      </c>
      <c r="AM56" s="1160"/>
      <c r="AN56" s="1159">
        <f>AN32/AN44</f>
        <v>0.76946623302085326</v>
      </c>
      <c r="AO56" s="1160"/>
      <c r="AP56" s="1159"/>
    </row>
    <row r="57" spans="1:42">
      <c r="A57" s="398" t="s">
        <v>159</v>
      </c>
      <c r="B57" s="398" t="s">
        <v>141</v>
      </c>
      <c r="D57" s="1159">
        <f>D33/D45</f>
        <v>0.38286872782564624</v>
      </c>
      <c r="F57" s="1159">
        <f>F33/F45</f>
        <v>0.34170049134800257</v>
      </c>
      <c r="H57" s="1159">
        <f>H33/H45</f>
        <v>0.38286872782564624</v>
      </c>
      <c r="J57" s="1159">
        <f>J33/J45</f>
        <v>0.34120791020844471</v>
      </c>
      <c r="L57" s="1159">
        <f>L33/L45</f>
        <v>0.32951706910907574</v>
      </c>
      <c r="N57" s="1159">
        <f>N33/N45</f>
        <v>-0.67542461336930215</v>
      </c>
      <c r="P57" s="1159">
        <f>P33/P45</f>
        <v>1.9321072251197627E-2</v>
      </c>
      <c r="R57" s="1159">
        <f>R33/R45</f>
        <v>0.21710059290537351</v>
      </c>
      <c r="T57" s="1159">
        <f>T33/T45</f>
        <v>0.26288509758992723</v>
      </c>
      <c r="V57" s="1159">
        <f>V33/V45</f>
        <v>0.22118208201288758</v>
      </c>
      <c r="X57" s="1159">
        <f>X33/X45</f>
        <v>0.19230640145904596</v>
      </c>
      <c r="Y57" s="1160"/>
      <c r="Z57" s="1159">
        <f>Z33/Z45</f>
        <v>0.18318778106094577</v>
      </c>
      <c r="AA57" s="1160"/>
      <c r="AB57" s="1159">
        <f>AB33/AB45</f>
        <v>0.24762465813461251</v>
      </c>
      <c r="AC57" s="1160"/>
      <c r="AD57" s="1159">
        <f>AD33/AD45</f>
        <v>0.38135428415033917</v>
      </c>
      <c r="AE57" s="1160"/>
      <c r="AF57" s="1159">
        <f>AF33/AF45</f>
        <v>0.64901664145234494</v>
      </c>
      <c r="AG57" s="1160"/>
      <c r="AH57" s="1159">
        <f>AH33/AH45</f>
        <v>0.62038253759672946</v>
      </c>
      <c r="AI57" s="1160"/>
      <c r="AJ57" s="1159">
        <f>AJ33/AJ45</f>
        <v>0.72180325121501587</v>
      </c>
      <c r="AK57" s="1160"/>
      <c r="AL57" s="1159">
        <f>AL33/AL45</f>
        <v>0.78168885646543862</v>
      </c>
      <c r="AM57" s="1160"/>
      <c r="AN57" s="1159">
        <f>AN33/AN45</f>
        <v>0.76514843432289548</v>
      </c>
      <c r="AO57" s="1160"/>
      <c r="AP57" s="1159"/>
    </row>
    <row r="58" spans="1:42">
      <c r="A58" s="398" t="s">
        <v>160</v>
      </c>
      <c r="B58" s="398" t="s">
        <v>142</v>
      </c>
      <c r="D58" s="1159">
        <f>D34/D46</f>
        <v>0.41651429121355021</v>
      </c>
      <c r="F58" s="1159">
        <f>F34/F46</f>
        <v>0.3570468410712439</v>
      </c>
      <c r="H58" s="1159">
        <f>H34/H46</f>
        <v>0.41651429121355021</v>
      </c>
      <c r="J58" s="1159">
        <f>J34/J46</f>
        <v>0.35724622700020675</v>
      </c>
      <c r="L58" s="1159">
        <f>L34/L46</f>
        <v>0.36251347907067932</v>
      </c>
      <c r="N58" s="1159">
        <f>N34/N46</f>
        <v>3.4939690690242958E-3</v>
      </c>
      <c r="P58" s="1159">
        <f>P34/P46</f>
        <v>0.2939311876998868</v>
      </c>
      <c r="R58" s="1159">
        <f>R34/R46</f>
        <v>0.26965576425851018</v>
      </c>
      <c r="T58" s="1159">
        <f>T34/T46</f>
        <v>0.30618096567975778</v>
      </c>
      <c r="V58" s="1159">
        <f>V34/V46</f>
        <v>0.26579173180498417</v>
      </c>
      <c r="X58" s="1159">
        <f>X34/X46</f>
        <v>0.21585933378771996</v>
      </c>
      <c r="Y58" s="1160"/>
      <c r="Z58" s="1159">
        <f>Z34/Z46</f>
        <v>0.22479416395023186</v>
      </c>
      <c r="AA58" s="1160"/>
      <c r="AB58" s="1159">
        <f>AB34/AB46</f>
        <v>0.30847803759633813</v>
      </c>
      <c r="AC58" s="1160"/>
      <c r="AD58" s="1159">
        <f>AD34/AD46</f>
        <v>0.40925863804092588</v>
      </c>
      <c r="AE58" s="1160"/>
      <c r="AF58" s="1159">
        <f>AF34/AF46</f>
        <v>0.62357792946530144</v>
      </c>
      <c r="AG58" s="1160"/>
      <c r="AH58" s="1159">
        <f>AH34/AH46</f>
        <v>0.65448599459690038</v>
      </c>
      <c r="AI58" s="1160"/>
      <c r="AJ58" s="1159">
        <f>AJ34/AJ46</f>
        <v>0.75</v>
      </c>
      <c r="AK58" s="1160"/>
      <c r="AL58" s="1159">
        <f>AL34/AL46</f>
        <v>0.80153203342618384</v>
      </c>
      <c r="AM58" s="1160"/>
      <c r="AN58" s="1159">
        <f>AN34/AN46</f>
        <v>0.79156999226604796</v>
      </c>
      <c r="AO58" s="1160"/>
      <c r="AP58" s="1159"/>
    </row>
    <row r="59" spans="1:42">
      <c r="A59" s="398" t="s">
        <v>161</v>
      </c>
      <c r="B59" s="398" t="s">
        <v>143</v>
      </c>
      <c r="D59" s="1159">
        <f>D35/D47</f>
        <v>0.34818674890992235</v>
      </c>
      <c r="F59" s="1159">
        <f>F35/F47</f>
        <v>0.30184129767645768</v>
      </c>
      <c r="H59" s="1159">
        <f>H35/H47</f>
        <v>0.34623999999999999</v>
      </c>
      <c r="J59" s="1159">
        <f>J35/J47</f>
        <v>0.29915282209263944</v>
      </c>
      <c r="L59" s="1159">
        <f>L35/L47</f>
        <v>0.30599974414737113</v>
      </c>
      <c r="N59" s="1159">
        <f>N35/N47</f>
        <v>-0.17589227122042408</v>
      </c>
      <c r="P59" s="1159">
        <f>P35/P47</f>
        <v>0.10073666088152877</v>
      </c>
      <c r="R59" s="1159">
        <f>R35/R47</f>
        <v>0.1300236124186529</v>
      </c>
      <c r="T59" s="1159">
        <f>T35/T47</f>
        <v>0.18124122601191667</v>
      </c>
      <c r="V59" s="1159">
        <f>V35/V47</f>
        <v>0.2172742984005071</v>
      </c>
      <c r="X59" s="1159">
        <f>X35/X47</f>
        <v>7.381400462753368E-2</v>
      </c>
      <c r="Y59" s="1160"/>
      <c r="Z59" s="1159">
        <f>Z35/Z47</f>
        <v>8.0311235916324428E-2</v>
      </c>
      <c r="AA59" s="1160"/>
      <c r="AB59" s="1159">
        <f>AB35/AB47</f>
        <v>0.28455833864857127</v>
      </c>
      <c r="AC59" s="1160"/>
      <c r="AD59" s="1159">
        <f>AD35/AD47</f>
        <v>0.39287765651924184</v>
      </c>
      <c r="AE59" s="1160"/>
      <c r="AF59" s="1159">
        <f>AF35/AF47</f>
        <v>0.56963613550815562</v>
      </c>
      <c r="AG59" s="1160"/>
      <c r="AH59" s="1159">
        <f>AH35/AH47</f>
        <v>0.68163672654690621</v>
      </c>
      <c r="AI59" s="1160"/>
      <c r="AJ59" s="1159">
        <f>AJ35/AJ47</f>
        <v>0.74894514607103779</v>
      </c>
      <c r="AK59" s="1160"/>
      <c r="AL59" s="1159">
        <f>AL35/AL47</f>
        <v>0.7336742722265932</v>
      </c>
      <c r="AM59" s="1160"/>
      <c r="AN59" s="1159">
        <f>AN35/AN47</f>
        <v>0.72033108517622391</v>
      </c>
      <c r="AO59" s="1160"/>
      <c r="AP59" s="1159"/>
    </row>
    <row r="61" spans="1:42">
      <c r="A61" s="398" t="s">
        <v>176</v>
      </c>
    </row>
  </sheetData>
  <phoneticPr fontId="10" type="noConversion"/>
  <printOptions horizontalCentered="1" verticalCentered="1"/>
  <pageMargins left="0.75" right="0.75" top="0" bottom="0" header="0.5" footer="0.5"/>
  <pageSetup scale="75" orientation="landscape"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IP127"/>
  <sheetViews>
    <sheetView showGridLines="0" workbookViewId="0"/>
  </sheetViews>
  <sheetFormatPr defaultRowHeight="12.75" outlineLevelRow="1" outlineLevelCol="1"/>
  <cols>
    <col min="1" max="1" width="6.140625" style="398" customWidth="1"/>
    <col min="2" max="3" width="4.42578125" style="398" customWidth="1"/>
    <col min="4" max="4" width="7.85546875" style="398" hidden="1" customWidth="1" outlineLevel="1"/>
    <col min="5" max="5" width="5.5703125" style="398" hidden="1" customWidth="1" outlineLevel="1"/>
    <col min="6" max="6" width="4.42578125" style="398" hidden="1" customWidth="1" outlineLevel="1"/>
    <col min="7" max="7" width="0.7109375" style="398" hidden="1" customWidth="1" outlineLevel="1"/>
    <col min="8" max="8" width="7.85546875" style="398" hidden="1" customWidth="1" outlineLevel="1"/>
    <col min="9" max="9" width="6.28515625" style="398" hidden="1" customWidth="1" outlineLevel="1"/>
    <col min="10" max="10" width="4.42578125" style="398" hidden="1" customWidth="1" outlineLevel="1"/>
    <col min="11" max="11" width="0.7109375" style="398" hidden="1" customWidth="1" outlineLevel="1"/>
    <col min="12" max="12" width="7.85546875" style="398" hidden="1" customWidth="1" outlineLevel="1"/>
    <col min="13" max="13" width="6.28515625" style="398" hidden="1" customWidth="1" outlineLevel="1"/>
    <col min="14" max="14" width="5.5703125" style="398" hidden="1" customWidth="1" outlineLevel="1"/>
    <col min="15" max="15" width="0.7109375" style="398" hidden="1" customWidth="1" outlineLevel="1"/>
    <col min="16" max="16" width="7.85546875" style="398" hidden="1" customWidth="1" outlineLevel="1"/>
    <col min="17" max="17" width="6" style="398" hidden="1" customWidth="1" outlineLevel="1"/>
    <col min="18" max="18" width="4.42578125" style="398" hidden="1" customWidth="1" outlineLevel="1"/>
    <col min="19" max="19" width="0.7109375" style="398" hidden="1" customWidth="1" outlineLevel="1"/>
    <col min="20" max="20" width="7.85546875" style="398" hidden="1" customWidth="1" outlineLevel="1"/>
    <col min="21" max="21" width="7.28515625" style="398" hidden="1" customWidth="1" outlineLevel="1"/>
    <col min="22" max="22" width="4.42578125" style="398" hidden="1" customWidth="1" outlineLevel="1"/>
    <col min="23" max="23" width="0.7109375" style="398" hidden="1" customWidth="1" outlineLevel="1"/>
    <col min="24" max="24" width="7.85546875" style="398" hidden="1" customWidth="1" outlineLevel="1"/>
    <col min="25" max="25" width="6.5703125" style="398" hidden="1" customWidth="1" outlineLevel="1"/>
    <col min="26" max="26" width="4.42578125" style="398" hidden="1" customWidth="1" outlineLevel="1"/>
    <col min="27" max="27" width="0.7109375" style="398" hidden="1" customWidth="1" outlineLevel="1"/>
    <col min="28" max="28" width="7.85546875" style="398" hidden="1" customWidth="1" outlineLevel="1"/>
    <col min="29" max="29" width="6.28515625" style="398" hidden="1" customWidth="1" outlineLevel="1"/>
    <col min="30" max="30" width="4.42578125" style="398" hidden="1" customWidth="1" outlineLevel="1"/>
    <col min="31" max="31" width="0.7109375" style="398" hidden="1" customWidth="1" outlineLevel="1"/>
    <col min="32" max="32" width="7.85546875" style="398" hidden="1" customWidth="1" outlineLevel="1"/>
    <col min="33" max="33" width="6.28515625" style="398" hidden="1" customWidth="1" outlineLevel="1"/>
    <col min="34" max="34" width="4.42578125" style="398" hidden="1" customWidth="1" outlineLevel="1"/>
    <col min="35" max="35" width="0.7109375" style="398" hidden="1" customWidth="1" outlineLevel="1"/>
    <col min="36" max="36" width="7.85546875" style="398" hidden="1" customWidth="1" outlineLevel="1"/>
    <col min="37" max="37" width="6.28515625" style="398" hidden="1" customWidth="1" outlineLevel="1"/>
    <col min="38" max="38" width="5.28515625" style="398" hidden="1" customWidth="1" outlineLevel="1"/>
    <col min="39" max="39" width="0.7109375" style="398" hidden="1" customWidth="1" outlineLevel="1"/>
    <col min="40" max="40" width="7.85546875" style="398" hidden="1" customWidth="1" outlineLevel="1"/>
    <col min="41" max="41" width="6.28515625" style="398" hidden="1" customWidth="1" outlineLevel="1"/>
    <col min="42" max="42" width="5.28515625" style="398" hidden="1" customWidth="1" outlineLevel="1"/>
    <col min="43" max="43" width="0.7109375" style="398" hidden="1" customWidth="1" outlineLevel="1"/>
    <col min="44" max="44" width="7.85546875" style="398" hidden="1" customWidth="1" outlineLevel="1"/>
    <col min="45" max="45" width="6.28515625" style="398" hidden="1" customWidth="1" outlineLevel="1"/>
    <col min="46" max="46" width="5.28515625" style="398" hidden="1" customWidth="1" outlineLevel="1"/>
    <col min="47" max="47" width="0.7109375" style="398" hidden="1" customWidth="1" outlineLevel="1"/>
    <col min="48" max="48" width="7.85546875" style="398" customWidth="1" collapsed="1"/>
    <col min="49" max="49" width="6.85546875" style="398" bestFit="1" customWidth="1"/>
    <col min="50" max="50" width="5.28515625" style="398" customWidth="1"/>
    <col min="51" max="51" width="0.7109375" style="398" customWidth="1"/>
    <col min="52" max="52" width="7.85546875" style="398" customWidth="1"/>
    <col min="53" max="53" width="6.85546875" style="398" bestFit="1" customWidth="1"/>
    <col min="54" max="54" width="5.28515625" style="398" customWidth="1"/>
    <col min="55" max="55" width="0.7109375" style="398" customWidth="1"/>
    <col min="56" max="56" width="7.85546875" style="398" customWidth="1"/>
    <col min="57" max="57" width="7.28515625" style="398" bestFit="1" customWidth="1"/>
    <col min="58" max="58" width="6.5703125" style="398" customWidth="1"/>
    <col min="59" max="59" width="0.7109375" style="398" customWidth="1"/>
    <col min="60" max="60" width="7.85546875" style="398" customWidth="1"/>
    <col min="61" max="61" width="8.140625" style="398" bestFit="1" customWidth="1"/>
    <col min="62" max="62" width="6.140625" style="398" customWidth="1"/>
    <col min="63" max="63" width="2.140625" style="398" customWidth="1"/>
    <col min="64" max="64" width="7.85546875" style="398" customWidth="1"/>
    <col min="65" max="65" width="8" style="398" customWidth="1"/>
    <col min="66" max="66" width="5.28515625" style="398" customWidth="1"/>
    <col min="67" max="67" width="2.28515625" style="398" customWidth="1"/>
    <col min="68" max="69" width="7.42578125" style="398" customWidth="1"/>
    <col min="70" max="70" width="5.28515625" style="398" customWidth="1"/>
    <col min="71" max="71" width="2.28515625" style="398" customWidth="1"/>
    <col min="72" max="72" width="10" style="398" customWidth="1"/>
    <col min="73" max="73" width="10.42578125" style="398" customWidth="1"/>
    <col min="74" max="74" width="9.7109375" style="398" customWidth="1"/>
    <col min="75" max="75" width="2.28515625" style="398" customWidth="1"/>
    <col min="76" max="76" width="10" style="398" customWidth="1"/>
    <col min="77" max="77" width="10.42578125" style="398" customWidth="1"/>
    <col min="78" max="78" width="9.7109375" style="398" customWidth="1"/>
    <col min="79" max="79" width="2.7109375" style="398" customWidth="1"/>
    <col min="80" max="80" width="10" style="136" hidden="1" customWidth="1"/>
    <col min="81" max="81" width="10.42578125" style="136" hidden="1" customWidth="1"/>
    <col min="82" max="82" width="9.7109375" style="136" hidden="1" customWidth="1"/>
    <col min="83" max="16384" width="9.140625" style="398"/>
  </cols>
  <sheetData>
    <row r="1" spans="1:82">
      <c r="A1" s="582" t="s">
        <v>442</v>
      </c>
    </row>
    <row r="2" spans="1:82">
      <c r="A2" s="583" t="s">
        <v>723</v>
      </c>
      <c r="B2" s="584"/>
      <c r="C2" s="584"/>
      <c r="D2" s="584"/>
      <c r="E2" s="584"/>
      <c r="F2" s="584"/>
      <c r="G2" s="584"/>
      <c r="H2" s="584"/>
      <c r="I2" s="584"/>
      <c r="J2" s="584"/>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584"/>
      <c r="AJ2" s="584"/>
      <c r="AK2" s="584"/>
      <c r="AL2" s="584"/>
      <c r="AM2" s="584"/>
      <c r="AN2" s="584"/>
      <c r="AO2" s="584"/>
      <c r="AP2" s="584"/>
      <c r="AQ2" s="584"/>
      <c r="AR2" s="584"/>
      <c r="AS2" s="584"/>
      <c r="AT2" s="584"/>
      <c r="AU2" s="584"/>
      <c r="AV2" s="584"/>
      <c r="AW2" s="584"/>
      <c r="AX2" s="584"/>
      <c r="AY2" s="584"/>
      <c r="AZ2" s="584"/>
      <c r="BA2" s="584"/>
      <c r="BB2" s="584"/>
      <c r="BC2" s="584"/>
      <c r="BD2" s="584"/>
      <c r="BE2" s="584"/>
      <c r="BF2" s="584"/>
      <c r="BG2" s="584"/>
      <c r="BH2" s="584"/>
      <c r="BI2" s="584"/>
      <c r="BJ2" s="584"/>
      <c r="BK2" s="584"/>
      <c r="BL2" s="584"/>
      <c r="BM2" s="584"/>
      <c r="BN2" s="584"/>
      <c r="BP2" s="584"/>
      <c r="BQ2" s="584"/>
      <c r="BR2" s="584"/>
      <c r="BT2" s="584"/>
      <c r="BU2" s="584"/>
      <c r="BV2" s="584"/>
      <c r="BX2" s="584"/>
      <c r="BY2" s="584"/>
      <c r="BZ2" s="584"/>
      <c r="CB2" s="186"/>
      <c r="CC2" s="186"/>
      <c r="CD2" s="186"/>
    </row>
    <row r="3" spans="1:82">
      <c r="A3" s="987" t="s">
        <v>166</v>
      </c>
    </row>
    <row r="7" spans="1:82">
      <c r="D7" s="811">
        <f>H7-1</f>
        <v>2001</v>
      </c>
      <c r="E7" s="812"/>
      <c r="F7" s="812"/>
      <c r="H7" s="811">
        <f>T7-1</f>
        <v>2002</v>
      </c>
      <c r="I7" s="812"/>
      <c r="J7" s="812"/>
      <c r="L7" s="811" t="s">
        <v>354</v>
      </c>
      <c r="M7" s="812"/>
      <c r="N7" s="812"/>
      <c r="P7" s="811" t="s">
        <v>355</v>
      </c>
      <c r="Q7" s="812"/>
      <c r="R7" s="812"/>
      <c r="T7" s="811">
        <f>X7-1</f>
        <v>2003</v>
      </c>
      <c r="U7" s="812"/>
      <c r="V7" s="812"/>
      <c r="X7" s="811">
        <f>AB7-1</f>
        <v>2004</v>
      </c>
      <c r="Y7" s="812"/>
      <c r="Z7" s="812"/>
      <c r="AB7" s="811">
        <v>2005</v>
      </c>
      <c r="AC7" s="812"/>
      <c r="AD7" s="812"/>
      <c r="AF7" s="811">
        <f>AB7+1</f>
        <v>2006</v>
      </c>
      <c r="AG7" s="812"/>
      <c r="AH7" s="812"/>
      <c r="AJ7" s="811">
        <f>AF7+1</f>
        <v>2007</v>
      </c>
      <c r="AK7" s="812"/>
      <c r="AL7" s="812"/>
      <c r="AN7" s="811">
        <f>AJ7+1</f>
        <v>2008</v>
      </c>
      <c r="AO7" s="812"/>
      <c r="AP7" s="812"/>
      <c r="AR7" s="811">
        <f>AN7+1</f>
        <v>2009</v>
      </c>
      <c r="AS7" s="812"/>
      <c r="AT7" s="812"/>
      <c r="AV7" s="811">
        <f>AR7+1</f>
        <v>2010</v>
      </c>
      <c r="AW7" s="812"/>
      <c r="AX7" s="812"/>
      <c r="AZ7" s="811">
        <f>AV7+1</f>
        <v>2011</v>
      </c>
      <c r="BA7" s="812"/>
      <c r="BB7" s="812"/>
      <c r="BD7" s="811">
        <f>AZ7+1</f>
        <v>2012</v>
      </c>
      <c r="BE7" s="812"/>
      <c r="BF7" s="812"/>
      <c r="BH7" s="811">
        <f>BD7+1</f>
        <v>2013</v>
      </c>
      <c r="BI7" s="812"/>
      <c r="BJ7" s="812"/>
      <c r="BK7" s="812"/>
      <c r="BL7" s="811">
        <f>BH7+1</f>
        <v>2014</v>
      </c>
      <c r="BM7" s="812"/>
      <c r="BN7" s="812"/>
      <c r="BP7" s="811">
        <f>BL7+1</f>
        <v>2015</v>
      </c>
      <c r="BQ7" s="812"/>
      <c r="BR7" s="812"/>
      <c r="BT7" s="811">
        <f>BP7+1</f>
        <v>2016</v>
      </c>
      <c r="BU7" s="812"/>
      <c r="BV7" s="812"/>
      <c r="BX7" s="811">
        <f>BT7+1</f>
        <v>2017</v>
      </c>
      <c r="BY7" s="1435"/>
      <c r="BZ7" s="1435"/>
      <c r="CA7" s="1384"/>
      <c r="CB7" s="1504">
        <f>BX7+1</f>
        <v>2018</v>
      </c>
      <c r="CC7" s="1505"/>
      <c r="CD7" s="1505"/>
    </row>
    <row r="8" spans="1:82">
      <c r="BH8" s="680"/>
      <c r="BL8" s="680"/>
      <c r="BP8" s="680"/>
      <c r="BT8" s="680"/>
      <c r="BX8" s="680"/>
      <c r="CB8" s="1499"/>
    </row>
    <row r="9" spans="1:82">
      <c r="A9" s="1121"/>
      <c r="B9" s="593"/>
      <c r="C9" s="593"/>
      <c r="D9" s="593"/>
      <c r="E9" s="593"/>
      <c r="F9" s="593"/>
      <c r="G9" s="593"/>
      <c r="H9" s="593"/>
      <c r="I9" s="593"/>
      <c r="J9" s="593"/>
      <c r="K9" s="593"/>
      <c r="L9" s="593"/>
      <c r="M9" s="593"/>
      <c r="N9" s="593"/>
      <c r="O9" s="593"/>
      <c r="P9" s="593"/>
      <c r="Q9" s="593"/>
      <c r="R9" s="593"/>
      <c r="S9" s="593"/>
      <c r="T9" s="593"/>
      <c r="U9" s="593"/>
      <c r="V9" s="593"/>
      <c r="W9" s="593"/>
      <c r="X9" s="593"/>
      <c r="Y9" s="593"/>
      <c r="Z9" s="593"/>
      <c r="AA9" s="593"/>
      <c r="AB9" s="593"/>
      <c r="AC9" s="593"/>
      <c r="AD9" s="593"/>
      <c r="AE9" s="593"/>
      <c r="AF9" s="593"/>
      <c r="AG9" s="593"/>
      <c r="AH9" s="593"/>
      <c r="AI9" s="593"/>
      <c r="AJ9" s="593"/>
      <c r="AK9" s="593"/>
      <c r="AL9" s="593"/>
      <c r="AM9" s="593"/>
      <c r="AN9" s="593"/>
      <c r="AO9" s="593"/>
      <c r="AP9" s="593"/>
      <c r="AQ9" s="593"/>
      <c r="AR9" s="593"/>
      <c r="AS9" s="593"/>
      <c r="AT9" s="593"/>
      <c r="AU9" s="593"/>
      <c r="AV9" s="1121" t="s">
        <v>162</v>
      </c>
      <c r="AW9" s="593"/>
      <c r="AX9" s="593"/>
      <c r="AY9" s="593"/>
      <c r="AZ9" s="1122"/>
      <c r="BA9" s="593"/>
      <c r="BB9" s="593"/>
      <c r="BC9" s="593"/>
      <c r="BD9" s="593"/>
      <c r="BE9" s="593"/>
      <c r="BF9" s="593"/>
      <c r="BG9" s="593"/>
      <c r="BH9" s="797"/>
      <c r="BI9" s="593"/>
      <c r="BJ9" s="593"/>
      <c r="BK9" s="1108"/>
      <c r="BL9" s="797"/>
      <c r="BM9" s="593"/>
      <c r="BN9" s="593"/>
      <c r="BO9" s="1108"/>
      <c r="BP9" s="797"/>
      <c r="BQ9" s="593"/>
      <c r="BR9" s="593"/>
      <c r="BS9" s="1108"/>
      <c r="BT9" s="797"/>
      <c r="BU9" s="593"/>
      <c r="BV9" s="593"/>
      <c r="BW9" s="1108"/>
      <c r="BX9" s="797"/>
      <c r="BY9" s="593"/>
      <c r="BZ9" s="593"/>
      <c r="CA9" s="1108"/>
      <c r="CB9" s="1506"/>
      <c r="CC9" s="1507"/>
      <c r="CD9" s="1507"/>
    </row>
    <row r="10" spans="1:82">
      <c r="A10" s="398" t="s">
        <v>158</v>
      </c>
      <c r="B10" s="398" t="s">
        <v>140</v>
      </c>
      <c r="D10" s="791">
        <v>5372</v>
      </c>
      <c r="E10" s="1123" t="s">
        <v>147</v>
      </c>
      <c r="F10" s="1124">
        <f>'qtrP&amp;L'!BD10</f>
        <v>-7.9702444208284984E-2</v>
      </c>
      <c r="H10" s="791">
        <v>4902</v>
      </c>
      <c r="I10" s="1123">
        <f>(H10/D10-1)*100</f>
        <v>-8.7490692479523453</v>
      </c>
      <c r="J10" s="1124">
        <f>'qtrP&amp;L'!BH10</f>
        <v>2.7386333421962172</v>
      </c>
      <c r="L10" s="791">
        <v>5372</v>
      </c>
      <c r="M10" s="1123">
        <f>(L10/H10-1)*100</f>
        <v>9.5879232966136207</v>
      </c>
      <c r="N10" s="1124">
        <f>'qtrP&amp;L'!BL10</f>
        <v>-46.214133900106269</v>
      </c>
      <c r="P10" s="791">
        <v>2917</v>
      </c>
      <c r="Q10" s="1123">
        <f>(P10/L10-1)*100</f>
        <v>-45.699925539836187</v>
      </c>
      <c r="R10" s="1124">
        <f>'qtrP&amp;L'!BP10</f>
        <v>-1.4571499135589083</v>
      </c>
      <c r="T10" s="791">
        <v>3306</v>
      </c>
      <c r="U10" s="1123">
        <f>(T10/P10-1)*100</f>
        <v>13.335618786424419</v>
      </c>
      <c r="V10" s="1124">
        <f>'qtrP&amp;L'!BT10</f>
        <v>-8.045112781954888</v>
      </c>
      <c r="X10" s="791">
        <v>3312</v>
      </c>
      <c r="Y10" s="1123">
        <f>(X10/T10-1)*100</f>
        <v>0.1814882032667775</v>
      </c>
      <c r="Z10" s="1124">
        <f>'qtrP&amp;L'!BX10</f>
        <v>8.2583810302534708</v>
      </c>
      <c r="AB10" s="791">
        <v>3258</v>
      </c>
      <c r="AC10" s="1123">
        <f>(AB10/X10-1)*100</f>
        <v>-1.6304347826086918</v>
      </c>
      <c r="AD10" s="1124">
        <f>'qtrP&amp;L'!CB10</f>
        <v>3.6757301107754214</v>
      </c>
      <c r="AF10" s="791">
        <v>3355</v>
      </c>
      <c r="AG10" s="1123">
        <f>(AF10/AB10-1)*100</f>
        <v>2.9772866789441466</v>
      </c>
      <c r="AH10" s="1124">
        <f>'qtrP&amp;L'!CF10</f>
        <v>2.4526469159786402</v>
      </c>
      <c r="AJ10" s="791">
        <v>3497</v>
      </c>
      <c r="AK10" s="1123">
        <f>(AJ10/AF10-1)*100</f>
        <v>4.2324888226527468</v>
      </c>
      <c r="AL10" s="1124">
        <f>'qtrP&amp;L'!CJ10</f>
        <v>3.0812988859919344</v>
      </c>
      <c r="AN10" s="791">
        <v>3694</v>
      </c>
      <c r="AO10" s="1123">
        <f>(AN10/AJ10-1)*100</f>
        <v>5.6334000571918841</v>
      </c>
      <c r="AP10" s="1124">
        <f>'qtrP&amp;L'!CN10</f>
        <v>-5.1046217521269259</v>
      </c>
      <c r="AR10" s="791">
        <v>3237</v>
      </c>
      <c r="AS10" s="1123">
        <f>(AR10/AN10-1)*100</f>
        <v>-12.371413102328098</v>
      </c>
      <c r="AT10" s="1124">
        <f>'qtrP&amp;L'!CR10</f>
        <v>-5.8290496571691826</v>
      </c>
      <c r="AV10" s="1406">
        <v>3214</v>
      </c>
      <c r="AW10" s="1123">
        <f>(AV10/AR10-1)*100</f>
        <v>-0.71053444547420908</v>
      </c>
      <c r="AX10" s="1124">
        <f>'qtrP&amp;L'!CV10</f>
        <v>1.095216516679387</v>
      </c>
      <c r="AZ10" s="1406">
        <v>3408</v>
      </c>
      <c r="BA10" s="1123">
        <f>(AZ10/AV10-1)*100</f>
        <v>6.0360920970752963</v>
      </c>
      <c r="BB10" s="1124">
        <f>'qtrP&amp;L'!CZ10</f>
        <v>0.35632476457114759</v>
      </c>
      <c r="BD10" s="1406">
        <v>3084</v>
      </c>
      <c r="BE10" s="1123">
        <f>(BD10/AZ10-1)*100</f>
        <v>-9.5070422535211243</v>
      </c>
      <c r="BF10" s="1124">
        <f>'qtrP&amp;L'!DD10</f>
        <v>-20.060867359878266</v>
      </c>
      <c r="BH10" s="1406">
        <v>2798</v>
      </c>
      <c r="BI10" s="1123">
        <f>(BH10/BD10-1)*100</f>
        <v>-9.2736705577172511</v>
      </c>
      <c r="BJ10" s="1124">
        <f>'qtrP&amp;L'!DH10</f>
        <v>-16.402284263959388</v>
      </c>
      <c r="BK10" s="1125"/>
      <c r="BL10" s="1406">
        <v>2835</v>
      </c>
      <c r="BM10" s="1123">
        <f>(BL10/BH10-1)*100</f>
        <v>1.322373123659748</v>
      </c>
      <c r="BN10" s="1124">
        <f>'qtrP&amp;L'!DL10</f>
        <v>6.299810246679316</v>
      </c>
      <c r="BO10" s="1125"/>
      <c r="BP10" s="1406">
        <v>2811</v>
      </c>
      <c r="BQ10" s="1123">
        <f>(BP10/BL10-1)*100</f>
        <v>-0.84656084656085095</v>
      </c>
      <c r="BR10" s="1124">
        <f>'qtrP&amp;L'!DQ10</f>
        <v>1.9992859692966825</v>
      </c>
      <c r="BS10" s="1125"/>
      <c r="BT10" s="1406">
        <v>2925</v>
      </c>
      <c r="BU10" s="1123">
        <f>(BT10/BP10-1)*100</f>
        <v>4.0554962646744963</v>
      </c>
      <c r="BV10" s="1124">
        <f>'qtrP&amp;L'!$DV$10</f>
        <v>-1.610080504025202</v>
      </c>
      <c r="BW10" s="1125"/>
      <c r="BX10" s="1406">
        <v>2949</v>
      </c>
      <c r="BY10" s="1123">
        <f>(BX10/BT10-1)*100</f>
        <v>0.82051282051283092</v>
      </c>
      <c r="BZ10" s="1124">
        <f>'qtrP&amp;L'!EA10</f>
        <v>-3.7353255069370372</v>
      </c>
      <c r="CA10" s="1125"/>
      <c r="CB10" s="1508">
        <v>2949</v>
      </c>
      <c r="CC10" s="1524">
        <v>-1</v>
      </c>
      <c r="CD10" s="1510">
        <f>'qtrP&amp;L'!EF10</f>
        <v>-1.5999999999999903</v>
      </c>
    </row>
    <row r="11" spans="1:82">
      <c r="A11" s="398" t="s">
        <v>159</v>
      </c>
      <c r="B11" s="398" t="s">
        <v>141</v>
      </c>
      <c r="D11" s="791">
        <v>5413</v>
      </c>
      <c r="E11" s="1123" t="s">
        <v>147</v>
      </c>
      <c r="F11" s="1124">
        <f>'qtrP&amp;L'!BD11</f>
        <v>5.5501595670870429E-2</v>
      </c>
      <c r="H11" s="791">
        <v>5002</v>
      </c>
      <c r="I11" s="1123">
        <f>(H11/D11-1)*100</f>
        <v>-7.5928320709403252</v>
      </c>
      <c r="J11" s="1124">
        <f>'qtrP&amp;L'!BH11</f>
        <v>-0.18028012758285472</v>
      </c>
      <c r="L11" s="791">
        <v>5413</v>
      </c>
      <c r="M11" s="1123">
        <f>(L11/H11-1)*100</f>
        <v>8.2167133146741289</v>
      </c>
      <c r="N11" s="1124">
        <f>'qtrP&amp;L'!BL11</f>
        <v>-46.690717358124047</v>
      </c>
      <c r="P11" s="791">
        <v>3034</v>
      </c>
      <c r="Q11" s="1123">
        <f>(P11/L11-1)*100</f>
        <v>-43.949750600406432</v>
      </c>
      <c r="R11" s="1124">
        <f>'qtrP&amp;L'!BP11</f>
        <v>-6.1431025507548203</v>
      </c>
      <c r="T11" s="791">
        <v>3318</v>
      </c>
      <c r="U11" s="1123">
        <f>(T11/P11-1)*100</f>
        <v>9.3605800922874174</v>
      </c>
      <c r="V11" s="1124">
        <f>'qtrP&amp;L'!BT11</f>
        <v>-0.77598834381313875</v>
      </c>
      <c r="X11" s="791">
        <v>3408</v>
      </c>
      <c r="Y11" s="1123">
        <f>(X11/T11-1)*100</f>
        <v>2.7124773960216952</v>
      </c>
      <c r="Z11" s="1124">
        <f>'qtrP&amp;L'!BX11</f>
        <v>5.5897149245388578</v>
      </c>
      <c r="AB11" s="791">
        <v>3445</v>
      </c>
      <c r="AC11" s="1123">
        <f>(AB11/X11-1)*100</f>
        <v>1.085680751173701</v>
      </c>
      <c r="AD11" s="1124">
        <f>'qtrP&amp;L'!CB11</f>
        <v>5.3732133403917359</v>
      </c>
      <c r="AF11" s="791">
        <v>3461</v>
      </c>
      <c r="AG11" s="1123">
        <f>(AF11/AB11-1)*100</f>
        <v>0.46444121915820702</v>
      </c>
      <c r="AH11" s="1124">
        <f>'qtrP&amp;L'!CF11</f>
        <v>6.4327555890479671</v>
      </c>
      <c r="AJ11" s="791">
        <v>3649</v>
      </c>
      <c r="AK11" s="1123">
        <f>(AJ11/AF11-1)*100</f>
        <v>5.4319560820571988</v>
      </c>
      <c r="AL11" s="1124">
        <f>'qtrP&amp;L'!CJ11</f>
        <v>3.6088936552651329</v>
      </c>
      <c r="AN11" s="791">
        <v>3693</v>
      </c>
      <c r="AO11" s="1123">
        <f>(AN11/AJ11-1)*100</f>
        <v>1.2058098109070992</v>
      </c>
      <c r="AP11" s="1124">
        <f>'qtrP&amp;L'!CN11</f>
        <v>-2.448828881633458</v>
      </c>
      <c r="AR11" s="791">
        <v>3258</v>
      </c>
      <c r="AS11" s="1123">
        <f>(AR11/AN11-1)*100</f>
        <v>-11.779041429731929</v>
      </c>
      <c r="AT11" s="1124">
        <f>'qtrP&amp;L'!CR11</f>
        <v>-7.9357029009820668</v>
      </c>
      <c r="AV11" s="1406">
        <v>3490</v>
      </c>
      <c r="AW11" s="1123">
        <f>(AV11/AR11-1)*100</f>
        <v>7.1209330877839205</v>
      </c>
      <c r="AX11" s="1124">
        <f>'qtrP&amp;L'!CV11</f>
        <v>-0.11794655441208501</v>
      </c>
      <c r="AZ11" s="1406">
        <v>3572</v>
      </c>
      <c r="BA11" s="1123">
        <f>(AZ11/AV11-1)*100</f>
        <v>2.3495702005730701</v>
      </c>
      <c r="BB11" s="1124">
        <f>'qtrP&amp;L'!CZ11</f>
        <v>-0.81259522600304335</v>
      </c>
      <c r="BD11" s="1406">
        <v>2993</v>
      </c>
      <c r="BE11" s="1123">
        <f>(BD11/AZ11-1)*100</f>
        <v>-16.20940649496081</v>
      </c>
      <c r="BF11" s="1124">
        <f>'qtrP&amp;L'!DD11</f>
        <v>-22.63184843830005</v>
      </c>
      <c r="BH11" s="1406">
        <v>3155</v>
      </c>
      <c r="BI11" s="1123">
        <f>(BH11/BD11-1)*100</f>
        <v>5.4126294687604437</v>
      </c>
      <c r="BJ11" s="1124">
        <f>'qtrP&amp;L'!DH11</f>
        <v>-11.87954996690933</v>
      </c>
      <c r="BK11" s="1125"/>
      <c r="BL11" s="1406">
        <v>2848</v>
      </c>
      <c r="BM11" s="1123">
        <f>(BL11/BH11-1)*100</f>
        <v>-9.7305863708399336</v>
      </c>
      <c r="BN11" s="1124">
        <f>'qtrP&amp;L'!DL11</f>
        <v>5.1070221554637696</v>
      </c>
      <c r="BO11" s="1125"/>
      <c r="BP11" s="1406">
        <v>3005</v>
      </c>
      <c r="BQ11" s="1123">
        <f>(BP11/BL11-1)*100</f>
        <v>5.5126404494381998</v>
      </c>
      <c r="BR11" s="1124">
        <f>'qtrP&amp;L'!DQ11</f>
        <v>2.7152554483744096</v>
      </c>
      <c r="BS11" s="1125"/>
      <c r="BT11" s="1406">
        <v>2981</v>
      </c>
      <c r="BU11" s="1123">
        <f>(BT11/BP11-1)*100</f>
        <v>-0.79866888519134482</v>
      </c>
      <c r="BV11" s="1124">
        <f>'qtrP&amp;L'!$DV11</f>
        <v>1.4956521739130535</v>
      </c>
      <c r="BW11" s="1125"/>
      <c r="BX11" s="1406">
        <v>2777</v>
      </c>
      <c r="BY11" s="1123">
        <f>(BX11/BT11-1)*100</f>
        <v>-6.8433411606843357</v>
      </c>
      <c r="BZ11" s="1124">
        <f>'qtrP&amp;L'!EA11</f>
        <v>1.5078821110349638</v>
      </c>
      <c r="CA11" s="1125"/>
      <c r="CB11" s="1508">
        <v>2777</v>
      </c>
      <c r="CC11" s="1524">
        <v>-1</v>
      </c>
      <c r="CD11" s="1510">
        <f>'qtrP&amp;L'!EF11</f>
        <v>-0.80000000000000071</v>
      </c>
    </row>
    <row r="12" spans="1:82">
      <c r="A12" s="398" t="s">
        <v>160</v>
      </c>
      <c r="B12" s="398" t="s">
        <v>142</v>
      </c>
      <c r="D12" s="791">
        <v>6273</v>
      </c>
      <c r="E12" s="1123" t="s">
        <v>147</v>
      </c>
      <c r="F12" s="1124">
        <f>'qtrP&amp;L'!BD12</f>
        <v>2.5338286017511313</v>
      </c>
      <c r="H12" s="791">
        <v>5943</v>
      </c>
      <c r="I12" s="1123">
        <f>(H12/D12-1)*100</f>
        <v>-5.2606408417025357</v>
      </c>
      <c r="J12" s="1124">
        <f>'qtrP&amp;L'!BH12</f>
        <v>1.8501746668391661</v>
      </c>
      <c r="L12" s="791">
        <v>6273</v>
      </c>
      <c r="M12" s="1123">
        <f>(L12/H12-1)*100</f>
        <v>5.5527511357900128</v>
      </c>
      <c r="N12" s="1124">
        <f>'qtrP&amp;L'!BL12</f>
        <v>-42.345449721411512</v>
      </c>
      <c r="P12" s="791">
        <v>3822</v>
      </c>
      <c r="Q12" s="1123">
        <f>(P12/L12-1)*100</f>
        <v>-39.072214251554286</v>
      </c>
      <c r="R12" s="1124">
        <f>'qtrP&amp;L'!BP12</f>
        <v>-1.1965025310630484</v>
      </c>
      <c r="T12" s="791">
        <v>4172</v>
      </c>
      <c r="U12" s="1123">
        <f>(T12/P12-1)*100</f>
        <v>9.1575091575091463</v>
      </c>
      <c r="V12" s="1124">
        <f>'qtrP&amp;L'!BT12</f>
        <v>-0.60549604098741883</v>
      </c>
      <c r="X12" s="791">
        <v>4207</v>
      </c>
      <c r="Y12" s="1123">
        <f>(X12/T12-1)*100</f>
        <v>0.83892617449663476</v>
      </c>
      <c r="Z12" s="1124">
        <f>'qtrP&amp;L'!BX12</f>
        <v>2.8819119025304651</v>
      </c>
      <c r="AB12" s="791">
        <v>4229</v>
      </c>
      <c r="AC12" s="1123">
        <f>(AB12/X12-1)*100</f>
        <v>0.52293796054194708</v>
      </c>
      <c r="AD12" s="1124">
        <f>'qtrP&amp;L'!CB12</f>
        <v>2.0040992940104863</v>
      </c>
      <c r="AF12" s="791">
        <v>4275</v>
      </c>
      <c r="AG12" s="1123">
        <f>(AF12/AB12-1)*100</f>
        <v>1.0877275951761689</v>
      </c>
      <c r="AH12" s="1124">
        <f>'qtrP&amp;L'!CF12</f>
        <v>6.7425764679615918</v>
      </c>
      <c r="AJ12" s="791">
        <v>4734</v>
      </c>
      <c r="AK12" s="1123">
        <f>(AJ12/AF12-1)*100</f>
        <v>10.736842105263156</v>
      </c>
      <c r="AL12" s="1124">
        <f>'qtrP&amp;L'!CJ12</f>
        <v>-1.1085546956703607</v>
      </c>
      <c r="AN12" s="791">
        <v>4471</v>
      </c>
      <c r="AO12" s="1123">
        <f>(AN12/AJ12-1)*100</f>
        <v>-5.555555555555558</v>
      </c>
      <c r="AP12" s="1124">
        <f>'qtrP&amp;L'!CN12</f>
        <v>-8.6756692259225439</v>
      </c>
      <c r="AR12" s="791">
        <v>4018</v>
      </c>
      <c r="AS12" s="1123">
        <f>(AR12/AN12-1)*100</f>
        <v>-10.13196152985909</v>
      </c>
      <c r="AT12" s="1124">
        <f>'qtrP&amp;L'!CR12</f>
        <v>-3.1826326148638007</v>
      </c>
      <c r="AV12" s="1406">
        <v>4267</v>
      </c>
      <c r="AW12" s="1123">
        <f>(AV12/AR12-1)*100</f>
        <v>6.1971129915380896</v>
      </c>
      <c r="AX12" s="1124">
        <f>'qtrP&amp;L'!CV12</f>
        <v>0.20586118550693921</v>
      </c>
      <c r="AZ12" s="1406">
        <v>4376</v>
      </c>
      <c r="BA12" s="1123">
        <f>(AZ12/AV12-1)*100</f>
        <v>2.5544879306304225</v>
      </c>
      <c r="BB12" s="1124">
        <f>'qtrP&amp;L'!CZ12</f>
        <v>-4.8460253043685846</v>
      </c>
      <c r="BD12" s="1406">
        <v>3362</v>
      </c>
      <c r="BE12" s="1123">
        <f>(BD12/AZ12-1)*100</f>
        <v>-23.171846435100552</v>
      </c>
      <c r="BF12" s="1124">
        <f>'qtrP&amp;L'!DD12</f>
        <v>-26.56798795785248</v>
      </c>
      <c r="BH12" s="1406">
        <v>3747</v>
      </c>
      <c r="BI12" s="1123">
        <f>(BH12/BD12-1)*100</f>
        <v>11.451516954193931</v>
      </c>
      <c r="BJ12" s="1124">
        <f>'qtrP&amp;L'!DH12</f>
        <v>-5.0563717116501543</v>
      </c>
      <c r="BK12" s="1125"/>
      <c r="BL12" s="1406">
        <v>3358</v>
      </c>
      <c r="BM12" s="1123">
        <f>(BL12/BH12-1)*100</f>
        <v>-10.381638644248737</v>
      </c>
      <c r="BN12" s="1124">
        <f>'qtrP&amp;L'!DL12</f>
        <v>-0.53976250449802032</v>
      </c>
      <c r="BO12" s="1125"/>
      <c r="BP12" s="1406">
        <v>3669</v>
      </c>
      <c r="BQ12" s="1123">
        <f>(BP12/BL12-1)*100</f>
        <v>9.2614651578320384</v>
      </c>
      <c r="BR12" s="1124">
        <f>'qtrP&amp;L'!DQ12</f>
        <v>4.8118668596237368</v>
      </c>
      <c r="BS12" s="1125"/>
      <c r="BT12" s="1406">
        <v>3691</v>
      </c>
      <c r="BU12" s="1123">
        <f>(BT12/BP12-1)*100</f>
        <v>0.59961842463887027</v>
      </c>
      <c r="BV12" s="1124">
        <f>'qtrP&amp;L'!$DV12</f>
        <v>-1.3807386952019329</v>
      </c>
      <c r="BW12" s="1125"/>
      <c r="BX12" s="1406">
        <v>3365</v>
      </c>
      <c r="BY12" s="1123">
        <f>(BX12/BT12-1)*100</f>
        <v>-8.8322947710647526</v>
      </c>
      <c r="BZ12" s="1124">
        <f>'qtrP&amp;L'!EA12</f>
        <v>-1.7500875043752195</v>
      </c>
      <c r="CA12" s="1125"/>
      <c r="CB12" s="1511">
        <f>BX12*(1+CC12/100)</f>
        <v>3331.35</v>
      </c>
      <c r="CC12" s="1512">
        <v>-1</v>
      </c>
      <c r="CD12" s="1510">
        <f>'qtrP&amp;L'!EF12</f>
        <v>-2.8000000000000025</v>
      </c>
    </row>
    <row r="13" spans="1:82">
      <c r="A13" s="398" t="s">
        <v>161</v>
      </c>
      <c r="B13" s="398" t="s">
        <v>143</v>
      </c>
      <c r="D13" s="791">
        <v>4931</v>
      </c>
      <c r="E13" s="1123" t="s">
        <v>147</v>
      </c>
      <c r="F13" s="1124">
        <f>'qtrP&amp;L'!BD13</f>
        <v>-0.32382743131724734</v>
      </c>
      <c r="H13" s="791">
        <v>4945</v>
      </c>
      <c r="I13" s="1123">
        <f>(H13/D13-1)*100</f>
        <v>0.28391806935712527</v>
      </c>
      <c r="J13" s="1124">
        <f>'qtrP&amp;L'!BH13</f>
        <v>7.3359882624179917E-2</v>
      </c>
      <c r="L13" s="791">
        <v>2894</v>
      </c>
      <c r="M13" s="1123">
        <f>(L13/H13-1)*100</f>
        <v>-41.476238624873609</v>
      </c>
      <c r="N13" s="1124">
        <f>'qtrP&amp;L'!BL13</f>
        <v>-38.83839966572652</v>
      </c>
      <c r="P13" s="791">
        <v>2955</v>
      </c>
      <c r="Q13" s="1123">
        <f>(P13/L13-1)*100</f>
        <v>2.1078092605390397</v>
      </c>
      <c r="R13" s="1124">
        <f>'qtrP&amp;L'!BP13</f>
        <v>-1.9128949615713098</v>
      </c>
      <c r="T13" s="791">
        <v>3135</v>
      </c>
      <c r="U13" s="1123">
        <f>(T13/P13-1)*100</f>
        <v>6.0913705583756306</v>
      </c>
      <c r="V13" s="1124">
        <f>'qtrP&amp;L'!BT13</f>
        <v>4.4401880550235084</v>
      </c>
      <c r="X13" s="791">
        <v>3142</v>
      </c>
      <c r="Y13" s="1123">
        <f>(X13/T13-1)*100</f>
        <v>0.22328548644339197</v>
      </c>
      <c r="Z13" s="1124">
        <f>'qtrP&amp;L'!BX13</f>
        <v>-0.71690563521173978</v>
      </c>
      <c r="AB13" s="791">
        <v>3210</v>
      </c>
      <c r="AC13" s="1123">
        <f>(AB13/X13-1)*100</f>
        <v>2.1642266072565253</v>
      </c>
      <c r="AD13" s="1124">
        <f>'qtrP&amp;L'!CB13</f>
        <v>4.1659781696053777</v>
      </c>
      <c r="AF13" s="791">
        <v>3400</v>
      </c>
      <c r="AG13" s="1123">
        <f>(AF13/AB13-1)*100</f>
        <v>5.9190031152647871</v>
      </c>
      <c r="AH13" s="1124">
        <f>'qtrP&amp;L'!CF13</f>
        <v>7.4949170444894797</v>
      </c>
      <c r="AJ13" s="791">
        <v>3641</v>
      </c>
      <c r="AK13" s="1123">
        <f>(AJ13/AF13-1)*100</f>
        <v>7.0882352941176396</v>
      </c>
      <c r="AL13" s="1124">
        <f>'qtrP&amp;L'!CJ13</f>
        <v>-4.1691661667666473</v>
      </c>
      <c r="AN13" s="791">
        <v>3259</v>
      </c>
      <c r="AO13" s="1123">
        <f>(AN13/AJ13-1)*100</f>
        <v>-10.491623180444931</v>
      </c>
      <c r="AP13" s="1124">
        <f>'qtrP&amp;L'!CN13</f>
        <v>-9.8713347791671744</v>
      </c>
      <c r="AR13" s="791">
        <v>3024</v>
      </c>
      <c r="AS13" s="1123">
        <f>(AR13/AN13-1)*100</f>
        <v>-7.2108008591592494</v>
      </c>
      <c r="AT13" s="1124">
        <f>'qtrP&amp;L'!CR13</f>
        <v>-3.6328121790261347</v>
      </c>
      <c r="AV13" s="1406">
        <v>3213</v>
      </c>
      <c r="AW13" s="1123">
        <f>(AV13/AR13-1)*100</f>
        <v>6.25</v>
      </c>
      <c r="AX13" s="1124">
        <f>'qtrP&amp;L'!CV13</f>
        <v>2.7567567567567508</v>
      </c>
      <c r="AZ13" s="1406">
        <v>2916</v>
      </c>
      <c r="BA13" s="1123">
        <f>(AZ13/AV13-1)*100</f>
        <v>-9.2436974789915975</v>
      </c>
      <c r="BB13" s="1124">
        <f>'qtrP&amp;L'!CZ13</f>
        <v>-4.8746273890934555</v>
      </c>
      <c r="BD13" s="1406">
        <f>bal!AD14</f>
        <v>2341</v>
      </c>
      <c r="BE13" s="1123">
        <f>(BD13/AZ13-1)*100</f>
        <v>-19.718792866941016</v>
      </c>
      <c r="BF13" s="1124">
        <f>'qtrP&amp;L'!DD13</f>
        <v>-28.405529953917053</v>
      </c>
      <c r="BH13" s="1406">
        <v>2935</v>
      </c>
      <c r="BI13" s="1123">
        <f>(BH13/BD13-1)*100</f>
        <v>25.373771892353702</v>
      </c>
      <c r="BJ13" s="1124">
        <f>'qtrP&amp;L'!DH13</f>
        <v>-2.626158599382078</v>
      </c>
      <c r="BK13" s="1125"/>
      <c r="BL13" s="1406">
        <v>2652</v>
      </c>
      <c r="BM13" s="1123">
        <f>(BL13/BH13-1)*100</f>
        <v>-9.6422487223168716</v>
      </c>
      <c r="BN13" s="1124">
        <f>'qtrP&amp;L'!DL13</f>
        <v>2.9349550502379751</v>
      </c>
      <c r="BO13" s="1125"/>
      <c r="BP13" s="1406">
        <f>bal!AG14</f>
        <v>2721</v>
      </c>
      <c r="BQ13" s="1123">
        <f>(BP13/BL13-1)*100</f>
        <v>2.601809954751122</v>
      </c>
      <c r="BR13" s="1124">
        <f>'qtrP&amp;L'!DQ13</f>
        <v>2.6457744669920347</v>
      </c>
      <c r="BS13" s="1125"/>
      <c r="BT13" s="1406">
        <v>2854</v>
      </c>
      <c r="BU13" s="1123">
        <f>(BT13/BP13-1)*100</f>
        <v>4.8879088570378482</v>
      </c>
      <c r="BV13" s="1124">
        <f>'qtrP&amp;L'!DV13</f>
        <v>-0.87587587587587556</v>
      </c>
      <c r="BW13" s="1125"/>
      <c r="BX13" s="1126">
        <f>bal!$AI$14</f>
        <v>2762</v>
      </c>
      <c r="BY13" s="1135">
        <f>(BX13/BT13-1)*100</f>
        <v>-3.2235459004905431</v>
      </c>
      <c r="BZ13" s="1124">
        <f>'qtrP&amp;L'!EA13</f>
        <v>1.7672304973491482</v>
      </c>
      <c r="CA13" s="1125"/>
      <c r="CB13" s="1513">
        <f>bal!$AJ$14</f>
        <v>2734.38</v>
      </c>
      <c r="CC13" s="1514">
        <f>(CB13/BX13-1)*100</f>
        <v>-1.0000000000000009</v>
      </c>
      <c r="CD13" s="1510">
        <f>'qtrP&amp;L'!EF13</f>
        <v>-7.5999999999999961</v>
      </c>
    </row>
    <row r="14" spans="1:82">
      <c r="D14" s="898"/>
      <c r="H14" s="898"/>
      <c r="L14" s="898"/>
      <c r="P14" s="898"/>
      <c r="T14" s="898"/>
      <c r="X14" s="898"/>
      <c r="AB14" s="898"/>
      <c r="AF14" s="898"/>
      <c r="AJ14" s="898"/>
      <c r="AN14" s="898"/>
      <c r="AR14" s="898"/>
      <c r="AV14" s="898"/>
      <c r="AZ14" s="898"/>
      <c r="BD14" s="680"/>
      <c r="BH14" s="1127"/>
      <c r="BL14" s="1127"/>
      <c r="BN14" s="823">
        <f>BN13-BM13</f>
        <v>12.577203772554846</v>
      </c>
      <c r="BP14" s="1127"/>
      <c r="BT14" s="1127"/>
      <c r="BX14" s="1127"/>
      <c r="CB14" s="1515"/>
    </row>
    <row r="15" spans="1:82">
      <c r="A15" s="1121"/>
      <c r="B15" s="593"/>
      <c r="C15" s="593"/>
      <c r="D15" s="593"/>
      <c r="E15" s="593"/>
      <c r="F15" s="593"/>
      <c r="G15" s="593"/>
      <c r="H15" s="593"/>
      <c r="I15" s="593"/>
      <c r="J15" s="593"/>
      <c r="K15" s="593"/>
      <c r="L15" s="593"/>
      <c r="M15" s="593"/>
      <c r="N15" s="593"/>
      <c r="O15" s="593"/>
      <c r="P15" s="593"/>
      <c r="Q15" s="593"/>
      <c r="R15" s="593"/>
      <c r="S15" s="593"/>
      <c r="T15" s="593"/>
      <c r="U15" s="593"/>
      <c r="V15" s="593"/>
      <c r="W15" s="593"/>
      <c r="X15" s="593"/>
      <c r="Y15" s="593"/>
      <c r="Z15" s="593"/>
      <c r="AA15" s="593"/>
      <c r="AB15" s="593"/>
      <c r="AC15" s="593"/>
      <c r="AD15" s="593"/>
      <c r="AE15" s="593"/>
      <c r="AF15" s="593"/>
      <c r="AG15" s="593"/>
      <c r="AH15" s="593"/>
      <c r="AI15" s="593"/>
      <c r="AJ15" s="593"/>
      <c r="AK15" s="593"/>
      <c r="AL15" s="593"/>
      <c r="AM15" s="593"/>
      <c r="AN15" s="593"/>
      <c r="AO15" s="593"/>
      <c r="AP15" s="593"/>
      <c r="AQ15" s="593"/>
      <c r="AR15" s="593"/>
      <c r="AS15" s="593"/>
      <c r="AT15" s="593"/>
      <c r="AU15" s="593"/>
      <c r="AV15" s="593"/>
      <c r="AW15" s="593"/>
      <c r="AX15" s="1121" t="s">
        <v>163</v>
      </c>
      <c r="AY15" s="593"/>
      <c r="AZ15" s="1122"/>
      <c r="BA15" s="593"/>
      <c r="BB15" s="593"/>
      <c r="BC15" s="593"/>
      <c r="BD15" s="593"/>
      <c r="BE15" s="593"/>
      <c r="BF15" s="593"/>
      <c r="BG15" s="593"/>
      <c r="BH15" s="797"/>
      <c r="BI15" s="593"/>
      <c r="BJ15" s="593"/>
      <c r="BL15" s="797"/>
      <c r="BM15" s="593"/>
      <c r="BN15" s="593"/>
      <c r="BP15" s="797"/>
      <c r="BQ15" s="593"/>
      <c r="BR15" s="593"/>
      <c r="BT15" s="797"/>
      <c r="BU15" s="593"/>
      <c r="BV15" s="593"/>
      <c r="BX15" s="797"/>
      <c r="BY15" s="593"/>
      <c r="BZ15" s="593"/>
      <c r="CB15" s="1506"/>
      <c r="CC15" s="1507"/>
      <c r="CD15" s="1507"/>
    </row>
    <row r="16" spans="1:82">
      <c r="A16" s="398" t="s">
        <v>158</v>
      </c>
      <c r="B16" s="398" t="s">
        <v>140</v>
      </c>
      <c r="D16" s="791">
        <v>1120</v>
      </c>
      <c r="E16" s="1123" t="s">
        <v>147</v>
      </c>
      <c r="F16" s="1124">
        <f>F10</f>
        <v>-7.9702444208284984E-2</v>
      </c>
      <c r="H16" s="791">
        <v>1014</v>
      </c>
      <c r="I16" s="1123">
        <f>(H16/D16-1)*100</f>
        <v>-9.4642857142857135</v>
      </c>
      <c r="J16" s="1124">
        <f>J10</f>
        <v>2.7386333421962172</v>
      </c>
      <c r="L16" s="791">
        <v>1120</v>
      </c>
      <c r="M16" s="1123">
        <f>(L16/H16-1)*100</f>
        <v>10.453648915187387</v>
      </c>
      <c r="N16" s="1124">
        <f>N10</f>
        <v>-46.214133900106269</v>
      </c>
      <c r="P16" s="791">
        <v>314</v>
      </c>
      <c r="Q16" s="1123">
        <f>(P16/L16-1)*100</f>
        <v>-71.964285714285708</v>
      </c>
      <c r="R16" s="1124">
        <f>R10</f>
        <v>-1.4571499135589083</v>
      </c>
      <c r="T16" s="791">
        <v>337</v>
      </c>
      <c r="U16" s="1123">
        <f>(T16/P16-1)*100</f>
        <v>7.3248407643312197</v>
      </c>
      <c r="V16" s="1124">
        <f>V10</f>
        <v>-8.045112781954888</v>
      </c>
      <c r="X16" s="791">
        <v>365</v>
      </c>
      <c r="Y16" s="1123">
        <f>(X16/T16-1)*100</f>
        <v>8.3086053412462881</v>
      </c>
      <c r="Z16" s="1124">
        <f>Z10</f>
        <v>8.2583810302534708</v>
      </c>
      <c r="AB16" s="791">
        <v>446</v>
      </c>
      <c r="AC16" s="1123">
        <f>(AB16/X16-1)*100</f>
        <v>22.191780821917817</v>
      </c>
      <c r="AD16" s="1124">
        <f>AD10</f>
        <v>3.6757301107754214</v>
      </c>
      <c r="AF16" s="791">
        <v>450</v>
      </c>
      <c r="AG16" s="1123">
        <f>(AF16/AB16-1)*100</f>
        <v>0.89686098654708779</v>
      </c>
      <c r="AH16" s="1124">
        <f>AH10</f>
        <v>2.4526469159786402</v>
      </c>
      <c r="AJ16" s="791">
        <v>706</v>
      </c>
      <c r="AK16" s="1123">
        <f>(AJ16/AF16-1)*100</f>
        <v>56.8888888888889</v>
      </c>
      <c r="AL16" s="1124">
        <f>AL10</f>
        <v>3.0812988859919344</v>
      </c>
      <c r="AN16" s="791">
        <v>527</v>
      </c>
      <c r="AO16" s="1123">
        <f>(AN16/AJ16-1)*100</f>
        <v>-25.354107648725211</v>
      </c>
      <c r="AP16" s="1124">
        <f>AP10</f>
        <v>-5.1046217521269259</v>
      </c>
      <c r="AR16" s="791">
        <v>554</v>
      </c>
      <c r="AS16" s="1123">
        <f>(AR16/AN16-1)*100</f>
        <v>5.1233396584440261</v>
      </c>
      <c r="AT16" s="1124">
        <f>AT10</f>
        <v>-5.8290496571691826</v>
      </c>
      <c r="AV16" s="1406">
        <v>556</v>
      </c>
      <c r="AW16" s="1123">
        <f>(AV16/AR16-1)*100</f>
        <v>0.36101083032491488</v>
      </c>
      <c r="AX16" s="1124">
        <f>AX10</f>
        <v>1.095216516679387</v>
      </c>
      <c r="AZ16" s="1406">
        <v>458</v>
      </c>
      <c r="BA16" s="1123">
        <f>(AZ16/AV16-1)*100</f>
        <v>-17.625899280575542</v>
      </c>
      <c r="BB16" s="1124">
        <f>BB10</f>
        <v>0.35632476457114759</v>
      </c>
      <c r="BD16" s="1406">
        <v>759</v>
      </c>
      <c r="BE16" s="1123">
        <f>(BD16/AZ16-1)*100</f>
        <v>65.720524017467241</v>
      </c>
      <c r="BF16" s="1124">
        <f>BF10</f>
        <v>-20.060867359878266</v>
      </c>
      <c r="BH16" s="1406">
        <f>113+199+1</f>
        <v>313</v>
      </c>
      <c r="BI16" s="1123">
        <f>(BH16/BD16-1)*100</f>
        <v>-58.761528326745719</v>
      </c>
      <c r="BJ16" s="1124">
        <f>BJ10</f>
        <v>-16.402284263959388</v>
      </c>
      <c r="BL16" s="1406">
        <f>178+212</f>
        <v>390</v>
      </c>
      <c r="BM16" s="1123">
        <f>(BL16/BH16-1)*100</f>
        <v>24.600638977635782</v>
      </c>
      <c r="BN16" s="1124">
        <f>BN10</f>
        <v>6.299810246679316</v>
      </c>
      <c r="BP16" s="1406">
        <f>176+226</f>
        <v>402</v>
      </c>
      <c r="BQ16" s="1123">
        <f>(BP16/BL16-1)*100</f>
        <v>3.076923076923066</v>
      </c>
      <c r="BR16" s="1124">
        <f>BR10</f>
        <v>1.9992859692966825</v>
      </c>
      <c r="BT16" s="1406">
        <f>231+227</f>
        <v>458</v>
      </c>
      <c r="BU16" s="1123">
        <f>(BT16/BP16-1)*100</f>
        <v>13.93034825870647</v>
      </c>
      <c r="BV16" s="1124">
        <f>BV10</f>
        <v>-1.610080504025202</v>
      </c>
      <c r="BX16" s="1406">
        <v>228</v>
      </c>
      <c r="BY16" s="1123">
        <f>(BX16/BT16-1)*100</f>
        <v>-50.21834061135371</v>
      </c>
      <c r="BZ16" s="1124">
        <f>BZ10</f>
        <v>-3.7353255069370372</v>
      </c>
      <c r="CB16" s="1508"/>
      <c r="CC16" s="1509">
        <f>(CB16/BX16-1)*100</f>
        <v>-100</v>
      </c>
      <c r="CD16" s="1510">
        <f>CD10</f>
        <v>-1.5999999999999903</v>
      </c>
    </row>
    <row r="17" spans="1:250">
      <c r="A17" s="398" t="s">
        <v>159</v>
      </c>
      <c r="B17" s="398" t="s">
        <v>141</v>
      </c>
      <c r="D17" s="791">
        <v>912</v>
      </c>
      <c r="E17" s="1123" t="s">
        <v>147</v>
      </c>
      <c r="F17" s="1124">
        <f>F11</f>
        <v>5.5501595670870429E-2</v>
      </c>
      <c r="H17" s="791">
        <v>949</v>
      </c>
      <c r="I17" s="1123">
        <f>(H17/D17-1)*100</f>
        <v>4.0570175438596534</v>
      </c>
      <c r="J17" s="1124">
        <f>J11</f>
        <v>-0.18028012758285472</v>
      </c>
      <c r="L17" s="791">
        <v>912</v>
      </c>
      <c r="M17" s="1123">
        <f>(L17/H17-1)*100</f>
        <v>-3.8988408851422518</v>
      </c>
      <c r="N17" s="1124">
        <f>N11</f>
        <v>-46.690717358124047</v>
      </c>
      <c r="P17" s="791">
        <v>296</v>
      </c>
      <c r="Q17" s="1123">
        <f>(P17/L17-1)*100</f>
        <v>-67.543859649122808</v>
      </c>
      <c r="R17" s="1124">
        <f>R11</f>
        <v>-6.1431025507548203</v>
      </c>
      <c r="T17" s="791">
        <v>302</v>
      </c>
      <c r="U17" s="1123">
        <f>(T17/P17-1)*100</f>
        <v>2.0270270270270174</v>
      </c>
      <c r="V17" s="1124">
        <f>V11</f>
        <v>-0.77598834381313875</v>
      </c>
      <c r="X17" s="791">
        <v>348</v>
      </c>
      <c r="Y17" s="1123">
        <f>(X17/T17-1)*100</f>
        <v>15.231788079470189</v>
      </c>
      <c r="Z17" s="1124">
        <f>Z11</f>
        <v>5.5897149245388578</v>
      </c>
      <c r="AB17" s="791">
        <v>406</v>
      </c>
      <c r="AC17" s="1123">
        <f>(AB17/X17-1)*100</f>
        <v>16.666666666666675</v>
      </c>
      <c r="AD17" s="1124">
        <f>AD11</f>
        <v>5.3732133403917359</v>
      </c>
      <c r="AF17" s="791">
        <v>521</v>
      </c>
      <c r="AG17" s="1123">
        <f>(AF17/AB17-1)*100</f>
        <v>28.325123152709363</v>
      </c>
      <c r="AH17" s="1124">
        <f>AH11</f>
        <v>6.4327555890479671</v>
      </c>
      <c r="AJ17" s="791">
        <v>854</v>
      </c>
      <c r="AK17" s="1123">
        <f>(AJ17/AF17-1)*100</f>
        <v>63.915547024952012</v>
      </c>
      <c r="AL17" s="1124">
        <f>AL11</f>
        <v>3.6088936552651329</v>
      </c>
      <c r="AN17" s="791">
        <v>583</v>
      </c>
      <c r="AO17" s="1123">
        <f>(AN17/AJ17-1)*100</f>
        <v>-31.733021077283375</v>
      </c>
      <c r="AP17" s="1124">
        <f>AP11</f>
        <v>-2.448828881633458</v>
      </c>
      <c r="AR17" s="791">
        <v>702</v>
      </c>
      <c r="AS17" s="1123">
        <f>(AR17/AN17-1)*100</f>
        <v>20.411663807890214</v>
      </c>
      <c r="AT17" s="1124">
        <f>AT11</f>
        <v>-7.9357029009820668</v>
      </c>
      <c r="AV17" s="1406">
        <v>704</v>
      </c>
      <c r="AW17" s="1123">
        <f>(AV17/AR17-1)*100</f>
        <v>0.28490028490029129</v>
      </c>
      <c r="AX17" s="1124">
        <f>AX11</f>
        <v>-0.11794655441208501</v>
      </c>
      <c r="AZ17" s="1406">
        <v>528</v>
      </c>
      <c r="BA17" s="1123">
        <f>(AZ17/AV17-1)*100</f>
        <v>-25</v>
      </c>
      <c r="BB17" s="1124">
        <f>BB11</f>
        <v>-0.81259522600304335</v>
      </c>
      <c r="BD17" s="1406">
        <f>239+616</f>
        <v>855</v>
      </c>
      <c r="BE17" s="1123">
        <f>(BD17/AZ17-1)*100</f>
        <v>61.931818181818187</v>
      </c>
      <c r="BF17" s="1124">
        <f>BF11</f>
        <v>-22.63184843830005</v>
      </c>
      <c r="BG17" s="791"/>
      <c r="BH17" s="1406">
        <f>209+115</f>
        <v>324</v>
      </c>
      <c r="BI17" s="1123">
        <f>(BH17/BD17-1)*100</f>
        <v>-62.105263157894733</v>
      </c>
      <c r="BJ17" s="1124">
        <f>BJ11</f>
        <v>-11.87954996690933</v>
      </c>
      <c r="BL17" s="1406">
        <f>207+182</f>
        <v>389</v>
      </c>
      <c r="BM17" s="1123">
        <f>(BL17/BH17-1)*100</f>
        <v>20.061728395061728</v>
      </c>
      <c r="BN17" s="1124">
        <f>BN11</f>
        <v>5.1070221554637696</v>
      </c>
      <c r="BP17" s="1406">
        <f>200+184</f>
        <v>384</v>
      </c>
      <c r="BQ17" s="1123">
        <f>(BP17/BL17-1)*100</f>
        <v>-1.2853470437018011</v>
      </c>
      <c r="BR17" s="1124">
        <f>BR11</f>
        <v>2.7152554483744096</v>
      </c>
      <c r="BT17" s="1406">
        <f>231+235</f>
        <v>466</v>
      </c>
      <c r="BU17" s="1123">
        <f>(BT17/BP17-1)*100</f>
        <v>21.354166666666675</v>
      </c>
      <c r="BV17" s="1124">
        <f>BV11</f>
        <v>1.4956521739130535</v>
      </c>
      <c r="BX17" s="1406">
        <v>223</v>
      </c>
      <c r="BY17" s="1123">
        <f>(BX17/BT17-1)*100</f>
        <v>-52.145922746781117</v>
      </c>
      <c r="BZ17" s="1124">
        <f>BZ11</f>
        <v>1.5078821110349638</v>
      </c>
      <c r="CB17" s="1508"/>
      <c r="CC17" s="1509">
        <f>(CB17/BX17-1)*100</f>
        <v>-100</v>
      </c>
      <c r="CD17" s="1510">
        <f>CD11</f>
        <v>-0.80000000000000071</v>
      </c>
    </row>
    <row r="18" spans="1:250">
      <c r="A18" s="398" t="s">
        <v>160</v>
      </c>
      <c r="B18" s="398" t="s">
        <v>142</v>
      </c>
      <c r="D18" s="791">
        <v>997</v>
      </c>
      <c r="E18" s="1123" t="s">
        <v>147</v>
      </c>
      <c r="F18" s="1124">
        <f>F12</f>
        <v>2.5338286017511313</v>
      </c>
      <c r="H18" s="791">
        <v>966</v>
      </c>
      <c r="I18" s="1123">
        <f>(H18/D18-1)*100</f>
        <v>-3.1093279839518595</v>
      </c>
      <c r="J18" s="1124">
        <f>J12</f>
        <v>1.8501746668391661</v>
      </c>
      <c r="L18" s="791">
        <v>997</v>
      </c>
      <c r="M18" s="1123">
        <f>(L18/H18-1)*100</f>
        <v>3.2091097308488692</v>
      </c>
      <c r="N18" s="1124">
        <f>N12</f>
        <v>-42.345449721411512</v>
      </c>
      <c r="P18" s="791">
        <v>372</v>
      </c>
      <c r="Q18" s="1123">
        <f>(P18/L18-1)*100</f>
        <v>-62.688064192577727</v>
      </c>
      <c r="R18" s="1124">
        <f>R12</f>
        <v>-1.1965025310630484</v>
      </c>
      <c r="T18" s="791">
        <v>493</v>
      </c>
      <c r="U18" s="1123">
        <f>(T18/P18-1)*100</f>
        <v>32.526881720430097</v>
      </c>
      <c r="V18" s="1124">
        <f>V12</f>
        <v>-0.60549604098741883</v>
      </c>
      <c r="X18" s="791">
        <v>394</v>
      </c>
      <c r="Y18" s="1123">
        <f>(X18/T18-1)*100</f>
        <v>-20.081135902636916</v>
      </c>
      <c r="Z18" s="1124">
        <f>Z12</f>
        <v>2.8819119025304651</v>
      </c>
      <c r="AB18" s="791">
        <v>469</v>
      </c>
      <c r="AC18" s="1123">
        <f>(AB18/X18-1)*100</f>
        <v>19.035532994923866</v>
      </c>
      <c r="AD18" s="1124">
        <f>AD12</f>
        <v>2.0040992940104863</v>
      </c>
      <c r="AF18" s="791">
        <v>502</v>
      </c>
      <c r="AG18" s="1123">
        <f>(AF18/AB18-1)*100</f>
        <v>7.0362473347548082</v>
      </c>
      <c r="AH18" s="1124">
        <f>AH12</f>
        <v>6.7425764679615918</v>
      </c>
      <c r="AJ18" s="791">
        <v>777</v>
      </c>
      <c r="AK18" s="1123">
        <f>(AJ18/AF18-1)*100</f>
        <v>54.7808764940239</v>
      </c>
      <c r="AL18" s="1124">
        <f>AL12</f>
        <v>-1.1085546956703607</v>
      </c>
      <c r="AN18" s="791">
        <v>661</v>
      </c>
      <c r="AO18" s="1123">
        <f>(AN18/AJ18-1)*100</f>
        <v>-14.929214929214929</v>
      </c>
      <c r="AP18" s="1124">
        <f>AP12</f>
        <v>-8.6756692259225439</v>
      </c>
      <c r="AR18" s="791">
        <v>773</v>
      </c>
      <c r="AS18" s="1123">
        <f>(AR18/AN18-1)*100</f>
        <v>16.944024205748875</v>
      </c>
      <c r="AT18" s="1124">
        <f>AT12</f>
        <v>-3.1826326148638007</v>
      </c>
      <c r="AV18" s="1406">
        <v>686</v>
      </c>
      <c r="AW18" s="1123">
        <f>(AV18/AR18-1)*100</f>
        <v>-11.254851228978001</v>
      </c>
      <c r="AX18" s="1124">
        <f>AX12</f>
        <v>0.20586118550693921</v>
      </c>
      <c r="AZ18" s="1406">
        <v>649</v>
      </c>
      <c r="BA18" s="1123">
        <f>(AZ18/AV18-1)*100</f>
        <v>-5.3935860058309082</v>
      </c>
      <c r="BB18" s="1124">
        <f>BB12</f>
        <v>-4.8460253043685846</v>
      </c>
      <c r="BD18" s="1406">
        <f>69+409+265</f>
        <v>743</v>
      </c>
      <c r="BE18" s="1123">
        <f>(BD18/AZ18-1)*100</f>
        <v>14.483821263482287</v>
      </c>
      <c r="BF18" s="1124">
        <f>BF12</f>
        <v>-26.56798795785248</v>
      </c>
      <c r="BH18" s="1406">
        <f>119+249</f>
        <v>368</v>
      </c>
      <c r="BI18" s="1123">
        <f>(BH18/BD18-1)*100</f>
        <v>-50.47106325706595</v>
      </c>
      <c r="BJ18" s="1124">
        <f>BJ12</f>
        <v>-5.0563717116501543</v>
      </c>
      <c r="BL18" s="1406">
        <f>qtr_CF_BS!Q$76+qtr_CF_BS!Q$78+qtr_CF_BS!Q$79</f>
        <v>398</v>
      </c>
      <c r="BM18" s="1123">
        <f>(BL18/BH18-1)*100</f>
        <v>8.1521739130434803</v>
      </c>
      <c r="BN18" s="1124">
        <f>BN12</f>
        <v>-0.53976250449802032</v>
      </c>
      <c r="BP18" s="1406">
        <f>208+218</f>
        <v>426</v>
      </c>
      <c r="BQ18" s="1123">
        <f>(BP18/BL18-1)*100</f>
        <v>7.0351758793969932</v>
      </c>
      <c r="BR18" s="1124">
        <f>BR12</f>
        <v>4.8118668596237368</v>
      </c>
      <c r="BT18" s="1406">
        <f>208+254</f>
        <v>462</v>
      </c>
      <c r="BU18" s="1123">
        <f>(BT18/BP18-1)*100</f>
        <v>8.4507042253521227</v>
      </c>
      <c r="BV18" s="1124">
        <f>BV12</f>
        <v>-1.3807386952019329</v>
      </c>
      <c r="BX18" s="1406">
        <v>243</v>
      </c>
      <c r="BY18" s="1123">
        <f>(BX18/BT18-1)*100</f>
        <v>-47.402597402597401</v>
      </c>
      <c r="BZ18" s="1124">
        <f>BZ12</f>
        <v>-1.7500875043752195</v>
      </c>
      <c r="CB18" s="1511"/>
      <c r="CC18" s="1509">
        <f>(CB18/BX18-1)*100</f>
        <v>-100</v>
      </c>
      <c r="CD18" s="1510">
        <f>CD12</f>
        <v>-2.8000000000000025</v>
      </c>
    </row>
    <row r="19" spans="1:250">
      <c r="A19" s="398" t="s">
        <v>161</v>
      </c>
      <c r="B19" s="398" t="s">
        <v>143</v>
      </c>
      <c r="D19" s="791">
        <v>907</v>
      </c>
      <c r="E19" s="1123" t="s">
        <v>147</v>
      </c>
      <c r="F19" s="1124">
        <f>F13</f>
        <v>-0.32382743131724734</v>
      </c>
      <c r="H19" s="791">
        <v>934</v>
      </c>
      <c r="I19" s="1123">
        <f>(H19/D19-1)*100</f>
        <v>2.9768467475193017</v>
      </c>
      <c r="J19" s="1124">
        <f>J13</f>
        <v>7.3359882624179917E-2</v>
      </c>
      <c r="L19" s="791">
        <v>208</v>
      </c>
      <c r="M19" s="1123">
        <f>(L19/H19-1)*100</f>
        <v>-77.730192719486084</v>
      </c>
      <c r="N19" s="1124">
        <f>N13</f>
        <v>-38.83839966572652</v>
      </c>
      <c r="P19" s="791">
        <v>245</v>
      </c>
      <c r="Q19" s="1123">
        <f>(P19/L19-1)*100</f>
        <v>17.78846153846154</v>
      </c>
      <c r="R19" s="1124">
        <f>R13</f>
        <v>-1.9128949615713098</v>
      </c>
      <c r="T19" s="791">
        <v>347</v>
      </c>
      <c r="U19" s="1123">
        <f>(T19/P19-1)*100</f>
        <v>41.632653061224502</v>
      </c>
      <c r="V19" s="1124">
        <f>V13</f>
        <v>4.4401880550235084</v>
      </c>
      <c r="X19" s="791">
        <v>441</v>
      </c>
      <c r="Y19" s="1123">
        <f>(X19/T19-1)*100</f>
        <v>27.089337175792515</v>
      </c>
      <c r="Z19" s="1124">
        <f>Z13</f>
        <v>-0.71690563521173978</v>
      </c>
      <c r="AB19" s="791">
        <v>476</v>
      </c>
      <c r="AC19" s="1123">
        <f>(AB19/X19-1)*100</f>
        <v>7.9365079365079305</v>
      </c>
      <c r="AD19" s="1124">
        <f>AD13</f>
        <v>4.1659781696053777</v>
      </c>
      <c r="AF19" s="791">
        <v>501</v>
      </c>
      <c r="AG19" s="1123">
        <f>(AF19/AB19-1)*100</f>
        <v>5.252100840336138</v>
      </c>
      <c r="AH19" s="1124">
        <f>AH13</f>
        <v>7.4949170444894797</v>
      </c>
      <c r="AJ19" s="791">
        <v>578</v>
      </c>
      <c r="AK19" s="1123">
        <f>(AJ19/AF19-1)*100</f>
        <v>15.369261477045914</v>
      </c>
      <c r="AL19" s="1124">
        <f>AL13</f>
        <v>-4.1691661667666473</v>
      </c>
      <c r="AN19" s="791">
        <v>609</v>
      </c>
      <c r="AO19" s="1123">
        <f>(AN19/AJ19-1)*100</f>
        <v>5.3633217993079629</v>
      </c>
      <c r="AP19" s="1124">
        <f>AP13</f>
        <v>-9.8713347791671744</v>
      </c>
      <c r="AR19" s="791">
        <v>617</v>
      </c>
      <c r="AS19" s="1123">
        <f>(AR19/AN19-1)*100</f>
        <v>1.3136288998357948</v>
      </c>
      <c r="AT19" s="1124">
        <f>AT13</f>
        <v>-3.6328121790261347</v>
      </c>
      <c r="AV19" s="1406">
        <v>535</v>
      </c>
      <c r="AW19" s="1123">
        <f>(AV19/AR19-1)*100</f>
        <v>-13.290113452188002</v>
      </c>
      <c r="AX19" s="1124">
        <f>AX13</f>
        <v>2.7567567567567508</v>
      </c>
      <c r="AZ19" s="1406">
        <v>658</v>
      </c>
      <c r="BA19" s="1123">
        <f>(AZ19/AV19-1)*100</f>
        <v>22.990654205607484</v>
      </c>
      <c r="BB19" s="1124">
        <f>BB13</f>
        <v>-4.8746273890934555</v>
      </c>
      <c r="BD19" s="1406">
        <f>57+106+249</f>
        <v>412</v>
      </c>
      <c r="BE19" s="1123">
        <f>(BD19/AZ19-1)*100</f>
        <v>-37.386018237082062</v>
      </c>
      <c r="BF19" s="1124">
        <f>BF13</f>
        <v>-28.405529953917053</v>
      </c>
      <c r="BH19" s="1406">
        <f>4+193+186</f>
        <v>383</v>
      </c>
      <c r="BI19" s="1123">
        <f>(BH19/BD19-1)*100</f>
        <v>-7.0388349514563071</v>
      </c>
      <c r="BJ19" s="1124">
        <f>BJ13</f>
        <v>-2.626158599382078</v>
      </c>
      <c r="BL19" s="1406">
        <f>172+189</f>
        <v>361</v>
      </c>
      <c r="BM19" s="1123">
        <f>(BL19/BH19-1)*100</f>
        <v>-5.744125326370753</v>
      </c>
      <c r="BN19" s="1124">
        <f>BN13</f>
        <v>2.9349550502379751</v>
      </c>
      <c r="BP19" s="1406">
        <f>231+166</f>
        <v>397</v>
      </c>
      <c r="BQ19" s="1123">
        <f>(BP19/BL19-1)*100</f>
        <v>9.9722991689750629</v>
      </c>
      <c r="BR19" s="1124">
        <f>BR13</f>
        <v>2.6457744669920347</v>
      </c>
      <c r="BT19" s="1406">
        <f>196+160</f>
        <v>356</v>
      </c>
      <c r="BU19" s="1123">
        <f>(BT19/BP19-1)*100</f>
        <v>-10.327455919395467</v>
      </c>
      <c r="BV19" s="1124">
        <f>BV13</f>
        <v>-0.87587587587587556</v>
      </c>
      <c r="BX19" s="1406">
        <v>190</v>
      </c>
      <c r="BY19" s="1123">
        <f>(BX19/BT19-1)*100</f>
        <v>-46.629213483146067</v>
      </c>
      <c r="BZ19" s="1124">
        <f>BZ13</f>
        <v>1.7672304973491482</v>
      </c>
      <c r="CB19" s="1513">
        <f>bal!AT10+bal!AT15</f>
        <v>0</v>
      </c>
      <c r="CC19" s="1509">
        <f>(CB19/BX19-1)*100</f>
        <v>-100</v>
      </c>
      <c r="CD19" s="1510">
        <f>CD13</f>
        <v>-7.5999999999999961</v>
      </c>
    </row>
    <row r="20" spans="1:250">
      <c r="D20" s="898"/>
      <c r="H20" s="898"/>
      <c r="L20" s="898"/>
      <c r="P20" s="898"/>
      <c r="T20" s="898"/>
      <c r="X20" s="898"/>
      <c r="AB20" s="898"/>
      <c r="AF20" s="898"/>
      <c r="AJ20" s="898"/>
      <c r="AN20" s="898"/>
      <c r="AR20" s="898"/>
      <c r="AV20" s="898"/>
      <c r="AZ20" s="898"/>
      <c r="BD20" s="898"/>
      <c r="BH20" s="898"/>
      <c r="BL20" s="898"/>
      <c r="BP20" s="898"/>
      <c r="BT20" s="898"/>
      <c r="BX20" s="898"/>
      <c r="CB20" s="1516"/>
    </row>
    <row r="21" spans="1:250" outlineLevel="1">
      <c r="A21" s="1121"/>
      <c r="B21" s="593"/>
      <c r="C21" s="593"/>
      <c r="D21" s="593"/>
      <c r="E21" s="593"/>
      <c r="F21" s="593"/>
      <c r="G21" s="593"/>
      <c r="H21" s="593"/>
      <c r="I21" s="593"/>
      <c r="J21" s="593"/>
      <c r="K21" s="593"/>
      <c r="L21" s="593"/>
      <c r="M21" s="593"/>
      <c r="N21" s="593"/>
      <c r="O21" s="593"/>
      <c r="P21" s="593"/>
      <c r="Q21" s="593"/>
      <c r="R21" s="593"/>
      <c r="S21" s="593"/>
      <c r="T21" s="593"/>
      <c r="U21" s="593"/>
      <c r="V21" s="593"/>
      <c r="W21" s="593"/>
      <c r="X21" s="593"/>
      <c r="Y21" s="593"/>
      <c r="Z21" s="593"/>
      <c r="AA21" s="593"/>
      <c r="AB21" s="593"/>
      <c r="AC21" s="593"/>
      <c r="AD21" s="593"/>
      <c r="AE21" s="593"/>
      <c r="AF21" s="593"/>
      <c r="AG21" s="593"/>
      <c r="AH21" s="593"/>
      <c r="AI21" s="593"/>
      <c r="AJ21" s="593"/>
      <c r="AK21" s="593"/>
      <c r="AL21" s="593"/>
      <c r="AM21" s="593"/>
      <c r="AN21" s="593"/>
      <c r="AO21" s="593"/>
      <c r="AP21" s="593"/>
      <c r="AQ21" s="593"/>
      <c r="AR21" s="593"/>
      <c r="AS21" s="593"/>
      <c r="AT21" s="593"/>
      <c r="AU21" s="593"/>
      <c r="AV21" s="593"/>
      <c r="AW21" s="1121" t="s">
        <v>440</v>
      </c>
      <c r="AX21" s="593"/>
      <c r="AY21" s="593"/>
      <c r="AZ21" s="1122"/>
      <c r="BA21" s="593"/>
      <c r="BB21" s="593"/>
      <c r="BC21" s="593"/>
      <c r="BD21" s="593"/>
      <c r="BE21" s="593"/>
      <c r="BF21" s="593"/>
      <c r="BG21" s="593"/>
      <c r="BH21" s="797"/>
      <c r="BI21" s="593" t="s">
        <v>357</v>
      </c>
      <c r="BJ21" s="593"/>
      <c r="BL21" s="797"/>
      <c r="BM21" s="593" t="s">
        <v>357</v>
      </c>
      <c r="BN21" s="593"/>
      <c r="BP21" s="797"/>
      <c r="BQ21" s="593" t="s">
        <v>357</v>
      </c>
      <c r="BR21" s="593"/>
      <c r="BT21" s="797"/>
      <c r="BU21" s="593" t="s">
        <v>357</v>
      </c>
      <c r="BV21" s="593"/>
      <c r="BX21" s="797"/>
      <c r="BY21" s="593" t="s">
        <v>357</v>
      </c>
      <c r="BZ21" s="593"/>
      <c r="CB21" s="1506"/>
      <c r="CC21" s="1507" t="s">
        <v>357</v>
      </c>
      <c r="CD21" s="1507"/>
    </row>
    <row r="22" spans="1:250" outlineLevel="1">
      <c r="A22" s="398" t="s">
        <v>158</v>
      </c>
      <c r="B22" s="398" t="s">
        <v>140</v>
      </c>
      <c r="D22" s="791">
        <v>3786</v>
      </c>
      <c r="E22" s="1123" t="s">
        <v>147</v>
      </c>
      <c r="F22" s="1124">
        <f>F10</f>
        <v>-7.9702444208284984E-2</v>
      </c>
      <c r="H22" s="791">
        <v>3433</v>
      </c>
      <c r="I22" s="1123">
        <f>(H22/D22-1)*100</f>
        <v>-9.3238246170100343</v>
      </c>
      <c r="J22" s="1124">
        <f>J10</f>
        <v>2.7386333421962172</v>
      </c>
      <c r="L22" s="791">
        <v>3786</v>
      </c>
      <c r="M22" s="1123">
        <f>(L22/H22-1)*100</f>
        <v>10.282551704048949</v>
      </c>
      <c r="N22" s="1124">
        <f>N10</f>
        <v>-46.214133900106269</v>
      </c>
      <c r="P22" s="791">
        <v>1929</v>
      </c>
      <c r="Q22" s="1123">
        <f>(P22/L22-1)*100</f>
        <v>-49.04912836767037</v>
      </c>
      <c r="R22" s="1124">
        <f>R10</f>
        <v>-1.4571499135589083</v>
      </c>
      <c r="T22" s="791">
        <v>1995</v>
      </c>
      <c r="U22" s="1123">
        <f>(T22/P22-1)*100</f>
        <v>3.4214618973561484</v>
      </c>
      <c r="V22" s="1124">
        <f>V10</f>
        <v>-8.045112781954888</v>
      </c>
      <c r="X22" s="790">
        <f>X28+X34</f>
        <v>2411</v>
      </c>
      <c r="Y22" s="1123">
        <f>(X22/T22-1)*100</f>
        <v>20.852130325814542</v>
      </c>
      <c r="Z22" s="1124">
        <f>Z10</f>
        <v>8.2583810302534708</v>
      </c>
      <c r="AB22" s="790">
        <f>AB28+AB34</f>
        <v>2559</v>
      </c>
      <c r="AC22" s="1123">
        <f>(AB22/X22-1)*100</f>
        <v>6.1385317295727937</v>
      </c>
      <c r="AD22" s="1124">
        <f>AD10</f>
        <v>3.6757301107754214</v>
      </c>
      <c r="AF22" s="790">
        <f>AF28+AF34</f>
        <v>2424</v>
      </c>
      <c r="AG22" s="1123">
        <f>(AF22/AB22-1)*100</f>
        <v>-5.2754982415005873</v>
      </c>
      <c r="AH22" s="1124">
        <f>AH10</f>
        <v>2.4526469159786402</v>
      </c>
      <c r="AJ22" s="790">
        <f>AJ28+AJ34</f>
        <v>2867</v>
      </c>
      <c r="AK22" s="1123">
        <f>(AJ22/AF22-1)*100</f>
        <v>18.275577557755774</v>
      </c>
      <c r="AL22" s="1124">
        <f>AL10</f>
        <v>3.0812988859919344</v>
      </c>
      <c r="AN22" s="790">
        <f>AN28+AN34</f>
        <v>2657</v>
      </c>
      <c r="AO22" s="1123">
        <f>(AN22/AJ22-1)*100</f>
        <v>-7.3247296825950432</v>
      </c>
      <c r="AP22" s="1124">
        <f>AP10</f>
        <v>-5.1046217521269259</v>
      </c>
      <c r="AR22" s="790">
        <f>AR28+AR34</f>
        <v>2442</v>
      </c>
      <c r="AS22" s="1123">
        <f>(AR22/AN22-1)*100</f>
        <v>-8.0918328942416231</v>
      </c>
      <c r="AT22" s="1124">
        <f>AT10</f>
        <v>-5.8290496571691826</v>
      </c>
      <c r="AV22" s="790">
        <f>AV28+AV34</f>
        <v>2653</v>
      </c>
      <c r="AW22" s="1123">
        <f>(AV22/AR22-1)*100</f>
        <v>8.6404586404586361</v>
      </c>
      <c r="AX22" s="1124">
        <f>AX10</f>
        <v>1.095216516679387</v>
      </c>
      <c r="AZ22" s="790">
        <f>AZ28+AZ34</f>
        <v>2670</v>
      </c>
      <c r="BA22" s="1123">
        <f>(AZ22/AV22-1)*100</f>
        <v>0.64078401809273267</v>
      </c>
      <c r="BB22" s="1124">
        <f>BB10</f>
        <v>0.35632476457114759</v>
      </c>
      <c r="BD22" s="790">
        <f>BD28+BD34</f>
        <v>2206</v>
      </c>
      <c r="BE22" s="1123">
        <f>(BD22/AZ22-1)*100</f>
        <v>-17.378277153558052</v>
      </c>
      <c r="BF22" s="1124">
        <f>BF10</f>
        <v>-20.060867359878266</v>
      </c>
      <c r="BH22" s="790">
        <f>BH28+BH34</f>
        <v>2772</v>
      </c>
      <c r="BI22" s="1123">
        <f>(BH22/BD22-1)*100</f>
        <v>25.657298277425198</v>
      </c>
      <c r="BJ22" s="1124">
        <f>BJ10</f>
        <v>-16.402284263959388</v>
      </c>
      <c r="BL22" s="790">
        <f>BL28+BL34</f>
        <v>1928</v>
      </c>
      <c r="BM22" s="1123">
        <f>(BL22/BH22-1)*100</f>
        <v>-30.447330447330444</v>
      </c>
      <c r="BN22" s="1124">
        <f>BN10</f>
        <v>6.299810246679316</v>
      </c>
      <c r="BO22" s="398" t="s">
        <v>357</v>
      </c>
      <c r="BP22" s="790">
        <f>BP28+BP34</f>
        <v>2091</v>
      </c>
      <c r="BQ22" s="1123">
        <f>(BP22/BL22-1)*100</f>
        <v>8.4543568464730221</v>
      </c>
      <c r="BR22" s="1124">
        <f>BR10</f>
        <v>1.9992859692966825</v>
      </c>
      <c r="BS22" s="398" t="s">
        <v>357</v>
      </c>
      <c r="BT22" s="790">
        <f>BT28+BT34</f>
        <v>2120</v>
      </c>
      <c r="BU22" s="1123">
        <f>(BT22/BP22-1)*100</f>
        <v>1.3868962219033998</v>
      </c>
      <c r="BV22" s="1124">
        <f>BV10</f>
        <v>-1.610080504025202</v>
      </c>
      <c r="BW22" s="398" t="s">
        <v>357</v>
      </c>
      <c r="BX22" s="790">
        <f>BX28+BX34</f>
        <v>1928</v>
      </c>
      <c r="BY22" s="1123">
        <f>(BX22/BT22-1)*100</f>
        <v>-9.0566037735849036</v>
      </c>
      <c r="BZ22" s="1124">
        <f>BZ10</f>
        <v>-3.7353255069370372</v>
      </c>
      <c r="CA22" s="398" t="s">
        <v>357</v>
      </c>
      <c r="CB22" s="1517">
        <f>CB28+CB34</f>
        <v>0</v>
      </c>
      <c r="CC22" s="1509">
        <f>(CB22/BX22-1)*100</f>
        <v>-100</v>
      </c>
      <c r="CD22" s="1510">
        <f>CD10</f>
        <v>-1.5999999999999903</v>
      </c>
      <c r="CE22" s="398" t="s">
        <v>357</v>
      </c>
      <c r="CF22" s="398" t="s">
        <v>357</v>
      </c>
      <c r="CG22" s="398" t="s">
        <v>357</v>
      </c>
      <c r="CH22" s="398" t="s">
        <v>357</v>
      </c>
      <c r="CI22" s="398" t="s">
        <v>357</v>
      </c>
      <c r="CJ22" s="398" t="s">
        <v>357</v>
      </c>
      <c r="CK22" s="398" t="s">
        <v>357</v>
      </c>
      <c r="CL22" s="398" t="s">
        <v>357</v>
      </c>
      <c r="CM22" s="398" t="s">
        <v>357</v>
      </c>
      <c r="CN22" s="398" t="s">
        <v>357</v>
      </c>
      <c r="CO22" s="398" t="s">
        <v>357</v>
      </c>
      <c r="CP22" s="398" t="s">
        <v>357</v>
      </c>
      <c r="CQ22" s="398" t="s">
        <v>357</v>
      </c>
      <c r="CR22" s="398" t="s">
        <v>357</v>
      </c>
      <c r="CS22" s="398" t="s">
        <v>357</v>
      </c>
      <c r="CT22" s="398" t="s">
        <v>357</v>
      </c>
      <c r="CU22" s="398" t="s">
        <v>357</v>
      </c>
      <c r="CV22" s="398" t="s">
        <v>357</v>
      </c>
      <c r="CW22" s="398" t="s">
        <v>357</v>
      </c>
      <c r="CX22" s="398" t="s">
        <v>357</v>
      </c>
      <c r="CY22" s="398" t="s">
        <v>357</v>
      </c>
      <c r="CZ22" s="398" t="s">
        <v>357</v>
      </c>
      <c r="DA22" s="398" t="s">
        <v>357</v>
      </c>
      <c r="DB22" s="398" t="s">
        <v>357</v>
      </c>
      <c r="DC22" s="398" t="s">
        <v>357</v>
      </c>
      <c r="DD22" s="398" t="s">
        <v>357</v>
      </c>
      <c r="DE22" s="398" t="s">
        <v>357</v>
      </c>
      <c r="DF22" s="398" t="s">
        <v>357</v>
      </c>
      <c r="DG22" s="398" t="s">
        <v>357</v>
      </c>
      <c r="DH22" s="398" t="s">
        <v>357</v>
      </c>
      <c r="DI22" s="398" t="s">
        <v>357</v>
      </c>
      <c r="DJ22" s="398" t="s">
        <v>357</v>
      </c>
      <c r="DK22" s="398" t="s">
        <v>357</v>
      </c>
      <c r="DL22" s="398" t="s">
        <v>357</v>
      </c>
      <c r="DM22" s="398" t="s">
        <v>357</v>
      </c>
      <c r="DN22" s="398" t="s">
        <v>357</v>
      </c>
      <c r="DO22" s="398" t="s">
        <v>357</v>
      </c>
      <c r="DP22" s="398" t="s">
        <v>357</v>
      </c>
      <c r="DQ22" s="398" t="s">
        <v>357</v>
      </c>
      <c r="DR22" s="398" t="s">
        <v>357</v>
      </c>
      <c r="DS22" s="398" t="s">
        <v>357</v>
      </c>
      <c r="DT22" s="398" t="s">
        <v>357</v>
      </c>
      <c r="DU22" s="398" t="s">
        <v>357</v>
      </c>
      <c r="DV22" s="398" t="s">
        <v>357</v>
      </c>
      <c r="DW22" s="398" t="s">
        <v>357</v>
      </c>
      <c r="DX22" s="398" t="s">
        <v>357</v>
      </c>
      <c r="DY22" s="398" t="s">
        <v>357</v>
      </c>
      <c r="DZ22" s="398" t="s">
        <v>357</v>
      </c>
      <c r="EA22" s="398" t="s">
        <v>357</v>
      </c>
      <c r="EB22" s="398" t="s">
        <v>357</v>
      </c>
      <c r="EC22" s="398" t="s">
        <v>357</v>
      </c>
      <c r="ED22" s="398" t="s">
        <v>357</v>
      </c>
      <c r="EE22" s="398" t="s">
        <v>357</v>
      </c>
      <c r="EF22" s="398" t="s">
        <v>357</v>
      </c>
      <c r="EG22" s="398" t="s">
        <v>357</v>
      </c>
      <c r="EH22" s="398" t="s">
        <v>357</v>
      </c>
      <c r="EI22" s="398" t="s">
        <v>357</v>
      </c>
      <c r="EJ22" s="398" t="s">
        <v>357</v>
      </c>
      <c r="EK22" s="398" t="s">
        <v>357</v>
      </c>
      <c r="EL22" s="398" t="s">
        <v>357</v>
      </c>
      <c r="EM22" s="398" t="s">
        <v>357</v>
      </c>
      <c r="EN22" s="398" t="s">
        <v>357</v>
      </c>
      <c r="EO22" s="398" t="s">
        <v>357</v>
      </c>
      <c r="EP22" s="398" t="s">
        <v>357</v>
      </c>
      <c r="EQ22" s="398" t="s">
        <v>357</v>
      </c>
      <c r="ER22" s="398" t="s">
        <v>357</v>
      </c>
      <c r="ES22" s="398" t="s">
        <v>357</v>
      </c>
      <c r="ET22" s="398" t="s">
        <v>357</v>
      </c>
      <c r="EU22" s="398" t="s">
        <v>357</v>
      </c>
      <c r="EV22" s="398" t="s">
        <v>357</v>
      </c>
      <c r="EW22" s="398" t="s">
        <v>357</v>
      </c>
      <c r="EX22" s="398" t="s">
        <v>357</v>
      </c>
      <c r="EY22" s="398" t="s">
        <v>357</v>
      </c>
      <c r="EZ22" s="398" t="s">
        <v>357</v>
      </c>
      <c r="FA22" s="398" t="s">
        <v>357</v>
      </c>
      <c r="FB22" s="398" t="s">
        <v>357</v>
      </c>
      <c r="FC22" s="398" t="s">
        <v>357</v>
      </c>
      <c r="FD22" s="398" t="s">
        <v>357</v>
      </c>
      <c r="FE22" s="398" t="s">
        <v>357</v>
      </c>
      <c r="FF22" s="398" t="s">
        <v>357</v>
      </c>
      <c r="FG22" s="398" t="s">
        <v>357</v>
      </c>
      <c r="FH22" s="398" t="s">
        <v>357</v>
      </c>
      <c r="FI22" s="398" t="s">
        <v>357</v>
      </c>
      <c r="FJ22" s="398" t="s">
        <v>357</v>
      </c>
      <c r="FK22" s="398" t="s">
        <v>357</v>
      </c>
      <c r="FL22" s="398" t="s">
        <v>357</v>
      </c>
      <c r="FM22" s="398" t="s">
        <v>357</v>
      </c>
      <c r="FN22" s="398" t="s">
        <v>357</v>
      </c>
      <c r="FO22" s="398" t="s">
        <v>357</v>
      </c>
      <c r="FP22" s="398" t="s">
        <v>357</v>
      </c>
      <c r="FQ22" s="398" t="s">
        <v>357</v>
      </c>
      <c r="FR22" s="398" t="s">
        <v>357</v>
      </c>
      <c r="FS22" s="398" t="s">
        <v>357</v>
      </c>
      <c r="FT22" s="398" t="s">
        <v>357</v>
      </c>
      <c r="FU22" s="398" t="s">
        <v>357</v>
      </c>
      <c r="FV22" s="398" t="s">
        <v>357</v>
      </c>
      <c r="FW22" s="398" t="s">
        <v>357</v>
      </c>
      <c r="FX22" s="398" t="s">
        <v>357</v>
      </c>
      <c r="FY22" s="398" t="s">
        <v>357</v>
      </c>
      <c r="FZ22" s="398" t="s">
        <v>357</v>
      </c>
      <c r="GA22" s="398" t="s">
        <v>357</v>
      </c>
      <c r="GB22" s="398" t="s">
        <v>357</v>
      </c>
      <c r="GC22" s="398" t="s">
        <v>357</v>
      </c>
      <c r="GD22" s="398" t="s">
        <v>357</v>
      </c>
      <c r="GE22" s="398" t="s">
        <v>357</v>
      </c>
      <c r="GF22" s="398" t="s">
        <v>357</v>
      </c>
      <c r="GG22" s="398" t="s">
        <v>357</v>
      </c>
      <c r="GH22" s="398" t="s">
        <v>357</v>
      </c>
      <c r="GI22" s="398" t="s">
        <v>357</v>
      </c>
      <c r="GJ22" s="398" t="s">
        <v>357</v>
      </c>
      <c r="GK22" s="398" t="s">
        <v>357</v>
      </c>
      <c r="GL22" s="398" t="s">
        <v>357</v>
      </c>
      <c r="GM22" s="398" t="s">
        <v>357</v>
      </c>
      <c r="GN22" s="398" t="s">
        <v>357</v>
      </c>
      <c r="GO22" s="398" t="s">
        <v>357</v>
      </c>
      <c r="GP22" s="398" t="s">
        <v>357</v>
      </c>
      <c r="GQ22" s="398" t="s">
        <v>357</v>
      </c>
      <c r="GR22" s="398" t="s">
        <v>357</v>
      </c>
      <c r="GS22" s="398" t="s">
        <v>357</v>
      </c>
      <c r="GT22" s="398" t="s">
        <v>357</v>
      </c>
      <c r="GU22" s="398" t="s">
        <v>357</v>
      </c>
      <c r="GV22" s="398" t="s">
        <v>357</v>
      </c>
      <c r="GW22" s="398" t="s">
        <v>357</v>
      </c>
      <c r="GX22" s="398" t="s">
        <v>357</v>
      </c>
      <c r="GY22" s="398" t="s">
        <v>357</v>
      </c>
      <c r="GZ22" s="398" t="s">
        <v>357</v>
      </c>
      <c r="HA22" s="398" t="s">
        <v>357</v>
      </c>
      <c r="HB22" s="398" t="s">
        <v>357</v>
      </c>
      <c r="HC22" s="398" t="s">
        <v>357</v>
      </c>
      <c r="HD22" s="398" t="s">
        <v>357</v>
      </c>
      <c r="HE22" s="398" t="s">
        <v>357</v>
      </c>
      <c r="HF22" s="398" t="s">
        <v>357</v>
      </c>
      <c r="HG22" s="398" t="s">
        <v>357</v>
      </c>
      <c r="HH22" s="398" t="s">
        <v>357</v>
      </c>
      <c r="HI22" s="398" t="s">
        <v>357</v>
      </c>
      <c r="HJ22" s="398" t="s">
        <v>357</v>
      </c>
      <c r="HK22" s="398" t="s">
        <v>357</v>
      </c>
      <c r="HL22" s="398" t="s">
        <v>357</v>
      </c>
      <c r="HM22" s="398" t="s">
        <v>357</v>
      </c>
      <c r="HN22" s="398" t="s">
        <v>357</v>
      </c>
      <c r="HO22" s="398" t="s">
        <v>357</v>
      </c>
      <c r="HP22" s="398" t="s">
        <v>357</v>
      </c>
      <c r="HQ22" s="398" t="s">
        <v>357</v>
      </c>
      <c r="HR22" s="398" t="s">
        <v>357</v>
      </c>
      <c r="HS22" s="398" t="s">
        <v>357</v>
      </c>
      <c r="HT22" s="398" t="s">
        <v>357</v>
      </c>
      <c r="HU22" s="398" t="s">
        <v>357</v>
      </c>
      <c r="HV22" s="398" t="s">
        <v>357</v>
      </c>
      <c r="HW22" s="398" t="s">
        <v>357</v>
      </c>
      <c r="HX22" s="398" t="s">
        <v>357</v>
      </c>
      <c r="HY22" s="398" t="s">
        <v>357</v>
      </c>
      <c r="HZ22" s="398" t="s">
        <v>357</v>
      </c>
      <c r="IA22" s="398" t="s">
        <v>357</v>
      </c>
      <c r="IB22" s="398" t="s">
        <v>357</v>
      </c>
      <c r="IC22" s="398" t="s">
        <v>357</v>
      </c>
      <c r="ID22" s="398" t="s">
        <v>357</v>
      </c>
      <c r="IE22" s="398" t="s">
        <v>357</v>
      </c>
      <c r="IF22" s="398" t="s">
        <v>357</v>
      </c>
      <c r="IG22" s="398" t="s">
        <v>357</v>
      </c>
      <c r="IH22" s="398" t="s">
        <v>357</v>
      </c>
      <c r="II22" s="398" t="s">
        <v>357</v>
      </c>
      <c r="IJ22" s="398" t="s">
        <v>357</v>
      </c>
      <c r="IK22" s="398" t="s">
        <v>357</v>
      </c>
      <c r="IL22" s="398" t="s">
        <v>357</v>
      </c>
      <c r="IM22" s="398" t="s">
        <v>357</v>
      </c>
      <c r="IN22" s="398" t="s">
        <v>357</v>
      </c>
      <c r="IO22" s="398" t="s">
        <v>357</v>
      </c>
      <c r="IP22" s="398" t="s">
        <v>357</v>
      </c>
    </row>
    <row r="23" spans="1:250" outlineLevel="1">
      <c r="A23" s="398" t="s">
        <v>159</v>
      </c>
      <c r="B23" s="398" t="s">
        <v>141</v>
      </c>
      <c r="D23" s="791">
        <v>3422</v>
      </c>
      <c r="E23" s="1123" t="s">
        <v>147</v>
      </c>
      <c r="F23" s="1124">
        <f>F11</f>
        <v>5.5501595670870429E-2</v>
      </c>
      <c r="H23" s="791">
        <v>3500</v>
      </c>
      <c r="I23" s="1123">
        <f>(H23/D23-1)*100</f>
        <v>2.2793687901811799</v>
      </c>
      <c r="J23" s="1124">
        <f>J11</f>
        <v>-0.18028012758285472</v>
      </c>
      <c r="L23" s="791">
        <v>3422</v>
      </c>
      <c r="M23" s="1123">
        <f>(L23/H23-1)*100</f>
        <v>-2.2285714285714242</v>
      </c>
      <c r="N23" s="1124">
        <f>N11</f>
        <v>-46.690717358124047</v>
      </c>
      <c r="P23" s="791">
        <v>2014</v>
      </c>
      <c r="Q23" s="1123">
        <f>(P23/L23-1)*100</f>
        <v>-41.145528930450027</v>
      </c>
      <c r="R23" s="1124">
        <f>R11</f>
        <v>-6.1431025507548203</v>
      </c>
      <c r="T23" s="791">
        <v>1959</v>
      </c>
      <c r="U23" s="1123">
        <f>(T23/P23-1)*100</f>
        <v>-2.7308838133068503</v>
      </c>
      <c r="V23" s="1124">
        <f>V11</f>
        <v>-0.77598834381313875</v>
      </c>
      <c r="X23" s="790">
        <f>X29+X35</f>
        <v>2699</v>
      </c>
      <c r="Y23" s="1123">
        <f>(X23/T23-1)*100</f>
        <v>37.774374680959674</v>
      </c>
      <c r="Z23" s="1124">
        <f>Z11</f>
        <v>5.5897149245388578</v>
      </c>
      <c r="AB23" s="790">
        <f>AB29+AB35</f>
        <v>2659</v>
      </c>
      <c r="AC23" s="1123">
        <f>(AB23/X23-1)*100</f>
        <v>-1.4820303816228231</v>
      </c>
      <c r="AD23" s="1124">
        <f>AD11</f>
        <v>5.3732133403917359</v>
      </c>
      <c r="AF23" s="790">
        <f>AF29+AF35</f>
        <v>2672</v>
      </c>
      <c r="AG23" s="1123">
        <f>(AF23/AB23-1)*100</f>
        <v>0.48890560361039004</v>
      </c>
      <c r="AH23" s="1124">
        <f>AH11</f>
        <v>6.4327555890479671</v>
      </c>
      <c r="AJ23" s="790">
        <f>AJ29+AJ35</f>
        <v>3127</v>
      </c>
      <c r="AK23" s="1123">
        <f>(AJ23/AF23-1)*100</f>
        <v>17.02844311377245</v>
      </c>
      <c r="AL23" s="1124">
        <f>AL11</f>
        <v>3.6088936552651329</v>
      </c>
      <c r="AN23" s="790">
        <f>AN29+AN35</f>
        <v>2946</v>
      </c>
      <c r="AO23" s="1123">
        <f>(AN23/AJ23-1)*100</f>
        <v>-5.7882954908858313</v>
      </c>
      <c r="AP23" s="1124">
        <f>AP11</f>
        <v>-2.448828881633458</v>
      </c>
      <c r="AR23" s="790">
        <f>AR29+AR35</f>
        <v>2780</v>
      </c>
      <c r="AS23" s="1123">
        <f>(AR23/AN23-1)*100</f>
        <v>-5.6347589952477906</v>
      </c>
      <c r="AT23" s="1124">
        <f>AT11</f>
        <v>-7.9357029009820668</v>
      </c>
      <c r="AV23" s="790">
        <f>AV29+AV35</f>
        <v>2832</v>
      </c>
      <c r="AW23" s="1123">
        <f>(AV23/AR23-1)*100</f>
        <v>1.8705035971223083</v>
      </c>
      <c r="AX23" s="1124">
        <f>AX11</f>
        <v>-0.11794655441208501</v>
      </c>
      <c r="AZ23" s="790">
        <f>AZ29+AZ35</f>
        <v>2767</v>
      </c>
      <c r="BA23" s="1123">
        <f>(AZ23/AV23-1)*100</f>
        <v>-2.2951977401129975</v>
      </c>
      <c r="BB23" s="1124">
        <f>BB11</f>
        <v>-0.81259522600304335</v>
      </c>
      <c r="BD23" s="790">
        <f>BD29+BD35</f>
        <v>2234</v>
      </c>
      <c r="BE23" s="1123">
        <f>(BD23/AZ23-1)*100</f>
        <v>-19.262739428984453</v>
      </c>
      <c r="BF23" s="1124">
        <f>BF11</f>
        <v>-22.63184843830005</v>
      </c>
      <c r="BH23" s="790">
        <f>BH29+BH35</f>
        <v>2622</v>
      </c>
      <c r="BI23" s="1123">
        <f>(BH23/BD23-1)*100</f>
        <v>17.367949865711729</v>
      </c>
      <c r="BJ23" s="1124">
        <f>BJ11</f>
        <v>-11.87954996690933</v>
      </c>
      <c r="BL23" s="790">
        <f>BL29+BL35</f>
        <v>2160</v>
      </c>
      <c r="BM23" s="1123">
        <f>(BL23/BH23-1)*100</f>
        <v>-17.620137299771166</v>
      </c>
      <c r="BN23" s="1124">
        <f>BN11</f>
        <v>5.1070221554637696</v>
      </c>
      <c r="BO23" s="398" t="s">
        <v>357</v>
      </c>
      <c r="BP23" s="790">
        <f>BP29+BP35</f>
        <v>2292</v>
      </c>
      <c r="BQ23" s="1123">
        <f>(BP23/BL23-1)*100</f>
        <v>6.1111111111111116</v>
      </c>
      <c r="BR23" s="1124">
        <f>BR11</f>
        <v>2.7152554483744096</v>
      </c>
      <c r="BS23" s="398" t="s">
        <v>357</v>
      </c>
      <c r="BT23" s="790">
        <f>BT29+BT35</f>
        <v>2215</v>
      </c>
      <c r="BU23" s="1123">
        <f>(BT23/BP23-1)*100</f>
        <v>-3.3595113438045332</v>
      </c>
      <c r="BV23" s="1124">
        <f>BV11</f>
        <v>1.4956521739130535</v>
      </c>
      <c r="BW23" s="398" t="s">
        <v>357</v>
      </c>
      <c r="BX23" s="790">
        <f>BX29+BX35</f>
        <v>2041</v>
      </c>
      <c r="BY23" s="1123">
        <f>(BX23/BT23-1)*100</f>
        <v>-7.8555304740406289</v>
      </c>
      <c r="BZ23" s="1124">
        <f>BZ11</f>
        <v>1.5078821110349638</v>
      </c>
      <c r="CA23" s="398" t="s">
        <v>357</v>
      </c>
      <c r="CB23" s="1517">
        <f>CB29+CB35</f>
        <v>0</v>
      </c>
      <c r="CC23" s="1509">
        <f>(CB23/BX23-1)*100</f>
        <v>-100</v>
      </c>
      <c r="CD23" s="1510">
        <f>CD11</f>
        <v>-0.80000000000000071</v>
      </c>
      <c r="CE23" s="398" t="s">
        <v>357</v>
      </c>
      <c r="CF23" s="398" t="s">
        <v>357</v>
      </c>
      <c r="CG23" s="398" t="s">
        <v>357</v>
      </c>
      <c r="CH23" s="398" t="s">
        <v>357</v>
      </c>
      <c r="CI23" s="398" t="s">
        <v>357</v>
      </c>
      <c r="CJ23" s="398" t="s">
        <v>357</v>
      </c>
      <c r="CK23" s="398" t="s">
        <v>357</v>
      </c>
      <c r="CL23" s="398" t="s">
        <v>357</v>
      </c>
      <c r="CM23" s="398" t="s">
        <v>357</v>
      </c>
      <c r="CN23" s="398" t="s">
        <v>357</v>
      </c>
      <c r="CO23" s="398" t="s">
        <v>357</v>
      </c>
      <c r="CP23" s="398" t="s">
        <v>357</v>
      </c>
      <c r="CQ23" s="398" t="s">
        <v>357</v>
      </c>
      <c r="CR23" s="398" t="s">
        <v>357</v>
      </c>
      <c r="CS23" s="398" t="s">
        <v>357</v>
      </c>
      <c r="CT23" s="398" t="s">
        <v>357</v>
      </c>
      <c r="CU23" s="398" t="s">
        <v>357</v>
      </c>
      <c r="CV23" s="398" t="s">
        <v>357</v>
      </c>
      <c r="CW23" s="398" t="s">
        <v>357</v>
      </c>
      <c r="CX23" s="398" t="s">
        <v>357</v>
      </c>
      <c r="CY23" s="398" t="s">
        <v>357</v>
      </c>
      <c r="CZ23" s="398" t="s">
        <v>357</v>
      </c>
      <c r="DA23" s="398" t="s">
        <v>357</v>
      </c>
      <c r="DB23" s="398" t="s">
        <v>357</v>
      </c>
      <c r="DC23" s="398" t="s">
        <v>357</v>
      </c>
      <c r="DD23" s="398" t="s">
        <v>357</v>
      </c>
      <c r="DE23" s="398" t="s">
        <v>357</v>
      </c>
      <c r="DF23" s="398" t="s">
        <v>357</v>
      </c>
      <c r="DG23" s="398" t="s">
        <v>357</v>
      </c>
      <c r="DH23" s="398" t="s">
        <v>357</v>
      </c>
      <c r="DI23" s="398" t="s">
        <v>357</v>
      </c>
      <c r="DJ23" s="398" t="s">
        <v>357</v>
      </c>
      <c r="DK23" s="398" t="s">
        <v>357</v>
      </c>
      <c r="DL23" s="398" t="s">
        <v>357</v>
      </c>
      <c r="DM23" s="398" t="s">
        <v>357</v>
      </c>
      <c r="DN23" s="398" t="s">
        <v>357</v>
      </c>
      <c r="DO23" s="398" t="s">
        <v>357</v>
      </c>
      <c r="DP23" s="398" t="s">
        <v>357</v>
      </c>
      <c r="DQ23" s="398" t="s">
        <v>357</v>
      </c>
      <c r="DR23" s="398" t="s">
        <v>357</v>
      </c>
      <c r="DS23" s="398" t="s">
        <v>357</v>
      </c>
      <c r="DT23" s="398" t="s">
        <v>357</v>
      </c>
      <c r="DU23" s="398" t="s">
        <v>357</v>
      </c>
      <c r="DV23" s="398" t="s">
        <v>357</v>
      </c>
      <c r="DW23" s="398" t="s">
        <v>357</v>
      </c>
      <c r="DX23" s="398" t="s">
        <v>357</v>
      </c>
      <c r="DY23" s="398" t="s">
        <v>357</v>
      </c>
      <c r="DZ23" s="398" t="s">
        <v>357</v>
      </c>
      <c r="EA23" s="398" t="s">
        <v>357</v>
      </c>
      <c r="EB23" s="398" t="s">
        <v>357</v>
      </c>
      <c r="EC23" s="398" t="s">
        <v>357</v>
      </c>
      <c r="ED23" s="398" t="s">
        <v>357</v>
      </c>
      <c r="EE23" s="398" t="s">
        <v>357</v>
      </c>
      <c r="EF23" s="398" t="s">
        <v>357</v>
      </c>
      <c r="EG23" s="398" t="s">
        <v>357</v>
      </c>
      <c r="EH23" s="398" t="s">
        <v>357</v>
      </c>
      <c r="EI23" s="398" t="s">
        <v>357</v>
      </c>
      <c r="EJ23" s="398" t="s">
        <v>357</v>
      </c>
      <c r="EK23" s="398" t="s">
        <v>357</v>
      </c>
      <c r="EL23" s="398" t="s">
        <v>357</v>
      </c>
      <c r="EM23" s="398" t="s">
        <v>357</v>
      </c>
      <c r="EN23" s="398" t="s">
        <v>357</v>
      </c>
      <c r="EO23" s="398" t="s">
        <v>357</v>
      </c>
      <c r="EP23" s="398" t="s">
        <v>357</v>
      </c>
      <c r="EQ23" s="398" t="s">
        <v>357</v>
      </c>
      <c r="ER23" s="398" t="s">
        <v>357</v>
      </c>
      <c r="ES23" s="398" t="s">
        <v>357</v>
      </c>
      <c r="ET23" s="398" t="s">
        <v>357</v>
      </c>
      <c r="EU23" s="398" t="s">
        <v>357</v>
      </c>
      <c r="EV23" s="398" t="s">
        <v>357</v>
      </c>
      <c r="EW23" s="398" t="s">
        <v>357</v>
      </c>
      <c r="EX23" s="398" t="s">
        <v>357</v>
      </c>
      <c r="EY23" s="398" t="s">
        <v>357</v>
      </c>
      <c r="EZ23" s="398" t="s">
        <v>357</v>
      </c>
      <c r="FA23" s="398" t="s">
        <v>357</v>
      </c>
      <c r="FB23" s="398" t="s">
        <v>357</v>
      </c>
      <c r="FC23" s="398" t="s">
        <v>357</v>
      </c>
      <c r="FD23" s="398" t="s">
        <v>357</v>
      </c>
      <c r="FE23" s="398" t="s">
        <v>357</v>
      </c>
      <c r="FF23" s="398" t="s">
        <v>357</v>
      </c>
      <c r="FG23" s="398" t="s">
        <v>357</v>
      </c>
      <c r="FH23" s="398" t="s">
        <v>357</v>
      </c>
      <c r="FI23" s="398" t="s">
        <v>357</v>
      </c>
      <c r="FJ23" s="398" t="s">
        <v>357</v>
      </c>
      <c r="FK23" s="398" t="s">
        <v>357</v>
      </c>
      <c r="FL23" s="398" t="s">
        <v>357</v>
      </c>
      <c r="FM23" s="398" t="s">
        <v>357</v>
      </c>
      <c r="FN23" s="398" t="s">
        <v>357</v>
      </c>
      <c r="FO23" s="398" t="s">
        <v>357</v>
      </c>
      <c r="FP23" s="398" t="s">
        <v>357</v>
      </c>
      <c r="FQ23" s="398" t="s">
        <v>357</v>
      </c>
      <c r="FR23" s="398" t="s">
        <v>357</v>
      </c>
      <c r="FS23" s="398" t="s">
        <v>357</v>
      </c>
      <c r="FT23" s="398" t="s">
        <v>357</v>
      </c>
      <c r="FU23" s="398" t="s">
        <v>357</v>
      </c>
      <c r="FV23" s="398" t="s">
        <v>357</v>
      </c>
      <c r="FW23" s="398" t="s">
        <v>357</v>
      </c>
      <c r="FX23" s="398" t="s">
        <v>357</v>
      </c>
      <c r="FY23" s="398" t="s">
        <v>357</v>
      </c>
      <c r="FZ23" s="398" t="s">
        <v>357</v>
      </c>
      <c r="GA23" s="398" t="s">
        <v>357</v>
      </c>
      <c r="GB23" s="398" t="s">
        <v>357</v>
      </c>
      <c r="GC23" s="398" t="s">
        <v>357</v>
      </c>
      <c r="GD23" s="398" t="s">
        <v>357</v>
      </c>
      <c r="GE23" s="398" t="s">
        <v>357</v>
      </c>
      <c r="GF23" s="398" t="s">
        <v>357</v>
      </c>
      <c r="GG23" s="398" t="s">
        <v>357</v>
      </c>
      <c r="GH23" s="398" t="s">
        <v>357</v>
      </c>
      <c r="GI23" s="398" t="s">
        <v>357</v>
      </c>
      <c r="GJ23" s="398" t="s">
        <v>357</v>
      </c>
      <c r="GK23" s="398" t="s">
        <v>357</v>
      </c>
      <c r="GL23" s="398" t="s">
        <v>357</v>
      </c>
      <c r="GM23" s="398" t="s">
        <v>357</v>
      </c>
      <c r="GN23" s="398" t="s">
        <v>357</v>
      </c>
      <c r="GO23" s="398" t="s">
        <v>357</v>
      </c>
      <c r="GP23" s="398" t="s">
        <v>357</v>
      </c>
      <c r="GQ23" s="398" t="s">
        <v>357</v>
      </c>
      <c r="GR23" s="398" t="s">
        <v>357</v>
      </c>
      <c r="GS23" s="398" t="s">
        <v>357</v>
      </c>
      <c r="GT23" s="398" t="s">
        <v>357</v>
      </c>
      <c r="GU23" s="398" t="s">
        <v>357</v>
      </c>
      <c r="GV23" s="398" t="s">
        <v>357</v>
      </c>
      <c r="GW23" s="398" t="s">
        <v>357</v>
      </c>
      <c r="GX23" s="398" t="s">
        <v>357</v>
      </c>
      <c r="GY23" s="398" t="s">
        <v>357</v>
      </c>
      <c r="GZ23" s="398" t="s">
        <v>357</v>
      </c>
      <c r="HA23" s="398" t="s">
        <v>357</v>
      </c>
      <c r="HB23" s="398" t="s">
        <v>357</v>
      </c>
      <c r="HC23" s="398" t="s">
        <v>357</v>
      </c>
      <c r="HD23" s="398" t="s">
        <v>357</v>
      </c>
      <c r="HE23" s="398" t="s">
        <v>357</v>
      </c>
      <c r="HF23" s="398" t="s">
        <v>357</v>
      </c>
      <c r="HG23" s="398" t="s">
        <v>357</v>
      </c>
      <c r="HH23" s="398" t="s">
        <v>357</v>
      </c>
      <c r="HI23" s="398" t="s">
        <v>357</v>
      </c>
      <c r="HJ23" s="398" t="s">
        <v>357</v>
      </c>
      <c r="HK23" s="398" t="s">
        <v>357</v>
      </c>
      <c r="HL23" s="398" t="s">
        <v>357</v>
      </c>
      <c r="HM23" s="398" t="s">
        <v>357</v>
      </c>
      <c r="HN23" s="398" t="s">
        <v>357</v>
      </c>
      <c r="HO23" s="398" t="s">
        <v>357</v>
      </c>
      <c r="HP23" s="398" t="s">
        <v>357</v>
      </c>
      <c r="HQ23" s="398" t="s">
        <v>357</v>
      </c>
      <c r="HR23" s="398" t="s">
        <v>357</v>
      </c>
      <c r="HS23" s="398" t="s">
        <v>357</v>
      </c>
      <c r="HT23" s="398" t="s">
        <v>357</v>
      </c>
      <c r="HU23" s="398" t="s">
        <v>357</v>
      </c>
      <c r="HV23" s="398" t="s">
        <v>357</v>
      </c>
      <c r="HW23" s="398" t="s">
        <v>357</v>
      </c>
      <c r="HX23" s="398" t="s">
        <v>357</v>
      </c>
      <c r="HY23" s="398" t="s">
        <v>357</v>
      </c>
      <c r="HZ23" s="398" t="s">
        <v>357</v>
      </c>
      <c r="IA23" s="398" t="s">
        <v>357</v>
      </c>
      <c r="IB23" s="398" t="s">
        <v>357</v>
      </c>
      <c r="IC23" s="398" t="s">
        <v>357</v>
      </c>
      <c r="ID23" s="398" t="s">
        <v>357</v>
      </c>
      <c r="IE23" s="398" t="s">
        <v>357</v>
      </c>
      <c r="IF23" s="398" t="s">
        <v>357</v>
      </c>
      <c r="IG23" s="398" t="s">
        <v>357</v>
      </c>
      <c r="IH23" s="398" t="s">
        <v>357</v>
      </c>
      <c r="II23" s="398" t="s">
        <v>357</v>
      </c>
      <c r="IJ23" s="398" t="s">
        <v>357</v>
      </c>
      <c r="IK23" s="398" t="s">
        <v>357</v>
      </c>
      <c r="IL23" s="398" t="s">
        <v>357</v>
      </c>
      <c r="IM23" s="398" t="s">
        <v>357</v>
      </c>
      <c r="IN23" s="398" t="s">
        <v>357</v>
      </c>
      <c r="IO23" s="398" t="s">
        <v>357</v>
      </c>
      <c r="IP23" s="398" t="s">
        <v>357</v>
      </c>
    </row>
    <row r="24" spans="1:250" outlineLevel="1">
      <c r="A24" s="398" t="s">
        <v>160</v>
      </c>
      <c r="B24" s="398" t="s">
        <v>142</v>
      </c>
      <c r="D24" s="791">
        <v>3944</v>
      </c>
      <c r="E24" s="1123" t="s">
        <v>147</v>
      </c>
      <c r="F24" s="1124">
        <f>F12</f>
        <v>2.5338286017511313</v>
      </c>
      <c r="H24" s="791">
        <v>4066</v>
      </c>
      <c r="I24" s="1123">
        <f>(H24/D24-1)*100</f>
        <v>3.0933062880324602</v>
      </c>
      <c r="J24" s="1124">
        <f>J12</f>
        <v>1.8501746668391661</v>
      </c>
      <c r="L24" s="791">
        <v>3944</v>
      </c>
      <c r="M24" s="1123">
        <f>(L24/H24-1)*100</f>
        <v>-3.0004918839153905</v>
      </c>
      <c r="N24" s="1124">
        <f>N12</f>
        <v>-42.345449721411512</v>
      </c>
      <c r="P24" s="791">
        <v>2418</v>
      </c>
      <c r="Q24" s="1123">
        <f>(P24/L24-1)*100</f>
        <v>-38.691683569979716</v>
      </c>
      <c r="R24" s="1124">
        <f>R12</f>
        <v>-1.1965025310630484</v>
      </c>
      <c r="T24" s="791">
        <v>2598</v>
      </c>
      <c r="U24" s="1123">
        <f>(T24/P24-1)*100</f>
        <v>7.4441687344913188</v>
      </c>
      <c r="V24" s="1124">
        <f>V12</f>
        <v>-0.60549604098741883</v>
      </c>
      <c r="X24" s="790">
        <f>X30+X36</f>
        <v>3091</v>
      </c>
      <c r="Y24" s="1123">
        <f>(X24/T24-1)*100</f>
        <v>18.976135488837564</v>
      </c>
      <c r="Z24" s="1124">
        <f>Z12</f>
        <v>2.8819119025304651</v>
      </c>
      <c r="AB24" s="790">
        <f>AB30+AB36</f>
        <v>3079</v>
      </c>
      <c r="AC24" s="1123">
        <f>(AB24/X24-1)*100</f>
        <v>-0.38822387576835649</v>
      </c>
      <c r="AD24" s="1124">
        <f>AD12</f>
        <v>2.0040992940104863</v>
      </c>
      <c r="AF24" s="790">
        <f>AF30+AF36</f>
        <v>3145</v>
      </c>
      <c r="AG24" s="1123">
        <f>(AF24/AB24-1)*100</f>
        <v>2.1435531016563925</v>
      </c>
      <c r="AH24" s="1124">
        <f>AH12</f>
        <v>6.7425764679615918</v>
      </c>
      <c r="AJ24" s="790">
        <f>AJ30+AJ36</f>
        <v>3757</v>
      </c>
      <c r="AK24" s="1123">
        <f>(AJ24/AF24-1)*100</f>
        <v>19.45945945945946</v>
      </c>
      <c r="AL24" s="1124">
        <f>AL12</f>
        <v>-1.1085546956703607</v>
      </c>
      <c r="AN24" s="790">
        <f>AN30+AN36</f>
        <v>3415</v>
      </c>
      <c r="AO24" s="1123">
        <f>(AN24/AJ24-1)*100</f>
        <v>-9.1030077189246725</v>
      </c>
      <c r="AP24" s="1124">
        <f>AP12</f>
        <v>-8.6756692259225439</v>
      </c>
      <c r="AR24" s="790">
        <f>AR30+AR36</f>
        <v>3280</v>
      </c>
      <c r="AS24" s="1123">
        <f>(AR24/AN24-1)*100</f>
        <v>-3.9531478770131745</v>
      </c>
      <c r="AT24" s="1124">
        <f>AT12</f>
        <v>-3.1826326148638007</v>
      </c>
      <c r="AV24" s="790">
        <f>AV30+AV36</f>
        <v>3225</v>
      </c>
      <c r="AW24" s="1123">
        <f>(AV24/AR24-1)*100</f>
        <v>-1.6768292682926789</v>
      </c>
      <c r="AX24" s="1124">
        <f>AX12</f>
        <v>0.20586118550693921</v>
      </c>
      <c r="AZ24" s="790">
        <f>AZ30+AZ36</f>
        <v>3235</v>
      </c>
      <c r="BA24" s="1123">
        <f>(AZ24/AV24-1)*100</f>
        <v>0.31007751937983663</v>
      </c>
      <c r="BB24" s="1124">
        <f>BB12</f>
        <v>-4.8460253043685846</v>
      </c>
      <c r="BD24" s="790">
        <f>BD30+BD36</f>
        <v>2752</v>
      </c>
      <c r="BE24" s="1123">
        <f>(BD24/AZ24-1)*100</f>
        <v>-14.930448222565683</v>
      </c>
      <c r="BF24" s="1124">
        <f>BF12</f>
        <v>-26.56798795785248</v>
      </c>
      <c r="BH24" s="790">
        <f>BH30+BH36</f>
        <v>2678</v>
      </c>
      <c r="BI24" s="1123">
        <f>(BH24/BD24-1)*100</f>
        <v>-2.6889534883720922</v>
      </c>
      <c r="BJ24" s="1124">
        <f>BJ12</f>
        <v>-5.0563717116501543</v>
      </c>
      <c r="BL24" s="790">
        <f>BL30+BL36</f>
        <v>2452</v>
      </c>
      <c r="BM24" s="1123">
        <f>(BL24/BH24-1)*100</f>
        <v>-8.4391336818521285</v>
      </c>
      <c r="BN24" s="1124">
        <f>BN12</f>
        <v>-0.53976250449802032</v>
      </c>
      <c r="BO24" s="398" t="s">
        <v>357</v>
      </c>
      <c r="BP24" s="790">
        <f>BP29+BP36</f>
        <v>2368</v>
      </c>
      <c r="BQ24" s="1123">
        <f>(BP24/BL24-1)*100</f>
        <v>-3.4257748776509001</v>
      </c>
      <c r="BR24" s="1124">
        <f>BR12</f>
        <v>4.8118668596237368</v>
      </c>
      <c r="BS24" s="398" t="s">
        <v>357</v>
      </c>
      <c r="BT24" s="790">
        <f>BT30+BT36</f>
        <v>2663</v>
      </c>
      <c r="BU24" s="1123">
        <f>(BT24/BP24-1)*100</f>
        <v>12.457770270270263</v>
      </c>
      <c r="BV24" s="1124">
        <f>BV12</f>
        <v>-1.3807386952019329</v>
      </c>
      <c r="BW24" s="398" t="s">
        <v>357</v>
      </c>
      <c r="BX24" s="790">
        <f>BX30+BX36</f>
        <v>2398</v>
      </c>
      <c r="BY24" s="1123">
        <f>(BX24/BT24-1)*100</f>
        <v>-9.9511828764551229</v>
      </c>
      <c r="BZ24" s="1124">
        <f>BZ12</f>
        <v>-1.7500875043752195</v>
      </c>
      <c r="CA24" s="398" t="s">
        <v>357</v>
      </c>
      <c r="CB24" s="1517"/>
      <c r="CC24" s="1509">
        <f>(CB24/BX24-1)*100</f>
        <v>-100</v>
      </c>
      <c r="CD24" s="1510">
        <f>CD12</f>
        <v>-2.8000000000000025</v>
      </c>
      <c r="CE24" s="398" t="s">
        <v>357</v>
      </c>
      <c r="CF24" s="398" t="s">
        <v>357</v>
      </c>
      <c r="CG24" s="398" t="s">
        <v>357</v>
      </c>
      <c r="CH24" s="398" t="s">
        <v>357</v>
      </c>
      <c r="CI24" s="398" t="s">
        <v>357</v>
      </c>
      <c r="CJ24" s="398" t="s">
        <v>357</v>
      </c>
      <c r="CK24" s="398" t="s">
        <v>357</v>
      </c>
      <c r="CL24" s="398" t="s">
        <v>357</v>
      </c>
      <c r="CM24" s="398" t="s">
        <v>357</v>
      </c>
      <c r="CN24" s="398" t="s">
        <v>357</v>
      </c>
      <c r="CO24" s="398" t="s">
        <v>357</v>
      </c>
      <c r="CP24" s="398" t="s">
        <v>357</v>
      </c>
      <c r="CQ24" s="398" t="s">
        <v>357</v>
      </c>
      <c r="CR24" s="398" t="s">
        <v>357</v>
      </c>
      <c r="CS24" s="398" t="s">
        <v>357</v>
      </c>
      <c r="CT24" s="398" t="s">
        <v>357</v>
      </c>
      <c r="CU24" s="398" t="s">
        <v>357</v>
      </c>
      <c r="CV24" s="398" t="s">
        <v>357</v>
      </c>
      <c r="CW24" s="398" t="s">
        <v>357</v>
      </c>
      <c r="CX24" s="398" t="s">
        <v>357</v>
      </c>
      <c r="CY24" s="398" t="s">
        <v>357</v>
      </c>
      <c r="CZ24" s="398" t="s">
        <v>357</v>
      </c>
      <c r="DA24" s="398" t="s">
        <v>357</v>
      </c>
      <c r="DB24" s="398" t="s">
        <v>357</v>
      </c>
      <c r="DC24" s="398" t="s">
        <v>357</v>
      </c>
      <c r="DD24" s="398" t="s">
        <v>357</v>
      </c>
      <c r="DE24" s="398" t="s">
        <v>357</v>
      </c>
      <c r="DF24" s="398" t="s">
        <v>357</v>
      </c>
      <c r="DG24" s="398" t="s">
        <v>357</v>
      </c>
      <c r="DH24" s="398" t="s">
        <v>357</v>
      </c>
      <c r="DI24" s="398" t="s">
        <v>357</v>
      </c>
      <c r="DJ24" s="398" t="s">
        <v>357</v>
      </c>
      <c r="DK24" s="398" t="s">
        <v>357</v>
      </c>
      <c r="DL24" s="398" t="s">
        <v>357</v>
      </c>
      <c r="DM24" s="398" t="s">
        <v>357</v>
      </c>
      <c r="DN24" s="398" t="s">
        <v>357</v>
      </c>
      <c r="DO24" s="398" t="s">
        <v>357</v>
      </c>
      <c r="DP24" s="398" t="s">
        <v>357</v>
      </c>
      <c r="DQ24" s="398" t="s">
        <v>357</v>
      </c>
      <c r="DR24" s="398" t="s">
        <v>357</v>
      </c>
      <c r="DS24" s="398" t="s">
        <v>357</v>
      </c>
      <c r="DT24" s="398" t="s">
        <v>357</v>
      </c>
      <c r="DU24" s="398" t="s">
        <v>357</v>
      </c>
      <c r="DV24" s="398" t="s">
        <v>357</v>
      </c>
      <c r="DW24" s="398" t="s">
        <v>357</v>
      </c>
      <c r="DX24" s="398" t="s">
        <v>357</v>
      </c>
      <c r="DY24" s="398" t="s">
        <v>357</v>
      </c>
      <c r="DZ24" s="398" t="s">
        <v>357</v>
      </c>
      <c r="EA24" s="398" t="s">
        <v>357</v>
      </c>
      <c r="EB24" s="398" t="s">
        <v>357</v>
      </c>
      <c r="EC24" s="398" t="s">
        <v>357</v>
      </c>
      <c r="ED24" s="398" t="s">
        <v>357</v>
      </c>
      <c r="EE24" s="398" t="s">
        <v>357</v>
      </c>
      <c r="EF24" s="398" t="s">
        <v>357</v>
      </c>
      <c r="EG24" s="398" t="s">
        <v>357</v>
      </c>
      <c r="EH24" s="398" t="s">
        <v>357</v>
      </c>
      <c r="EI24" s="398" t="s">
        <v>357</v>
      </c>
      <c r="EJ24" s="398" t="s">
        <v>357</v>
      </c>
      <c r="EK24" s="398" t="s">
        <v>357</v>
      </c>
      <c r="EL24" s="398" t="s">
        <v>357</v>
      </c>
      <c r="EM24" s="398" t="s">
        <v>357</v>
      </c>
      <c r="EN24" s="398" t="s">
        <v>357</v>
      </c>
      <c r="EO24" s="398" t="s">
        <v>357</v>
      </c>
      <c r="EP24" s="398" t="s">
        <v>357</v>
      </c>
      <c r="EQ24" s="398" t="s">
        <v>357</v>
      </c>
      <c r="ER24" s="398" t="s">
        <v>357</v>
      </c>
      <c r="ES24" s="398" t="s">
        <v>357</v>
      </c>
      <c r="ET24" s="398" t="s">
        <v>357</v>
      </c>
      <c r="EU24" s="398" t="s">
        <v>357</v>
      </c>
      <c r="EV24" s="398" t="s">
        <v>357</v>
      </c>
      <c r="EW24" s="398" t="s">
        <v>357</v>
      </c>
      <c r="EX24" s="398" t="s">
        <v>357</v>
      </c>
      <c r="EY24" s="398" t="s">
        <v>357</v>
      </c>
      <c r="EZ24" s="398" t="s">
        <v>357</v>
      </c>
      <c r="FA24" s="398" t="s">
        <v>357</v>
      </c>
      <c r="FB24" s="398" t="s">
        <v>357</v>
      </c>
      <c r="FC24" s="398" t="s">
        <v>357</v>
      </c>
      <c r="FD24" s="398" t="s">
        <v>357</v>
      </c>
      <c r="FE24" s="398" t="s">
        <v>357</v>
      </c>
      <c r="FF24" s="398" t="s">
        <v>357</v>
      </c>
      <c r="FG24" s="398" t="s">
        <v>357</v>
      </c>
      <c r="FH24" s="398" t="s">
        <v>357</v>
      </c>
      <c r="FI24" s="398" t="s">
        <v>357</v>
      </c>
      <c r="FJ24" s="398" t="s">
        <v>357</v>
      </c>
      <c r="FK24" s="398" t="s">
        <v>357</v>
      </c>
      <c r="FL24" s="398" t="s">
        <v>357</v>
      </c>
      <c r="FM24" s="398" t="s">
        <v>357</v>
      </c>
      <c r="FN24" s="398" t="s">
        <v>357</v>
      </c>
      <c r="FO24" s="398" t="s">
        <v>357</v>
      </c>
      <c r="FP24" s="398" t="s">
        <v>357</v>
      </c>
      <c r="FQ24" s="398" t="s">
        <v>357</v>
      </c>
      <c r="FR24" s="398" t="s">
        <v>357</v>
      </c>
      <c r="FS24" s="398" t="s">
        <v>357</v>
      </c>
      <c r="FT24" s="398" t="s">
        <v>357</v>
      </c>
      <c r="FU24" s="398" t="s">
        <v>357</v>
      </c>
      <c r="FV24" s="398" t="s">
        <v>357</v>
      </c>
      <c r="FW24" s="398" t="s">
        <v>357</v>
      </c>
      <c r="FX24" s="398" t="s">
        <v>357</v>
      </c>
      <c r="FY24" s="398" t="s">
        <v>357</v>
      </c>
      <c r="FZ24" s="398" t="s">
        <v>357</v>
      </c>
      <c r="GA24" s="398" t="s">
        <v>357</v>
      </c>
      <c r="GB24" s="398" t="s">
        <v>357</v>
      </c>
      <c r="GC24" s="398" t="s">
        <v>357</v>
      </c>
      <c r="GD24" s="398" t="s">
        <v>357</v>
      </c>
      <c r="GE24" s="398" t="s">
        <v>357</v>
      </c>
      <c r="GF24" s="398" t="s">
        <v>357</v>
      </c>
      <c r="GG24" s="398" t="s">
        <v>357</v>
      </c>
      <c r="GH24" s="398" t="s">
        <v>357</v>
      </c>
      <c r="GI24" s="398" t="s">
        <v>357</v>
      </c>
      <c r="GJ24" s="398" t="s">
        <v>357</v>
      </c>
      <c r="GK24" s="398" t="s">
        <v>357</v>
      </c>
      <c r="GL24" s="398" t="s">
        <v>357</v>
      </c>
      <c r="GM24" s="398" t="s">
        <v>357</v>
      </c>
      <c r="GN24" s="398" t="s">
        <v>357</v>
      </c>
      <c r="GO24" s="398" t="s">
        <v>357</v>
      </c>
      <c r="GP24" s="398" t="s">
        <v>357</v>
      </c>
      <c r="GQ24" s="398" t="s">
        <v>357</v>
      </c>
      <c r="GR24" s="398" t="s">
        <v>357</v>
      </c>
      <c r="GS24" s="398" t="s">
        <v>357</v>
      </c>
      <c r="GT24" s="398" t="s">
        <v>357</v>
      </c>
      <c r="GU24" s="398" t="s">
        <v>357</v>
      </c>
      <c r="GV24" s="398" t="s">
        <v>357</v>
      </c>
      <c r="GW24" s="398" t="s">
        <v>357</v>
      </c>
      <c r="GX24" s="398" t="s">
        <v>357</v>
      </c>
      <c r="GY24" s="398" t="s">
        <v>357</v>
      </c>
      <c r="GZ24" s="398" t="s">
        <v>357</v>
      </c>
      <c r="HA24" s="398" t="s">
        <v>357</v>
      </c>
      <c r="HB24" s="398" t="s">
        <v>357</v>
      </c>
      <c r="HC24" s="398" t="s">
        <v>357</v>
      </c>
      <c r="HD24" s="398" t="s">
        <v>357</v>
      </c>
      <c r="HE24" s="398" t="s">
        <v>357</v>
      </c>
      <c r="HF24" s="398" t="s">
        <v>357</v>
      </c>
      <c r="HG24" s="398" t="s">
        <v>357</v>
      </c>
      <c r="HH24" s="398" t="s">
        <v>357</v>
      </c>
      <c r="HI24" s="398" t="s">
        <v>357</v>
      </c>
      <c r="HJ24" s="398" t="s">
        <v>357</v>
      </c>
      <c r="HK24" s="398" t="s">
        <v>357</v>
      </c>
      <c r="HL24" s="398" t="s">
        <v>357</v>
      </c>
      <c r="HM24" s="398" t="s">
        <v>357</v>
      </c>
      <c r="HN24" s="398" t="s">
        <v>357</v>
      </c>
      <c r="HO24" s="398" t="s">
        <v>357</v>
      </c>
      <c r="HP24" s="398" t="s">
        <v>357</v>
      </c>
      <c r="HQ24" s="398" t="s">
        <v>357</v>
      </c>
      <c r="HR24" s="398" t="s">
        <v>357</v>
      </c>
      <c r="HS24" s="398" t="s">
        <v>357</v>
      </c>
      <c r="HT24" s="398" t="s">
        <v>357</v>
      </c>
      <c r="HU24" s="398" t="s">
        <v>357</v>
      </c>
      <c r="HV24" s="398" t="s">
        <v>357</v>
      </c>
      <c r="HW24" s="398" t="s">
        <v>357</v>
      </c>
      <c r="HX24" s="398" t="s">
        <v>357</v>
      </c>
      <c r="HY24" s="398" t="s">
        <v>357</v>
      </c>
      <c r="HZ24" s="398" t="s">
        <v>357</v>
      </c>
      <c r="IA24" s="398" t="s">
        <v>357</v>
      </c>
      <c r="IB24" s="398" t="s">
        <v>357</v>
      </c>
      <c r="IC24" s="398" t="s">
        <v>357</v>
      </c>
      <c r="ID24" s="398" t="s">
        <v>357</v>
      </c>
      <c r="IE24" s="398" t="s">
        <v>357</v>
      </c>
      <c r="IF24" s="398" t="s">
        <v>357</v>
      </c>
      <c r="IG24" s="398" t="s">
        <v>357</v>
      </c>
      <c r="IH24" s="398" t="s">
        <v>357</v>
      </c>
      <c r="II24" s="398" t="s">
        <v>357</v>
      </c>
      <c r="IJ24" s="398" t="s">
        <v>357</v>
      </c>
      <c r="IK24" s="398" t="s">
        <v>357</v>
      </c>
      <c r="IL24" s="398" t="s">
        <v>357</v>
      </c>
      <c r="IM24" s="398" t="s">
        <v>357</v>
      </c>
      <c r="IN24" s="398" t="s">
        <v>357</v>
      </c>
      <c r="IO24" s="398" t="s">
        <v>357</v>
      </c>
      <c r="IP24" s="398" t="s">
        <v>357</v>
      </c>
    </row>
    <row r="25" spans="1:250" outlineLevel="1">
      <c r="A25" s="398" t="s">
        <v>161</v>
      </c>
      <c r="B25" s="398" t="s">
        <v>143</v>
      </c>
      <c r="D25" s="791">
        <v>3465</v>
      </c>
      <c r="E25" s="1123" t="s">
        <v>147</v>
      </c>
      <c r="F25" s="1124">
        <f>F13</f>
        <v>-0.32382743131724734</v>
      </c>
      <c r="H25" s="791">
        <v>3791</v>
      </c>
      <c r="I25" s="1123">
        <f>(H25/D25-1)*100</f>
        <v>9.4083694083693992</v>
      </c>
      <c r="J25" s="1124">
        <f>J13</f>
        <v>7.3359882624179917E-2</v>
      </c>
      <c r="L25" s="791">
        <v>2075</v>
      </c>
      <c r="M25" s="1123">
        <f>(L25/H25-1)*100</f>
        <v>-45.265101556317603</v>
      </c>
      <c r="N25" s="1124">
        <f>N13</f>
        <v>-38.83839966572652</v>
      </c>
      <c r="P25" s="791">
        <v>2209</v>
      </c>
      <c r="Q25" s="1123">
        <f>(P25/L25-1)*100</f>
        <v>6.4578313253011999</v>
      </c>
      <c r="R25" s="1124">
        <f>R13</f>
        <v>-1.9128949615713098</v>
      </c>
      <c r="T25" s="791">
        <v>2458</v>
      </c>
      <c r="U25" s="1123">
        <f>(T25/P25-1)*100</f>
        <v>11.272068809416025</v>
      </c>
      <c r="V25" s="1124">
        <f>V13</f>
        <v>4.4401880550235084</v>
      </c>
      <c r="X25" s="790">
        <f>X31+X37</f>
        <v>2770</v>
      </c>
      <c r="Y25" s="1123">
        <f>(X25/T25-1)*100</f>
        <v>12.69324654190398</v>
      </c>
      <c r="Z25" s="1124">
        <f>Z13</f>
        <v>-0.71690563521173978</v>
      </c>
      <c r="AB25" s="790">
        <f>AB31+AB37</f>
        <v>2733</v>
      </c>
      <c r="AC25" s="1123">
        <f>(AB25/X25-1)*100</f>
        <v>-1.3357400722021628</v>
      </c>
      <c r="AD25" s="1124">
        <f>AD13</f>
        <v>4.1659781696053777</v>
      </c>
      <c r="AF25" s="790">
        <f>AF31+AF37</f>
        <v>3058</v>
      </c>
      <c r="AG25" s="1123">
        <f>(AF25/AB25-1)*100</f>
        <v>11.891694109037697</v>
      </c>
      <c r="AH25" s="1124">
        <f>AH13</f>
        <v>7.4949170444894797</v>
      </c>
      <c r="AJ25" s="790">
        <f>AJ31+AJ37</f>
        <v>3135</v>
      </c>
      <c r="AK25" s="1123">
        <f>(AJ25/AF25-1)*100</f>
        <v>2.5179856115107979</v>
      </c>
      <c r="AL25" s="1124">
        <f>AL13</f>
        <v>-4.1691661667666473</v>
      </c>
      <c r="AN25" s="790">
        <f>AN31+AN37</f>
        <v>2794</v>
      </c>
      <c r="AO25" s="1123">
        <f>(AN25/AJ25-1)*100</f>
        <v>-10.87719298245614</v>
      </c>
      <c r="AP25" s="1124">
        <f>AP13</f>
        <v>-9.8713347791671744</v>
      </c>
      <c r="AR25" s="790">
        <f>AR31+AR37</f>
        <v>2856</v>
      </c>
      <c r="AS25" s="1123">
        <f>(AR25/AN25-1)*100</f>
        <v>2.2190408017179752</v>
      </c>
      <c r="AT25" s="1124">
        <f>AT13</f>
        <v>-3.6328121790261347</v>
      </c>
      <c r="AV25" s="790">
        <f>AV31+AV37</f>
        <v>2647</v>
      </c>
      <c r="AW25" s="1123">
        <f>(AV25/AR25-1)*100</f>
        <v>-7.3179271708683435</v>
      </c>
      <c r="AX25" s="1124">
        <f>AX13</f>
        <v>2.7567567567567508</v>
      </c>
      <c r="AZ25" s="790">
        <f>AZ31+AZ37</f>
        <v>2525</v>
      </c>
      <c r="BA25" s="1123">
        <f>(AZ25/AV25-1)*100</f>
        <v>-4.6089913109180198</v>
      </c>
      <c r="BB25" s="1124">
        <f>BB13</f>
        <v>-4.8746273890934555</v>
      </c>
      <c r="BD25" s="790">
        <f>BD31+BD37</f>
        <v>2557</v>
      </c>
      <c r="BE25" s="1123">
        <f>(BD25/AZ25-1)*100</f>
        <v>1.2673267326732685</v>
      </c>
      <c r="BF25" s="1124">
        <f>BF13</f>
        <v>-28.405529953917053</v>
      </c>
      <c r="BH25" s="790">
        <f>BH31+BH37</f>
        <v>2146</v>
      </c>
      <c r="BI25" s="1123">
        <f>(BH25/BD25-1)*100</f>
        <v>-16.073523660539692</v>
      </c>
      <c r="BJ25" s="1124">
        <f>BJ13</f>
        <v>-2.626158599382078</v>
      </c>
      <c r="BL25" s="790">
        <f>BL31+BL37</f>
        <v>2185</v>
      </c>
      <c r="BM25" s="1123">
        <f>(BL25/BH25-1)*100</f>
        <v>1.8173345759552761</v>
      </c>
      <c r="BN25" s="1124">
        <f>BN13</f>
        <v>2.9349550502379751</v>
      </c>
      <c r="BO25" s="398" t="s">
        <v>357</v>
      </c>
      <c r="BP25" s="790">
        <f>BP31+BP37</f>
        <v>2285</v>
      </c>
      <c r="BQ25" s="1123">
        <f>(BP25/BL25-1)*100</f>
        <v>4.5766590389016093</v>
      </c>
      <c r="BR25" s="1124">
        <f>BR13</f>
        <v>2.6457744669920347</v>
      </c>
      <c r="BS25" s="398" t="s">
        <v>357</v>
      </c>
      <c r="BT25" s="790">
        <f>BT31+BT37</f>
        <v>2141</v>
      </c>
      <c r="BU25" s="1123">
        <f>(BT25/BP25-1)*100</f>
        <v>-6.3019693654266966</v>
      </c>
      <c r="BV25" s="1124">
        <f>BV13</f>
        <v>-0.87587587587587556</v>
      </c>
      <c r="BW25" s="398" t="s">
        <v>357</v>
      </c>
      <c r="BX25" s="790">
        <f>BX31+BX37</f>
        <v>2092</v>
      </c>
      <c r="BY25" s="1123">
        <f>(BX25/BT25-1)*100</f>
        <v>-2.2886501634750145</v>
      </c>
      <c r="BZ25" s="1124">
        <f>BZ13</f>
        <v>1.7672304973491482</v>
      </c>
      <c r="CA25" s="398" t="s">
        <v>357</v>
      </c>
      <c r="CB25" s="1517">
        <f>CB31+CB37</f>
        <v>2069.1448541548898</v>
      </c>
      <c r="CC25" s="1509">
        <f>(CB25/BX25-1)*100</f>
        <v>-1.0925021914488631</v>
      </c>
      <c r="CD25" s="1510">
        <f>CD13</f>
        <v>-7.5999999999999961</v>
      </c>
      <c r="CE25" s="398" t="s">
        <v>357</v>
      </c>
      <c r="CF25" s="398" t="s">
        <v>357</v>
      </c>
      <c r="CG25" s="398" t="s">
        <v>357</v>
      </c>
      <c r="CH25" s="398" t="s">
        <v>357</v>
      </c>
      <c r="CI25" s="398" t="s">
        <v>357</v>
      </c>
      <c r="CJ25" s="398" t="s">
        <v>357</v>
      </c>
      <c r="CK25" s="398" t="s">
        <v>357</v>
      </c>
      <c r="CL25" s="398" t="s">
        <v>357</v>
      </c>
      <c r="CM25" s="398" t="s">
        <v>357</v>
      </c>
      <c r="CN25" s="398" t="s">
        <v>357</v>
      </c>
      <c r="CO25" s="398" t="s">
        <v>357</v>
      </c>
      <c r="CP25" s="398" t="s">
        <v>357</v>
      </c>
      <c r="CQ25" s="398" t="s">
        <v>357</v>
      </c>
      <c r="CR25" s="398" t="s">
        <v>357</v>
      </c>
      <c r="CS25" s="398" t="s">
        <v>357</v>
      </c>
      <c r="CT25" s="398" t="s">
        <v>357</v>
      </c>
      <c r="CU25" s="398" t="s">
        <v>357</v>
      </c>
      <c r="CV25" s="398" t="s">
        <v>357</v>
      </c>
      <c r="CW25" s="398" t="s">
        <v>357</v>
      </c>
      <c r="CX25" s="398" t="s">
        <v>357</v>
      </c>
      <c r="CY25" s="398" t="s">
        <v>357</v>
      </c>
      <c r="CZ25" s="398" t="s">
        <v>357</v>
      </c>
      <c r="DA25" s="398" t="s">
        <v>357</v>
      </c>
      <c r="DB25" s="398" t="s">
        <v>357</v>
      </c>
      <c r="DC25" s="398" t="s">
        <v>357</v>
      </c>
      <c r="DD25" s="398" t="s">
        <v>357</v>
      </c>
      <c r="DE25" s="398" t="s">
        <v>357</v>
      </c>
      <c r="DF25" s="398" t="s">
        <v>357</v>
      </c>
      <c r="DG25" s="398" t="s">
        <v>357</v>
      </c>
      <c r="DH25" s="398" t="s">
        <v>357</v>
      </c>
      <c r="DI25" s="398" t="s">
        <v>357</v>
      </c>
      <c r="DJ25" s="398" t="s">
        <v>357</v>
      </c>
      <c r="DK25" s="398" t="s">
        <v>357</v>
      </c>
      <c r="DL25" s="398" t="s">
        <v>357</v>
      </c>
      <c r="DM25" s="398" t="s">
        <v>357</v>
      </c>
      <c r="DN25" s="398" t="s">
        <v>357</v>
      </c>
      <c r="DO25" s="398" t="s">
        <v>357</v>
      </c>
      <c r="DP25" s="398" t="s">
        <v>357</v>
      </c>
      <c r="DQ25" s="398" t="s">
        <v>357</v>
      </c>
      <c r="DR25" s="398" t="s">
        <v>357</v>
      </c>
      <c r="DS25" s="398" t="s">
        <v>357</v>
      </c>
      <c r="DT25" s="398" t="s">
        <v>357</v>
      </c>
      <c r="DU25" s="398" t="s">
        <v>357</v>
      </c>
      <c r="DV25" s="398" t="s">
        <v>357</v>
      </c>
      <c r="DW25" s="398" t="s">
        <v>357</v>
      </c>
      <c r="DX25" s="398" t="s">
        <v>357</v>
      </c>
      <c r="DY25" s="398" t="s">
        <v>357</v>
      </c>
      <c r="DZ25" s="398" t="s">
        <v>357</v>
      </c>
      <c r="EA25" s="398" t="s">
        <v>357</v>
      </c>
      <c r="EB25" s="398" t="s">
        <v>357</v>
      </c>
      <c r="EC25" s="398" t="s">
        <v>357</v>
      </c>
      <c r="ED25" s="398" t="s">
        <v>357</v>
      </c>
      <c r="EE25" s="398" t="s">
        <v>357</v>
      </c>
      <c r="EF25" s="398" t="s">
        <v>357</v>
      </c>
      <c r="EG25" s="398" t="s">
        <v>357</v>
      </c>
      <c r="EH25" s="398" t="s">
        <v>357</v>
      </c>
      <c r="EI25" s="398" t="s">
        <v>357</v>
      </c>
      <c r="EJ25" s="398" t="s">
        <v>357</v>
      </c>
      <c r="EK25" s="398" t="s">
        <v>357</v>
      </c>
      <c r="EL25" s="398" t="s">
        <v>357</v>
      </c>
      <c r="EM25" s="398" t="s">
        <v>357</v>
      </c>
      <c r="EN25" s="398" t="s">
        <v>357</v>
      </c>
      <c r="EO25" s="398" t="s">
        <v>357</v>
      </c>
      <c r="EP25" s="398" t="s">
        <v>357</v>
      </c>
      <c r="EQ25" s="398" t="s">
        <v>357</v>
      </c>
      <c r="ER25" s="398" t="s">
        <v>357</v>
      </c>
      <c r="ES25" s="398" t="s">
        <v>357</v>
      </c>
      <c r="ET25" s="398" t="s">
        <v>357</v>
      </c>
      <c r="EU25" s="398" t="s">
        <v>357</v>
      </c>
      <c r="EV25" s="398" t="s">
        <v>357</v>
      </c>
      <c r="EW25" s="398" t="s">
        <v>357</v>
      </c>
      <c r="EX25" s="398" t="s">
        <v>357</v>
      </c>
      <c r="EY25" s="398" t="s">
        <v>357</v>
      </c>
      <c r="EZ25" s="398" t="s">
        <v>357</v>
      </c>
      <c r="FA25" s="398" t="s">
        <v>357</v>
      </c>
      <c r="FB25" s="398" t="s">
        <v>357</v>
      </c>
      <c r="FC25" s="398" t="s">
        <v>357</v>
      </c>
      <c r="FD25" s="398" t="s">
        <v>357</v>
      </c>
      <c r="FE25" s="398" t="s">
        <v>357</v>
      </c>
      <c r="FF25" s="398" t="s">
        <v>357</v>
      </c>
      <c r="FG25" s="398" t="s">
        <v>357</v>
      </c>
      <c r="FH25" s="398" t="s">
        <v>357</v>
      </c>
      <c r="FI25" s="398" t="s">
        <v>357</v>
      </c>
      <c r="FJ25" s="398" t="s">
        <v>357</v>
      </c>
      <c r="FK25" s="398" t="s">
        <v>357</v>
      </c>
      <c r="FL25" s="398" t="s">
        <v>357</v>
      </c>
      <c r="FM25" s="398" t="s">
        <v>357</v>
      </c>
      <c r="FN25" s="398" t="s">
        <v>357</v>
      </c>
      <c r="FO25" s="398" t="s">
        <v>357</v>
      </c>
      <c r="FP25" s="398" t="s">
        <v>357</v>
      </c>
      <c r="FQ25" s="398" t="s">
        <v>357</v>
      </c>
      <c r="FR25" s="398" t="s">
        <v>357</v>
      </c>
      <c r="FS25" s="398" t="s">
        <v>357</v>
      </c>
      <c r="FT25" s="398" t="s">
        <v>357</v>
      </c>
      <c r="FU25" s="398" t="s">
        <v>357</v>
      </c>
      <c r="FV25" s="398" t="s">
        <v>357</v>
      </c>
      <c r="FW25" s="398" t="s">
        <v>357</v>
      </c>
      <c r="FX25" s="398" t="s">
        <v>357</v>
      </c>
      <c r="FY25" s="398" t="s">
        <v>357</v>
      </c>
      <c r="FZ25" s="398" t="s">
        <v>357</v>
      </c>
      <c r="GA25" s="398" t="s">
        <v>357</v>
      </c>
      <c r="GB25" s="398" t="s">
        <v>357</v>
      </c>
      <c r="GC25" s="398" t="s">
        <v>357</v>
      </c>
      <c r="GD25" s="398" t="s">
        <v>357</v>
      </c>
      <c r="GE25" s="398" t="s">
        <v>357</v>
      </c>
      <c r="GF25" s="398" t="s">
        <v>357</v>
      </c>
      <c r="GG25" s="398" t="s">
        <v>357</v>
      </c>
      <c r="GH25" s="398" t="s">
        <v>357</v>
      </c>
      <c r="GI25" s="398" t="s">
        <v>357</v>
      </c>
      <c r="GJ25" s="398" t="s">
        <v>357</v>
      </c>
      <c r="GK25" s="398" t="s">
        <v>357</v>
      </c>
      <c r="GL25" s="398" t="s">
        <v>357</v>
      </c>
      <c r="GM25" s="398" t="s">
        <v>357</v>
      </c>
      <c r="GN25" s="398" t="s">
        <v>357</v>
      </c>
      <c r="GO25" s="398" t="s">
        <v>357</v>
      </c>
      <c r="GP25" s="398" t="s">
        <v>357</v>
      </c>
      <c r="GQ25" s="398" t="s">
        <v>357</v>
      </c>
      <c r="GR25" s="398" t="s">
        <v>357</v>
      </c>
      <c r="GS25" s="398" t="s">
        <v>357</v>
      </c>
      <c r="GT25" s="398" t="s">
        <v>357</v>
      </c>
      <c r="GU25" s="398" t="s">
        <v>357</v>
      </c>
      <c r="GV25" s="398" t="s">
        <v>357</v>
      </c>
      <c r="GW25" s="398" t="s">
        <v>357</v>
      </c>
      <c r="GX25" s="398" t="s">
        <v>357</v>
      </c>
      <c r="GY25" s="398" t="s">
        <v>357</v>
      </c>
      <c r="GZ25" s="398" t="s">
        <v>357</v>
      </c>
      <c r="HA25" s="398" t="s">
        <v>357</v>
      </c>
      <c r="HB25" s="398" t="s">
        <v>357</v>
      </c>
      <c r="HC25" s="398" t="s">
        <v>357</v>
      </c>
      <c r="HD25" s="398" t="s">
        <v>357</v>
      </c>
      <c r="HE25" s="398" t="s">
        <v>357</v>
      </c>
      <c r="HF25" s="398" t="s">
        <v>357</v>
      </c>
      <c r="HG25" s="398" t="s">
        <v>357</v>
      </c>
      <c r="HH25" s="398" t="s">
        <v>357</v>
      </c>
      <c r="HI25" s="398" t="s">
        <v>357</v>
      </c>
      <c r="HJ25" s="398" t="s">
        <v>357</v>
      </c>
      <c r="HK25" s="398" t="s">
        <v>357</v>
      </c>
      <c r="HL25" s="398" t="s">
        <v>357</v>
      </c>
      <c r="HM25" s="398" t="s">
        <v>357</v>
      </c>
      <c r="HN25" s="398" t="s">
        <v>357</v>
      </c>
      <c r="HO25" s="398" t="s">
        <v>357</v>
      </c>
      <c r="HP25" s="398" t="s">
        <v>357</v>
      </c>
      <c r="HQ25" s="398" t="s">
        <v>357</v>
      </c>
      <c r="HR25" s="398" t="s">
        <v>357</v>
      </c>
      <c r="HS25" s="398" t="s">
        <v>357</v>
      </c>
      <c r="HT25" s="398" t="s">
        <v>357</v>
      </c>
      <c r="HU25" s="398" t="s">
        <v>357</v>
      </c>
      <c r="HV25" s="398" t="s">
        <v>357</v>
      </c>
      <c r="HW25" s="398" t="s">
        <v>357</v>
      </c>
      <c r="HX25" s="398" t="s">
        <v>357</v>
      </c>
      <c r="HY25" s="398" t="s">
        <v>357</v>
      </c>
      <c r="HZ25" s="398" t="s">
        <v>357</v>
      </c>
      <c r="IA25" s="398" t="s">
        <v>357</v>
      </c>
      <c r="IB25" s="398" t="s">
        <v>357</v>
      </c>
      <c r="IC25" s="398" t="s">
        <v>357</v>
      </c>
      <c r="ID25" s="398" t="s">
        <v>357</v>
      </c>
      <c r="IE25" s="398" t="s">
        <v>357</v>
      </c>
      <c r="IF25" s="398" t="s">
        <v>357</v>
      </c>
      <c r="IG25" s="398" t="s">
        <v>357</v>
      </c>
      <c r="IH25" s="398" t="s">
        <v>357</v>
      </c>
      <c r="II25" s="398" t="s">
        <v>357</v>
      </c>
      <c r="IJ25" s="398" t="s">
        <v>357</v>
      </c>
      <c r="IK25" s="398" t="s">
        <v>357</v>
      </c>
      <c r="IL25" s="398" t="s">
        <v>357</v>
      </c>
      <c r="IM25" s="398" t="s">
        <v>357</v>
      </c>
      <c r="IN25" s="398" t="s">
        <v>357</v>
      </c>
      <c r="IO25" s="398" t="s">
        <v>357</v>
      </c>
      <c r="IP25" s="398" t="s">
        <v>357</v>
      </c>
    </row>
    <row r="26" spans="1:250" outlineLevel="1">
      <c r="D26" s="898"/>
      <c r="H26" s="898"/>
      <c r="L26" s="898"/>
      <c r="P26" s="898"/>
      <c r="T26" s="898"/>
      <c r="X26" s="898"/>
      <c r="AB26" s="898"/>
      <c r="AF26" s="898"/>
      <c r="AJ26" s="898"/>
      <c r="AN26" s="898"/>
      <c r="AR26" s="898"/>
      <c r="AV26" s="898"/>
      <c r="AZ26" s="898"/>
      <c r="BD26" s="898"/>
      <c r="BH26" s="898"/>
      <c r="BL26" s="898"/>
      <c r="BP26" s="898"/>
      <c r="BT26" s="898"/>
      <c r="BX26" s="898"/>
      <c r="CB26" s="1516"/>
    </row>
    <row r="27" spans="1:250">
      <c r="A27" s="1121"/>
      <c r="B27" s="593"/>
      <c r="C27" s="593"/>
      <c r="D27" s="1128"/>
      <c r="E27" s="593"/>
      <c r="F27" s="593"/>
      <c r="G27" s="593"/>
      <c r="H27" s="1128"/>
      <c r="I27" s="593"/>
      <c r="J27" s="593"/>
      <c r="K27" s="593"/>
      <c r="L27" s="1128"/>
      <c r="M27" s="593"/>
      <c r="N27" s="593"/>
      <c r="O27" s="593"/>
      <c r="P27" s="1128"/>
      <c r="Q27" s="593"/>
      <c r="R27" s="593"/>
      <c r="S27" s="593"/>
      <c r="T27" s="1128"/>
      <c r="U27" s="593"/>
      <c r="V27" s="593"/>
      <c r="W27" s="593"/>
      <c r="X27" s="1128"/>
      <c r="Y27" s="593"/>
      <c r="Z27" s="593"/>
      <c r="AA27" s="593"/>
      <c r="AB27" s="1128"/>
      <c r="AC27" s="593"/>
      <c r="AD27" s="593"/>
      <c r="AE27" s="593"/>
      <c r="AF27" s="1128"/>
      <c r="AG27" s="593"/>
      <c r="AH27" s="593"/>
      <c r="AI27" s="593"/>
      <c r="AJ27" s="1128"/>
      <c r="AK27" s="593"/>
      <c r="AL27" s="593"/>
      <c r="AM27" s="593"/>
      <c r="AN27" s="1128"/>
      <c r="AO27" s="593"/>
      <c r="AP27" s="593"/>
      <c r="AQ27" s="593"/>
      <c r="AR27" s="1128"/>
      <c r="AS27" s="593"/>
      <c r="AT27" s="593"/>
      <c r="AU27" s="593"/>
      <c r="AV27" s="1128"/>
      <c r="AW27" s="1121" t="s">
        <v>587</v>
      </c>
      <c r="AX27" s="593"/>
      <c r="AY27" s="593"/>
      <c r="AZ27" s="1128"/>
      <c r="BA27" s="593"/>
      <c r="BB27" s="593"/>
      <c r="BC27" s="593"/>
      <c r="BD27" s="1128"/>
      <c r="BE27" s="593"/>
      <c r="BF27" s="593"/>
      <c r="BG27" s="593"/>
      <c r="BH27" s="1128"/>
      <c r="BI27" s="593" t="s">
        <v>357</v>
      </c>
      <c r="BJ27" s="593"/>
      <c r="BL27" s="1128"/>
      <c r="BM27" s="593" t="s">
        <v>357</v>
      </c>
      <c r="BN27" s="593"/>
      <c r="BP27" s="1128"/>
      <c r="BQ27" s="593" t="s">
        <v>357</v>
      </c>
      <c r="BR27" s="593"/>
      <c r="BT27" s="1128"/>
      <c r="BU27" s="593" t="s">
        <v>357</v>
      </c>
      <c r="BV27" s="593"/>
      <c r="BX27" s="1128"/>
      <c r="BY27" s="593" t="s">
        <v>357</v>
      </c>
      <c r="BZ27" s="593"/>
      <c r="CB27" s="1518"/>
      <c r="CC27" s="1507" t="s">
        <v>357</v>
      </c>
      <c r="CD27" s="1507"/>
    </row>
    <row r="28" spans="1:250">
      <c r="A28" s="398" t="s">
        <v>158</v>
      </c>
      <c r="B28" s="398" t="s">
        <v>140</v>
      </c>
      <c r="D28" s="1123" t="s">
        <v>147</v>
      </c>
      <c r="E28" s="1123"/>
      <c r="F28" s="1124"/>
      <c r="H28" s="1123" t="s">
        <v>147</v>
      </c>
      <c r="I28" s="1123"/>
      <c r="J28" s="1124"/>
      <c r="L28" s="791"/>
      <c r="M28" s="1123" t="s">
        <v>147</v>
      </c>
      <c r="N28" s="1123"/>
      <c r="O28" s="1124"/>
      <c r="P28" s="791"/>
      <c r="Q28" s="1123" t="s">
        <v>147</v>
      </c>
      <c r="R28" s="1123"/>
      <c r="S28" s="1124"/>
      <c r="T28" s="791"/>
      <c r="U28" s="1123" t="s">
        <v>147</v>
      </c>
      <c r="V28" s="1123"/>
      <c r="W28" s="1124"/>
      <c r="X28" s="791">
        <v>1302</v>
      </c>
      <c r="Y28" s="1123" t="s">
        <v>147</v>
      </c>
      <c r="Z28" s="1124">
        <f>Z10</f>
        <v>8.2583810302534708</v>
      </c>
      <c r="AB28" s="791">
        <v>1155</v>
      </c>
      <c r="AC28" s="1123">
        <f>(AB28/X28-1)*100</f>
        <v>-11.290322580645162</v>
      </c>
      <c r="AD28" s="1124">
        <f>AD10</f>
        <v>3.6757301107754214</v>
      </c>
      <c r="AF28" s="791">
        <v>1219</v>
      </c>
      <c r="AG28" s="1123">
        <f>(AF28/AB28-1)*100</f>
        <v>5.5411255411255356</v>
      </c>
      <c r="AH28" s="1124">
        <f>AH10</f>
        <v>2.4526469159786402</v>
      </c>
      <c r="AJ28" s="791">
        <v>1497</v>
      </c>
      <c r="AK28" s="1123">
        <f>(AJ28/AF28-1)*100</f>
        <v>22.80557834290402</v>
      </c>
      <c r="AL28" s="1124">
        <f>AL10</f>
        <v>3.0812988859919344</v>
      </c>
      <c r="AN28" s="791">
        <v>1307</v>
      </c>
      <c r="AO28" s="1123">
        <f>(AN28/AJ28-1)*100</f>
        <v>-12.692050768203078</v>
      </c>
      <c r="AP28" s="1124">
        <f>AP10</f>
        <v>-5.1046217521269259</v>
      </c>
      <c r="AR28" s="791">
        <v>1102</v>
      </c>
      <c r="AS28" s="1123">
        <f>(AR28/AN28-1)*100</f>
        <v>-15.684774292272374</v>
      </c>
      <c r="AT28" s="1124">
        <f>AT10</f>
        <v>-5.8290496571691826</v>
      </c>
      <c r="AV28" s="1406">
        <v>1303</v>
      </c>
      <c r="AW28" s="1123">
        <f>(AV28/AR28-1)*100</f>
        <v>18.239564428312161</v>
      </c>
      <c r="AX28" s="1124">
        <f>AX10</f>
        <v>1.095216516679387</v>
      </c>
      <c r="AZ28" s="1406">
        <v>1274</v>
      </c>
      <c r="BA28" s="1123">
        <f>(AZ28/AV28-1)*100</f>
        <v>-2.2256331542593988</v>
      </c>
      <c r="BB28" s="1124">
        <f>BB10</f>
        <v>0.35632476457114759</v>
      </c>
      <c r="BD28" s="1406">
        <v>984</v>
      </c>
      <c r="BE28" s="1123">
        <f>(BD28/AZ28-1)*100</f>
        <v>-22.76295133437991</v>
      </c>
      <c r="BF28" s="1124">
        <f>BF10</f>
        <v>-20.060867359878266</v>
      </c>
      <c r="BH28" s="1406">
        <v>1248</v>
      </c>
      <c r="BI28" s="1123">
        <f>(BH28/BD28-1)*100</f>
        <v>26.829268292682929</v>
      </c>
      <c r="BJ28" s="1124">
        <f>BJ10</f>
        <v>-16.402284263959388</v>
      </c>
      <c r="BL28" s="1406">
        <v>841</v>
      </c>
      <c r="BM28" s="1123">
        <f>(BL28/BH28-1)*100</f>
        <v>-32.612179487179482</v>
      </c>
      <c r="BN28" s="1124">
        <f>BN10</f>
        <v>6.299810246679316</v>
      </c>
      <c r="BP28" s="1406">
        <v>1063</v>
      </c>
      <c r="BQ28" s="1123">
        <f>(BP28/BL28-1)*100</f>
        <v>26.397146254458971</v>
      </c>
      <c r="BR28" s="1124">
        <f>BR10</f>
        <v>1.9992859692966825</v>
      </c>
      <c r="BT28" s="1406">
        <v>995</v>
      </c>
      <c r="BU28" s="1123">
        <f>(BT28/BP28-1)*100</f>
        <v>-6.396989651928509</v>
      </c>
      <c r="BV28" s="1124">
        <f>BV10</f>
        <v>-1.610080504025202</v>
      </c>
      <c r="BX28" s="1406">
        <v>893</v>
      </c>
      <c r="BY28" s="1123">
        <f>(BX28/BT28-1)*100</f>
        <v>-10.25125628140704</v>
      </c>
      <c r="BZ28" s="1124">
        <f>BZ10</f>
        <v>-3.7353255069370372</v>
      </c>
      <c r="CB28" s="1508"/>
      <c r="CC28" s="1509">
        <f>(CB28/BX28-1)*100</f>
        <v>-100</v>
      </c>
      <c r="CD28" s="1510">
        <f>CD10</f>
        <v>-1.5999999999999903</v>
      </c>
    </row>
    <row r="29" spans="1:250">
      <c r="A29" s="398" t="s">
        <v>159</v>
      </c>
      <c r="B29" s="398" t="s">
        <v>141</v>
      </c>
      <c r="D29" s="1123" t="s">
        <v>147</v>
      </c>
      <c r="E29" s="1123"/>
      <c r="F29" s="1124"/>
      <c r="H29" s="1123" t="s">
        <v>147</v>
      </c>
      <c r="I29" s="1123"/>
      <c r="J29" s="1124"/>
      <c r="L29" s="791"/>
      <c r="M29" s="1123" t="s">
        <v>147</v>
      </c>
      <c r="N29" s="1123"/>
      <c r="O29" s="1124"/>
      <c r="P29" s="791"/>
      <c r="Q29" s="1123" t="s">
        <v>147</v>
      </c>
      <c r="R29" s="1123"/>
      <c r="S29" s="1124"/>
      <c r="T29" s="791"/>
      <c r="U29" s="1123" t="s">
        <v>147</v>
      </c>
      <c r="V29" s="1123"/>
      <c r="W29" s="1124"/>
      <c r="X29" s="791">
        <v>1341</v>
      </c>
      <c r="Y29" s="1123" t="s">
        <v>147</v>
      </c>
      <c r="Z29" s="1124">
        <f>Z11</f>
        <v>5.5897149245388578</v>
      </c>
      <c r="AB29" s="791">
        <v>1362</v>
      </c>
      <c r="AC29" s="1123">
        <f>(AB29/X29-1)*100</f>
        <v>1.5659955257270708</v>
      </c>
      <c r="AD29" s="1124">
        <f>AD11</f>
        <v>5.3732133403917359</v>
      </c>
      <c r="AF29" s="791">
        <v>1410</v>
      </c>
      <c r="AG29" s="1123">
        <f>(AF29/AB29-1)*100</f>
        <v>3.524229074889873</v>
      </c>
      <c r="AH29" s="1124">
        <f>AH11</f>
        <v>6.4327555890479671</v>
      </c>
      <c r="AJ29" s="791">
        <v>1635</v>
      </c>
      <c r="AK29" s="1123">
        <f>(AJ29/AF29-1)*100</f>
        <v>15.957446808510634</v>
      </c>
      <c r="AL29" s="1124">
        <f>AL11</f>
        <v>3.6088936552651329</v>
      </c>
      <c r="AN29" s="791">
        <v>1477</v>
      </c>
      <c r="AO29" s="1123">
        <f>(AN29/AJ29-1)*100</f>
        <v>-9.6636085626911274</v>
      </c>
      <c r="AP29" s="1124">
        <f>AP11</f>
        <v>-2.448828881633458</v>
      </c>
      <c r="AR29" s="791">
        <v>1302</v>
      </c>
      <c r="AS29" s="1123">
        <f>(AR29/AN29-1)*100</f>
        <v>-11.848341232227488</v>
      </c>
      <c r="AT29" s="1124">
        <f>AT11</f>
        <v>-7.9357029009820668</v>
      </c>
      <c r="AV29" s="1406">
        <v>1410</v>
      </c>
      <c r="AW29" s="1123">
        <f>(AV29/AR29-1)*100</f>
        <v>8.2949308755760462</v>
      </c>
      <c r="AX29" s="1124">
        <f>AX11</f>
        <v>-0.11794655441208501</v>
      </c>
      <c r="AZ29" s="1406">
        <v>1386</v>
      </c>
      <c r="BA29" s="1123">
        <f>(AZ29/AV29-1)*100</f>
        <v>-1.7021276595744705</v>
      </c>
      <c r="BB29" s="1124">
        <f>BB11</f>
        <v>-0.81259522600304335</v>
      </c>
      <c r="BD29" s="1406">
        <v>1015</v>
      </c>
      <c r="BE29" s="1123">
        <f>(BD29/AZ29-1)*100</f>
        <v>-26.767676767676761</v>
      </c>
      <c r="BF29" s="1124">
        <f>BF11</f>
        <v>-22.63184843830005</v>
      </c>
      <c r="BH29" s="1406">
        <v>1276</v>
      </c>
      <c r="BI29" s="1123">
        <f>(BH29/BD29-1)*100</f>
        <v>25.714285714285712</v>
      </c>
      <c r="BJ29" s="1124">
        <f>BJ11</f>
        <v>-11.87954996690933</v>
      </c>
      <c r="BL29" s="1406">
        <v>984</v>
      </c>
      <c r="BM29" s="1123">
        <f>(BL29/BH29-1)*100</f>
        <v>-22.884012539184951</v>
      </c>
      <c r="BN29" s="1124">
        <f>BN11</f>
        <v>5.1070221554637696</v>
      </c>
      <c r="BP29" s="1406">
        <v>1122</v>
      </c>
      <c r="BQ29" s="1123">
        <f>(BP29/BL29-1)*100</f>
        <v>14.024390243902429</v>
      </c>
      <c r="BR29" s="1124">
        <f>BR11</f>
        <v>2.7152554483744096</v>
      </c>
      <c r="BT29" s="1406">
        <v>1094</v>
      </c>
      <c r="BU29" s="1123">
        <f>(BT29/BP29-1)*100</f>
        <v>-2.4955436720142554</v>
      </c>
      <c r="BV29" s="1124">
        <f>BV11</f>
        <v>1.4956521739130535</v>
      </c>
      <c r="BX29" s="1406">
        <v>950</v>
      </c>
      <c r="BY29" s="1123">
        <f>(BX29/BT29-1)*100</f>
        <v>-13.162705667276054</v>
      </c>
      <c r="BZ29" s="1124">
        <f>BZ11</f>
        <v>1.5078821110349638</v>
      </c>
      <c r="CB29" s="1508"/>
      <c r="CC29" s="1509">
        <f>(CB29/BX29-1)*100</f>
        <v>-100</v>
      </c>
      <c r="CD29" s="1510">
        <f>CD11</f>
        <v>-0.80000000000000071</v>
      </c>
    </row>
    <row r="30" spans="1:250">
      <c r="A30" s="398" t="s">
        <v>160</v>
      </c>
      <c r="B30" s="398" t="s">
        <v>142</v>
      </c>
      <c r="D30" s="1123" t="s">
        <v>147</v>
      </c>
      <c r="E30" s="1123"/>
      <c r="F30" s="1124"/>
      <c r="H30" s="1123" t="s">
        <v>147</v>
      </c>
      <c r="I30" s="1123"/>
      <c r="J30" s="1124"/>
      <c r="L30" s="791"/>
      <c r="M30" s="1123" t="s">
        <v>147</v>
      </c>
      <c r="N30" s="1123"/>
      <c r="O30" s="1124"/>
      <c r="P30" s="791"/>
      <c r="Q30" s="1123" t="s">
        <v>147</v>
      </c>
      <c r="R30" s="1123"/>
      <c r="S30" s="1124"/>
      <c r="T30" s="791"/>
      <c r="U30" s="1123" t="s">
        <v>147</v>
      </c>
      <c r="V30" s="1123"/>
      <c r="W30" s="1124"/>
      <c r="X30" s="791">
        <v>1731</v>
      </c>
      <c r="Y30" s="1123" t="s">
        <v>147</v>
      </c>
      <c r="Z30" s="1124">
        <f>Z12</f>
        <v>2.8819119025304651</v>
      </c>
      <c r="AB30" s="791">
        <v>1693</v>
      </c>
      <c r="AC30" s="1123">
        <f>(AB30/X30-1)*100</f>
        <v>-2.1952628538417063</v>
      </c>
      <c r="AD30" s="1124">
        <f>AD12</f>
        <v>2.0040992940104863</v>
      </c>
      <c r="AF30" s="791">
        <v>1806</v>
      </c>
      <c r="AG30" s="1123">
        <f>(AF30/AB30-1)*100</f>
        <v>6.6745422327229686</v>
      </c>
      <c r="AH30" s="1124">
        <f>AH12</f>
        <v>6.7425764679615918</v>
      </c>
      <c r="AJ30" s="791">
        <v>2322</v>
      </c>
      <c r="AK30" s="1123">
        <f>(AJ30/AF30-1)*100</f>
        <v>28.57142857142858</v>
      </c>
      <c r="AL30" s="1124">
        <f>AL12</f>
        <v>-1.1085546956703607</v>
      </c>
      <c r="AN30" s="791">
        <v>1915</v>
      </c>
      <c r="AO30" s="1123">
        <f>(AN30/AJ30-1)*100</f>
        <v>-17.527993109388461</v>
      </c>
      <c r="AP30" s="1124">
        <f>AP12</f>
        <v>-8.6756692259225439</v>
      </c>
      <c r="AR30" s="791">
        <v>1794</v>
      </c>
      <c r="AS30" s="1123">
        <f>(AR30/AN30-1)*100</f>
        <v>-6.3185378590078329</v>
      </c>
      <c r="AT30" s="1124">
        <f>AT12</f>
        <v>-3.1826326148638007</v>
      </c>
      <c r="AV30" s="1406">
        <v>1766</v>
      </c>
      <c r="AW30" s="1123">
        <f>(AV30/AR30-1)*100</f>
        <v>-1.5607580824972156</v>
      </c>
      <c r="AX30" s="1124">
        <f>AX12</f>
        <v>0.20586118550693921</v>
      </c>
      <c r="AZ30" s="1406">
        <v>1831</v>
      </c>
      <c r="BA30" s="1123">
        <f>(AZ30/AV30-1)*100</f>
        <v>3.6806342015855087</v>
      </c>
      <c r="BB30" s="1124">
        <f>BB12</f>
        <v>-4.8460253043685846</v>
      </c>
      <c r="BD30" s="1406">
        <v>1408</v>
      </c>
      <c r="BE30" s="1123">
        <f>(BD30/AZ30-1)*100</f>
        <v>-23.102129983615516</v>
      </c>
      <c r="BF30" s="1124">
        <f>BF12</f>
        <v>-26.56798795785248</v>
      </c>
      <c r="BH30" s="1406">
        <v>1409</v>
      </c>
      <c r="BI30" s="1123">
        <f>(BH30/BD30-1)*100</f>
        <v>7.1022727272729291E-2</v>
      </c>
      <c r="BJ30" s="1124">
        <f>BJ12</f>
        <v>-5.0563717116501543</v>
      </c>
      <c r="BL30" s="1406">
        <f>qtr_CF_BS!Q$90</f>
        <v>1289</v>
      </c>
      <c r="BM30" s="1123">
        <f>(BL30/BH30-1)*100</f>
        <v>-8.5166784953867989</v>
      </c>
      <c r="BN30" s="1124">
        <f>BN12</f>
        <v>-0.53976250449802032</v>
      </c>
      <c r="BO30" s="1004"/>
      <c r="BP30" s="1406">
        <v>1453</v>
      </c>
      <c r="BQ30" s="1123">
        <f>(BP30/BL30-1)*100</f>
        <v>12.723041117145083</v>
      </c>
      <c r="BR30" s="1124">
        <f>BR12</f>
        <v>4.8118668596237368</v>
      </c>
      <c r="BS30" s="1004"/>
      <c r="BT30" s="1406">
        <v>1493</v>
      </c>
      <c r="BU30" s="1123">
        <f>(BT30/BP30-1)*100</f>
        <v>2.7529249827942248</v>
      </c>
      <c r="BV30" s="1124">
        <f>BV12</f>
        <v>-1.3807386952019329</v>
      </c>
      <c r="BW30" s="1004"/>
      <c r="BX30" s="1406">
        <v>1342</v>
      </c>
      <c r="BY30" s="1123">
        <f>(BX30/BT30-1)*100</f>
        <v>-10.113864701942399</v>
      </c>
      <c r="BZ30" s="1124">
        <f>BZ12</f>
        <v>-1.7500875043752195</v>
      </c>
      <c r="CA30" s="1004"/>
      <c r="CB30" s="1511"/>
      <c r="CC30" s="1509">
        <f>(CB30/BX30-1)*100</f>
        <v>-100</v>
      </c>
      <c r="CD30" s="1510">
        <f>CD12</f>
        <v>-2.8000000000000025</v>
      </c>
    </row>
    <row r="31" spans="1:250">
      <c r="A31" s="398" t="s">
        <v>161</v>
      </c>
      <c r="B31" s="398" t="s">
        <v>143</v>
      </c>
      <c r="D31" s="1123" t="s">
        <v>147</v>
      </c>
      <c r="E31" s="1123"/>
      <c r="F31" s="1124"/>
      <c r="H31" s="1123" t="s">
        <v>147</v>
      </c>
      <c r="I31" s="1123"/>
      <c r="J31" s="1124"/>
      <c r="L31" s="791"/>
      <c r="M31" s="1123" t="s">
        <v>147</v>
      </c>
      <c r="N31" s="1123"/>
      <c r="O31" s="1124"/>
      <c r="P31" s="791"/>
      <c r="Q31" s="1123" t="s">
        <v>147</v>
      </c>
      <c r="R31" s="1123"/>
      <c r="S31" s="1124"/>
      <c r="T31" s="791"/>
      <c r="U31" s="1123" t="s">
        <v>147</v>
      </c>
      <c r="V31" s="1123"/>
      <c r="W31" s="1124"/>
      <c r="X31" s="791">
        <v>1143</v>
      </c>
      <c r="Y31" s="1123" t="s">
        <v>147</v>
      </c>
      <c r="Z31" s="1124">
        <f>Z13</f>
        <v>-0.71690563521173978</v>
      </c>
      <c r="AB31" s="791">
        <v>1171</v>
      </c>
      <c r="AC31" s="1123">
        <f>(AB31/X31-1)*100</f>
        <v>2.4496937882764636</v>
      </c>
      <c r="AD31" s="1124">
        <f>AD13</f>
        <v>4.1659781696053777</v>
      </c>
      <c r="AF31" s="791">
        <v>1366</v>
      </c>
      <c r="AG31" s="1123">
        <f>(AF31/AB31-1)*100</f>
        <v>16.652433817250213</v>
      </c>
      <c r="AH31" s="1124">
        <f>AH13</f>
        <v>7.4949170444894797</v>
      </c>
      <c r="AJ31" s="791">
        <v>1472</v>
      </c>
      <c r="AK31" s="1123">
        <f>(AJ31/AF31-1)*100</f>
        <v>7.7598828696925359</v>
      </c>
      <c r="AL31" s="1124">
        <f>AL13</f>
        <v>-4.1691661667666473</v>
      </c>
      <c r="AN31" s="791">
        <v>1194</v>
      </c>
      <c r="AO31" s="1123">
        <f>(AN31/AJ31-1)*100</f>
        <v>-18.885869565217394</v>
      </c>
      <c r="AP31" s="1124">
        <f>AP13</f>
        <v>-9.8713347791671744</v>
      </c>
      <c r="AR31" s="791">
        <v>1226</v>
      </c>
      <c r="AS31" s="1123">
        <f>(AR31/AN31-1)*100</f>
        <v>2.6800670016750461</v>
      </c>
      <c r="AT31" s="1124">
        <f>AT13</f>
        <v>-3.6328121790261347</v>
      </c>
      <c r="AV31" s="1406">
        <v>1133</v>
      </c>
      <c r="AW31" s="1123">
        <f>(AV31/AR31-1)*100</f>
        <v>-7.5856443719412692</v>
      </c>
      <c r="AX31" s="1124">
        <f>AX13</f>
        <v>2.7567567567567508</v>
      </c>
      <c r="AZ31" s="1406">
        <v>1022</v>
      </c>
      <c r="BA31" s="1123">
        <f>(AZ31/AV31-1)*100</f>
        <v>-9.7969991173874611</v>
      </c>
      <c r="BB31" s="1124">
        <f>BB13</f>
        <v>-4.8746273890934555</v>
      </c>
      <c r="BD31" s="1406">
        <v>1162</v>
      </c>
      <c r="BE31" s="1123">
        <f>(BD31/AZ31-1)*100</f>
        <v>13.698630136986312</v>
      </c>
      <c r="BF31" s="1124">
        <f>BF13</f>
        <v>-28.405529953917053</v>
      </c>
      <c r="BH31" s="1406">
        <v>948</v>
      </c>
      <c r="BI31" s="1123">
        <f>(BH31/BD31-1)*100</f>
        <v>-18.416523235800341</v>
      </c>
      <c r="BJ31" s="1124">
        <f>BJ13</f>
        <v>-2.626158599382078</v>
      </c>
      <c r="BL31" s="1406">
        <v>997</v>
      </c>
      <c r="BM31" s="1123">
        <f>(BL31/BH31-1)*100</f>
        <v>5.1687763713080148</v>
      </c>
      <c r="BN31" s="1124">
        <f>BN13</f>
        <v>2.9349550502379751</v>
      </c>
      <c r="BP31" s="1126">
        <f>bal!AG26</f>
        <v>925</v>
      </c>
      <c r="BQ31" s="1123">
        <f>(BP31/BL31-1)*100</f>
        <v>-7.2216649949849554</v>
      </c>
      <c r="BR31" s="1124">
        <f>BR13</f>
        <v>2.6457744669920347</v>
      </c>
      <c r="BT31" s="1406">
        <f>bal!AH26</f>
        <v>977</v>
      </c>
      <c r="BU31" s="1123">
        <f>(BT31/BP31-1)*100</f>
        <v>5.6216216216216308</v>
      </c>
      <c r="BV31" s="1124">
        <f>BV13</f>
        <v>-0.87587587587587556</v>
      </c>
      <c r="BX31" s="1126">
        <f>bal!AI26</f>
        <v>973</v>
      </c>
      <c r="BY31" s="1123">
        <f>(BX31/BT31-1)*100</f>
        <v>-0.40941658137154668</v>
      </c>
      <c r="BZ31" s="1124">
        <f>BZ13</f>
        <v>1.7672304973491482</v>
      </c>
      <c r="CB31" s="1513">
        <f>bal!AJ26</f>
        <v>957.03300000000002</v>
      </c>
      <c r="CC31" s="1509">
        <f>(CB31/BX31-1)*100</f>
        <v>-1.6410071942446036</v>
      </c>
      <c r="CD31" s="1510">
        <f>CD13</f>
        <v>-7.5999999999999961</v>
      </c>
    </row>
    <row r="32" spans="1:250">
      <c r="D32" s="898"/>
      <c r="H32" s="898"/>
      <c r="L32" s="898"/>
      <c r="M32" s="898"/>
      <c r="P32" s="898"/>
      <c r="Q32" s="898"/>
      <c r="T32" s="898"/>
      <c r="U32" s="898"/>
      <c r="X32" s="898"/>
      <c r="Y32" s="1123"/>
      <c r="AB32" s="898"/>
      <c r="AF32" s="898"/>
      <c r="AJ32" s="898"/>
      <c r="AN32" s="898"/>
      <c r="AR32" s="898"/>
      <c r="AV32" s="898"/>
      <c r="AZ32" s="898"/>
      <c r="BD32" s="898"/>
      <c r="BH32" s="898"/>
      <c r="BL32" s="898"/>
      <c r="BP32" s="898"/>
      <c r="BT32" s="898"/>
      <c r="BX32" s="898"/>
      <c r="CB32" s="1516"/>
    </row>
    <row r="33" spans="1:82">
      <c r="A33" s="1121"/>
      <c r="B33" s="593"/>
      <c r="C33" s="593"/>
      <c r="D33" s="1128"/>
      <c r="E33" s="593"/>
      <c r="F33" s="593"/>
      <c r="G33" s="593"/>
      <c r="H33" s="1128"/>
      <c r="I33" s="593"/>
      <c r="J33" s="593"/>
      <c r="K33" s="593"/>
      <c r="L33" s="1128"/>
      <c r="M33" s="1128"/>
      <c r="N33" s="593"/>
      <c r="O33" s="593"/>
      <c r="P33" s="1128"/>
      <c r="Q33" s="1128"/>
      <c r="R33" s="593"/>
      <c r="S33" s="593"/>
      <c r="T33" s="1128"/>
      <c r="U33" s="1128"/>
      <c r="V33" s="593"/>
      <c r="W33" s="593"/>
      <c r="X33" s="1128"/>
      <c r="Y33" s="593"/>
      <c r="Z33" s="593"/>
      <c r="AA33" s="593"/>
      <c r="AB33" s="1128"/>
      <c r="AC33" s="593"/>
      <c r="AD33" s="593"/>
      <c r="AE33" s="593"/>
      <c r="AF33" s="1128"/>
      <c r="AG33" s="593"/>
      <c r="AH33" s="593"/>
      <c r="AI33" s="593"/>
      <c r="AJ33" s="1128"/>
      <c r="AK33" s="593"/>
      <c r="AL33" s="593"/>
      <c r="AM33" s="593"/>
      <c r="AN33" s="1128"/>
      <c r="AO33" s="593"/>
      <c r="AP33" s="593"/>
      <c r="AQ33" s="593"/>
      <c r="AR33" s="1128"/>
      <c r="AS33" s="593"/>
      <c r="AT33" s="593"/>
      <c r="AU33" s="593"/>
      <c r="AV33" s="1128"/>
      <c r="AW33" s="1121" t="s">
        <v>586</v>
      </c>
      <c r="AX33" s="593"/>
      <c r="AY33" s="593"/>
      <c r="AZ33" s="1129"/>
      <c r="BA33" s="593"/>
      <c r="BB33" s="593"/>
      <c r="BC33" s="593"/>
      <c r="BD33" s="1128"/>
      <c r="BE33" s="593"/>
      <c r="BF33" s="593"/>
      <c r="BG33" s="593"/>
      <c r="BH33" s="1130"/>
      <c r="BI33" s="593"/>
      <c r="BJ33" s="593"/>
      <c r="BL33" s="1130"/>
      <c r="BM33" s="593"/>
      <c r="BN33" s="593"/>
      <c r="BP33" s="1130"/>
      <c r="BQ33" s="593"/>
      <c r="BR33" s="593"/>
      <c r="BT33" s="1130"/>
      <c r="BU33" s="593"/>
      <c r="BV33" s="593"/>
      <c r="BX33" s="1130"/>
      <c r="BY33" s="593"/>
      <c r="BZ33" s="593"/>
      <c r="CB33" s="1519"/>
      <c r="CC33" s="1507"/>
      <c r="CD33" s="1507"/>
    </row>
    <row r="34" spans="1:82">
      <c r="A34" s="398" t="s">
        <v>158</v>
      </c>
      <c r="B34" s="398" t="s">
        <v>140</v>
      </c>
      <c r="D34" s="1123" t="s">
        <v>147</v>
      </c>
      <c r="E34" s="1123"/>
      <c r="F34" s="1124"/>
      <c r="H34" s="1123" t="s">
        <v>147</v>
      </c>
      <c r="I34" s="1123"/>
      <c r="J34" s="1124"/>
      <c r="L34" s="791"/>
      <c r="M34" s="1123" t="s">
        <v>147</v>
      </c>
      <c r="N34" s="1123"/>
      <c r="O34" s="1124"/>
      <c r="P34" s="791"/>
      <c r="Q34" s="1123" t="s">
        <v>147</v>
      </c>
      <c r="R34" s="1123"/>
      <c r="S34" s="1124"/>
      <c r="T34" s="791"/>
      <c r="U34" s="1123" t="s">
        <v>147</v>
      </c>
      <c r="V34" s="1123"/>
      <c r="W34" s="1124"/>
      <c r="X34" s="791">
        <v>1109</v>
      </c>
      <c r="Y34" s="1123" t="s">
        <v>147</v>
      </c>
      <c r="Z34" s="1124">
        <f>Z16</f>
        <v>8.2583810302534708</v>
      </c>
      <c r="AB34" s="791">
        <v>1404</v>
      </c>
      <c r="AC34" s="1123">
        <f>(AB34/X34-1)*100</f>
        <v>26.600541027953106</v>
      </c>
      <c r="AD34" s="1124">
        <f>AD16</f>
        <v>3.6757301107754214</v>
      </c>
      <c r="AF34" s="791">
        <v>1205</v>
      </c>
      <c r="AG34" s="1123">
        <f>(AF34/AB34-1)*100</f>
        <v>-14.173789173789174</v>
      </c>
      <c r="AH34" s="1124">
        <f>AH16</f>
        <v>2.4526469159786402</v>
      </c>
      <c r="AJ34" s="791">
        <v>1370</v>
      </c>
      <c r="AK34" s="1123">
        <f>(AJ34/AF34-1)*100</f>
        <v>13.692946058091282</v>
      </c>
      <c r="AL34" s="1124">
        <f>AL16</f>
        <v>3.0812988859919344</v>
      </c>
      <c r="AN34" s="791">
        <v>1350</v>
      </c>
      <c r="AO34" s="1123">
        <f>(AN34/AJ34-1)*100</f>
        <v>-1.4598540145985384</v>
      </c>
      <c r="AP34" s="1124">
        <f>AP16</f>
        <v>-5.1046217521269259</v>
      </c>
      <c r="AR34" s="791">
        <v>1340</v>
      </c>
      <c r="AS34" s="1123">
        <f>(AR34/AN34-1)*100</f>
        <v>-0.74074074074074181</v>
      </c>
      <c r="AT34" s="1124">
        <f>AT16</f>
        <v>-5.8290496571691826</v>
      </c>
      <c r="AV34" s="1406">
        <v>1350</v>
      </c>
      <c r="AW34" s="1123">
        <f>(AV34/AR34-1)*100</f>
        <v>0.74626865671640896</v>
      </c>
      <c r="AX34" s="1124">
        <f>AX16</f>
        <v>1.095216516679387</v>
      </c>
      <c r="AZ34" s="1406">
        <v>1396</v>
      </c>
      <c r="BA34" s="1123">
        <f>(AZ34/AV34-1)*100</f>
        <v>3.4074074074074145</v>
      </c>
      <c r="BB34" s="1124">
        <f>BB16</f>
        <v>0.35632476457114759</v>
      </c>
      <c r="BD34" s="1406">
        <v>1222</v>
      </c>
      <c r="BE34" s="1123">
        <f>(BD34/AZ34-1)*100</f>
        <v>-12.464183381088823</v>
      </c>
      <c r="BF34" s="1124">
        <f>BF16</f>
        <v>-20.060867359878266</v>
      </c>
      <c r="BH34" s="1406">
        <v>1524</v>
      </c>
      <c r="BI34" s="1123">
        <f>(BH34/BD34-1)*100</f>
        <v>24.71358428805237</v>
      </c>
      <c r="BJ34" s="1124">
        <f>BJ16</f>
        <v>-16.402284263959388</v>
      </c>
      <c r="BL34" s="1406">
        <v>1087</v>
      </c>
      <c r="BM34" s="1123">
        <f>(BL34/BH34-1)*100</f>
        <v>-28.674540682414694</v>
      </c>
      <c r="BN34" s="1124">
        <f>BN16</f>
        <v>6.299810246679316</v>
      </c>
      <c r="BP34" s="1406">
        <v>1028</v>
      </c>
      <c r="BQ34" s="1123">
        <f>(BP34/BL34-1)*100</f>
        <v>-5.427782888684451</v>
      </c>
      <c r="BR34" s="1124">
        <f>BR16</f>
        <v>1.9992859692966825</v>
      </c>
      <c r="BT34" s="1406">
        <v>1125</v>
      </c>
      <c r="BU34" s="1123">
        <f>(BT34/BP34-1)*100</f>
        <v>9.4357976653696607</v>
      </c>
      <c r="BV34" s="1124">
        <f>BV16</f>
        <v>-1.610080504025202</v>
      </c>
      <c r="BX34" s="1406">
        <v>1035</v>
      </c>
      <c r="BY34" s="1123">
        <f>(BX34/BT34-1)*100</f>
        <v>-7.9999999999999964</v>
      </c>
      <c r="BZ34" s="1124">
        <f>BZ16</f>
        <v>-3.7353255069370372</v>
      </c>
      <c r="CB34" s="1508"/>
      <c r="CC34" s="1509">
        <f>(CB34/BX34-1)*100</f>
        <v>-100</v>
      </c>
      <c r="CD34" s="1510">
        <f>CD16</f>
        <v>-1.5999999999999903</v>
      </c>
    </row>
    <row r="35" spans="1:82">
      <c r="A35" s="398" t="s">
        <v>159</v>
      </c>
      <c r="B35" s="398" t="s">
        <v>141</v>
      </c>
      <c r="D35" s="1123" t="s">
        <v>147</v>
      </c>
      <c r="E35" s="1123"/>
      <c r="F35" s="1124"/>
      <c r="H35" s="1123" t="s">
        <v>147</v>
      </c>
      <c r="I35" s="1123"/>
      <c r="J35" s="1124"/>
      <c r="L35" s="791"/>
      <c r="M35" s="1123" t="s">
        <v>147</v>
      </c>
      <c r="N35" s="1123"/>
      <c r="O35" s="1124"/>
      <c r="P35" s="791"/>
      <c r="Q35" s="1123" t="s">
        <v>147</v>
      </c>
      <c r="R35" s="1123"/>
      <c r="S35" s="1124"/>
      <c r="T35" s="791"/>
      <c r="U35" s="1123" t="s">
        <v>147</v>
      </c>
      <c r="V35" s="1123"/>
      <c r="W35" s="1124"/>
      <c r="X35" s="791">
        <v>1358</v>
      </c>
      <c r="Y35" s="1123" t="s">
        <v>147</v>
      </c>
      <c r="Z35" s="1124">
        <f>Z17</f>
        <v>5.5897149245388578</v>
      </c>
      <c r="AB35" s="791">
        <v>1297</v>
      </c>
      <c r="AC35" s="1123">
        <f>(AB35/X35-1)*100</f>
        <v>-4.4918998527245897</v>
      </c>
      <c r="AD35" s="1124">
        <f>AD17</f>
        <v>5.3732133403917359</v>
      </c>
      <c r="AF35" s="791">
        <v>1262</v>
      </c>
      <c r="AG35" s="1123">
        <f>(AF35/AB35-1)*100</f>
        <v>-2.6985350809560549</v>
      </c>
      <c r="AH35" s="1124">
        <f>AH17</f>
        <v>6.4327555890479671</v>
      </c>
      <c r="AJ35" s="791">
        <v>1492</v>
      </c>
      <c r="AK35" s="1123">
        <f>(AJ35/AF35-1)*100</f>
        <v>18.225039619651341</v>
      </c>
      <c r="AL35" s="1124">
        <f>AL17</f>
        <v>3.6088936552651329</v>
      </c>
      <c r="AN35" s="791">
        <v>1469</v>
      </c>
      <c r="AO35" s="1123">
        <f>(AN35/AJ35-1)*100</f>
        <v>-1.5415549597855183</v>
      </c>
      <c r="AP35" s="1124">
        <f>AP17</f>
        <v>-2.448828881633458</v>
      </c>
      <c r="AR35" s="791">
        <v>1478</v>
      </c>
      <c r="AS35" s="1123">
        <f>(AR35/AN35-1)*100</f>
        <v>0.61266167460858334</v>
      </c>
      <c r="AT35" s="1124">
        <f>AT17</f>
        <v>-7.9357029009820668</v>
      </c>
      <c r="AV35" s="1406">
        <v>1422</v>
      </c>
      <c r="AW35" s="1123">
        <f>(AV35/AR35-1)*100</f>
        <v>-3.7889039242219202</v>
      </c>
      <c r="AX35" s="1124">
        <f>AX17</f>
        <v>-0.11794655441208501</v>
      </c>
      <c r="AZ35" s="1406">
        <v>1381</v>
      </c>
      <c r="BA35" s="1123">
        <f>(AZ35/AV35-1)*100</f>
        <v>-2.8832630098452938</v>
      </c>
      <c r="BB35" s="1124">
        <f>BB17</f>
        <v>-0.81259522600304335</v>
      </c>
      <c r="BD35" s="1406">
        <v>1219</v>
      </c>
      <c r="BE35" s="1123">
        <f>(BD35/AZ35-1)*100</f>
        <v>-11.730629978276607</v>
      </c>
      <c r="BF35" s="1124">
        <f>BF17</f>
        <v>-22.63184843830005</v>
      </c>
      <c r="BH35" s="1406">
        <v>1346</v>
      </c>
      <c r="BI35" s="1123">
        <f>(BH35/BD35-1)*100</f>
        <v>10.418375717801487</v>
      </c>
      <c r="BJ35" s="1124">
        <f>BJ17</f>
        <v>-11.87954996690933</v>
      </c>
      <c r="BL35" s="1406">
        <v>1176</v>
      </c>
      <c r="BM35" s="1123">
        <f>(BL35/BH35-1)*100</f>
        <v>-12.63001485884101</v>
      </c>
      <c r="BN35" s="1124">
        <f>BN17</f>
        <v>5.1070221554637696</v>
      </c>
      <c r="BP35" s="1406">
        <v>1170</v>
      </c>
      <c r="BQ35" s="1123">
        <f>(BP35/BL35-1)*100</f>
        <v>-0.51020408163264808</v>
      </c>
      <c r="BR35" s="1124">
        <f>BR17</f>
        <v>2.7152554483744096</v>
      </c>
      <c r="BT35" s="1406">
        <v>1121</v>
      </c>
      <c r="BU35" s="1123">
        <f>(BT35/BP35-1)*100</f>
        <v>-4.1880341880341838</v>
      </c>
      <c r="BV35" s="1124">
        <f>BV17</f>
        <v>1.4956521739130535</v>
      </c>
      <c r="BX35" s="1406">
        <v>1091</v>
      </c>
      <c r="BY35" s="1123">
        <f>(BX35/BT35-1)*100</f>
        <v>-2.67618198037467</v>
      </c>
      <c r="BZ35" s="1124">
        <f>BZ17</f>
        <v>1.5078821110349638</v>
      </c>
      <c r="CB35" s="1508"/>
      <c r="CC35" s="1509">
        <f>(CB35/BX35-1)*100</f>
        <v>-100</v>
      </c>
      <c r="CD35" s="1510">
        <f>CD17</f>
        <v>-0.80000000000000071</v>
      </c>
    </row>
    <row r="36" spans="1:82">
      <c r="A36" s="398" t="s">
        <v>160</v>
      </c>
      <c r="B36" s="398" t="s">
        <v>142</v>
      </c>
      <c r="D36" s="1123" t="s">
        <v>147</v>
      </c>
      <c r="E36" s="1123"/>
      <c r="F36" s="1124"/>
      <c r="H36" s="1123" t="s">
        <v>147</v>
      </c>
      <c r="I36" s="1123"/>
      <c r="J36" s="1124"/>
      <c r="L36" s="791"/>
      <c r="M36" s="1123" t="s">
        <v>147</v>
      </c>
      <c r="N36" s="1123"/>
      <c r="O36" s="1124"/>
      <c r="P36" s="791"/>
      <c r="Q36" s="1123" t="s">
        <v>147</v>
      </c>
      <c r="R36" s="1123"/>
      <c r="S36" s="1124"/>
      <c r="T36" s="791"/>
      <c r="U36" s="1123" t="s">
        <v>147</v>
      </c>
      <c r="V36" s="1123"/>
      <c r="W36" s="1124"/>
      <c r="X36" s="791">
        <v>1360</v>
      </c>
      <c r="Y36" s="1123" t="s">
        <v>147</v>
      </c>
      <c r="Z36" s="1124">
        <f>Z18</f>
        <v>2.8819119025304651</v>
      </c>
      <c r="AB36" s="791">
        <v>1386</v>
      </c>
      <c r="AC36" s="1123">
        <f>(AB36/X36-1)*100</f>
        <v>1.9117647058823461</v>
      </c>
      <c r="AD36" s="1124">
        <f>AD18</f>
        <v>2.0040992940104863</v>
      </c>
      <c r="AF36" s="791">
        <v>1339</v>
      </c>
      <c r="AG36" s="1123">
        <f>(AF36/AB36-1)*100</f>
        <v>-3.3910533910533891</v>
      </c>
      <c r="AH36" s="1124">
        <f>AH18</f>
        <v>6.7425764679615918</v>
      </c>
      <c r="AJ36" s="791">
        <v>1435</v>
      </c>
      <c r="AK36" s="1123">
        <f>(AJ36/AF36-1)*100</f>
        <v>7.1695294996265924</v>
      </c>
      <c r="AL36" s="1124">
        <f>AL18</f>
        <v>-1.1085546956703607</v>
      </c>
      <c r="AN36" s="791">
        <v>1500</v>
      </c>
      <c r="AO36" s="1123">
        <f>(AN36/AJ36-1)*100</f>
        <v>4.5296167247386832</v>
      </c>
      <c r="AP36" s="1124">
        <f>AP18</f>
        <v>-8.6756692259225439</v>
      </c>
      <c r="AR36" s="791">
        <v>1486</v>
      </c>
      <c r="AS36" s="1123">
        <f>(AR36/AN36-1)*100</f>
        <v>-0.93333333333333046</v>
      </c>
      <c r="AT36" s="1124">
        <f>AT18</f>
        <v>-3.1826326148638007</v>
      </c>
      <c r="AV36" s="1406">
        <v>1459</v>
      </c>
      <c r="AW36" s="1123">
        <f>(AV36/AR36-1)*100</f>
        <v>-1.8169582772543769</v>
      </c>
      <c r="AX36" s="1124">
        <f>AX18</f>
        <v>0.20586118550693921</v>
      </c>
      <c r="AZ36" s="1406">
        <v>1404</v>
      </c>
      <c r="BA36" s="1123">
        <f>(AZ36/AV36-1)*100</f>
        <v>-3.7697052775873874</v>
      </c>
      <c r="BB36" s="1124">
        <f>BB18</f>
        <v>-4.8460253043685846</v>
      </c>
      <c r="BD36" s="1406">
        <v>1344</v>
      </c>
      <c r="BE36" s="1123">
        <f>(BD36/AZ36-1)*100</f>
        <v>-4.273504273504269</v>
      </c>
      <c r="BF36" s="1124">
        <f>BF18</f>
        <v>-26.56798795785248</v>
      </c>
      <c r="BH36" s="1406">
        <v>1269</v>
      </c>
      <c r="BI36" s="1123">
        <f>(BH36/BD36-1)*100</f>
        <v>-5.5803571428571397</v>
      </c>
      <c r="BJ36" s="1124">
        <f>BJ18</f>
        <v>-5.0563717116501543</v>
      </c>
      <c r="BL36" s="1406">
        <f>qtr_CF_BS!Q$91</f>
        <v>1163</v>
      </c>
      <c r="BM36" s="1123">
        <f>(BL36/BH36-1)*100</f>
        <v>-8.3530338849487791</v>
      </c>
      <c r="BN36" s="1124">
        <f>BN18</f>
        <v>-0.53976250449802032</v>
      </c>
      <c r="BO36" s="1004"/>
      <c r="BP36" s="1406">
        <v>1246</v>
      </c>
      <c r="BQ36" s="1123">
        <f>(BP36/BL36-1)*100</f>
        <v>7.1367153912295755</v>
      </c>
      <c r="BR36" s="1124">
        <f>BR18</f>
        <v>4.8118668596237368</v>
      </c>
      <c r="BS36" s="1004"/>
      <c r="BT36" s="1406">
        <v>1170</v>
      </c>
      <c r="BU36" s="1123">
        <f>(BT36/BP36-1)*100</f>
        <v>-6.0995184590690199</v>
      </c>
      <c r="BV36" s="1124">
        <f>BV18</f>
        <v>-1.3807386952019329</v>
      </c>
      <c r="BW36" s="1004"/>
      <c r="BX36" s="1406">
        <v>1056</v>
      </c>
      <c r="BY36" s="1123">
        <f>(BX36/BT36-1)*100</f>
        <v>-9.7435897435897427</v>
      </c>
      <c r="BZ36" s="1124">
        <f>BZ18</f>
        <v>-1.7500875043752195</v>
      </c>
      <c r="CA36" s="1004"/>
      <c r="CB36" s="1511"/>
      <c r="CC36" s="1509">
        <f>(CB36/BX36-1)*100</f>
        <v>-100</v>
      </c>
      <c r="CD36" s="1510">
        <f>CD18</f>
        <v>-2.8000000000000025</v>
      </c>
    </row>
    <row r="37" spans="1:82">
      <c r="A37" s="398" t="s">
        <v>161</v>
      </c>
      <c r="B37" s="398" t="s">
        <v>143</v>
      </c>
      <c r="D37" s="1123" t="s">
        <v>147</v>
      </c>
      <c r="E37" s="1123"/>
      <c r="F37" s="1124"/>
      <c r="H37" s="1123" t="s">
        <v>147</v>
      </c>
      <c r="I37" s="1123"/>
      <c r="J37" s="1124"/>
      <c r="L37" s="791"/>
      <c r="M37" s="1123" t="s">
        <v>147</v>
      </c>
      <c r="N37" s="1123"/>
      <c r="O37" s="1124"/>
      <c r="P37" s="791"/>
      <c r="Q37" s="1123" t="s">
        <v>147</v>
      </c>
      <c r="R37" s="1123"/>
      <c r="S37" s="1124"/>
      <c r="T37" s="791"/>
      <c r="U37" s="1123" t="s">
        <v>147</v>
      </c>
      <c r="V37" s="1123"/>
      <c r="W37" s="1124"/>
      <c r="X37" s="791">
        <v>1627</v>
      </c>
      <c r="Y37" s="1123" t="s">
        <v>147</v>
      </c>
      <c r="Z37" s="1124">
        <f>Z19</f>
        <v>-0.71690563521173978</v>
      </c>
      <c r="AB37" s="791">
        <v>1562</v>
      </c>
      <c r="AC37" s="1123">
        <f>(AB37/X37-1)*100</f>
        <v>-3.9950829748002459</v>
      </c>
      <c r="AD37" s="1124">
        <f>AD19</f>
        <v>4.1659781696053777</v>
      </c>
      <c r="AF37" s="791">
        <v>1692</v>
      </c>
      <c r="AG37" s="1123">
        <f>(AF37/AB37-1)*100</f>
        <v>8.322663252240714</v>
      </c>
      <c r="AH37" s="1124">
        <f>AH19</f>
        <v>7.4949170444894797</v>
      </c>
      <c r="AJ37" s="791">
        <v>1663</v>
      </c>
      <c r="AK37" s="1123">
        <f>(AJ37/AF37-1)*100</f>
        <v>-1.7139479905437405</v>
      </c>
      <c r="AL37" s="1124">
        <f>AL19</f>
        <v>-4.1691661667666473</v>
      </c>
      <c r="AN37" s="791">
        <v>1600</v>
      </c>
      <c r="AO37" s="1123">
        <f>(AN37/AJ37-1)*100</f>
        <v>-3.7883343355381793</v>
      </c>
      <c r="AP37" s="1124">
        <f>AP19</f>
        <v>-9.8713347791671744</v>
      </c>
      <c r="AR37" s="791">
        <v>1630</v>
      </c>
      <c r="AS37" s="1123">
        <f>(AR37/AN37-1)*100</f>
        <v>1.8750000000000044</v>
      </c>
      <c r="AT37" s="1124">
        <f>AT19</f>
        <v>-3.6328121790261347</v>
      </c>
      <c r="AV37" s="1406">
        <v>1514</v>
      </c>
      <c r="AW37" s="1123">
        <f>(AV37/AR37-1)*100</f>
        <v>-7.1165644171779174</v>
      </c>
      <c r="AX37" s="1124">
        <f>AX19</f>
        <v>2.7567567567567508</v>
      </c>
      <c r="AZ37" s="1406">
        <v>1503</v>
      </c>
      <c r="BA37" s="1123">
        <f>(AZ37/AV37-1)*100</f>
        <v>-0.72655217965653662</v>
      </c>
      <c r="BB37" s="1124">
        <f>BB19</f>
        <v>-4.8746273890934555</v>
      </c>
      <c r="BD37" s="1406">
        <v>1395</v>
      </c>
      <c r="BE37" s="1123">
        <f>(BD37/AZ37-1)*100</f>
        <v>-7.1856287425149716</v>
      </c>
      <c r="BF37" s="1124">
        <f>BF19</f>
        <v>-28.405529953917053</v>
      </c>
      <c r="BH37" s="1406">
        <v>1198</v>
      </c>
      <c r="BI37" s="1123">
        <f>(BH37/BD37-1)*100</f>
        <v>-14.121863799283151</v>
      </c>
      <c r="BJ37" s="1124">
        <f>BJ19</f>
        <v>-2.626158599382078</v>
      </c>
      <c r="BL37" s="1406">
        <v>1188</v>
      </c>
      <c r="BM37" s="1123">
        <f>(BL37/BH37-1)*100</f>
        <v>-0.83472454090149917</v>
      </c>
      <c r="BN37" s="1124">
        <f>BN19</f>
        <v>2.9349550502379751</v>
      </c>
      <c r="BP37" s="1126">
        <f>bal!AG27</f>
        <v>1360</v>
      </c>
      <c r="BQ37" s="1123">
        <f>(BP37/BL37-1)*100</f>
        <v>14.478114478114467</v>
      </c>
      <c r="BR37" s="1124">
        <f>BR19</f>
        <v>2.6457744669920347</v>
      </c>
      <c r="BT37" s="1406">
        <f>bal!AH27</f>
        <v>1164</v>
      </c>
      <c r="BU37" s="1123">
        <f>(BT37/BP37-1)*100</f>
        <v>-14.411764705882357</v>
      </c>
      <c r="BV37" s="1124">
        <f>BV19</f>
        <v>-0.87587587587587556</v>
      </c>
      <c r="BX37" s="1126">
        <f>bal!AI27</f>
        <v>1119</v>
      </c>
      <c r="BY37" s="1123">
        <f>(BX37/BT37-1)*100</f>
        <v>-3.8659793814432963</v>
      </c>
      <c r="BZ37" s="1124">
        <f>BZ19</f>
        <v>1.7672304973491482</v>
      </c>
      <c r="CB37" s="1513">
        <f>bal!AJ27</f>
        <v>1112.1118541548897</v>
      </c>
      <c r="CC37" s="1509">
        <f>(CB37/BX37-1)*100</f>
        <v>-0.61556263137715339</v>
      </c>
      <c r="CD37" s="1510">
        <f>CD19</f>
        <v>-7.5999999999999961</v>
      </c>
    </row>
    <row r="38" spans="1:82">
      <c r="D38" s="898"/>
      <c r="H38" s="898"/>
      <c r="L38" s="898"/>
      <c r="M38" s="898"/>
      <c r="P38" s="898"/>
      <c r="Q38" s="898"/>
      <c r="T38" s="898"/>
      <c r="U38" s="898"/>
      <c r="X38" s="898"/>
      <c r="AB38" s="898"/>
      <c r="AF38" s="898"/>
      <c r="AJ38" s="898"/>
      <c r="AN38" s="898"/>
      <c r="AR38" s="898"/>
      <c r="AV38" s="898"/>
      <c r="AZ38" s="898"/>
      <c r="BD38" s="898"/>
      <c r="BH38" s="898"/>
      <c r="BL38" s="898"/>
      <c r="BP38" s="898"/>
      <c r="BT38" s="898"/>
      <c r="BX38" s="898"/>
      <c r="CB38" s="1516"/>
    </row>
    <row r="39" spans="1:82">
      <c r="A39" s="1121"/>
      <c r="B39" s="593"/>
      <c r="C39" s="593"/>
      <c r="D39" s="1128"/>
      <c r="E39" s="593"/>
      <c r="F39" s="593"/>
      <c r="G39" s="593"/>
      <c r="H39" s="1128"/>
      <c r="I39" s="593"/>
      <c r="J39" s="593"/>
      <c r="K39" s="593"/>
      <c r="L39" s="1128"/>
      <c r="M39" s="593"/>
      <c r="N39" s="593"/>
      <c r="O39" s="593"/>
      <c r="P39" s="1128"/>
      <c r="Q39" s="593"/>
      <c r="R39" s="593"/>
      <c r="S39" s="593"/>
      <c r="T39" s="1128"/>
      <c r="U39" s="593"/>
      <c r="V39" s="593"/>
      <c r="W39" s="593"/>
      <c r="X39" s="1128"/>
      <c r="Y39" s="593"/>
      <c r="Z39" s="593"/>
      <c r="AA39" s="593"/>
      <c r="AB39" s="1128"/>
      <c r="AC39" s="593"/>
      <c r="AD39" s="593"/>
      <c r="AE39" s="593"/>
      <c r="AF39" s="1128"/>
      <c r="AG39" s="593"/>
      <c r="AH39" s="593"/>
      <c r="AI39" s="593"/>
      <c r="AJ39" s="1128"/>
      <c r="AK39" s="593"/>
      <c r="AL39" s="593"/>
      <c r="AM39" s="593"/>
      <c r="AN39" s="1128"/>
      <c r="AO39" s="593"/>
      <c r="AP39" s="593"/>
      <c r="AQ39" s="593"/>
      <c r="AR39" s="1128"/>
      <c r="AS39" s="593"/>
      <c r="AT39" s="593"/>
      <c r="AU39" s="593"/>
      <c r="AV39" s="753" t="s">
        <v>441</v>
      </c>
      <c r="AX39" s="593"/>
      <c r="AY39" s="593"/>
      <c r="AZ39" s="1128"/>
      <c r="BA39" s="593"/>
      <c r="BB39" s="593"/>
      <c r="BC39" s="593"/>
      <c r="BD39" s="1128"/>
      <c r="BE39" s="593"/>
      <c r="BF39" s="593"/>
      <c r="BG39" s="593"/>
      <c r="BH39" s="1128"/>
      <c r="BI39" s="593"/>
      <c r="BJ39" s="593"/>
      <c r="BL39" s="1128"/>
      <c r="BM39" s="593"/>
      <c r="BN39" s="593"/>
      <c r="BP39" s="1128"/>
      <c r="BQ39" s="593"/>
      <c r="BR39" s="593"/>
      <c r="BT39" s="1128"/>
      <c r="BU39" s="593"/>
      <c r="BV39" s="593"/>
      <c r="BX39" s="1128"/>
      <c r="BY39" s="593"/>
      <c r="BZ39" s="593"/>
      <c r="CB39" s="1518"/>
      <c r="CC39" s="1507"/>
      <c r="CD39" s="1507"/>
    </row>
    <row r="40" spans="1:82">
      <c r="A40" s="398" t="s">
        <v>158</v>
      </c>
      <c r="B40" s="398" t="s">
        <v>140</v>
      </c>
      <c r="D40" s="791">
        <v>123</v>
      </c>
      <c r="E40" s="1123" t="s">
        <v>147</v>
      </c>
      <c r="F40" s="1124">
        <f>F16</f>
        <v>-7.9702444208284984E-2</v>
      </c>
      <c r="H40" s="791">
        <v>96</v>
      </c>
      <c r="I40" s="1123">
        <f>(H40/D40-1)*100</f>
        <v>-21.95121951219512</v>
      </c>
      <c r="J40" s="1124">
        <f>J16</f>
        <v>2.7386333421962172</v>
      </c>
      <c r="L40" s="791">
        <v>123</v>
      </c>
      <c r="M40" s="1123">
        <f>(L40/H40-1)*100</f>
        <v>28.125</v>
      </c>
      <c r="N40" s="1124">
        <f>N16</f>
        <v>-46.214133900106269</v>
      </c>
      <c r="P40" s="791">
        <v>155</v>
      </c>
      <c r="Q40" s="1123">
        <f>(P40/L40-1)*100</f>
        <v>26.016260162601633</v>
      </c>
      <c r="R40" s="1124">
        <f>R16</f>
        <v>-1.4571499135589083</v>
      </c>
      <c r="T40" s="791">
        <v>22</v>
      </c>
      <c r="U40" s="1123">
        <f>(T40/P40-1)*100</f>
        <v>-85.806451612903217</v>
      </c>
      <c r="V40" s="1124">
        <f>V16</f>
        <v>-8.045112781954888</v>
      </c>
      <c r="X40" s="791">
        <v>875</v>
      </c>
      <c r="Y40" s="1123" t="s">
        <v>366</v>
      </c>
      <c r="Z40" s="1124">
        <f>Z34</f>
        <v>8.2583810302534708</v>
      </c>
      <c r="AB40" s="791">
        <v>102</v>
      </c>
      <c r="AC40" s="1123">
        <f>(AB40/X40-1)*100</f>
        <v>-88.342857142857142</v>
      </c>
      <c r="AD40" s="1124">
        <f>AD34</f>
        <v>3.6757301107754214</v>
      </c>
      <c r="AF40" s="791">
        <v>0</v>
      </c>
      <c r="AG40" s="1123" t="s">
        <v>366</v>
      </c>
      <c r="AH40" s="1124">
        <f>AH34</f>
        <v>2.4526469159786402</v>
      </c>
      <c r="AJ40" s="791">
        <v>0</v>
      </c>
      <c r="AK40" s="1123" t="s">
        <v>366</v>
      </c>
      <c r="AL40" s="1124">
        <f>AL34</f>
        <v>3.0812988859919344</v>
      </c>
      <c r="AN40" s="791">
        <v>0</v>
      </c>
      <c r="AO40" s="1123" t="s">
        <v>366</v>
      </c>
      <c r="AP40" s="1124">
        <f>AP34</f>
        <v>-5.1046217521269259</v>
      </c>
      <c r="AR40" s="791">
        <v>0</v>
      </c>
      <c r="AS40" s="1123" t="s">
        <v>366</v>
      </c>
      <c r="AT40" s="1124">
        <f>AT34</f>
        <v>-5.8290496571691826</v>
      </c>
      <c r="AV40" s="791">
        <v>0</v>
      </c>
      <c r="AW40" s="1123" t="s">
        <v>366</v>
      </c>
      <c r="AX40" s="1124">
        <f>AX34</f>
        <v>1.095216516679387</v>
      </c>
      <c r="AZ40" s="1407">
        <v>0</v>
      </c>
      <c r="BA40" s="1123" t="s">
        <v>366</v>
      </c>
      <c r="BB40" s="1124">
        <f>BB34</f>
        <v>0.35632476457114759</v>
      </c>
      <c r="BD40" s="1406">
        <v>0</v>
      </c>
      <c r="BE40" s="1123" t="s">
        <v>366</v>
      </c>
      <c r="BF40" s="1124">
        <f>BF34</f>
        <v>-20.060867359878266</v>
      </c>
      <c r="BH40" s="1406">
        <v>0</v>
      </c>
      <c r="BI40" s="1123" t="s">
        <v>366</v>
      </c>
      <c r="BJ40" s="1124">
        <f>BJ34</f>
        <v>-16.402284263959388</v>
      </c>
      <c r="BL40" s="1406">
        <v>365</v>
      </c>
      <c r="BM40" s="1123" t="s">
        <v>366</v>
      </c>
      <c r="BN40" s="1124">
        <f>BN34</f>
        <v>6.299810246679316</v>
      </c>
      <c r="BP40" s="1406">
        <v>369</v>
      </c>
      <c r="BQ40" s="1123" t="s">
        <v>366</v>
      </c>
      <c r="BR40" s="1124">
        <f>BR34</f>
        <v>1.9992859692966825</v>
      </c>
      <c r="BT40" s="1406">
        <f>194+598</f>
        <v>792</v>
      </c>
      <c r="BU40" s="1123" t="s">
        <v>366</v>
      </c>
      <c r="BV40" s="1124">
        <f>BV34</f>
        <v>-1.610080504025202</v>
      </c>
      <c r="BX40" s="1406">
        <f>203+649</f>
        <v>852</v>
      </c>
      <c r="BY40" s="1123" t="s">
        <v>366</v>
      </c>
      <c r="BZ40" s="1124">
        <f>BZ34</f>
        <v>-3.7353255069370372</v>
      </c>
      <c r="CB40" s="1508"/>
      <c r="CC40" s="1509" t="s">
        <v>366</v>
      </c>
      <c r="CD40" s="1510">
        <f>CD34</f>
        <v>-1.5999999999999903</v>
      </c>
    </row>
    <row r="41" spans="1:82">
      <c r="A41" s="398" t="s">
        <v>159</v>
      </c>
      <c r="B41" s="398" t="s">
        <v>141</v>
      </c>
      <c r="D41" s="791">
        <v>141</v>
      </c>
      <c r="E41" s="1123" t="s">
        <v>147</v>
      </c>
      <c r="F41" s="1124">
        <f>F17</f>
        <v>5.5501595670870429E-2</v>
      </c>
      <c r="H41" s="791">
        <v>88</v>
      </c>
      <c r="I41" s="1123">
        <f>(H41/D41-1)*100</f>
        <v>-37.588652482269502</v>
      </c>
      <c r="J41" s="1124">
        <f>J17</f>
        <v>-0.18028012758285472</v>
      </c>
      <c r="L41" s="791">
        <v>141</v>
      </c>
      <c r="M41" s="1123">
        <f>(L41/H41-1)*100</f>
        <v>60.227272727272727</v>
      </c>
      <c r="N41" s="1124">
        <f>N17</f>
        <v>-46.690717358124047</v>
      </c>
      <c r="P41" s="791">
        <v>25</v>
      </c>
      <c r="Q41" s="1123">
        <f>(P41/L41-1)*100</f>
        <v>-82.269503546099287</v>
      </c>
      <c r="R41" s="1124">
        <f>R17</f>
        <v>-6.1431025507548203</v>
      </c>
      <c r="T41" s="791">
        <v>21</v>
      </c>
      <c r="U41" s="1123">
        <f>(T41/P41-1)*100</f>
        <v>-16.000000000000004</v>
      </c>
      <c r="V41" s="1124">
        <f>V17</f>
        <v>-0.77598834381313875</v>
      </c>
      <c r="X41" s="791">
        <v>889</v>
      </c>
      <c r="Y41" s="1123" t="s">
        <v>366</v>
      </c>
      <c r="Z41" s="1124">
        <f>Z35</f>
        <v>5.5897149245388578</v>
      </c>
      <c r="AB41" s="791">
        <v>36</v>
      </c>
      <c r="AC41" s="1123">
        <f>(AB41/X41-1)*100</f>
        <v>-95.950506186726656</v>
      </c>
      <c r="AD41" s="1124">
        <f>AD35</f>
        <v>5.3732133403917359</v>
      </c>
      <c r="AF41" s="791">
        <v>0</v>
      </c>
      <c r="AG41" s="1123" t="s">
        <v>366</v>
      </c>
      <c r="AH41" s="1124">
        <f>AH35</f>
        <v>6.4327555890479671</v>
      </c>
      <c r="AJ41" s="791">
        <v>0</v>
      </c>
      <c r="AK41" s="1123" t="s">
        <v>366</v>
      </c>
      <c r="AL41" s="1124">
        <f>AL35</f>
        <v>3.6088936552651329</v>
      </c>
      <c r="AN41" s="791">
        <v>0</v>
      </c>
      <c r="AO41" s="1123" t="s">
        <v>366</v>
      </c>
      <c r="AP41" s="1124">
        <f>AP35</f>
        <v>-2.448828881633458</v>
      </c>
      <c r="AR41" s="791">
        <v>0</v>
      </c>
      <c r="AS41" s="1123" t="s">
        <v>366</v>
      </c>
      <c r="AT41" s="1124">
        <f>AT35</f>
        <v>-7.9357029009820668</v>
      </c>
      <c r="AV41" s="791">
        <v>0</v>
      </c>
      <c r="AW41" s="1123" t="s">
        <v>366</v>
      </c>
      <c r="AX41" s="1124">
        <f>AX35</f>
        <v>-0.11794655441208501</v>
      </c>
      <c r="AZ41" s="1407">
        <v>0</v>
      </c>
      <c r="BA41" s="1123" t="s">
        <v>366</v>
      </c>
      <c r="BB41" s="1124">
        <f>BB35</f>
        <v>-0.81259522600304335</v>
      </c>
      <c r="BD41" s="1406">
        <v>0</v>
      </c>
      <c r="BE41" s="1123" t="s">
        <v>366</v>
      </c>
      <c r="BF41" s="1124">
        <f>BF35</f>
        <v>-22.63184843830005</v>
      </c>
      <c r="BH41" s="1406">
        <v>0</v>
      </c>
      <c r="BI41" s="1123" t="s">
        <v>366</v>
      </c>
      <c r="BJ41" s="1124">
        <f>BJ35</f>
        <v>-11.87954996690933</v>
      </c>
      <c r="BL41" s="1406">
        <v>0</v>
      </c>
      <c r="BM41" s="1123" t="s">
        <v>366</v>
      </c>
      <c r="BN41" s="1124">
        <f>BN35</f>
        <v>5.1070221554637696</v>
      </c>
      <c r="BP41" s="1406">
        <v>378</v>
      </c>
      <c r="BQ41" s="1123" t="s">
        <v>366</v>
      </c>
      <c r="BR41" s="1124">
        <f>BR35</f>
        <v>2.7152554483744096</v>
      </c>
      <c r="BT41" s="1406">
        <v>425</v>
      </c>
      <c r="BU41" s="1123" t="s">
        <v>366</v>
      </c>
      <c r="BV41" s="1124">
        <f>BV35</f>
        <v>1.4956521739130535</v>
      </c>
      <c r="BX41" s="1406">
        <f>9+232</f>
        <v>241</v>
      </c>
      <c r="BY41" s="1123" t="s">
        <v>366</v>
      </c>
      <c r="BZ41" s="1124">
        <f>BZ35</f>
        <v>1.5078821110349638</v>
      </c>
      <c r="CB41" s="1508"/>
      <c r="CC41" s="1509" t="s">
        <v>366</v>
      </c>
      <c r="CD41" s="1510">
        <f>CD35</f>
        <v>-0.80000000000000071</v>
      </c>
    </row>
    <row r="42" spans="1:82">
      <c r="A42" s="398" t="s">
        <v>160</v>
      </c>
      <c r="B42" s="398" t="s">
        <v>142</v>
      </c>
      <c r="D42" s="791">
        <v>129</v>
      </c>
      <c r="E42" s="1123" t="s">
        <v>147</v>
      </c>
      <c r="F42" s="1124">
        <f>F18</f>
        <v>2.5338286017511313</v>
      </c>
      <c r="H42" s="791">
        <v>161</v>
      </c>
      <c r="I42" s="1123">
        <f>(H42/D42-1)*100</f>
        <v>24.806201550387598</v>
      </c>
      <c r="J42" s="1124">
        <f>J18</f>
        <v>1.8501746668391661</v>
      </c>
      <c r="L42" s="791">
        <v>129</v>
      </c>
      <c r="M42" s="1123">
        <f>(L42/H42-1)*100</f>
        <v>-19.875776397515533</v>
      </c>
      <c r="N42" s="1124">
        <f>N18</f>
        <v>-42.345449721411512</v>
      </c>
      <c r="P42" s="791">
        <v>98</v>
      </c>
      <c r="Q42" s="1123">
        <f>(P42/L42-1)*100</f>
        <v>-24.031007751937985</v>
      </c>
      <c r="R42" s="1124">
        <f>R18</f>
        <v>-1.1965025310630484</v>
      </c>
      <c r="T42" s="791">
        <v>106</v>
      </c>
      <c r="U42" s="1123">
        <f>(T42/P42-1)*100</f>
        <v>8.163265306122458</v>
      </c>
      <c r="V42" s="1124">
        <f>V18</f>
        <v>-0.60549604098741883</v>
      </c>
      <c r="X42" s="791">
        <v>103</v>
      </c>
      <c r="Y42" s="1123">
        <f>(X42/T42-1)*100</f>
        <v>-2.8301886792452824</v>
      </c>
      <c r="Z42" s="1124">
        <f>Z36</f>
        <v>2.8819119025304651</v>
      </c>
      <c r="AB42" s="791">
        <v>119</v>
      </c>
      <c r="AC42" s="1123">
        <f>(AB42/X42-1)*100</f>
        <v>15.533980582524265</v>
      </c>
      <c r="AD42" s="1124">
        <f>AD36</f>
        <v>2.0040992940104863</v>
      </c>
      <c r="AF42" s="791">
        <v>0</v>
      </c>
      <c r="AG42" s="1123" t="s">
        <v>366</v>
      </c>
      <c r="AH42" s="1124">
        <f>AH36</f>
        <v>6.7425764679615918</v>
      </c>
      <c r="AJ42" s="791">
        <v>0</v>
      </c>
      <c r="AK42" s="1123" t="s">
        <v>366</v>
      </c>
      <c r="AL42" s="1124">
        <f>AL36</f>
        <v>-1.1085546956703607</v>
      </c>
      <c r="AN42" s="791">
        <v>0</v>
      </c>
      <c r="AO42" s="1123" t="s">
        <v>366</v>
      </c>
      <c r="AP42" s="1124">
        <f>AP36</f>
        <v>-8.6756692259225439</v>
      </c>
      <c r="AR42" s="791">
        <v>0</v>
      </c>
      <c r="AS42" s="1123" t="s">
        <v>366</v>
      </c>
      <c r="AT42" s="1124">
        <f>AT36</f>
        <v>-3.1826326148638007</v>
      </c>
      <c r="AV42" s="791">
        <v>0</v>
      </c>
      <c r="AW42" s="1123" t="s">
        <v>366</v>
      </c>
      <c r="AX42" s="1124">
        <f>AX36</f>
        <v>0.20586118550693921</v>
      </c>
      <c r="AZ42" s="1407">
        <v>0</v>
      </c>
      <c r="BA42" s="1123" t="s">
        <v>366</v>
      </c>
      <c r="BB42" s="1124">
        <f>BB36</f>
        <v>-4.8460253043685846</v>
      </c>
      <c r="BD42" s="1406">
        <v>0</v>
      </c>
      <c r="BE42" s="1123" t="s">
        <v>366</v>
      </c>
      <c r="BF42" s="1124">
        <f>BF36</f>
        <v>-26.56798795785248</v>
      </c>
      <c r="BH42" s="1406">
        <v>0</v>
      </c>
      <c r="BI42" s="1123" t="s">
        <v>366</v>
      </c>
      <c r="BJ42" s="1124">
        <f>BJ36</f>
        <v>-5.0563717116501543</v>
      </c>
      <c r="BL42" s="1406">
        <v>0</v>
      </c>
      <c r="BM42" s="1123" t="s">
        <v>366</v>
      </c>
      <c r="BN42" s="1124">
        <f>BN36</f>
        <v>-0.53976250449802032</v>
      </c>
      <c r="BP42" s="1406">
        <v>395</v>
      </c>
      <c r="BQ42" s="1123" t="s">
        <v>366</v>
      </c>
      <c r="BR42" s="1124">
        <f>BR36</f>
        <v>4.8118668596237368</v>
      </c>
      <c r="BT42" s="1406">
        <v>406</v>
      </c>
      <c r="BU42" s="1123" t="s">
        <v>366</v>
      </c>
      <c r="BV42" s="1124">
        <f>BV36</f>
        <v>-1.3807386952019329</v>
      </c>
      <c r="BX42" s="1406">
        <v>201</v>
      </c>
      <c r="BY42" s="1123" t="s">
        <v>366</v>
      </c>
      <c r="BZ42" s="1124">
        <f>BZ36</f>
        <v>-1.7500875043752195</v>
      </c>
      <c r="CB42" s="1511"/>
      <c r="CC42" s="1509" t="s">
        <v>366</v>
      </c>
      <c r="CD42" s="1510">
        <f>CD36</f>
        <v>-2.8000000000000025</v>
      </c>
    </row>
    <row r="43" spans="1:82">
      <c r="A43" s="398" t="s">
        <v>161</v>
      </c>
      <c r="B43" s="398" t="s">
        <v>143</v>
      </c>
      <c r="D43" s="791">
        <v>99</v>
      </c>
      <c r="E43" s="1123" t="s">
        <v>147</v>
      </c>
      <c r="F43" s="1124">
        <f>F19</f>
        <v>-0.32382743131724734</v>
      </c>
      <c r="H43" s="791">
        <v>80</v>
      </c>
      <c r="I43" s="1123">
        <f>(H43/D43-1)*100</f>
        <v>-19.191919191919194</v>
      </c>
      <c r="J43" s="1124">
        <f>J19</f>
        <v>7.3359882624179917E-2</v>
      </c>
      <c r="L43" s="791">
        <v>162</v>
      </c>
      <c r="M43" s="1123">
        <f>(L43/H43-1)*100</f>
        <v>102.49999999999999</v>
      </c>
      <c r="N43" s="1124">
        <f>N19</f>
        <v>-38.83839966572652</v>
      </c>
      <c r="P43" s="791">
        <v>0</v>
      </c>
      <c r="Q43" s="1123" t="s">
        <v>147</v>
      </c>
      <c r="R43" s="1124">
        <f>R19</f>
        <v>-1.9128949615713098</v>
      </c>
      <c r="T43" s="791">
        <v>943</v>
      </c>
      <c r="U43" s="1123" t="s">
        <v>147</v>
      </c>
      <c r="V43" s="1124">
        <f>V19</f>
        <v>4.4401880550235084</v>
      </c>
      <c r="X43" s="791">
        <v>68</v>
      </c>
      <c r="Y43" s="1123">
        <f>(X43/T43-1)*100</f>
        <v>-92.788971367974554</v>
      </c>
      <c r="Z43" s="1124">
        <f>Z37</f>
        <v>-0.71690563521173978</v>
      </c>
      <c r="AB43" s="791">
        <v>8</v>
      </c>
      <c r="AC43" s="1123">
        <f>(AB43/X43-1)*100</f>
        <v>-88.235294117647058</v>
      </c>
      <c r="AD43" s="1124">
        <f>AD37</f>
        <v>4.1659781696053777</v>
      </c>
      <c r="AF43" s="791">
        <v>0</v>
      </c>
      <c r="AG43" s="1123" t="s">
        <v>366</v>
      </c>
      <c r="AH43" s="1124">
        <f>AH37</f>
        <v>7.4949170444894797</v>
      </c>
      <c r="AJ43" s="791">
        <v>0</v>
      </c>
      <c r="AK43" s="1123" t="s">
        <v>366</v>
      </c>
      <c r="AL43" s="1124">
        <f>AL37</f>
        <v>-4.1691661667666473</v>
      </c>
      <c r="AN43" s="791">
        <v>0</v>
      </c>
      <c r="AO43" s="1123" t="s">
        <v>366</v>
      </c>
      <c r="AP43" s="1124">
        <f>AP37</f>
        <v>-9.8713347791671744</v>
      </c>
      <c r="AR43" s="791">
        <v>0</v>
      </c>
      <c r="AS43" s="1123" t="s">
        <v>366</v>
      </c>
      <c r="AT43" s="1124">
        <f>AT37</f>
        <v>-3.6328121790261347</v>
      </c>
      <c r="AV43" s="791">
        <v>0</v>
      </c>
      <c r="AW43" s="1123" t="s">
        <v>366</v>
      </c>
      <c r="AX43" s="1124">
        <f>AX37</f>
        <v>2.7567567567567508</v>
      </c>
      <c r="AZ43" s="1407">
        <v>0</v>
      </c>
      <c r="BA43" s="1123" t="s">
        <v>366</v>
      </c>
      <c r="BB43" s="1124">
        <f>BB37</f>
        <v>-4.8746273890934555</v>
      </c>
      <c r="BD43" s="1406">
        <v>0</v>
      </c>
      <c r="BE43" s="1123" t="s">
        <v>366</v>
      </c>
      <c r="BF43" s="1124">
        <f>BF37</f>
        <v>-28.405529953917053</v>
      </c>
      <c r="BH43" s="1406">
        <v>0</v>
      </c>
      <c r="BI43" s="1123" t="s">
        <v>366</v>
      </c>
      <c r="BJ43" s="1124">
        <f>BJ37</f>
        <v>-2.626158599382078</v>
      </c>
      <c r="BL43" s="1406">
        <v>0</v>
      </c>
      <c r="BM43" s="1123" t="s">
        <v>366</v>
      </c>
      <c r="BN43" s="1124">
        <f>BN37</f>
        <v>2.9349550502379751</v>
      </c>
      <c r="BP43" s="1406">
        <v>425</v>
      </c>
      <c r="BQ43" s="1123" t="s">
        <v>366</v>
      </c>
      <c r="BR43" s="1124">
        <f>BR37</f>
        <v>2.6457744669920347</v>
      </c>
      <c r="BT43" s="1406">
        <v>400</v>
      </c>
      <c r="BU43" s="1123" t="s">
        <v>366</v>
      </c>
      <c r="BV43" s="1124">
        <f>BV37</f>
        <v>-0.87587587587587556</v>
      </c>
      <c r="BX43" s="1406">
        <f>8+232</f>
        <v>240</v>
      </c>
      <c r="BY43" s="1123" t="s">
        <v>366</v>
      </c>
      <c r="BZ43" s="1124">
        <f>BZ37</f>
        <v>1.7672304973491482</v>
      </c>
      <c r="CB43" s="1511">
        <v>0</v>
      </c>
      <c r="CC43" s="1509" t="s">
        <v>366</v>
      </c>
      <c r="CD43" s="1510">
        <f>CD37</f>
        <v>-7.5999999999999961</v>
      </c>
    </row>
    <row r="44" spans="1:82">
      <c r="D44" s="898"/>
      <c r="H44" s="898"/>
      <c r="L44" s="898"/>
      <c r="P44" s="898"/>
      <c r="T44" s="898"/>
      <c r="X44" s="898"/>
      <c r="AB44" s="898"/>
      <c r="AF44" s="898"/>
      <c r="AJ44" s="898"/>
      <c r="AN44" s="898"/>
      <c r="AR44" s="898"/>
      <c r="AV44" s="898"/>
      <c r="AZ44" s="898"/>
      <c r="BD44" s="898"/>
      <c r="BH44" s="898"/>
      <c r="BL44" s="898"/>
      <c r="BP44" s="898"/>
      <c r="BT44" s="898"/>
      <c r="BX44" s="898"/>
      <c r="CB44" s="1516"/>
    </row>
    <row r="45" spans="1:82">
      <c r="A45" s="1121"/>
      <c r="B45" s="593"/>
      <c r="C45" s="593"/>
      <c r="D45" s="1128"/>
      <c r="E45" s="593"/>
      <c r="F45" s="593"/>
      <c r="G45" s="593"/>
      <c r="H45" s="1128"/>
      <c r="I45" s="593"/>
      <c r="J45" s="593"/>
      <c r="K45" s="593"/>
      <c r="L45" s="1128"/>
      <c r="M45" s="593"/>
      <c r="N45" s="593"/>
      <c r="O45" s="593"/>
      <c r="P45" s="1128"/>
      <c r="Q45" s="593"/>
      <c r="R45" s="593"/>
      <c r="S45" s="593"/>
      <c r="T45" s="1128"/>
      <c r="U45" s="593"/>
      <c r="V45" s="593"/>
      <c r="W45" s="593"/>
      <c r="X45" s="1128"/>
      <c r="Y45" s="593"/>
      <c r="Z45" s="593"/>
      <c r="AA45" s="593"/>
      <c r="AB45" s="1128"/>
      <c r="AC45" s="593"/>
      <c r="AD45" s="593"/>
      <c r="AE45" s="593"/>
      <c r="AF45" s="1128"/>
      <c r="AG45" s="593"/>
      <c r="AH45" s="593"/>
      <c r="AI45" s="593"/>
      <c r="AJ45" s="1128"/>
      <c r="AK45" s="593"/>
      <c r="AL45" s="593"/>
      <c r="AM45" s="593"/>
      <c r="AN45" s="1128"/>
      <c r="AO45" s="593"/>
      <c r="AP45" s="593"/>
      <c r="AQ45" s="593"/>
      <c r="AR45" s="1128"/>
      <c r="AS45" s="593"/>
      <c r="AT45" s="593"/>
      <c r="AU45" s="593"/>
      <c r="AV45" s="1128"/>
      <c r="AW45" s="1121" t="s">
        <v>164</v>
      </c>
      <c r="AX45" s="593"/>
      <c r="AY45" s="593"/>
      <c r="AZ45" s="1128"/>
      <c r="BA45" s="593"/>
      <c r="BB45" s="593"/>
      <c r="BC45" s="593"/>
      <c r="BD45" s="1128"/>
      <c r="BE45" s="593"/>
      <c r="BF45" s="593"/>
      <c r="BG45" s="593"/>
      <c r="BH45" s="1128"/>
      <c r="BI45" s="593"/>
      <c r="BJ45" s="593"/>
      <c r="BL45" s="1128"/>
      <c r="BM45" s="593"/>
      <c r="BN45" s="593"/>
      <c r="BP45" s="1128"/>
      <c r="BQ45" s="593"/>
      <c r="BR45" s="593"/>
      <c r="BT45" s="1128"/>
      <c r="BU45" s="593"/>
      <c r="BV45" s="593"/>
      <c r="BX45" s="1128"/>
      <c r="BY45" s="593"/>
      <c r="BZ45" s="593"/>
      <c r="CB45" s="1518"/>
      <c r="CC45" s="1507"/>
      <c r="CD45" s="1507"/>
    </row>
    <row r="46" spans="1:82">
      <c r="A46" s="398" t="s">
        <v>158</v>
      </c>
      <c r="B46" s="398" t="s">
        <v>140</v>
      </c>
      <c r="D46" s="790"/>
      <c r="E46" s="1123"/>
      <c r="F46" s="1124"/>
      <c r="H46" s="790"/>
      <c r="I46" s="1123"/>
      <c r="J46" s="1124"/>
      <c r="L46" s="790">
        <f>L10+L16-L22-L40</f>
        <v>2583</v>
      </c>
      <c r="M46" s="1123" t="s">
        <v>147</v>
      </c>
      <c r="N46" s="1124">
        <f>N40</f>
        <v>-46.214133900106269</v>
      </c>
      <c r="P46" s="790">
        <f>P10+P16-P22-P40</f>
        <v>1147</v>
      </c>
      <c r="Q46" s="1123">
        <f>(P46/L46-1)*100</f>
        <v>-55.594270228416562</v>
      </c>
      <c r="R46" s="1124">
        <f>R40</f>
        <v>-1.4571499135589083</v>
      </c>
      <c r="T46" s="790">
        <f>T10+T16-T22-T40</f>
        <v>1626</v>
      </c>
      <c r="U46" s="1123">
        <f>(T46/P46-1)*100</f>
        <v>41.761115954664341</v>
      </c>
      <c r="V46" s="1124">
        <f>V40</f>
        <v>-8.045112781954888</v>
      </c>
      <c r="X46" s="790">
        <f>X10+X16-X28-X40-X34</f>
        <v>391</v>
      </c>
      <c r="Y46" s="1123">
        <f>(X46/T46-1)*100</f>
        <v>-75.953259532595325</v>
      </c>
      <c r="Z46" s="1124">
        <f>Z40</f>
        <v>8.2583810302534708</v>
      </c>
      <c r="AB46" s="790">
        <f>AB10+AB16-AB28-AB40-AB34</f>
        <v>1043</v>
      </c>
      <c r="AC46" s="1123">
        <f>(AB46/X46-1)*100</f>
        <v>166.75191815856775</v>
      </c>
      <c r="AD46" s="1124">
        <f>AD40</f>
        <v>3.6757301107754214</v>
      </c>
      <c r="AF46" s="790">
        <f>AF10+AF16-AF28-AF40-AF34</f>
        <v>1381</v>
      </c>
      <c r="AG46" s="1123">
        <f>(AF46/AB46-1)*100</f>
        <v>32.406519654841802</v>
      </c>
      <c r="AH46" s="1124">
        <f>AH40</f>
        <v>2.4526469159786402</v>
      </c>
      <c r="AJ46" s="790">
        <f>AJ10+AJ16-AJ28-AJ40-AJ34</f>
        <v>1336</v>
      </c>
      <c r="AK46" s="1123">
        <f>(AJ46/AF46-1)*100</f>
        <v>-3.2585083272990589</v>
      </c>
      <c r="AL46" s="1124">
        <f>AL40</f>
        <v>3.0812988859919344</v>
      </c>
      <c r="AN46" s="790">
        <f>AN10+AN16-AN28-AN40-AN34</f>
        <v>1564</v>
      </c>
      <c r="AO46" s="1123">
        <f>(AN46/AJ46-1)*100</f>
        <v>17.06586826347305</v>
      </c>
      <c r="AP46" s="1124">
        <f>AP40</f>
        <v>-5.1046217521269259</v>
      </c>
      <c r="AR46" s="790">
        <f>AR10+AR16-AR28-AR40-AR34</f>
        <v>1349</v>
      </c>
      <c r="AS46" s="1123">
        <f>(AR46/AN46-1)*100</f>
        <v>-13.746803069053703</v>
      </c>
      <c r="AT46" s="1124">
        <f>AT40</f>
        <v>-5.8290496571691826</v>
      </c>
      <c r="AV46" s="790">
        <f>AV10+AV16-AV28-AV40-AV34</f>
        <v>1117</v>
      </c>
      <c r="AW46" s="1123">
        <f>(AV46/AR46-1)*100</f>
        <v>-17.197924388435879</v>
      </c>
      <c r="AX46" s="1124">
        <f>AX40</f>
        <v>1.095216516679387</v>
      </c>
      <c r="AZ46" s="790">
        <f>AZ10+AZ16-AZ28-AZ40-AZ34</f>
        <v>1196</v>
      </c>
      <c r="BA46" s="1123">
        <f>(AZ46/AV46-1)*100</f>
        <v>7.0725156669650957</v>
      </c>
      <c r="BB46" s="1124">
        <f>BB40</f>
        <v>0.35632476457114759</v>
      </c>
      <c r="BD46" s="790">
        <f>BD10+BD16-BD28-BD40-BD34</f>
        <v>1637</v>
      </c>
      <c r="BE46" s="1123">
        <f>(BD46/AZ46-1)*100</f>
        <v>36.872909698996658</v>
      </c>
      <c r="BF46" s="1124">
        <f>BF40</f>
        <v>-20.060867359878266</v>
      </c>
      <c r="BH46" s="790">
        <f>BH10+BH16-BH28-BH40-BH34</f>
        <v>339</v>
      </c>
      <c r="BI46" s="1123">
        <f>(BH46/BD46-1)*100</f>
        <v>-79.291386682956627</v>
      </c>
      <c r="BJ46" s="1124">
        <f>BJ40</f>
        <v>-16.402284263959388</v>
      </c>
      <c r="BL46" s="790">
        <f>BL10+BL16-BL28-BL40-BL34</f>
        <v>932</v>
      </c>
      <c r="BM46" s="1123">
        <f>(BL46/BH46-1)*100</f>
        <v>174.92625368731564</v>
      </c>
      <c r="BN46" s="1124">
        <f>BN40</f>
        <v>6.299810246679316</v>
      </c>
      <c r="BP46" s="790">
        <f>BP10+BP16-BP28-BP40-BP34</f>
        <v>753</v>
      </c>
      <c r="BQ46" s="1123">
        <f>(BP46/BL46-1)*100</f>
        <v>-19.206008583690991</v>
      </c>
      <c r="BR46" s="1124">
        <f>BR40</f>
        <v>1.9992859692966825</v>
      </c>
      <c r="BT46" s="790">
        <f>BT10+BT16-BT28-BT40-BT34</f>
        <v>471</v>
      </c>
      <c r="BU46" s="1123">
        <f>(BT46/BP46-1)*100</f>
        <v>-37.450199203187253</v>
      </c>
      <c r="BV46" s="1124">
        <f>BV40</f>
        <v>-1.610080504025202</v>
      </c>
      <c r="BX46" s="790">
        <f>BX10+BX16-BX28-BX40-BX34</f>
        <v>397</v>
      </c>
      <c r="BY46" s="1123">
        <f>(BX46/BT46-1)*100</f>
        <v>-15.71125265392781</v>
      </c>
      <c r="BZ46" s="1124">
        <f>BZ40</f>
        <v>-3.7353255069370372</v>
      </c>
      <c r="CB46" s="1517">
        <f>CB10+CB16-CB28-CB40-CB34</f>
        <v>2949</v>
      </c>
      <c r="CC46" s="1509">
        <f>(CB46/BX46-1)*100</f>
        <v>642.82115869017628</v>
      </c>
      <c r="CD46" s="1510">
        <f>CD40</f>
        <v>-1.5999999999999903</v>
      </c>
    </row>
    <row r="47" spans="1:82">
      <c r="A47" s="398" t="s">
        <v>159</v>
      </c>
      <c r="B47" s="398" t="s">
        <v>141</v>
      </c>
      <c r="D47" s="790"/>
      <c r="E47" s="1123"/>
      <c r="F47" s="1124"/>
      <c r="H47" s="790"/>
      <c r="I47" s="1123"/>
      <c r="J47" s="1124"/>
      <c r="L47" s="790">
        <f>L11+L17-L23-L41</f>
        <v>2762</v>
      </c>
      <c r="M47" s="1123" t="s">
        <v>147</v>
      </c>
      <c r="N47" s="1124">
        <f>N41</f>
        <v>-46.690717358124047</v>
      </c>
      <c r="P47" s="790">
        <f>P11+P17-P23-P41</f>
        <v>1291</v>
      </c>
      <c r="Q47" s="1123">
        <f>(P47/L47-1)*100</f>
        <v>-53.258508327299062</v>
      </c>
      <c r="R47" s="1124">
        <f>R41</f>
        <v>-6.1431025507548203</v>
      </c>
      <c r="T47" s="790">
        <f>T11+T17-T23-T41</f>
        <v>1640</v>
      </c>
      <c r="U47" s="1123">
        <f>(T47/P47-1)*100</f>
        <v>27.033307513555393</v>
      </c>
      <c r="V47" s="1124">
        <f>V41</f>
        <v>-0.77598834381313875</v>
      </c>
      <c r="X47" s="790">
        <f>X11+X17-X29-X41-X35</f>
        <v>168</v>
      </c>
      <c r="Y47" s="1123">
        <f>(X47/T47-1)*100</f>
        <v>-89.756097560975618</v>
      </c>
      <c r="Z47" s="1124">
        <f>Z41</f>
        <v>5.5897149245388578</v>
      </c>
      <c r="AB47" s="790">
        <f>AB11+AB17-AB29-AB41-AB35</f>
        <v>1156</v>
      </c>
      <c r="AC47" s="1123">
        <f>(AB47/X47-1)*100</f>
        <v>588.09523809523819</v>
      </c>
      <c r="AD47" s="1124">
        <f>AD41</f>
        <v>5.3732133403917359</v>
      </c>
      <c r="AF47" s="790">
        <f>AF11+AF17-AF29-AF41-AF35</f>
        <v>1310</v>
      </c>
      <c r="AG47" s="1123">
        <f>(AF47/AB47-1)*100</f>
        <v>13.321799307958472</v>
      </c>
      <c r="AH47" s="1124">
        <f>AH41</f>
        <v>6.4327555890479671</v>
      </c>
      <c r="AJ47" s="790">
        <f>AJ11+AJ17-AJ29-AJ41-AJ35</f>
        <v>1376</v>
      </c>
      <c r="AK47" s="1123">
        <f>(AJ47/AF47-1)*100</f>
        <v>5.0381679389313039</v>
      </c>
      <c r="AL47" s="1124">
        <f>AL41</f>
        <v>3.6088936552651329</v>
      </c>
      <c r="AN47" s="790">
        <f>AN11+AN17-AN29-AN41-AN35</f>
        <v>1330</v>
      </c>
      <c r="AO47" s="1123">
        <f>(AN47/AJ47-1)*100</f>
        <v>-3.3430232558139483</v>
      </c>
      <c r="AP47" s="1124">
        <f>AP41</f>
        <v>-2.448828881633458</v>
      </c>
      <c r="AR47" s="790">
        <f>AR11+AR17-AR29-AR41-AR35</f>
        <v>1180</v>
      </c>
      <c r="AS47" s="1123">
        <f>(AR47/AN47-1)*100</f>
        <v>-11.27819548872181</v>
      </c>
      <c r="AT47" s="1124">
        <f>AT41</f>
        <v>-7.9357029009820668</v>
      </c>
      <c r="AV47" s="790">
        <f>AV11+AV17-AV29-AV41-AV35</f>
        <v>1362</v>
      </c>
      <c r="AW47" s="1123">
        <f>(AV47/AR47-1)*100</f>
        <v>15.423728813559311</v>
      </c>
      <c r="AX47" s="1124">
        <f>AX41</f>
        <v>-0.11794655441208501</v>
      </c>
      <c r="AZ47" s="790">
        <f>AZ11+AZ17-AZ29-AZ41-AZ35</f>
        <v>1333</v>
      </c>
      <c r="BA47" s="1123">
        <f>(AZ47/AV47-1)*100</f>
        <v>-2.1292217327459673</v>
      </c>
      <c r="BB47" s="1124">
        <f>BB41</f>
        <v>-0.81259522600304335</v>
      </c>
      <c r="BD47" s="790">
        <f>BD11+BD17-BD29-BD41-BD35</f>
        <v>1614</v>
      </c>
      <c r="BE47" s="1123">
        <f>(BD47/AZ47-1)*100</f>
        <v>21.080270067516871</v>
      </c>
      <c r="BF47" s="1124">
        <f>BF41</f>
        <v>-22.63184843830005</v>
      </c>
      <c r="BH47" s="790">
        <f>BH11+BH17-BH29-BH41-BH35</f>
        <v>857</v>
      </c>
      <c r="BI47" s="1123">
        <f>(BH47/BD47-1)*100</f>
        <v>-46.902106567534076</v>
      </c>
      <c r="BJ47" s="1124">
        <f>BJ41</f>
        <v>-11.87954996690933</v>
      </c>
      <c r="BL47" s="790">
        <f>BL11+BL17-BL29-BL41-BL35</f>
        <v>1077</v>
      </c>
      <c r="BM47" s="1123">
        <f>(BL47/BH47-1)*100</f>
        <v>25.670945157526258</v>
      </c>
      <c r="BN47" s="1124">
        <f>BN41</f>
        <v>5.1070221554637696</v>
      </c>
      <c r="BP47" s="790">
        <f>BP11+BP17-BP29-BP41-BP35</f>
        <v>719</v>
      </c>
      <c r="BQ47" s="1123">
        <f>(BP47/BL47-1)*100</f>
        <v>-33.240482822655522</v>
      </c>
      <c r="BR47" s="1124">
        <f>BR41</f>
        <v>2.7152554483744096</v>
      </c>
      <c r="BT47" s="790">
        <f>BT11+BT17-BT29-BT41-BT35</f>
        <v>807</v>
      </c>
      <c r="BU47" s="1123">
        <f>(BT47/BP47-1)*100</f>
        <v>12.239221140472889</v>
      </c>
      <c r="BV47" s="1124">
        <f>BV41</f>
        <v>1.4956521739130535</v>
      </c>
      <c r="BX47" s="790">
        <f>BX11+BX17-BX29-BX41-BX35</f>
        <v>718</v>
      </c>
      <c r="BY47" s="1123">
        <f>(BX47/BT47-1)*100</f>
        <v>-11.028500619578685</v>
      </c>
      <c r="BZ47" s="1124">
        <f>BZ41</f>
        <v>1.5078821110349638</v>
      </c>
      <c r="CB47" s="1517">
        <f>CB11+CB17-CB29-CB41-CB35</f>
        <v>2777</v>
      </c>
      <c r="CC47" s="1509">
        <f>(CB47/BX47-1)*100</f>
        <v>286.76880222841226</v>
      </c>
      <c r="CD47" s="1510">
        <f>CD41</f>
        <v>-0.80000000000000071</v>
      </c>
    </row>
    <row r="48" spans="1:82">
      <c r="A48" s="398" t="s">
        <v>160</v>
      </c>
      <c r="B48" s="398" t="s">
        <v>142</v>
      </c>
      <c r="D48" s="790"/>
      <c r="E48" s="1123"/>
      <c r="F48" s="1124"/>
      <c r="H48" s="790"/>
      <c r="I48" s="1123"/>
      <c r="J48" s="1124"/>
      <c r="L48" s="790">
        <f>L12+L18-L24-L42</f>
        <v>3197</v>
      </c>
      <c r="M48" s="1123" t="s">
        <v>147</v>
      </c>
      <c r="N48" s="1124">
        <f>N42</f>
        <v>-42.345449721411512</v>
      </c>
      <c r="P48" s="790">
        <f>P12+P18-P24-P42</f>
        <v>1678</v>
      </c>
      <c r="Q48" s="1123">
        <f>(P48/L48-1)*100</f>
        <v>-47.513293712855798</v>
      </c>
      <c r="R48" s="1124">
        <f>R42</f>
        <v>-1.1965025310630484</v>
      </c>
      <c r="T48" s="790">
        <f>T12+T18-T24-T42</f>
        <v>1961</v>
      </c>
      <c r="U48" s="1123">
        <f>(T48/P48-1)*100</f>
        <v>16.865315852205008</v>
      </c>
      <c r="V48" s="1124">
        <f>V42</f>
        <v>-0.60549604098741883</v>
      </c>
      <c r="X48" s="790">
        <f>X12+X18-X30-X42-X36</f>
        <v>1407</v>
      </c>
      <c r="Y48" s="1123">
        <f>(X48/T48-1)*100</f>
        <v>-28.250892401835802</v>
      </c>
      <c r="Z48" s="1124">
        <f>Z42</f>
        <v>2.8819119025304651</v>
      </c>
      <c r="AB48" s="790">
        <f>AB12+AB18-AB30-AB42-AB36</f>
        <v>1500</v>
      </c>
      <c r="AC48" s="1123">
        <f>(AB48/X48-1)*100</f>
        <v>6.6098081023454158</v>
      </c>
      <c r="AD48" s="1124">
        <f>AD42</f>
        <v>2.0040992940104863</v>
      </c>
      <c r="AF48" s="790">
        <f>AF12+AF18-AF30-AF42-AF36</f>
        <v>1632</v>
      </c>
      <c r="AG48" s="1123">
        <f>(AF48/AB48-1)*100</f>
        <v>8.8000000000000078</v>
      </c>
      <c r="AH48" s="1124">
        <f>AH42</f>
        <v>6.7425764679615918</v>
      </c>
      <c r="AJ48" s="790">
        <f>AJ12+AJ18-AJ30-AJ42-AJ36</f>
        <v>1754</v>
      </c>
      <c r="AK48" s="1123">
        <f>(AJ48/AF48-1)*100</f>
        <v>7.475490196078427</v>
      </c>
      <c r="AL48" s="1124">
        <f>AL42</f>
        <v>-1.1085546956703607</v>
      </c>
      <c r="AN48" s="790">
        <f>AN12+AN18-AN30-AN42-AN36</f>
        <v>1717</v>
      </c>
      <c r="AO48" s="1123">
        <f>(AN48/AJ48-1)*100</f>
        <v>-2.109464082098067</v>
      </c>
      <c r="AP48" s="1124">
        <f>AP42</f>
        <v>-8.6756692259225439</v>
      </c>
      <c r="AR48" s="790">
        <f>AR12+AR18-AR30-AR42-AR36</f>
        <v>1511</v>
      </c>
      <c r="AS48" s="1123">
        <f>(AR48/AN48-1)*100</f>
        <v>-11.997670355270817</v>
      </c>
      <c r="AT48" s="1124">
        <f>AT42</f>
        <v>-3.1826326148638007</v>
      </c>
      <c r="AV48" s="790">
        <f>AV12+AV18-AV30-AV42-AV36</f>
        <v>1728</v>
      </c>
      <c r="AW48" s="1123">
        <f>(AV48/AR48-1)*100</f>
        <v>14.361350099271997</v>
      </c>
      <c r="AX48" s="1124">
        <f>AX42</f>
        <v>0.20586118550693921</v>
      </c>
      <c r="AZ48" s="790">
        <f>AZ12+AZ18-AZ30-AZ42-AZ36</f>
        <v>1790</v>
      </c>
      <c r="BA48" s="1123">
        <f>(AZ48/AV48-1)*100</f>
        <v>3.5879629629629539</v>
      </c>
      <c r="BB48" s="1124">
        <f>BB42</f>
        <v>-4.8460253043685846</v>
      </c>
      <c r="BD48" s="790">
        <f>BD12+BD18-BD30-BD42-BD36</f>
        <v>1353</v>
      </c>
      <c r="BE48" s="1123">
        <f>(BD48/AZ48-1)*100</f>
        <v>-24.41340782122905</v>
      </c>
      <c r="BF48" s="1124">
        <f>BF42</f>
        <v>-26.56798795785248</v>
      </c>
      <c r="BH48" s="790">
        <f>BH12+BH18-BH30-BH42-BH36</f>
        <v>1437</v>
      </c>
      <c r="BI48" s="1123">
        <f>(BH48/BD48-1)*100</f>
        <v>6.208425720620836</v>
      </c>
      <c r="BJ48" s="1124">
        <f>BJ42</f>
        <v>-5.0563717116501543</v>
      </c>
      <c r="BL48" s="790">
        <f>BL12+BL18-BL30-BL42-BL36</f>
        <v>1304</v>
      </c>
      <c r="BM48" s="1123">
        <f>(BL48/BH48-1)*100</f>
        <v>-9.2553931802366041</v>
      </c>
      <c r="BN48" s="1124">
        <f>BN42</f>
        <v>-0.53976250449802032</v>
      </c>
      <c r="BP48" s="790">
        <f>BP12+BP18-BP30-BP42-BP36</f>
        <v>1001</v>
      </c>
      <c r="BQ48" s="1123">
        <f>(BP48/BL48-1)*100</f>
        <v>-23.236196319018411</v>
      </c>
      <c r="BR48" s="1124">
        <f>BR42</f>
        <v>4.8118668596237368</v>
      </c>
      <c r="BT48" s="790">
        <f>BT12+BT18-BT30-BT42-BT36</f>
        <v>1084</v>
      </c>
      <c r="BU48" s="1123">
        <f>(BT48/BP48-1)*100</f>
        <v>8.2917082917082894</v>
      </c>
      <c r="BV48" s="1124">
        <f>BV42</f>
        <v>-1.3807386952019329</v>
      </c>
      <c r="BX48" s="790">
        <f>BX12+BX18-BX30-BX42-BX36</f>
        <v>1009</v>
      </c>
      <c r="BY48" s="1123">
        <f>(BX48/BT48-1)*100</f>
        <v>-6.9188191881918826</v>
      </c>
      <c r="BZ48" s="1124">
        <f>BZ42</f>
        <v>-1.7500875043752195</v>
      </c>
      <c r="CB48" s="1517">
        <f>CB12+CB18-CB30-CB42-CB36</f>
        <v>3331.35</v>
      </c>
      <c r="CC48" s="1509">
        <f>(CB48/BX48-1)*100</f>
        <v>230.16352824578789</v>
      </c>
      <c r="CD48" s="1510">
        <f>CD42</f>
        <v>-2.8000000000000025</v>
      </c>
    </row>
    <row r="49" spans="1:82">
      <c r="A49" s="398" t="s">
        <v>161</v>
      </c>
      <c r="B49" s="398" t="s">
        <v>143</v>
      </c>
      <c r="D49" s="790"/>
      <c r="E49" s="1123"/>
      <c r="F49" s="1124"/>
      <c r="H49" s="790"/>
      <c r="I49" s="1123"/>
      <c r="J49" s="1124"/>
      <c r="L49" s="790">
        <f>L13+L19-L25-L43</f>
        <v>865</v>
      </c>
      <c r="M49" s="1123" t="s">
        <v>147</v>
      </c>
      <c r="N49" s="1124">
        <f>N43</f>
        <v>-38.83839966572652</v>
      </c>
      <c r="P49" s="790">
        <f>P13+P19-P25-P43</f>
        <v>991</v>
      </c>
      <c r="Q49" s="1123">
        <f>(P49/L49-1)*100</f>
        <v>14.566473988439309</v>
      </c>
      <c r="R49" s="1124">
        <f>R43</f>
        <v>-1.9128949615713098</v>
      </c>
      <c r="T49" s="790">
        <f>T13+T19-T25-T43</f>
        <v>81</v>
      </c>
      <c r="U49" s="1123">
        <f>(T49/P49-1)*100</f>
        <v>-91.826437941473259</v>
      </c>
      <c r="V49" s="1124">
        <f>V43</f>
        <v>4.4401880550235084</v>
      </c>
      <c r="X49" s="790">
        <f>X13+X19-X31-X43-X37</f>
        <v>745</v>
      </c>
      <c r="Y49" s="1123">
        <f>(X49/T49-1)*100</f>
        <v>819.75308641975312</v>
      </c>
      <c r="Z49" s="1124">
        <f>Z43</f>
        <v>-0.71690563521173978</v>
      </c>
      <c r="AB49" s="790">
        <f>AB13+AB19-AB31-AB43-AB37</f>
        <v>945</v>
      </c>
      <c r="AC49" s="1123">
        <f>(AB49/X49-1)*100</f>
        <v>26.845637583892625</v>
      </c>
      <c r="AD49" s="1124">
        <f>AD43</f>
        <v>4.1659781696053777</v>
      </c>
      <c r="AF49" s="790">
        <f>AF13+AF19-AF31-AF43-AF37</f>
        <v>843</v>
      </c>
      <c r="AG49" s="1123">
        <f>(AF49/AB49-1)*100</f>
        <v>-10.793650793650789</v>
      </c>
      <c r="AH49" s="1124">
        <f>AH43</f>
        <v>7.4949170444894797</v>
      </c>
      <c r="AJ49" s="790">
        <f>AJ13+AJ19-AJ31-AJ43-AJ37</f>
        <v>1084</v>
      </c>
      <c r="AK49" s="1123">
        <f>(AJ49/AF49-1)*100</f>
        <v>28.588374851720054</v>
      </c>
      <c r="AL49" s="1124">
        <f>AL43</f>
        <v>-4.1691661667666473</v>
      </c>
      <c r="AN49" s="790">
        <f>AN13+AN19-AN31-AN43-AN37</f>
        <v>1074</v>
      </c>
      <c r="AO49" s="1123">
        <f>(AN49/AJ49-1)*100</f>
        <v>-0.92250922509224953</v>
      </c>
      <c r="AP49" s="1124">
        <f>AP43</f>
        <v>-9.8713347791671744</v>
      </c>
      <c r="AR49" s="790">
        <f>AR13+AR19-AR31-AR43-AR37</f>
        <v>785</v>
      </c>
      <c r="AS49" s="1123">
        <f>(AR49/AN49-1)*100</f>
        <v>-26.908752327746743</v>
      </c>
      <c r="AT49" s="1124">
        <f>AT43</f>
        <v>-3.6328121790261347</v>
      </c>
      <c r="AV49" s="790">
        <f>AV13+AV19-AV31-AV43-AV37</f>
        <v>1101</v>
      </c>
      <c r="AW49" s="1123">
        <f>(AV49/AR49-1)*100</f>
        <v>40.254777070063682</v>
      </c>
      <c r="AX49" s="1124">
        <f>AX43</f>
        <v>2.7567567567567508</v>
      </c>
      <c r="AZ49" s="790">
        <f>AZ13+AZ19-AZ31-AZ43-AZ37</f>
        <v>1049</v>
      </c>
      <c r="BA49" s="1123">
        <f>(AZ49/AV49-1)*100</f>
        <v>-4.722979109900094</v>
      </c>
      <c r="BB49" s="1124">
        <f>BB43</f>
        <v>-4.8746273890934555</v>
      </c>
      <c r="BD49" s="790">
        <f>BD13+BD19-BD31-BD43-BD37</f>
        <v>196</v>
      </c>
      <c r="BE49" s="1123">
        <f>(BD49/AZ49-1)*100</f>
        <v>-81.315538608198295</v>
      </c>
      <c r="BF49" s="1124">
        <f>BF43</f>
        <v>-28.405529953917053</v>
      </c>
      <c r="BH49" s="790">
        <f>BH13+BH19-BH31-BH43-BH37</f>
        <v>1172</v>
      </c>
      <c r="BI49" s="1123">
        <f>(BH49/BD49-1)*100</f>
        <v>497.9591836734694</v>
      </c>
      <c r="BJ49" s="1124">
        <f>BJ43</f>
        <v>-2.626158599382078</v>
      </c>
      <c r="BL49" s="790">
        <f>BL13+BL19-BL31-BL43-BL37</f>
        <v>828</v>
      </c>
      <c r="BM49" s="1123">
        <f>(BL49/BH49-1)*100</f>
        <v>-29.351535836177479</v>
      </c>
      <c r="BN49" s="1124">
        <f>BN43</f>
        <v>2.9349550502379751</v>
      </c>
      <c r="BP49" s="790">
        <f>BP13+BP19-BP31-BP43-BP37</f>
        <v>408</v>
      </c>
      <c r="BQ49" s="1123">
        <f>(BP49/BL49-1)*100</f>
        <v>-50.724637681159422</v>
      </c>
      <c r="BR49" s="1124">
        <f>BR43</f>
        <v>2.6457744669920347</v>
      </c>
      <c r="BT49" s="790">
        <f>BT13+BT19-BT31-BT43-BT37</f>
        <v>669</v>
      </c>
      <c r="BU49" s="1123">
        <f>(BT49/BP49-1)*100</f>
        <v>63.970588235294116</v>
      </c>
      <c r="BV49" s="1124">
        <f>BV43</f>
        <v>-0.87587587587587556</v>
      </c>
      <c r="BX49" s="790">
        <f>BX13+BX19-BX31-BX43-BX37</f>
        <v>620</v>
      </c>
      <c r="BY49" s="1123">
        <f>(BX49/BT49-1)*100</f>
        <v>-7.3243647234678573</v>
      </c>
      <c r="BZ49" s="1124">
        <f>BZ43</f>
        <v>1.7672304973491482</v>
      </c>
      <c r="CB49" s="1517">
        <f>CB13+CB19-CB31-CB43-CB37</f>
        <v>665.23514584511054</v>
      </c>
      <c r="CC49" s="1509">
        <f>(CB49/BX49-1)*100</f>
        <v>7.295991265340418</v>
      </c>
      <c r="CD49" s="1510">
        <f>CD43</f>
        <v>-7.5999999999999961</v>
      </c>
    </row>
    <row r="50" spans="1:82">
      <c r="D50" s="1131"/>
      <c r="H50" s="1131"/>
      <c r="I50" s="1131"/>
      <c r="J50" s="1131"/>
      <c r="K50" s="1131"/>
      <c r="L50" s="1131"/>
      <c r="N50" s="1131"/>
      <c r="O50" s="1131"/>
      <c r="P50" s="1131"/>
      <c r="Q50" s="1131"/>
      <c r="R50" s="1131" t="s">
        <v>357</v>
      </c>
      <c r="S50" s="1131"/>
      <c r="T50" s="1131"/>
      <c r="U50" s="1131"/>
      <c r="V50" s="1131"/>
      <c r="W50" s="1131"/>
      <c r="X50" s="1131"/>
      <c r="Y50" s="1131"/>
      <c r="Z50" s="1131"/>
      <c r="AA50" s="1131"/>
      <c r="AB50" s="1131"/>
      <c r="AC50" s="1131"/>
      <c r="AD50" s="1131"/>
      <c r="AE50" s="1131"/>
      <c r="AF50" s="1131"/>
      <c r="AG50" s="1131"/>
      <c r="AH50" s="1131"/>
      <c r="AI50" s="1131"/>
      <c r="AJ50" s="1131"/>
      <c r="AK50" s="1131"/>
      <c r="AL50" s="1131"/>
      <c r="AM50" s="1131"/>
      <c r="AN50" s="1131"/>
      <c r="AO50" s="1131"/>
      <c r="AP50" s="1131"/>
      <c r="AQ50" s="1131"/>
      <c r="AR50" s="1131"/>
      <c r="AS50" s="1131"/>
      <c r="AT50" s="1131"/>
      <c r="AU50" s="1131"/>
      <c r="AV50" s="1131"/>
      <c r="AW50" s="1131"/>
      <c r="AX50" s="1131"/>
      <c r="AY50" s="1131"/>
      <c r="AZ50" s="1131"/>
      <c r="BA50" s="1131"/>
      <c r="BB50" s="1131"/>
      <c r="BC50" s="1131"/>
      <c r="BD50" s="1131"/>
      <c r="BE50" s="1131"/>
      <c r="BF50" s="1131"/>
      <c r="BG50" s="1131"/>
      <c r="BH50" s="1131"/>
      <c r="BI50" s="1131"/>
      <c r="BJ50" s="1131"/>
      <c r="BL50" s="1131"/>
      <c r="BM50" s="1131"/>
      <c r="BN50" s="1131"/>
      <c r="BP50" s="1131"/>
      <c r="BQ50" s="1131"/>
      <c r="BR50" s="1131"/>
      <c r="BT50" s="1131"/>
      <c r="BU50" s="1131"/>
      <c r="BV50" s="1131"/>
      <c r="BX50" s="1131"/>
      <c r="BY50" s="1131"/>
      <c r="BZ50" s="1131"/>
      <c r="CB50" s="1520"/>
      <c r="CC50" s="1520"/>
      <c r="CD50" s="1520"/>
    </row>
    <row r="51" spans="1:82" hidden="1" outlineLevel="1">
      <c r="A51" s="1121"/>
      <c r="B51" s="593"/>
      <c r="C51" s="593"/>
      <c r="D51" s="593"/>
      <c r="E51" s="593"/>
      <c r="F51" s="593"/>
      <c r="G51" s="593"/>
      <c r="H51" s="593"/>
      <c r="I51" s="593"/>
      <c r="J51" s="593"/>
      <c r="K51" s="593"/>
      <c r="L51" s="593"/>
      <c r="M51" s="593"/>
      <c r="N51" s="593"/>
      <c r="O51" s="593"/>
      <c r="P51" s="593"/>
      <c r="Q51" s="593"/>
      <c r="R51" s="593"/>
      <c r="S51" s="593"/>
      <c r="T51" s="593"/>
      <c r="U51" s="593"/>
      <c r="V51" s="593"/>
      <c r="W51" s="593"/>
      <c r="X51" s="593"/>
      <c r="Y51" s="593"/>
      <c r="Z51" s="593"/>
      <c r="AA51" s="593"/>
      <c r="AB51" s="593"/>
      <c r="AC51" s="593"/>
      <c r="AD51" s="593"/>
      <c r="AE51" s="593"/>
      <c r="AF51" s="593"/>
      <c r="AG51" s="593"/>
      <c r="AH51" s="593"/>
      <c r="AI51" s="593"/>
      <c r="AJ51" s="593"/>
      <c r="AK51" s="593"/>
      <c r="AL51" s="593"/>
      <c r="AM51" s="593"/>
      <c r="AN51" s="593"/>
      <c r="AO51" s="593"/>
      <c r="AP51" s="593"/>
      <c r="AQ51" s="593"/>
      <c r="AR51" s="593"/>
      <c r="AS51" s="593"/>
      <c r="AT51" s="593"/>
      <c r="AU51" s="593"/>
      <c r="AV51" s="593"/>
      <c r="AW51" s="1121" t="s">
        <v>165</v>
      </c>
      <c r="AX51" s="593"/>
      <c r="AY51" s="593"/>
      <c r="AZ51" s="593"/>
      <c r="BA51" s="593"/>
      <c r="BB51" s="593"/>
      <c r="BC51" s="593"/>
      <c r="BD51" s="593"/>
      <c r="BE51" s="593"/>
      <c r="BF51" s="593"/>
      <c r="BG51" s="593"/>
      <c r="BH51" s="593"/>
      <c r="BI51" s="593"/>
      <c r="BJ51" s="593"/>
      <c r="BL51" s="593"/>
      <c r="BM51" s="593"/>
      <c r="BN51" s="593"/>
      <c r="BP51" s="593"/>
      <c r="BQ51" s="593"/>
      <c r="BR51" s="593"/>
      <c r="BT51" s="593"/>
      <c r="BU51" s="593"/>
      <c r="BV51" s="593"/>
      <c r="BX51" s="593"/>
      <c r="BY51" s="593"/>
      <c r="BZ51" s="593"/>
      <c r="CB51" s="1507"/>
      <c r="CC51" s="1507"/>
      <c r="CD51" s="1507"/>
    </row>
    <row r="52" spans="1:82" hidden="1" outlineLevel="1">
      <c r="A52" s="398" t="s">
        <v>158</v>
      </c>
      <c r="B52" s="398" t="s">
        <v>140</v>
      </c>
      <c r="D52" s="1132" t="s">
        <v>147</v>
      </c>
      <c r="H52" s="1132" t="s">
        <v>147</v>
      </c>
      <c r="L52" s="1132" t="s">
        <v>147</v>
      </c>
      <c r="P52" s="790">
        <f>P46-L46</f>
        <v>-1436</v>
      </c>
      <c r="T52" s="790">
        <f>T46-P46</f>
        <v>479</v>
      </c>
      <c r="X52" s="790">
        <f>X46-T46</f>
        <v>-1235</v>
      </c>
      <c r="Y52" s="790"/>
      <c r="AB52" s="790">
        <f>AB46-X46</f>
        <v>652</v>
      </c>
      <c r="AF52" s="790">
        <f>AF46-AB46</f>
        <v>338</v>
      </c>
      <c r="AJ52" s="790">
        <f>AJ46-AF46</f>
        <v>-45</v>
      </c>
      <c r="AN52" s="790">
        <f>AN46-AJ46</f>
        <v>228</v>
      </c>
      <c r="AR52" s="790">
        <f>AR46-AN46</f>
        <v>-215</v>
      </c>
      <c r="AV52" s="790">
        <f>AV46-AR46</f>
        <v>-232</v>
      </c>
      <c r="AZ52" s="790">
        <f>AZ46-AV46</f>
        <v>79</v>
      </c>
      <c r="BD52" s="790">
        <f>BD46-AZ46</f>
        <v>441</v>
      </c>
      <c r="BH52" s="790">
        <f>BH46-BD46</f>
        <v>-1298</v>
      </c>
      <c r="BL52" s="790">
        <f>BL46-BH46</f>
        <v>593</v>
      </c>
      <c r="BP52" s="790">
        <f>BP46-BL46</f>
        <v>-179</v>
      </c>
      <c r="BT52" s="790">
        <f>BT46-BQ46</f>
        <v>490.20600858369102</v>
      </c>
      <c r="BX52" s="790">
        <f>BX46-BU46</f>
        <v>434.45019920318725</v>
      </c>
      <c r="CB52" s="1517">
        <f>CB46-BY46</f>
        <v>2964.7112526539277</v>
      </c>
    </row>
    <row r="53" spans="1:82" hidden="1" outlineLevel="1">
      <c r="A53" s="398" t="s">
        <v>159</v>
      </c>
      <c r="B53" s="398" t="s">
        <v>141</v>
      </c>
      <c r="D53" s="1132" t="s">
        <v>147</v>
      </c>
      <c r="H53" s="1132" t="s">
        <v>147</v>
      </c>
      <c r="L53" s="1132" t="s">
        <v>147</v>
      </c>
      <c r="P53" s="790">
        <f>P47-L47</f>
        <v>-1471</v>
      </c>
      <c r="T53" s="790">
        <f>T47-P47</f>
        <v>349</v>
      </c>
      <c r="X53" s="790">
        <f>X47-T47</f>
        <v>-1472</v>
      </c>
      <c r="Y53" s="790"/>
      <c r="AB53" s="790">
        <f>AB47-X47</f>
        <v>988</v>
      </c>
      <c r="AF53" s="790">
        <f>AF47-AB47</f>
        <v>154</v>
      </c>
      <c r="AJ53" s="790">
        <f>AJ47-AF47</f>
        <v>66</v>
      </c>
      <c r="AN53" s="790">
        <f>AN47-AJ47</f>
        <v>-46</v>
      </c>
      <c r="AR53" s="790">
        <f>AR47-AN47</f>
        <v>-150</v>
      </c>
      <c r="AV53" s="790">
        <f>AV47-AR47</f>
        <v>182</v>
      </c>
      <c r="AZ53" s="790">
        <f>AZ47-AV47</f>
        <v>-29</v>
      </c>
      <c r="BD53" s="790">
        <f>BD47-AZ47</f>
        <v>281</v>
      </c>
      <c r="BH53" s="790">
        <f>BH47-BD47</f>
        <v>-757</v>
      </c>
      <c r="BL53" s="790">
        <f>BL47-BH47</f>
        <v>220</v>
      </c>
      <c r="BP53" s="790">
        <f>BP47-BL47</f>
        <v>-358</v>
      </c>
      <c r="BT53" s="790">
        <f>BT47-BQ47</f>
        <v>840.24048282265551</v>
      </c>
      <c r="BX53" s="790">
        <f>BX47-BU47</f>
        <v>705.76077885952714</v>
      </c>
      <c r="CB53" s="1517">
        <f>CB47-BY47</f>
        <v>2788.0285006195786</v>
      </c>
    </row>
    <row r="54" spans="1:82" hidden="1" outlineLevel="1">
      <c r="A54" s="398" t="s">
        <v>160</v>
      </c>
      <c r="B54" s="398" t="s">
        <v>142</v>
      </c>
      <c r="D54" s="1132" t="s">
        <v>147</v>
      </c>
      <c r="H54" s="1132" t="s">
        <v>147</v>
      </c>
      <c r="L54" s="1132" t="s">
        <v>147</v>
      </c>
      <c r="P54" s="790">
        <f>P48-L48</f>
        <v>-1519</v>
      </c>
      <c r="T54" s="790">
        <f>T48-P48</f>
        <v>283</v>
      </c>
      <c r="X54" s="790">
        <f>X48-T48</f>
        <v>-554</v>
      </c>
      <c r="Y54" s="790"/>
      <c r="AB54" s="790">
        <f>AB48-X48</f>
        <v>93</v>
      </c>
      <c r="AF54" s="790">
        <f>AF48-AB48</f>
        <v>132</v>
      </c>
      <c r="AJ54" s="790">
        <f>AJ48-AF48</f>
        <v>122</v>
      </c>
      <c r="AN54" s="790">
        <f>AN48-AJ48</f>
        <v>-37</v>
      </c>
      <c r="AR54" s="790">
        <f>AR48-AN48</f>
        <v>-206</v>
      </c>
      <c r="AV54" s="790">
        <f>AV48-AR48</f>
        <v>217</v>
      </c>
      <c r="AZ54" s="790">
        <f>AZ48-AV48</f>
        <v>62</v>
      </c>
      <c r="BD54" s="790">
        <f>BD48-AZ48</f>
        <v>-437</v>
      </c>
      <c r="BH54" s="790">
        <f>BH48-BD48</f>
        <v>84</v>
      </c>
      <c r="BL54" s="790">
        <f>BL48-BH48</f>
        <v>-133</v>
      </c>
      <c r="BP54" s="790">
        <f>BP48-BL48</f>
        <v>-303</v>
      </c>
      <c r="BT54" s="790">
        <f>BT48-BQ48</f>
        <v>1107.2361963190185</v>
      </c>
      <c r="BX54" s="790">
        <f>BX48-BU48</f>
        <v>1000.7082917082917</v>
      </c>
      <c r="CB54" s="1517">
        <f>CB48-BY48</f>
        <v>3338.2688191881916</v>
      </c>
    </row>
    <row r="55" spans="1:82" hidden="1" outlineLevel="1">
      <c r="A55" s="398" t="s">
        <v>161</v>
      </c>
      <c r="B55" s="398" t="s">
        <v>143</v>
      </c>
      <c r="D55" s="1132" t="s">
        <v>147</v>
      </c>
      <c r="H55" s="1132" t="s">
        <v>147</v>
      </c>
      <c r="L55" s="1132" t="s">
        <v>147</v>
      </c>
      <c r="P55" s="790">
        <f>P49-L49</f>
        <v>126</v>
      </c>
      <c r="T55" s="790">
        <f>T49-P49</f>
        <v>-910</v>
      </c>
      <c r="X55" s="790">
        <f>X49-T49</f>
        <v>664</v>
      </c>
      <c r="Y55" s="790"/>
      <c r="AB55" s="790">
        <f>AB49-X49</f>
        <v>200</v>
      </c>
      <c r="AF55" s="790">
        <f>AF49-AB49</f>
        <v>-102</v>
      </c>
      <c r="AJ55" s="790">
        <f>AJ49-AF49</f>
        <v>241</v>
      </c>
      <c r="AN55" s="790">
        <f>AN49-AJ49</f>
        <v>-10</v>
      </c>
      <c r="AR55" s="790">
        <f>AR49-AN49</f>
        <v>-289</v>
      </c>
      <c r="AV55" s="790">
        <f>AV49-AR49</f>
        <v>316</v>
      </c>
      <c r="AZ55" s="790">
        <f>AZ49-AV49</f>
        <v>-52</v>
      </c>
      <c r="BD55" s="790">
        <f>BD49-AZ49</f>
        <v>-853</v>
      </c>
      <c r="BH55" s="790">
        <f>BH49-BD49</f>
        <v>976</v>
      </c>
      <c r="BL55" s="790">
        <f>BL49-BH49</f>
        <v>-344</v>
      </c>
      <c r="BP55" s="790">
        <f>BP49-BL49</f>
        <v>-420</v>
      </c>
      <c r="BT55" s="790">
        <f>BT49-BQ49</f>
        <v>719.72463768115938</v>
      </c>
      <c r="BX55" s="790">
        <f>BX49-BU49</f>
        <v>556.02941176470586</v>
      </c>
      <c r="CB55" s="1517">
        <f>CB49-BY49</f>
        <v>672.55951056857839</v>
      </c>
    </row>
    <row r="56" spans="1:82" hidden="1" outlineLevel="1"/>
    <row r="57" spans="1:82" hidden="1" outlineLevel="1">
      <c r="A57" s="1121"/>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1121" t="s">
        <v>588</v>
      </c>
      <c r="AW57" s="593"/>
      <c r="AX57" s="593"/>
      <c r="AY57" s="593"/>
      <c r="AZ57" s="593"/>
      <c r="BA57" s="593"/>
      <c r="BB57" s="593"/>
      <c r="BC57" s="593"/>
      <c r="BD57" s="593"/>
      <c r="BE57" s="593"/>
      <c r="BF57" s="593"/>
      <c r="BG57" s="593"/>
      <c r="BH57" s="593"/>
      <c r="BI57" s="593"/>
      <c r="BJ57" s="593"/>
      <c r="BL57" s="593"/>
      <c r="BM57" s="593"/>
      <c r="BN57" s="593"/>
      <c r="BP57" s="593"/>
      <c r="BQ57" s="593"/>
      <c r="BR57" s="593"/>
      <c r="BT57" s="593"/>
      <c r="BU57" s="593"/>
      <c r="BV57" s="593"/>
      <c r="BX57" s="593"/>
      <c r="BY57" s="593"/>
      <c r="BZ57" s="593"/>
      <c r="CB57" s="1507"/>
      <c r="CC57" s="1507"/>
      <c r="CD57" s="1507"/>
    </row>
    <row r="58" spans="1:82" hidden="1" outlineLevel="1">
      <c r="A58" s="398" t="str">
        <f>A52</f>
        <v>1Q</v>
      </c>
      <c r="B58" s="398" t="str">
        <f>B52</f>
        <v>Apr</v>
      </c>
      <c r="D58" s="1132" t="s">
        <v>147</v>
      </c>
      <c r="H58" s="1132" t="s">
        <v>147</v>
      </c>
      <c r="L58" s="1132" t="s">
        <v>147</v>
      </c>
      <c r="P58" s="1132" t="s">
        <v>147</v>
      </c>
      <c r="T58" s="1132" t="s">
        <v>147</v>
      </c>
      <c r="X58" s="1133">
        <f>X28/X10</f>
        <v>0.39311594202898553</v>
      </c>
      <c r="AB58" s="1133">
        <f>AB28/AB10</f>
        <v>0.35451197053406996</v>
      </c>
      <c r="AF58" s="1133">
        <f>AF28/AF10</f>
        <v>0.36333830104321907</v>
      </c>
      <c r="AJ58" s="1133">
        <f>AJ28/AJ10</f>
        <v>0.42808121246782954</v>
      </c>
      <c r="AN58" s="1133">
        <f>AN28/AN10</f>
        <v>0.35381700054141851</v>
      </c>
      <c r="AR58" s="1133">
        <f>AR28/AR10</f>
        <v>0.34043867778807541</v>
      </c>
      <c r="AV58" s="1133">
        <f>AV28/AV10</f>
        <v>0.40541381456129433</v>
      </c>
      <c r="AZ58" s="1133">
        <f>AZ28/AZ10</f>
        <v>0.37382629107981219</v>
      </c>
      <c r="BD58" s="1133">
        <f>BD28/BD10</f>
        <v>0.31906614785992216</v>
      </c>
      <c r="BE58" s="1133"/>
      <c r="BF58" s="1133"/>
      <c r="BG58" s="1133"/>
      <c r="BH58" s="1133">
        <f>BH28/BH10</f>
        <v>0.44603288062902074</v>
      </c>
      <c r="BL58" s="1133">
        <f>BL28/BL10</f>
        <v>0.29664902998236331</v>
      </c>
      <c r="BP58" s="1133">
        <f>BP28/BP10</f>
        <v>0.37815723941657775</v>
      </c>
      <c r="BT58" s="1133">
        <f>BT28/BT10</f>
        <v>0.34017094017094018</v>
      </c>
      <c r="BX58" s="1133">
        <f>BX28/BX10</f>
        <v>0.30281451339437099</v>
      </c>
      <c r="CB58" s="1521">
        <f>CB28/CB10</f>
        <v>0</v>
      </c>
    </row>
    <row r="59" spans="1:82" hidden="1" outlineLevel="1">
      <c r="A59" s="398" t="str">
        <f t="shared" ref="A59:B61" si="0">A53</f>
        <v>2Q</v>
      </c>
      <c r="B59" s="398" t="str">
        <f t="shared" si="0"/>
        <v>Jul</v>
      </c>
      <c r="D59" s="1132" t="s">
        <v>147</v>
      </c>
      <c r="H59" s="1132" t="s">
        <v>147</v>
      </c>
      <c r="L59" s="1132" t="s">
        <v>147</v>
      </c>
      <c r="P59" s="1132" t="s">
        <v>147</v>
      </c>
      <c r="T59" s="1132" t="s">
        <v>147</v>
      </c>
      <c r="X59" s="1133">
        <f>X29/X11</f>
        <v>0.39348591549295775</v>
      </c>
      <c r="AB59" s="1133">
        <f>AB29/AB11</f>
        <v>0.39535558780841801</v>
      </c>
      <c r="AF59" s="1133">
        <f>AF29/AF11</f>
        <v>0.40739670615429069</v>
      </c>
      <c r="AJ59" s="1133">
        <f>AJ29/AJ11</f>
        <v>0.44806796382570568</v>
      </c>
      <c r="AN59" s="1133">
        <f>AN29/AN11</f>
        <v>0.39994584348767942</v>
      </c>
      <c r="AR59" s="1133">
        <f>AR29/AR11</f>
        <v>0.39963167587476978</v>
      </c>
      <c r="AV59" s="1133">
        <f>AV29/AV11</f>
        <v>0.4040114613180516</v>
      </c>
      <c r="AZ59" s="1133">
        <f>AZ29/AZ11</f>
        <v>0.38801791713325867</v>
      </c>
      <c r="BD59" s="1133">
        <f>BD29/BD11</f>
        <v>0.33912462412295358</v>
      </c>
      <c r="BH59" s="1133">
        <f>BH29/BH11</f>
        <v>0.40443740095087161</v>
      </c>
      <c r="BL59" s="1133">
        <f>BL29/BL11</f>
        <v>0.3455056179775281</v>
      </c>
      <c r="BP59" s="1133">
        <f>BP29/BP11</f>
        <v>0.37337770382695507</v>
      </c>
      <c r="BT59" s="1133">
        <f>BT29/BT11</f>
        <v>0.36699094263669907</v>
      </c>
      <c r="BX59" s="1133">
        <f>BX29/BX11</f>
        <v>0.34209578682030967</v>
      </c>
      <c r="CB59" s="1521">
        <f>CB29/CB11</f>
        <v>0</v>
      </c>
    </row>
    <row r="60" spans="1:82" hidden="1" outlineLevel="1">
      <c r="A60" s="398" t="str">
        <f t="shared" si="0"/>
        <v>3Q</v>
      </c>
      <c r="B60" s="398" t="str">
        <f t="shared" si="0"/>
        <v>Oct</v>
      </c>
      <c r="D60" s="1132" t="s">
        <v>147</v>
      </c>
      <c r="H60" s="1132" t="s">
        <v>147</v>
      </c>
      <c r="L60" s="1132" t="s">
        <v>147</v>
      </c>
      <c r="P60" s="1132" t="s">
        <v>147</v>
      </c>
      <c r="T60" s="1132" t="s">
        <v>147</v>
      </c>
      <c r="X60" s="1133">
        <f>X30/X12</f>
        <v>0.41145709531732827</v>
      </c>
      <c r="AB60" s="1133">
        <f>AB30/AB12</f>
        <v>0.40033104752896664</v>
      </c>
      <c r="AF60" s="1133">
        <f>AF30/AF12</f>
        <v>0.4224561403508772</v>
      </c>
      <c r="AJ60" s="1133">
        <f>AJ30/AJ12</f>
        <v>0.49049429657794674</v>
      </c>
      <c r="AN60" s="1133">
        <f>AN30/AN12</f>
        <v>0.4283158130172221</v>
      </c>
      <c r="AR60" s="1133">
        <f>AR30/AR12</f>
        <v>0.44649079143852666</v>
      </c>
      <c r="AV60" s="1133">
        <f>AV30/AV12</f>
        <v>0.41387391610030466</v>
      </c>
      <c r="AZ60" s="1133">
        <f>AZ30/AZ12</f>
        <v>0.41841864716636196</v>
      </c>
      <c r="BD60" s="1133">
        <f>BD30/BD12</f>
        <v>0.41879833432480668</v>
      </c>
      <c r="BH60" s="1133">
        <f>BH30/BH12</f>
        <v>0.37603416066186285</v>
      </c>
      <c r="BL60" s="1133">
        <f>BL30/BL12</f>
        <v>0.38385944014294221</v>
      </c>
      <c r="BP60" s="1133">
        <f>BP30/BP12</f>
        <v>0.39602071409103295</v>
      </c>
      <c r="BT60" s="1133">
        <f>BT30/BT12</f>
        <v>0.40449742617176915</v>
      </c>
      <c r="BX60" s="1133">
        <f>BX30/BX12</f>
        <v>0.39881129271916793</v>
      </c>
      <c r="CB60" s="1521">
        <f>CB30/CB12</f>
        <v>0</v>
      </c>
    </row>
    <row r="61" spans="1:82" hidden="1" outlineLevel="1">
      <c r="A61" s="398" t="str">
        <f t="shared" si="0"/>
        <v>4Q</v>
      </c>
      <c r="B61" s="398" t="str">
        <f t="shared" si="0"/>
        <v>Jan</v>
      </c>
      <c r="D61" s="1132" t="s">
        <v>147</v>
      </c>
      <c r="H61" s="1132" t="s">
        <v>147</v>
      </c>
      <c r="L61" s="1132" t="s">
        <v>147</v>
      </c>
      <c r="P61" s="1132" t="s">
        <v>147</v>
      </c>
      <c r="T61" s="1132" t="s">
        <v>147</v>
      </c>
      <c r="X61" s="1133">
        <f>X31/X13</f>
        <v>0.36378103119032462</v>
      </c>
      <c r="AB61" s="1133">
        <f>AB31/AB13</f>
        <v>0.364797507788162</v>
      </c>
      <c r="AF61" s="1133">
        <f>AF31/AF13</f>
        <v>0.40176470588235297</v>
      </c>
      <c r="AJ61" s="1133">
        <f>AJ31/AJ13</f>
        <v>0.40428453721505081</v>
      </c>
      <c r="AN61" s="1133">
        <f>AN31/AN13</f>
        <v>0.36637005216324026</v>
      </c>
      <c r="AR61" s="1133">
        <f>AR31/AR13</f>
        <v>0.40542328042328041</v>
      </c>
      <c r="AV61" s="1133">
        <f>AV31/AV13</f>
        <v>0.35262994086523497</v>
      </c>
      <c r="AZ61" s="1133">
        <f>AZ31/AZ13</f>
        <v>0.35048010973936899</v>
      </c>
      <c r="BD61" s="1133">
        <f>BD31/BD13</f>
        <v>0.49636907304570699</v>
      </c>
      <c r="BH61" s="1133">
        <f>BH31/BH13</f>
        <v>0.32299829642248723</v>
      </c>
      <c r="BL61" s="1133">
        <f>BL31/BL13</f>
        <v>0.37594268476621417</v>
      </c>
      <c r="BP61" s="1133">
        <f>BP31/BP13</f>
        <v>0.33994854832782068</v>
      </c>
      <c r="BT61" s="1133">
        <f>BT31/BT13</f>
        <v>0.34232655921513666</v>
      </c>
      <c r="BX61" s="1133">
        <f>BX31/BX13</f>
        <v>0.35228095582910934</v>
      </c>
      <c r="CB61" s="1521">
        <f>CB31/CB13</f>
        <v>0.35</v>
      </c>
    </row>
    <row r="62" spans="1:82" hidden="1" outlineLevel="1"/>
    <row r="63" spans="1:82" hidden="1" outlineLevel="1">
      <c r="A63" s="1121"/>
      <c r="B63" s="593"/>
      <c r="C63" s="593"/>
      <c r="D63" s="593"/>
      <c r="E63" s="593"/>
      <c r="F63" s="593"/>
      <c r="G63" s="593"/>
      <c r="H63" s="593"/>
      <c r="I63" s="593"/>
      <c r="J63" s="593"/>
      <c r="K63" s="593"/>
      <c r="L63" s="593"/>
      <c r="M63" s="593"/>
      <c r="N63" s="593"/>
      <c r="O63" s="593"/>
      <c r="P63" s="593"/>
      <c r="Q63" s="593"/>
      <c r="R63" s="593"/>
      <c r="S63" s="593"/>
      <c r="T63" s="593"/>
      <c r="U63" s="593"/>
      <c r="V63" s="593"/>
      <c r="W63" s="593"/>
      <c r="X63" s="593"/>
      <c r="Y63" s="593"/>
      <c r="Z63" s="593"/>
      <c r="AA63" s="593"/>
      <c r="AB63" s="593"/>
      <c r="AC63" s="593"/>
      <c r="AD63" s="593"/>
      <c r="AE63" s="593"/>
      <c r="AF63" s="593"/>
      <c r="AG63" s="593"/>
      <c r="AH63" s="593"/>
      <c r="AI63" s="593"/>
      <c r="AJ63" s="593"/>
      <c r="AK63" s="593"/>
      <c r="AL63" s="593"/>
      <c r="AM63" s="593"/>
      <c r="AN63" s="593"/>
      <c r="AO63" s="593"/>
      <c r="AP63" s="593"/>
      <c r="AQ63" s="593"/>
      <c r="AR63" s="593"/>
      <c r="AS63" s="593"/>
      <c r="AT63" s="593"/>
      <c r="AU63" s="593"/>
      <c r="AV63" s="593"/>
      <c r="AW63" s="1121" t="s">
        <v>333</v>
      </c>
      <c r="AX63" s="593"/>
      <c r="AY63" s="593"/>
      <c r="AZ63" s="593"/>
      <c r="BA63" s="593"/>
      <c r="BB63" s="593"/>
      <c r="BC63" s="593"/>
      <c r="BD63" s="593"/>
      <c r="BE63" s="593"/>
      <c r="BF63" s="593"/>
      <c r="BG63" s="593"/>
      <c r="BH63" s="593"/>
      <c r="BI63" s="593"/>
      <c r="BJ63" s="593"/>
      <c r="BL63" s="593"/>
      <c r="BM63" s="593"/>
      <c r="BN63" s="593"/>
      <c r="BP63" s="593"/>
      <c r="BQ63" s="593"/>
      <c r="BR63" s="593"/>
      <c r="BT63" s="593"/>
      <c r="BU63" s="593"/>
      <c r="BV63" s="593"/>
      <c r="BX63" s="593"/>
      <c r="BY63" s="593"/>
      <c r="BZ63" s="593"/>
      <c r="CB63" s="1507"/>
      <c r="CC63" s="1507"/>
      <c r="CD63" s="1507"/>
    </row>
    <row r="64" spans="1:82" hidden="1" outlineLevel="1">
      <c r="A64" s="398" t="str">
        <f t="shared" ref="A64:B67" si="1">A58</f>
        <v>1Q</v>
      </c>
      <c r="B64" s="398" t="str">
        <f t="shared" si="1"/>
        <v>Apr</v>
      </c>
      <c r="D64" s="1132" t="s">
        <v>147</v>
      </c>
      <c r="H64" s="1114">
        <f>(H112/H10)</f>
        <v>4.6589147286821708</v>
      </c>
      <c r="L64" s="1114">
        <f>(L112/L10)</f>
        <v>3.6820551005212212</v>
      </c>
      <c r="P64" s="1114">
        <f>(P112/P10)</f>
        <v>4.079533767569421</v>
      </c>
      <c r="T64" s="1114">
        <f>(T112/T10)</f>
        <v>3.3420998185117967</v>
      </c>
      <c r="X64" s="1114">
        <f>(X112/X10)</f>
        <v>3.38768115942029</v>
      </c>
      <c r="AB64" s="1114">
        <f>(AB112/AB10)</f>
        <v>3.4849600982197666</v>
      </c>
      <c r="AF64" s="1114">
        <f>(AF112/AF10)</f>
        <v>3.4631892697466466</v>
      </c>
      <c r="AJ64" s="1114">
        <f>(AJ112/AJ10)</f>
        <v>3.4712862453531597</v>
      </c>
      <c r="AN64" s="1114">
        <f>(AN112/AN10)</f>
        <v>3.2836843530048729</v>
      </c>
      <c r="AR64" s="1114">
        <f>(AR112/AR10)</f>
        <v>3.5236046028280876</v>
      </c>
      <c r="AV64" s="1114">
        <f>(AV112/AV10)</f>
        <v>3.3092857532814994</v>
      </c>
      <c r="AZ64" s="1114">
        <f>(AZ112/AZ10)</f>
        <v>3.183098591549296</v>
      </c>
      <c r="BD64" s="1114">
        <f>(BD112/BD10)</f>
        <v>3.3722438391699092</v>
      </c>
      <c r="BH64" s="1114">
        <f>(BH112/BH10)</f>
        <v>3.1365260900643315</v>
      </c>
      <c r="BL64" s="1114">
        <f>(BL112/BL10)</f>
        <v>2.9696649029982365</v>
      </c>
      <c r="BP64" s="1114">
        <f>(BP112/BP10)</f>
        <v>2.823550337958022</v>
      </c>
      <c r="BT64" s="1114">
        <f>(BT112/BT10)</f>
        <v>0.61299145299145297</v>
      </c>
      <c r="BX64" s="1114">
        <f>(BX112/BX10)</f>
        <v>0</v>
      </c>
      <c r="CB64" s="1522">
        <f>(CB112/CB10)</f>
        <v>0</v>
      </c>
    </row>
    <row r="65" spans="1:82" hidden="1" outlineLevel="1">
      <c r="A65" s="398" t="str">
        <f t="shared" si="1"/>
        <v>2Q</v>
      </c>
      <c r="B65" s="398" t="str">
        <f t="shared" si="1"/>
        <v>Jul</v>
      </c>
      <c r="D65" s="1132" t="s">
        <v>147</v>
      </c>
      <c r="H65" s="1114">
        <f>(H113/H11)</f>
        <v>4.5445821671331466</v>
      </c>
      <c r="L65" s="1114">
        <f>(L113/L11)</f>
        <v>3.19490116386477</v>
      </c>
      <c r="P65" s="1114">
        <f>(P113/P11)</f>
        <v>3.8351951219512195</v>
      </c>
      <c r="T65" s="1114">
        <f>(T113/T11)</f>
        <v>3.3282097649186255</v>
      </c>
      <c r="X65" s="1114">
        <f>(X113/X11)</f>
        <v>3.3268779342723005</v>
      </c>
      <c r="AB65" s="1114">
        <f>(AB113/AB11)</f>
        <v>3.3224963715529752</v>
      </c>
      <c r="AF65" s="1114">
        <f>(AF113/AF11)</f>
        <v>3.3996209188095925</v>
      </c>
      <c r="AJ65" s="1114">
        <f>(AJ113/AJ11)</f>
        <v>3.3436366127706223</v>
      </c>
      <c r="AN65" s="1114">
        <f>(AN113/AN11)</f>
        <v>3.273608695395692</v>
      </c>
      <c r="AR65" s="1114">
        <f>(AR113/AR11)</f>
        <v>3.4229961348512403</v>
      </c>
      <c r="AV65" s="1114">
        <f>(AV113/AV11)</f>
        <v>3.0370756994153658</v>
      </c>
      <c r="AZ65" s="1114">
        <f>(AZ113/AZ11)</f>
        <v>3.0433930571108623</v>
      </c>
      <c r="BD65" s="1114">
        <f>(BD113/BD11)</f>
        <v>3.3441363180755097</v>
      </c>
      <c r="BH65" s="1114">
        <f>(BH113/BH11)</f>
        <v>2.7366085578446908</v>
      </c>
      <c r="BL65" s="1114">
        <f>(BL113/BL11)</f>
        <v>2.9262640449438204</v>
      </c>
      <c r="BP65" s="1114">
        <f>(BP113/BP11)</f>
        <v>2.6475873544093176</v>
      </c>
      <c r="BT65" s="1114">
        <f>(BT113/BT11)</f>
        <v>1.2167058034216707</v>
      </c>
      <c r="BX65" s="1114">
        <f>(BX113/BX11)</f>
        <v>0</v>
      </c>
      <c r="CB65" s="1522">
        <f>(CB113/CB11)</f>
        <v>0</v>
      </c>
    </row>
    <row r="66" spans="1:82" hidden="1" outlineLevel="1">
      <c r="A66" s="398" t="str">
        <f t="shared" si="1"/>
        <v>3Q</v>
      </c>
      <c r="B66" s="398" t="str">
        <f t="shared" si="1"/>
        <v>Oct</v>
      </c>
      <c r="D66" s="1132" t="s">
        <v>147</v>
      </c>
      <c r="H66" s="1114">
        <f>(H114/H12)</f>
        <v>3.8295473666498401</v>
      </c>
      <c r="L66" s="1114">
        <f>(L114/L12)</f>
        <v>2.3346086402040491</v>
      </c>
      <c r="P66" s="1114">
        <f>(P114/P12)</f>
        <v>3.0201418105703821</v>
      </c>
      <c r="T66" s="1114">
        <f>(T114/T12)</f>
        <v>2.6253595397890699</v>
      </c>
      <c r="X66" s="1114">
        <f>(X114/X12)</f>
        <v>2.7014499643451391</v>
      </c>
      <c r="AB66" s="1114">
        <f>(AB114/AB12)</f>
        <v>2.7063135493024357</v>
      </c>
      <c r="AF66" s="1114">
        <f>(AF114/AF12)</f>
        <v>2.7852837426900585</v>
      </c>
      <c r="AJ66" s="1114">
        <f>(AJ114/AJ12)</f>
        <v>2.5887051119560627</v>
      </c>
      <c r="AN66" s="1114">
        <f>(AN114/AN12)</f>
        <v>2.6600875131054962</v>
      </c>
      <c r="AR66" s="1114">
        <f>(AR114/AR12)</f>
        <v>2.7333751217786424</v>
      </c>
      <c r="AV66" s="1114">
        <f>(AV114/AV12)</f>
        <v>2.5003515350363252</v>
      </c>
      <c r="AZ66" s="1114">
        <f>(AZ114/AZ12)</f>
        <v>2.4712065813528334</v>
      </c>
      <c r="BD66" s="1114">
        <f>(BD114/BD12)</f>
        <v>2.821832242712671</v>
      </c>
      <c r="BH66" s="1114">
        <f>(BH114/BH12)</f>
        <v>2.3002401921537228</v>
      </c>
      <c r="BL66" s="1114">
        <f>(BL114/BL12)</f>
        <v>2.419594997022037</v>
      </c>
      <c r="BP66" s="1114">
        <f>(BP114/BP12)</f>
        <v>2.1858817116380487</v>
      </c>
      <c r="BT66" s="1114">
        <f>(BT114/BT12)</f>
        <v>1.4689785965862909</v>
      </c>
      <c r="BX66" s="1114">
        <f>(BX114/BX12)</f>
        <v>0</v>
      </c>
      <c r="CB66" s="1522">
        <f>(CB114/CB12)</f>
        <v>0</v>
      </c>
    </row>
    <row r="67" spans="1:82" hidden="1" outlineLevel="1">
      <c r="A67" s="398" t="str">
        <f t="shared" si="1"/>
        <v>4Q</v>
      </c>
      <c r="B67" s="398" t="str">
        <f t="shared" si="1"/>
        <v>Jan</v>
      </c>
      <c r="D67" s="1132" t="s">
        <v>147</v>
      </c>
      <c r="H67" s="1114">
        <f>(H115/H13)</f>
        <v>4.5595551061678465</v>
      </c>
      <c r="L67" s="1114">
        <f>(L115/L13)</f>
        <v>4.1499654457498272</v>
      </c>
      <c r="P67" s="1114">
        <f>(P115/P13)</f>
        <v>3.8236825719120136</v>
      </c>
      <c r="T67" s="1114">
        <f>(T115/T13)</f>
        <v>3.5135566188197767</v>
      </c>
      <c r="X67" s="1114">
        <f>(X115/X13)</f>
        <v>3.6034373010821135</v>
      </c>
      <c r="AB67" s="1114">
        <f>(AB115/AB13)</f>
        <v>3.6109034267912774</v>
      </c>
      <c r="AF67" s="1114">
        <f>(AF115/AF13)</f>
        <v>3.5570847058823527</v>
      </c>
      <c r="AJ67" s="1114">
        <f>(AJ115/AJ13)</f>
        <v>3.3496099972535021</v>
      </c>
      <c r="AN67" s="1114">
        <f>(AN115/AN13)</f>
        <v>3.5503138934353764</v>
      </c>
      <c r="AR67" s="1114">
        <f>(AR115/AR13)</f>
        <v>3.5216532842907964</v>
      </c>
      <c r="AV67" s="1114">
        <f>(AV115/AV13)</f>
        <v>3.3610333022097727</v>
      </c>
      <c r="AZ67" s="1114">
        <f>(AZ115/AZ13)</f>
        <v>3.7157064471879289</v>
      </c>
      <c r="BD67" s="1114">
        <f>(BD115/BD13)</f>
        <v>3.7872703972661257</v>
      </c>
      <c r="BH67" s="1114">
        <f>(BH115/BH13)</f>
        <v>2.8507666098807496</v>
      </c>
      <c r="BL67" s="1114">
        <f>(BL115/BL13)</f>
        <v>3.0150829562594268</v>
      </c>
      <c r="BP67" s="1114">
        <f>(BP115/BP13)</f>
        <v>2.9672914369717014</v>
      </c>
      <c r="BT67" s="1114">
        <f>(BT115/BT13)</f>
        <v>2.8279607568325158</v>
      </c>
      <c r="BX67" s="1114">
        <f>(BX115/BX13)</f>
        <v>0</v>
      </c>
      <c r="CB67" s="1522">
        <f>(CB115/CB13)</f>
        <v>0</v>
      </c>
    </row>
    <row r="68" spans="1:82" hidden="1" outlineLevel="1"/>
    <row r="69" spans="1:82" hidden="1" outlineLevel="1">
      <c r="A69" s="1121"/>
      <c r="B69" s="593"/>
      <c r="C69" s="593"/>
      <c r="D69" s="593"/>
      <c r="E69" s="593"/>
      <c r="F69" s="593"/>
      <c r="G69" s="593"/>
      <c r="H69" s="593"/>
      <c r="I69" s="593"/>
      <c r="J69" s="593"/>
      <c r="K69" s="593"/>
      <c r="L69" s="593"/>
      <c r="M69" s="593"/>
      <c r="N69" s="593"/>
      <c r="O69" s="593"/>
      <c r="P69" s="593"/>
      <c r="Q69" s="593"/>
      <c r="R69" s="593"/>
      <c r="S69" s="593"/>
      <c r="T69" s="593"/>
      <c r="U69" s="593"/>
      <c r="V69" s="593"/>
      <c r="W69" s="593"/>
      <c r="X69" s="593"/>
      <c r="Y69" s="593"/>
      <c r="Z69" s="593"/>
      <c r="AA69" s="593"/>
      <c r="AB69" s="593"/>
      <c r="AC69" s="593"/>
      <c r="AD69" s="593"/>
      <c r="AE69" s="593"/>
      <c r="AF69" s="593"/>
      <c r="AG69" s="593"/>
      <c r="AH69" s="593"/>
      <c r="AI69" s="593"/>
      <c r="AJ69" s="593"/>
      <c r="AK69" s="593"/>
      <c r="AL69" s="593"/>
      <c r="AM69" s="593"/>
      <c r="AN69" s="593"/>
      <c r="AO69" s="593"/>
      <c r="AP69" s="593"/>
      <c r="AQ69" s="593"/>
      <c r="AR69" s="593"/>
      <c r="AS69" s="593"/>
      <c r="AT69" s="593"/>
      <c r="AU69" s="593"/>
      <c r="AV69" s="1121" t="s">
        <v>204</v>
      </c>
      <c r="AW69" s="593"/>
      <c r="AX69" s="593"/>
      <c r="AY69" s="593"/>
      <c r="AZ69" s="593"/>
      <c r="BA69" s="593"/>
      <c r="BB69" s="593"/>
      <c r="BC69" s="593"/>
      <c r="BD69" s="593"/>
      <c r="BE69" s="593"/>
      <c r="BF69" s="593"/>
      <c r="BG69" s="593"/>
      <c r="BH69" s="593"/>
      <c r="BI69" s="593"/>
      <c r="BJ69" s="593"/>
      <c r="BL69" s="593"/>
      <c r="BM69" s="593"/>
      <c r="BN69" s="593"/>
      <c r="BP69" s="593"/>
      <c r="BQ69" s="593"/>
      <c r="BR69" s="593"/>
      <c r="BT69" s="593"/>
      <c r="BU69" s="593"/>
      <c r="BV69" s="593"/>
      <c r="BX69" s="593"/>
      <c r="BY69" s="593"/>
      <c r="BZ69" s="593"/>
      <c r="CB69" s="1507"/>
      <c r="CC69" s="1507"/>
      <c r="CD69" s="1507"/>
    </row>
    <row r="70" spans="1:82" hidden="1" outlineLevel="1">
      <c r="A70" s="398" t="str">
        <f t="shared" ref="A70:B73" si="2">A64</f>
        <v>1Q</v>
      </c>
      <c r="B70" s="398" t="str">
        <f t="shared" si="2"/>
        <v>Apr</v>
      </c>
      <c r="D70" s="1132" t="s">
        <v>147</v>
      </c>
      <c r="H70" s="586">
        <f>365/H64</f>
        <v>78.34442595673876</v>
      </c>
      <c r="L70" s="586">
        <f>365/L64</f>
        <v>99.129423660262887</v>
      </c>
      <c r="P70" s="586">
        <f>365/P64</f>
        <v>89.471008403361338</v>
      </c>
      <c r="T70" s="586">
        <f>365/T64</f>
        <v>109.21277634446322</v>
      </c>
      <c r="X70" s="586">
        <f>365/X64</f>
        <v>107.74331550802138</v>
      </c>
      <c r="AB70" s="586">
        <f>365/AB64</f>
        <v>104.73577593799543</v>
      </c>
      <c r="AF70" s="586">
        <f>365/AF64</f>
        <v>105.39418194336862</v>
      </c>
      <c r="AJ70" s="586">
        <f>365/AJ64</f>
        <v>105.14834392830829</v>
      </c>
      <c r="AN70" s="586">
        <f>365/AN64</f>
        <v>111.15562909266582</v>
      </c>
      <c r="AR70" s="586">
        <f>365/AR64</f>
        <v>103.58710500804959</v>
      </c>
      <c r="AV70" s="586">
        <f>365/AV64</f>
        <v>110.29570342726213</v>
      </c>
      <c r="AZ70" s="586">
        <f>365/AZ64</f>
        <v>114.66814159292035</v>
      </c>
      <c r="BD70" s="586">
        <f>365/BD64</f>
        <v>108.23653846153846</v>
      </c>
      <c r="BH70" s="586">
        <f>365/BH64</f>
        <v>116.37078395624431</v>
      </c>
      <c r="BI70" s="678"/>
      <c r="BL70" s="586">
        <f>365/BL64</f>
        <v>122.90949043829433</v>
      </c>
      <c r="BM70" s="678"/>
      <c r="BP70" s="586">
        <f>365/BP64</f>
        <v>129.2698752677334</v>
      </c>
      <c r="BQ70" s="678"/>
      <c r="BT70" s="586">
        <f>365/BT64</f>
        <v>595.44060234244284</v>
      </c>
      <c r="BU70" s="678"/>
      <c r="BX70" s="586"/>
      <c r="BY70" s="678"/>
      <c r="CB70" s="1523"/>
      <c r="CC70" s="196"/>
    </row>
    <row r="71" spans="1:82" hidden="1" outlineLevel="1">
      <c r="A71" s="398" t="str">
        <f t="shared" si="2"/>
        <v>2Q</v>
      </c>
      <c r="B71" s="398" t="str">
        <f t="shared" si="2"/>
        <v>Jul</v>
      </c>
      <c r="D71" s="1132" t="s">
        <v>147</v>
      </c>
      <c r="H71" s="586">
        <f>365/H65</f>
        <v>80.315414393806094</v>
      </c>
      <c r="L71" s="586">
        <f>365/L65</f>
        <v>114.24453567711345</v>
      </c>
      <c r="P71" s="586">
        <f>365/P65</f>
        <v>95.171168191906801</v>
      </c>
      <c r="T71" s="586">
        <f>365/T65</f>
        <v>109.66856832382506</v>
      </c>
      <c r="X71" s="586">
        <f>365/X65</f>
        <v>109.71247133533251</v>
      </c>
      <c r="AB71" s="586">
        <f>365/AB65</f>
        <v>109.85715533810939</v>
      </c>
      <c r="AF71" s="586">
        <f>365/AF65</f>
        <v>107.36491177016525</v>
      </c>
      <c r="AJ71" s="586">
        <f>365/AJ65</f>
        <v>109.16258022953987</v>
      </c>
      <c r="AN71" s="586">
        <f>365/AN65</f>
        <v>111.49774880344434</v>
      </c>
      <c r="AR71" s="586">
        <f>365/AR65</f>
        <v>106.63173010444036</v>
      </c>
      <c r="AV71" s="586">
        <f>365/AV65</f>
        <v>120.18139688459598</v>
      </c>
      <c r="AZ71" s="586">
        <f>365/AZ65</f>
        <v>119.93192898537393</v>
      </c>
      <c r="BD71" s="586">
        <f>365/BD65</f>
        <v>109.14626835847737</v>
      </c>
      <c r="BH71" s="586">
        <f>365/BH65</f>
        <v>133.37676627287468</v>
      </c>
      <c r="BL71" s="586">
        <f>365/BL65</f>
        <v>124.73242140628749</v>
      </c>
      <c r="BP71" s="586">
        <f>365/BP65</f>
        <v>137.86136249371543</v>
      </c>
      <c r="BT71" s="586">
        <f>365/BT65</f>
        <v>299.99035015164043</v>
      </c>
      <c r="BX71" s="586"/>
      <c r="CB71" s="1523"/>
    </row>
    <row r="72" spans="1:82" hidden="1" outlineLevel="1">
      <c r="A72" s="398" t="str">
        <f t="shared" si="2"/>
        <v>3Q</v>
      </c>
      <c r="B72" s="398" t="str">
        <f t="shared" si="2"/>
        <v>Oct</v>
      </c>
      <c r="D72" s="1132" t="s">
        <v>147</v>
      </c>
      <c r="H72" s="586">
        <f>365/H66</f>
        <v>95.311525110945126</v>
      </c>
      <c r="L72" s="586">
        <f>365/L66</f>
        <v>156.34312051894844</v>
      </c>
      <c r="P72" s="586">
        <f>365/P66</f>
        <v>120.85525213502022</v>
      </c>
      <c r="T72" s="586">
        <f>365/T66</f>
        <v>139.02857664566787</v>
      </c>
      <c r="X72" s="586">
        <f>365/X66</f>
        <v>135.11262648482182</v>
      </c>
      <c r="AB72" s="586">
        <f>365/AB66</f>
        <v>134.86981214504149</v>
      </c>
      <c r="AF72" s="586">
        <f>365/AF66</f>
        <v>131.04589468054658</v>
      </c>
      <c r="AJ72" s="586">
        <f>365/AJ66</f>
        <v>140.99713339855879</v>
      </c>
      <c r="AN72" s="586">
        <f>365/AN66</f>
        <v>137.21353083375965</v>
      </c>
      <c r="AR72" s="586">
        <f>365/AR66</f>
        <v>133.53454382890914</v>
      </c>
      <c r="AV72" s="586">
        <f>365/AV66</f>
        <v>145.97947324022871</v>
      </c>
      <c r="AZ72" s="586">
        <f>365/AZ66</f>
        <v>147.70112816719069</v>
      </c>
      <c r="BD72" s="586">
        <f>365/BD66</f>
        <v>129.34858227047539</v>
      </c>
      <c r="BH72" s="586">
        <f>365/BH66</f>
        <v>158.6790810998956</v>
      </c>
      <c r="BL72" s="586">
        <f>365/BL66</f>
        <v>150.8516923076923</v>
      </c>
      <c r="BP72" s="586">
        <f>365/BP66</f>
        <v>166.98067331670822</v>
      </c>
      <c r="BT72" s="586">
        <f>365/BT66</f>
        <v>248.47196606418296</v>
      </c>
      <c r="BX72" s="586"/>
      <c r="CB72" s="1523"/>
    </row>
    <row r="73" spans="1:82" hidden="1" outlineLevel="1">
      <c r="A73" s="398" t="str">
        <f t="shared" si="2"/>
        <v>4Q</v>
      </c>
      <c r="B73" s="398" t="str">
        <f t="shared" si="2"/>
        <v>Jan</v>
      </c>
      <c r="D73" s="1132" t="s">
        <v>147</v>
      </c>
      <c r="H73" s="586">
        <f>365/H67</f>
        <v>80.051669845212217</v>
      </c>
      <c r="L73" s="586">
        <f>365/L67</f>
        <v>87.952539550374695</v>
      </c>
      <c r="P73" s="586">
        <f>365/P67</f>
        <v>95.457714686154915</v>
      </c>
      <c r="T73" s="586">
        <f>365/T67</f>
        <v>103.88334089877441</v>
      </c>
      <c r="X73" s="586">
        <f>365/X67</f>
        <v>101.29217452746865</v>
      </c>
      <c r="AB73" s="586">
        <f>365/AB67</f>
        <v>101.08273660598741</v>
      </c>
      <c r="AF73" s="586">
        <f>365/AF67</f>
        <v>102.61211924371644</v>
      </c>
      <c r="AJ73" s="586">
        <f>365/AJ67</f>
        <v>108.96790978629755</v>
      </c>
      <c r="AN73" s="586">
        <f>365/AN67</f>
        <v>102.80781107126741</v>
      </c>
      <c r="AR73" s="586">
        <f>365/AR67</f>
        <v>103.64450175381336</v>
      </c>
      <c r="AV73" s="586">
        <f>365/AV67</f>
        <v>108.59755532919715</v>
      </c>
      <c r="AZ73" s="586">
        <f>365/AZ67</f>
        <v>98.231656668204892</v>
      </c>
      <c r="BD73" s="586">
        <f>365/BD67</f>
        <v>96.375479359350322</v>
      </c>
      <c r="BH73" s="586">
        <f>365/BH67</f>
        <v>128.03573562806264</v>
      </c>
      <c r="BL73" s="586">
        <f>365/BL67</f>
        <v>121.05802901450726</v>
      </c>
      <c r="BP73" s="586">
        <f>365/BP67</f>
        <v>123.00780282387913</v>
      </c>
      <c r="BT73" s="586">
        <f>365/BT67</f>
        <v>129.06826911163424</v>
      </c>
      <c r="BX73" s="586"/>
      <c r="CB73" s="1523"/>
    </row>
    <row r="74" spans="1:82" hidden="1" outlineLevel="1"/>
    <row r="75" spans="1:82" hidden="1" outlineLevel="1">
      <c r="A75" s="1121"/>
      <c r="B75" s="593"/>
      <c r="C75" s="593"/>
      <c r="D75" s="593"/>
      <c r="E75" s="593"/>
      <c r="F75" s="593"/>
      <c r="G75" s="593"/>
      <c r="H75" s="593"/>
      <c r="I75" s="593"/>
      <c r="J75" s="593"/>
      <c r="K75" s="593"/>
      <c r="L75" s="593"/>
      <c r="M75" s="593"/>
      <c r="N75" s="593"/>
      <c r="O75" s="593"/>
      <c r="P75" s="593"/>
      <c r="Q75" s="593"/>
      <c r="R75" s="593"/>
      <c r="S75" s="593"/>
      <c r="T75" s="593"/>
      <c r="U75" s="593"/>
      <c r="V75" s="593"/>
      <c r="W75" s="593"/>
      <c r="X75" s="593"/>
      <c r="Y75" s="593"/>
      <c r="Z75" s="593"/>
      <c r="AA75" s="593"/>
      <c r="AB75" s="593"/>
      <c r="AC75" s="593"/>
      <c r="AD75" s="593"/>
      <c r="AE75" s="593"/>
      <c r="AF75" s="593"/>
      <c r="AG75" s="593"/>
      <c r="AH75" s="593"/>
      <c r="AI75" s="593"/>
      <c r="AJ75" s="593"/>
      <c r="AK75" s="593"/>
      <c r="AL75" s="593"/>
      <c r="AM75" s="593"/>
      <c r="AN75" s="593"/>
      <c r="AO75" s="593"/>
      <c r="AP75" s="593"/>
      <c r="AQ75" s="593"/>
      <c r="AR75" s="593"/>
      <c r="AS75" s="593"/>
      <c r="AT75" s="593"/>
      <c r="AU75" s="593"/>
      <c r="AV75" s="1121" t="s">
        <v>591</v>
      </c>
      <c r="AW75" s="593"/>
      <c r="AX75" s="593"/>
      <c r="AY75" s="593"/>
      <c r="AZ75" s="593"/>
      <c r="BA75" s="593"/>
      <c r="BB75" s="593"/>
      <c r="BC75" s="593"/>
      <c r="BD75" s="593"/>
      <c r="BE75" s="593"/>
      <c r="BF75" s="593"/>
      <c r="BG75" s="593"/>
      <c r="BH75" s="593"/>
      <c r="BI75" s="593"/>
      <c r="BJ75" s="593"/>
      <c r="BL75" s="593"/>
      <c r="BM75" s="593"/>
      <c r="BN75" s="593"/>
      <c r="BP75" s="593"/>
      <c r="BQ75" s="593"/>
      <c r="BR75" s="593"/>
      <c r="BT75" s="593"/>
      <c r="BU75" s="593"/>
      <c r="BV75" s="593"/>
      <c r="BX75" s="593"/>
      <c r="BY75" s="593"/>
      <c r="BZ75" s="593"/>
      <c r="CB75" s="1507"/>
      <c r="CC75" s="1507"/>
      <c r="CD75" s="1507"/>
    </row>
    <row r="76" spans="1:82" hidden="1" outlineLevel="1">
      <c r="A76" s="398" t="str">
        <f t="shared" ref="A76:B79" si="3">A70</f>
        <v>1Q</v>
      </c>
      <c r="B76" s="398" t="str">
        <f t="shared" si="3"/>
        <v>Apr</v>
      </c>
      <c r="D76" s="1132" t="s">
        <v>147</v>
      </c>
      <c r="H76" s="1132" t="s">
        <v>147</v>
      </c>
      <c r="L76" s="1132" t="s">
        <v>147</v>
      </c>
      <c r="P76" s="1132" t="s">
        <v>147</v>
      </c>
      <c r="S76" s="1132"/>
      <c r="T76" s="1132" t="s">
        <v>147</v>
      </c>
      <c r="X76" s="1132" t="s">
        <v>147</v>
      </c>
      <c r="AB76" s="586">
        <f>365/(AB122/AB22)</f>
        <v>185.14073339940535</v>
      </c>
      <c r="AF76" s="586">
        <f>365/(AF122/AF22)</f>
        <v>172.13229571984436</v>
      </c>
      <c r="AJ76" s="586">
        <f>365/(AJ122/AJ22)</f>
        <v>189.43790731354093</v>
      </c>
      <c r="AN76" s="586">
        <f>365/(AN122/AN22)</f>
        <v>179.02990585194758</v>
      </c>
      <c r="AR76" s="586">
        <f>365/(AR122/AR22)</f>
        <v>167.1348209263079</v>
      </c>
      <c r="AV76" s="586">
        <f>365/(AV122/AV22)</f>
        <v>178.69440856246538</v>
      </c>
      <c r="AZ76" s="586">
        <f>365/(AZ122/AZ22)</f>
        <v>182.2610809799888</v>
      </c>
      <c r="BD76" s="586">
        <f>365/(BD122/BD22)</f>
        <v>161.42542101042503</v>
      </c>
      <c r="BH76" s="586">
        <f>365/(BH122/BH22)</f>
        <v>228.70253164556962</v>
      </c>
      <c r="BL76" s="586">
        <f>365/(BL122/BL22)</f>
        <v>173.97280593325092</v>
      </c>
      <c r="BP76" s="586">
        <f>365/(BP122/BP22)</f>
        <v>193.26791592808306</v>
      </c>
      <c r="BT76" s="586"/>
      <c r="BX76" s="586"/>
      <c r="CB76" s="1523"/>
    </row>
    <row r="77" spans="1:82" hidden="1" outlineLevel="1">
      <c r="A77" s="398" t="str">
        <f t="shared" si="3"/>
        <v>2Q</v>
      </c>
      <c r="B77" s="398" t="str">
        <f t="shared" si="3"/>
        <v>Jul</v>
      </c>
      <c r="D77" s="1132" t="s">
        <v>147</v>
      </c>
      <c r="H77" s="1132" t="s">
        <v>147</v>
      </c>
      <c r="L77" s="1132" t="s">
        <v>147</v>
      </c>
      <c r="P77" s="1132" t="s">
        <v>147</v>
      </c>
      <c r="S77" s="1132"/>
      <c r="T77" s="1132" t="s">
        <v>147</v>
      </c>
      <c r="X77" s="1132" t="s">
        <v>147</v>
      </c>
      <c r="AB77" s="586">
        <f>365/(AB123/AB23)</f>
        <v>190.71232069168795</v>
      </c>
      <c r="AF77" s="586">
        <f>365/(AF123/AF23)</f>
        <v>187.30170923756481</v>
      </c>
      <c r="AJ77" s="586">
        <f>365/(AJ123/AJ23)</f>
        <v>204.91113105924597</v>
      </c>
      <c r="AN77" s="586">
        <f>365/(AN123/AN23)</f>
        <v>197.91827719491994</v>
      </c>
      <c r="AR77" s="586">
        <f>365/(AR123/AR23)</f>
        <v>191.27238454288408</v>
      </c>
      <c r="AV77" s="586">
        <f>365/(AV123/AV23)</f>
        <v>189.59647835656639</v>
      </c>
      <c r="AZ77" s="586">
        <f>365/(AZ123/AZ23)</f>
        <v>190.01975540921919</v>
      </c>
      <c r="BD77" s="586">
        <f>365/(BD123/BD23)</f>
        <v>170.05422314911365</v>
      </c>
      <c r="BH77" s="586">
        <f>365/(BH123/BH23)</f>
        <v>217.5068181818182</v>
      </c>
      <c r="BL77" s="586">
        <f>365/(BL123/BL23)</f>
        <v>197.94125031383379</v>
      </c>
      <c r="BP77" s="586"/>
      <c r="BT77" s="586"/>
      <c r="BX77" s="586"/>
      <c r="CB77" s="1523"/>
    </row>
    <row r="78" spans="1:82" hidden="1" outlineLevel="1">
      <c r="A78" s="398" t="str">
        <f t="shared" si="3"/>
        <v>3Q</v>
      </c>
      <c r="B78" s="398" t="str">
        <f t="shared" si="3"/>
        <v>Oct</v>
      </c>
      <c r="D78" s="1132" t="s">
        <v>147</v>
      </c>
      <c r="H78" s="1132" t="s">
        <v>147</v>
      </c>
      <c r="L78" s="1132" t="s">
        <v>147</v>
      </c>
      <c r="P78" s="1132" t="s">
        <v>147</v>
      </c>
      <c r="S78" s="1132"/>
      <c r="T78" s="1132" t="s">
        <v>147</v>
      </c>
      <c r="X78" s="1132" t="s">
        <v>147</v>
      </c>
      <c r="AB78" s="586">
        <f>365/(AB124/AB24)</f>
        <v>219.88554099002152</v>
      </c>
      <c r="AF78" s="586">
        <f>365/(AF124/AF24)</f>
        <v>217.49242137173172</v>
      </c>
      <c r="AJ78" s="586">
        <f>365/(AJ124/AJ24)</f>
        <v>246.32746542123226</v>
      </c>
      <c r="AN78" s="586">
        <f>365/(AN124/AN24)</f>
        <v>231.17117952522256</v>
      </c>
      <c r="AR78" s="586">
        <f>365/(AR124/AR24)</f>
        <v>223.31654542063046</v>
      </c>
      <c r="AV78" s="586">
        <f>365/(AV124/AV24)</f>
        <v>217.90540540540539</v>
      </c>
      <c r="AZ78" s="586">
        <f>365/(AZ124/AZ24)</f>
        <v>225.72643853947619</v>
      </c>
      <c r="BD78" s="586">
        <f>365/(BD124/BD24)</f>
        <v>216.48275862068965</v>
      </c>
      <c r="BH78" s="586">
        <f>365/(BH124/BH24)</f>
        <v>226.31859226672839</v>
      </c>
      <c r="BL78" s="586">
        <f>365/(BL124/BL24)</f>
        <v>225.72005044136191</v>
      </c>
      <c r="BP78" s="586"/>
      <c r="BT78" s="586"/>
      <c r="BX78" s="586"/>
      <c r="CB78" s="1523"/>
    </row>
    <row r="79" spans="1:82" hidden="1" outlineLevel="1">
      <c r="A79" s="398" t="str">
        <f t="shared" si="3"/>
        <v>4Q</v>
      </c>
      <c r="B79" s="398" t="str">
        <f t="shared" si="3"/>
        <v>Jan</v>
      </c>
      <c r="D79" s="1132" t="s">
        <v>147</v>
      </c>
      <c r="H79" s="1132" t="s">
        <v>147</v>
      </c>
      <c r="L79" s="1132" t="s">
        <v>147</v>
      </c>
      <c r="P79" s="1132" t="s">
        <v>147</v>
      </c>
      <c r="S79" s="1132"/>
      <c r="T79" s="1132" t="s">
        <v>147</v>
      </c>
      <c r="X79" s="586">
        <f>365/(X125/X25)</f>
        <v>201.60518444666002</v>
      </c>
      <c r="AB79" s="586">
        <f>365/(AB125/AB25)</f>
        <v>195.02346041055716</v>
      </c>
      <c r="AF79" s="586">
        <f>365/(AF125/AF25)</f>
        <v>204.05301645338207</v>
      </c>
      <c r="AJ79" s="586">
        <f>365/(AJ125/AJ25)</f>
        <v>211.82432432432432</v>
      </c>
      <c r="AN79" s="586">
        <f>365/(AN125/AN25)</f>
        <v>189.02873030583874</v>
      </c>
      <c r="AR79" s="586">
        <f>365/(AR125/AR25)</f>
        <v>193.69007803790413</v>
      </c>
      <c r="AV79" s="586">
        <f>365/(AV125/AV25)</f>
        <v>180.32008212019409</v>
      </c>
      <c r="AZ79" s="586">
        <f>365/(AZ125/AZ25)</f>
        <v>180.39244470542181</v>
      </c>
      <c r="BD79" s="586">
        <f>365/(BD125/BD25)</f>
        <v>207.12494451841991</v>
      </c>
      <c r="BH79" s="586">
        <f>365/(BH125/BH25)</f>
        <v>190.39620807000486</v>
      </c>
      <c r="BL79" s="586">
        <f>365/(BL125/BL25)</f>
        <v>199.73077886301027</v>
      </c>
      <c r="BP79" s="586">
        <f>365/(BP125/BP25)</f>
        <v>220.93377483443709</v>
      </c>
      <c r="BT79" s="586"/>
      <c r="BX79" s="586"/>
      <c r="CB79" s="1523"/>
    </row>
    <row r="80" spans="1:82" hidden="1" outlineLevel="1"/>
    <row r="81" spans="1:82" hidden="1" outlineLevel="1">
      <c r="A81" s="1121"/>
      <c r="B81" s="593"/>
      <c r="C81" s="593"/>
      <c r="D81" s="593"/>
      <c r="E81" s="593"/>
      <c r="F81" s="593"/>
      <c r="G81" s="593"/>
      <c r="H81" s="593"/>
      <c r="I81" s="593"/>
      <c r="J81" s="593"/>
      <c r="K81" s="593"/>
      <c r="L81" s="593"/>
      <c r="M81" s="593"/>
      <c r="N81" s="593"/>
      <c r="O81" s="593"/>
      <c r="P81" s="593"/>
      <c r="Q81" s="593"/>
      <c r="R81" s="593"/>
      <c r="S81" s="593"/>
      <c r="T81" s="593"/>
      <c r="U81" s="593"/>
      <c r="V81" s="593"/>
      <c r="W81" s="593"/>
      <c r="X81" s="593"/>
      <c r="Y81" s="593"/>
      <c r="Z81" s="593"/>
      <c r="AA81" s="593"/>
      <c r="AB81" s="593"/>
      <c r="AC81" s="593"/>
      <c r="AD81" s="593"/>
      <c r="AE81" s="593"/>
      <c r="AF81" s="593"/>
      <c r="AG81" s="593"/>
      <c r="AH81" s="593"/>
      <c r="AI81" s="593"/>
      <c r="AJ81" s="593"/>
      <c r="AK81" s="593"/>
      <c r="AL81" s="593"/>
      <c r="AM81" s="593"/>
      <c r="AN81" s="593"/>
      <c r="AO81" s="593"/>
      <c r="AP81" s="593"/>
      <c r="AQ81" s="593"/>
      <c r="AR81" s="593"/>
      <c r="AS81" s="593"/>
      <c r="AT81" s="593"/>
      <c r="AU81" s="593"/>
      <c r="AV81" s="1121" t="s">
        <v>592</v>
      </c>
      <c r="AW81" s="593"/>
      <c r="AX81" s="593"/>
      <c r="AY81" s="593"/>
      <c r="AZ81" s="593"/>
      <c r="BA81" s="593"/>
      <c r="BB81" s="593"/>
      <c r="BC81" s="593"/>
      <c r="BD81" s="593"/>
      <c r="BE81" s="593"/>
      <c r="BF81" s="593"/>
      <c r="BG81" s="593"/>
      <c r="BH81" s="593"/>
      <c r="BI81" s="593"/>
      <c r="BJ81" s="593"/>
      <c r="BL81" s="593"/>
      <c r="BM81" s="593"/>
      <c r="BN81" s="593"/>
      <c r="BP81" s="593"/>
      <c r="BQ81" s="593"/>
      <c r="BR81" s="593"/>
      <c r="BT81" s="593"/>
      <c r="BU81" s="593"/>
      <c r="BV81" s="593"/>
      <c r="BX81" s="593"/>
      <c r="BY81" s="593"/>
      <c r="BZ81" s="593"/>
      <c r="CB81" s="1507"/>
      <c r="CC81" s="1507"/>
      <c r="CD81" s="1507"/>
    </row>
    <row r="82" spans="1:82" hidden="1" outlineLevel="1">
      <c r="A82" s="398" t="str">
        <f t="shared" ref="A82:B85" si="4">A76</f>
        <v>1Q</v>
      </c>
      <c r="B82" s="398" t="str">
        <f t="shared" si="4"/>
        <v>Apr</v>
      </c>
      <c r="D82" s="1132" t="s">
        <v>147</v>
      </c>
      <c r="H82" s="1132" t="s">
        <v>147</v>
      </c>
      <c r="L82" s="1132" t="s">
        <v>147</v>
      </c>
      <c r="P82" s="1132" t="s">
        <v>147</v>
      </c>
      <c r="S82" s="1132"/>
      <c r="T82" s="1132" t="s">
        <v>147</v>
      </c>
      <c r="X82" s="1132" t="s">
        <v>147</v>
      </c>
      <c r="AB82" s="678">
        <f>(AB22/AB122)</f>
        <v>0.50723488602576805</v>
      </c>
      <c r="AF82" s="678">
        <f>(AF22/AF122)</f>
        <v>0.4715953307392996</v>
      </c>
      <c r="AJ82" s="678">
        <f>(AJ22/AJ122)</f>
        <v>0.51900796524257786</v>
      </c>
      <c r="AN82" s="678">
        <f>(AN22/AN122)</f>
        <v>0.49049289274506186</v>
      </c>
      <c r="AR82" s="678">
        <f>(AR22/AR122)</f>
        <v>0.45790361897618603</v>
      </c>
      <c r="AV82" s="678">
        <f>(AV22/AV122)</f>
        <v>0.48957372208894628</v>
      </c>
      <c r="AZ82" s="678">
        <f>(AZ22/AZ122)</f>
        <v>0.49934542734243503</v>
      </c>
      <c r="BD82" s="678">
        <f>(BD22/BD122)</f>
        <v>0.44226142742582197</v>
      </c>
      <c r="BH82" s="678">
        <f>(BH22/BH122)</f>
        <v>0.62658227848101267</v>
      </c>
      <c r="BL82" s="678">
        <f>(BL22/BL122)</f>
        <v>0.47663782447466008</v>
      </c>
      <c r="BP82" s="678">
        <f>(BP22/BP122)</f>
        <v>0.52950113952899469</v>
      </c>
      <c r="BT82" s="678">
        <f>(BT22/BT122)</f>
        <v>2.4311926605504586</v>
      </c>
      <c r="BX82" s="678" t="e">
        <f>(BX22/BX122)</f>
        <v>#DIV/0!</v>
      </c>
      <c r="CB82" s="196">
        <f>(CB22/CB122)</f>
        <v>0</v>
      </c>
    </row>
    <row r="83" spans="1:82" hidden="1" outlineLevel="1">
      <c r="A83" s="398" t="str">
        <f t="shared" si="4"/>
        <v>2Q</v>
      </c>
      <c r="B83" s="398" t="str">
        <f t="shared" si="4"/>
        <v>Jul</v>
      </c>
      <c r="D83" s="1132" t="s">
        <v>147</v>
      </c>
      <c r="H83" s="1132" t="s">
        <v>147</v>
      </c>
      <c r="L83" s="1132" t="s">
        <v>147</v>
      </c>
      <c r="P83" s="1132" t="s">
        <v>147</v>
      </c>
      <c r="S83" s="1132"/>
      <c r="T83" s="1132" t="s">
        <v>147</v>
      </c>
      <c r="X83" s="1132" t="s">
        <v>147</v>
      </c>
      <c r="AB83" s="678">
        <f>(AB23/AB123)</f>
        <v>0.52249950874435058</v>
      </c>
      <c r="AF83" s="678">
        <f>(AF23/AF123)</f>
        <v>0.51315536777415016</v>
      </c>
      <c r="AJ83" s="678">
        <f>(AJ23/AJ123)</f>
        <v>0.56140035906642727</v>
      </c>
      <c r="AN83" s="678">
        <f>(AN23/AN123)</f>
        <v>0.54224185532854774</v>
      </c>
      <c r="AR83" s="678">
        <f>(AR23/AR123)</f>
        <v>0.52403393025447687</v>
      </c>
      <c r="AV83" s="678">
        <f>(AV23/AV123)</f>
        <v>0.51944240645634632</v>
      </c>
      <c r="AZ83" s="678">
        <f>(AZ23/AZ123)</f>
        <v>0.52060206961429911</v>
      </c>
      <c r="BD83" s="678">
        <f>(BD23/BD123)</f>
        <v>0.4659019812304484</v>
      </c>
      <c r="BH83" s="678">
        <f>(BH23/BH123)</f>
        <v>0.59590909090909094</v>
      </c>
      <c r="BL83" s="678">
        <f>(BL23/BL123)</f>
        <v>0.54230479538036658</v>
      </c>
      <c r="BP83" s="678">
        <f>(BP23/BP123)</f>
        <v>0.58980957282552748</v>
      </c>
      <c r="BT83" s="678">
        <f>(BT23/BT123)</f>
        <v>1.2840579710144928</v>
      </c>
      <c r="BX83" s="678" t="e">
        <f>(BX23/BX123)</f>
        <v>#DIV/0!</v>
      </c>
      <c r="CB83" s="196">
        <f>(CB23/CB123)</f>
        <v>0</v>
      </c>
    </row>
    <row r="84" spans="1:82" hidden="1" outlineLevel="1">
      <c r="A84" s="398" t="str">
        <f t="shared" si="4"/>
        <v>3Q</v>
      </c>
      <c r="B84" s="398" t="str">
        <f t="shared" si="4"/>
        <v>Oct</v>
      </c>
      <c r="D84" s="1132" t="s">
        <v>147</v>
      </c>
      <c r="H84" s="1132" t="s">
        <v>147</v>
      </c>
      <c r="L84" s="1132" t="s">
        <v>147</v>
      </c>
      <c r="P84" s="1132" t="s">
        <v>147</v>
      </c>
      <c r="S84" s="1132"/>
      <c r="T84" s="1132" t="s">
        <v>147</v>
      </c>
      <c r="X84" s="1132" t="s">
        <v>147</v>
      </c>
      <c r="AB84" s="678">
        <f>(AB24/AB124)</f>
        <v>0.60242613969868908</v>
      </c>
      <c r="AF84" s="678">
        <f>(AF24/AF124)</f>
        <v>0.59586964759378558</v>
      </c>
      <c r="AJ84" s="678">
        <f>(AJ24/AJ124)</f>
        <v>0.67486976827734868</v>
      </c>
      <c r="AN84" s="678">
        <f>(AN24/AN124)</f>
        <v>0.63334569732937684</v>
      </c>
      <c r="AR84" s="678">
        <f>(AR24/AR124)</f>
        <v>0.61182615183734379</v>
      </c>
      <c r="AV84" s="678">
        <f>(AV24/AV124)</f>
        <v>0.59700111069974082</v>
      </c>
      <c r="AZ84" s="678">
        <f>(AZ24/AZ124)</f>
        <v>0.61842859873829092</v>
      </c>
      <c r="BD84" s="678">
        <f>(BD24/BD124)</f>
        <v>0.59310344827586203</v>
      </c>
      <c r="BH84" s="678">
        <f>(BH24/BH124)</f>
        <v>0.6200509377170641</v>
      </c>
      <c r="BL84" s="678">
        <f>(BL24/BL124)</f>
        <v>0.61841109709962172</v>
      </c>
      <c r="BP84" s="678">
        <f>(BP24/BP124)</f>
        <v>0.61586475942782837</v>
      </c>
      <c r="BT84" s="678">
        <f>(BT24/BT124)</f>
        <v>1.0191350937619594</v>
      </c>
      <c r="BX84" s="678" t="e">
        <f>(BX24/BX124)</f>
        <v>#DIV/0!</v>
      </c>
      <c r="CB84" s="196">
        <f>(CB24/CB124)</f>
        <v>0</v>
      </c>
    </row>
    <row r="85" spans="1:82" hidden="1" outlineLevel="1">
      <c r="A85" s="398" t="str">
        <f t="shared" si="4"/>
        <v>4Q</v>
      </c>
      <c r="B85" s="398" t="str">
        <f t="shared" si="4"/>
        <v>Jan</v>
      </c>
      <c r="D85" s="1132" t="s">
        <v>147</v>
      </c>
      <c r="H85" s="1132" t="s">
        <v>147</v>
      </c>
      <c r="L85" s="1132" t="s">
        <v>147</v>
      </c>
      <c r="P85" s="1132" t="s">
        <v>147</v>
      </c>
      <c r="S85" s="1132"/>
      <c r="T85" s="1132" t="s">
        <v>147</v>
      </c>
      <c r="X85" s="678">
        <f>(X25/X125)</f>
        <v>0.5523429710867398</v>
      </c>
      <c r="AB85" s="678">
        <f>(AB25/AB125)</f>
        <v>0.53431085043988269</v>
      </c>
      <c r="AF85" s="678">
        <f>(AF25/AF125)</f>
        <v>0.55904936014625228</v>
      </c>
      <c r="AJ85" s="678">
        <f>(AJ25/AJ125)</f>
        <v>0.58034061458718988</v>
      </c>
      <c r="AN85" s="678">
        <f>(AN25/AN125)</f>
        <v>0.51788693234476368</v>
      </c>
      <c r="AR85" s="678">
        <f>(AR25/AR125)</f>
        <v>0.53065774804905241</v>
      </c>
      <c r="AV85" s="678">
        <f>(AV25/AV125)</f>
        <v>0.49402762224710711</v>
      </c>
      <c r="AZ85" s="678">
        <f>(AZ25/AZ125)</f>
        <v>0.49422587590526523</v>
      </c>
      <c r="BD85" s="678">
        <f>(BD25/BD125)</f>
        <v>0.56746560142032842</v>
      </c>
      <c r="BH85" s="678">
        <f>(BH25/BH125)</f>
        <v>0.52163344676713663</v>
      </c>
      <c r="BL85" s="678">
        <f>(BL25/BL125)</f>
        <v>0.5472076133233158</v>
      </c>
      <c r="BP85" s="678">
        <f>(BP25/BP125)</f>
        <v>0.60529801324503307</v>
      </c>
      <c r="BT85" s="678">
        <f>(BT25/BT125)</f>
        <v>0.605144149236857</v>
      </c>
      <c r="BX85" s="678" t="e">
        <f>(BX25/BX125)</f>
        <v>#DIV/0!</v>
      </c>
      <c r="CB85" s="196">
        <f>(CB25/CB125)</f>
        <v>-25624.99319701186</v>
      </c>
    </row>
    <row r="86" spans="1:82" collapsed="1"/>
    <row r="106" spans="1:82" outlineLevel="1">
      <c r="A106" s="1121" t="s">
        <v>210</v>
      </c>
      <c r="B106" s="593"/>
      <c r="C106" s="593"/>
      <c r="D106" s="593"/>
      <c r="E106" s="593"/>
      <c r="F106" s="593"/>
      <c r="G106" s="593"/>
      <c r="H106" s="593"/>
      <c r="I106" s="593"/>
      <c r="J106" s="593"/>
      <c r="K106" s="593"/>
      <c r="L106" s="593"/>
      <c r="M106" s="593"/>
      <c r="N106" s="593"/>
      <c r="O106" s="593"/>
      <c r="P106" s="593"/>
      <c r="Q106" s="593"/>
      <c r="R106" s="593"/>
      <c r="S106" s="593"/>
      <c r="T106" s="593"/>
      <c r="U106" s="593"/>
      <c r="V106" s="593"/>
      <c r="W106" s="593"/>
      <c r="X106" s="593"/>
      <c r="Y106" s="593"/>
      <c r="Z106" s="593"/>
      <c r="AA106" s="593"/>
      <c r="AB106" s="593"/>
      <c r="AC106" s="593"/>
      <c r="AD106" s="593"/>
      <c r="AE106" s="593"/>
      <c r="AF106" s="593"/>
      <c r="AG106" s="593"/>
      <c r="AH106" s="593"/>
      <c r="AI106" s="593"/>
      <c r="AJ106" s="593"/>
      <c r="AK106" s="593"/>
      <c r="AL106" s="593"/>
      <c r="AM106" s="593"/>
      <c r="AN106" s="593"/>
      <c r="AO106" s="593"/>
      <c r="AP106" s="593"/>
      <c r="AQ106" s="593"/>
      <c r="AR106" s="593"/>
      <c r="AS106" s="593"/>
      <c r="AT106" s="593"/>
      <c r="AU106" s="593"/>
      <c r="AV106" s="593"/>
      <c r="AW106" s="593"/>
      <c r="AX106" s="593"/>
      <c r="AY106" s="593"/>
      <c r="AZ106" s="593"/>
      <c r="BA106" s="593"/>
      <c r="BB106" s="593"/>
      <c r="BC106" s="593"/>
      <c r="BD106" s="593"/>
      <c r="BE106" s="593"/>
      <c r="BF106" s="593"/>
      <c r="BG106" s="593"/>
      <c r="BH106" s="593"/>
      <c r="BI106" s="593"/>
      <c r="BJ106" s="593"/>
      <c r="BL106" s="593"/>
      <c r="BM106" s="593"/>
      <c r="BN106" s="593"/>
      <c r="BP106" s="593"/>
      <c r="BQ106" s="593"/>
      <c r="BR106" s="593"/>
      <c r="BT106" s="593"/>
      <c r="BU106" s="593"/>
      <c r="BV106" s="593"/>
      <c r="BX106" s="593"/>
      <c r="BY106" s="593"/>
      <c r="BZ106" s="593"/>
      <c r="CB106" s="1507"/>
      <c r="CC106" s="1507"/>
      <c r="CD106" s="1507"/>
    </row>
    <row r="107" spans="1:82" outlineLevel="1">
      <c r="A107" s="398" t="str">
        <f t="shared" ref="A107:B110" si="5">A58</f>
        <v>1Q</v>
      </c>
      <c r="B107" s="398" t="str">
        <f t="shared" si="5"/>
        <v>Apr</v>
      </c>
      <c r="D107" s="791">
        <f>'qtrP&amp;L'!BC20</f>
        <v>5273</v>
      </c>
      <c r="H107" s="791">
        <f>'qtrP&amp;L'!BG20</f>
        <v>5360</v>
      </c>
      <c r="L107" s="791">
        <f>'qtrP&amp;L'!BK20</f>
        <v>2593</v>
      </c>
      <c r="P107" s="791">
        <f>'qtrP&amp;L'!BO20</f>
        <v>2483</v>
      </c>
      <c r="T107" s="791">
        <f>'qtrP&amp;L'!BS20</f>
        <v>2233</v>
      </c>
      <c r="X107" s="791">
        <f>'qtrP&amp;L'!BW20</f>
        <v>2438</v>
      </c>
      <c r="AB107" s="791">
        <f>'qtrP&amp;L'!CA20</f>
        <v>2470</v>
      </c>
      <c r="AF107" s="791">
        <f>'qtrP&amp;L'!CE20</f>
        <v>2498</v>
      </c>
      <c r="AJ107" s="791">
        <f>'qtrP&amp;L'!CI20</f>
        <v>2543</v>
      </c>
      <c r="AN107" s="791">
        <f>'qtrP&amp;L'!CM20</f>
        <v>2477</v>
      </c>
      <c r="AR107" s="791">
        <f>'qtrP&amp;L'!CQ20</f>
        <v>2312.4351206486276</v>
      </c>
      <c r="AV107" s="791">
        <f>'qtrP&amp;L'!CU20</f>
        <v>2299</v>
      </c>
      <c r="AZ107" s="791">
        <f>'qtrP&amp;L'!CY20</f>
        <v>2348</v>
      </c>
      <c r="BD107" s="791">
        <f>'qtrP&amp;L'!DC20</f>
        <v>1913</v>
      </c>
      <c r="BH107" s="791">
        <f>'qtrP&amp;L'!DG20</f>
        <v>1823</v>
      </c>
      <c r="BL107" s="791">
        <f>'qtrP&amp;L'!DK20</f>
        <v>1875</v>
      </c>
      <c r="BP107" s="791">
        <f>'qtrP&amp;L'!DP20</f>
        <v>1816</v>
      </c>
      <c r="BT107" s="791">
        <f>'qtrP&amp;L'!DU20</f>
        <v>1793</v>
      </c>
      <c r="BX107" s="791">
        <f>'qtrP&amp;L'!DY20</f>
        <v>0</v>
      </c>
      <c r="CB107" s="1511">
        <f>'qtrP&amp;L'!EC20</f>
        <v>0</v>
      </c>
    </row>
    <row r="108" spans="1:82" outlineLevel="1">
      <c r="A108" s="398" t="str">
        <f t="shared" si="5"/>
        <v>2Q</v>
      </c>
      <c r="B108" s="398" t="str">
        <f t="shared" si="5"/>
        <v>Jul</v>
      </c>
      <c r="D108" s="791">
        <f>'qtrP&amp;L'!BC21</f>
        <v>5160</v>
      </c>
      <c r="H108" s="791">
        <f>'qtrP&amp;L'!BG21</f>
        <v>5054</v>
      </c>
      <c r="L108" s="791">
        <f>'qtrP&amp;L'!BK21</f>
        <v>2568</v>
      </c>
      <c r="P108" s="791">
        <f>'qtrP&amp;L'!BO21</f>
        <v>2303.982</v>
      </c>
      <c r="T108" s="791">
        <f>'qtrP&amp;L'!BS21</f>
        <v>2298</v>
      </c>
      <c r="X108" s="791">
        <f>'qtrP&amp;L'!BW21</f>
        <v>2416</v>
      </c>
      <c r="AB108" s="791">
        <f>'qtrP&amp;L'!CA21</f>
        <v>2508</v>
      </c>
      <c r="AF108" s="791">
        <f>'qtrP&amp;L'!CE21</f>
        <v>2655.0879999999997</v>
      </c>
      <c r="AJ108" s="791">
        <f>'qtrP&amp;L'!CI21</f>
        <v>2716.93</v>
      </c>
      <c r="AN108" s="791">
        <f>'qtrP&amp;L'!CM21</f>
        <v>2676.4369120962911</v>
      </c>
      <c r="AR108" s="791">
        <f>'qtrP&amp;L'!CQ21</f>
        <v>2422.6502200871132</v>
      </c>
      <c r="AV108" s="791">
        <f>'qtrP&amp;L'!CU21</f>
        <v>2386</v>
      </c>
      <c r="AZ108" s="791">
        <f>'qtrP&amp;L'!CY21</f>
        <v>2409</v>
      </c>
      <c r="BD108" s="791">
        <f>'qtrP&amp;L'!DC21</f>
        <v>2018</v>
      </c>
      <c r="BH108" s="791">
        <f>'qtrP&amp;L'!DG21</f>
        <v>1876</v>
      </c>
      <c r="BL108" s="791">
        <f>'qtrP&amp;L'!DK21</f>
        <v>1791</v>
      </c>
      <c r="BP108" s="791">
        <f>'qtrP&amp;L'!DP21</f>
        <v>1810</v>
      </c>
      <c r="BT108" s="791">
        <f>'qtrP&amp;L'!DU21</f>
        <v>1834</v>
      </c>
      <c r="BX108" s="791">
        <f>'qtrP&amp;L'!DY21</f>
        <v>0</v>
      </c>
      <c r="CB108" s="1511">
        <f>'qtrP&amp;L'!EC21</f>
        <v>0</v>
      </c>
    </row>
    <row r="109" spans="1:82" outlineLevel="1">
      <c r="A109" s="398" t="str">
        <f t="shared" si="5"/>
        <v>3Q</v>
      </c>
      <c r="B109" s="398" t="str">
        <f t="shared" si="5"/>
        <v>Oct</v>
      </c>
      <c r="D109" s="791">
        <f>'qtrP&amp;L'!BC22</f>
        <v>5434</v>
      </c>
      <c r="H109" s="791">
        <f>'qtrP&amp;L'!BG22</f>
        <v>5461</v>
      </c>
      <c r="L109" s="791">
        <f>'qtrP&amp;L'!BK22</f>
        <v>2812</v>
      </c>
      <c r="P109" s="791">
        <f>'qtrP&amp;L'!BO22</f>
        <v>2719</v>
      </c>
      <c r="T109" s="791">
        <f>'qtrP&amp;L'!BS22</f>
        <v>2629</v>
      </c>
      <c r="X109" s="791">
        <f>'qtrP&amp;L'!BW22</f>
        <v>2656</v>
      </c>
      <c r="AB109" s="791">
        <f>'qtrP&amp;L'!CA22</f>
        <v>2655</v>
      </c>
      <c r="AF109" s="791">
        <f>'qtrP&amp;L'!CE22</f>
        <v>2796</v>
      </c>
      <c r="AJ109" s="791">
        <f>'qtrP&amp;L'!CI22</f>
        <v>2850</v>
      </c>
      <c r="AN109" s="791">
        <f>'qtrP&amp;L'!CM22</f>
        <v>2653.8143589983829</v>
      </c>
      <c r="AR109" s="791">
        <f>'qtrP&amp;L'!CQ22</f>
        <v>2484.3941909596269</v>
      </c>
      <c r="AV109" s="791">
        <f>'qtrP&amp;L'!CU22</f>
        <v>2554</v>
      </c>
      <c r="AZ109" s="791">
        <f>'qtrP&amp;L'!CY22</f>
        <v>2497</v>
      </c>
      <c r="BD109" s="791">
        <f>'qtrP&amp;L'!DC22</f>
        <v>1975</v>
      </c>
      <c r="BH109" s="791">
        <f>'qtrP&amp;L'!DG22</f>
        <v>1960</v>
      </c>
      <c r="BL109" s="791">
        <f>'qtrP&amp;L'!DK22</f>
        <v>1751</v>
      </c>
      <c r="BP109" s="791">
        <f>'qtrP&amp;L'!DP22</f>
        <v>1815</v>
      </c>
      <c r="BT109" s="791">
        <f>'qtrP&amp;L'!DU22</f>
        <v>1795</v>
      </c>
      <c r="BX109" s="791">
        <f>'qtrP&amp;L'!DY22</f>
        <v>0</v>
      </c>
      <c r="CB109" s="1511">
        <f>'qtrP&amp;L'!EC22</f>
        <v>0</v>
      </c>
    </row>
    <row r="110" spans="1:82" outlineLevel="1">
      <c r="A110" s="398" t="str">
        <f t="shared" si="5"/>
        <v>4Q</v>
      </c>
      <c r="B110" s="398" t="str">
        <f t="shared" si="5"/>
        <v>Jan</v>
      </c>
      <c r="D110" s="791">
        <f>'qtrP&amp;L'!BC23</f>
        <v>6884</v>
      </c>
      <c r="H110" s="791">
        <f>'qtrP&amp;L'!BG23</f>
        <v>6672</v>
      </c>
      <c r="L110" s="791">
        <f>'qtrP&amp;L'!BK23</f>
        <v>4037</v>
      </c>
      <c r="P110" s="791">
        <f>'qtrP&amp;L'!BO23</f>
        <v>3793</v>
      </c>
      <c r="T110" s="791">
        <f>'qtrP&amp;L'!BS23</f>
        <v>3855</v>
      </c>
      <c r="X110" s="791">
        <f>'qtrP&amp;L'!BW23</f>
        <v>3812</v>
      </c>
      <c r="AB110" s="791">
        <f>'qtrP&amp;L'!CA23</f>
        <v>3958</v>
      </c>
      <c r="AF110" s="791">
        <f>'qtrP&amp;L'!CE23</f>
        <v>4145</v>
      </c>
      <c r="AJ110" s="791">
        <f>'qtrP&amp;L'!CI23</f>
        <v>4086</v>
      </c>
      <c r="AN110" s="791">
        <f>'qtrP&amp;L'!CM23</f>
        <v>3763.2217076112174</v>
      </c>
      <c r="AR110" s="791">
        <f>'qtrP&amp;L'!CQ23</f>
        <v>3430</v>
      </c>
      <c r="AV110" s="791">
        <f>'qtrP&amp;L'!CU23</f>
        <v>3560</v>
      </c>
      <c r="AZ110" s="791">
        <f>'qtrP&amp;L'!CY23</f>
        <v>3581</v>
      </c>
      <c r="BD110" s="791">
        <f>'qtrP&amp;L'!DC23</f>
        <v>2960</v>
      </c>
      <c r="BH110" s="791">
        <f>'qtrP&amp;L'!DG23</f>
        <v>2708</v>
      </c>
      <c r="BL110" s="791">
        <f>'qtrP&amp;L'!DK23</f>
        <v>2579</v>
      </c>
      <c r="BP110" s="791">
        <f>'qtrP&amp;L'!DP23</f>
        <v>2633</v>
      </c>
      <c r="BT110" s="791">
        <f>'qtrP&amp;L'!DU23</f>
        <v>2649</v>
      </c>
      <c r="BX110" s="791">
        <f>'qtrP&amp;L'!DY23</f>
        <v>0</v>
      </c>
      <c r="CB110" s="1511">
        <f>'qtrP&amp;L'!EC23</f>
        <v>0</v>
      </c>
    </row>
    <row r="111" spans="1:82" outlineLevel="1">
      <c r="A111" s="1121" t="s">
        <v>590</v>
      </c>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c r="AI111" s="593"/>
      <c r="AJ111" s="593"/>
      <c r="AK111" s="593"/>
      <c r="AL111" s="593"/>
      <c r="AM111" s="593"/>
      <c r="AN111" s="593"/>
      <c r="AO111" s="593"/>
      <c r="AP111" s="593"/>
      <c r="AQ111" s="593"/>
      <c r="AR111" s="593"/>
      <c r="AS111" s="593"/>
      <c r="AT111" s="593"/>
      <c r="AU111" s="593"/>
      <c r="AV111" s="593"/>
      <c r="AW111" s="593"/>
      <c r="AX111" s="593"/>
      <c r="AY111" s="593"/>
      <c r="AZ111" s="593"/>
      <c r="BA111" s="593"/>
      <c r="BB111" s="593"/>
      <c r="BC111" s="593"/>
      <c r="BD111" s="593"/>
      <c r="BE111" s="593"/>
      <c r="BF111" s="593"/>
      <c r="BG111" s="593"/>
      <c r="BH111" s="593"/>
      <c r="BI111" s="593"/>
      <c r="BJ111" s="593"/>
      <c r="BL111" s="593"/>
      <c r="BM111" s="593"/>
      <c r="BN111" s="593"/>
      <c r="BP111" s="593"/>
      <c r="BQ111" s="593"/>
      <c r="BR111" s="593"/>
      <c r="BT111" s="593"/>
      <c r="BU111" s="593"/>
      <c r="BV111" s="593"/>
      <c r="BX111" s="593"/>
      <c r="BY111" s="593"/>
      <c r="BZ111" s="593"/>
      <c r="CB111" s="1507"/>
      <c r="CC111" s="1507"/>
      <c r="CD111" s="1507"/>
    </row>
    <row r="112" spans="1:82" outlineLevel="1">
      <c r="A112" s="398" t="str">
        <f>A107</f>
        <v>1Q</v>
      </c>
      <c r="B112" s="398" t="str">
        <f>B107</f>
        <v>Apr</v>
      </c>
      <c r="D112" s="1134" t="s">
        <v>147</v>
      </c>
      <c r="H112" s="791">
        <f>SUM(H107,D108:D110)</f>
        <v>22838</v>
      </c>
      <c r="L112" s="791">
        <f>SUM(L107,H108:H110)</f>
        <v>19780</v>
      </c>
      <c r="P112" s="791">
        <f>SUM(P107,L108:L110)</f>
        <v>11900</v>
      </c>
      <c r="T112" s="791">
        <f>SUM(T107,P108:P110)</f>
        <v>11048.982</v>
      </c>
      <c r="X112" s="791">
        <f>SUM(X107,T108:T110)</f>
        <v>11220</v>
      </c>
      <c r="AB112" s="791">
        <f>SUM(AB107,X108:X110)</f>
        <v>11354</v>
      </c>
      <c r="AF112" s="791">
        <f>SUM(AF107,AB108:AB110)</f>
        <v>11619</v>
      </c>
      <c r="AJ112" s="791">
        <f>SUM(AJ107,AF108:AF110)</f>
        <v>12139.088</v>
      </c>
      <c r="AN112" s="791">
        <f>SUM(AN107,AJ108:AJ110)</f>
        <v>12129.93</v>
      </c>
      <c r="AR112" s="791">
        <f>SUM(AR107,AN108:AN110)</f>
        <v>11405.908099354519</v>
      </c>
      <c r="AV112" s="791">
        <f>SUM(AV107,AR108:AR110)</f>
        <v>10636.04441104674</v>
      </c>
      <c r="AZ112" s="791">
        <f>SUM(AZ107,AV108:AV110)</f>
        <v>10848</v>
      </c>
      <c r="BD112" s="791">
        <f>SUM(BD107,AZ108:AZ110)</f>
        <v>10400</v>
      </c>
      <c r="BH112" s="791">
        <f>SUM(BH107,BD108:BD110)</f>
        <v>8776</v>
      </c>
      <c r="BL112" s="791">
        <f>SUM(BL107,BH108:BH110)</f>
        <v>8419</v>
      </c>
      <c r="BP112" s="791">
        <f>SUM(BP107,BL108:BL110)</f>
        <v>7937</v>
      </c>
      <c r="BT112" s="791">
        <f>SUM(BT107,BQ108:BQ110)</f>
        <v>1793</v>
      </c>
      <c r="BX112" s="791">
        <f>SUM(BX107,BU108:BU110)</f>
        <v>0</v>
      </c>
      <c r="CB112" s="1511">
        <f>SUM(CB107,BY108:BY110)</f>
        <v>0</v>
      </c>
    </row>
    <row r="113" spans="1:82" outlineLevel="1">
      <c r="A113" s="398" t="str">
        <f t="shared" ref="A113:B115" si="6">A108</f>
        <v>2Q</v>
      </c>
      <c r="B113" s="398" t="str">
        <f t="shared" si="6"/>
        <v>Jul</v>
      </c>
      <c r="D113" s="1134" t="s">
        <v>147</v>
      </c>
      <c r="H113" s="791">
        <f>SUM(H107:H108,D109:D110)</f>
        <v>22732</v>
      </c>
      <c r="L113" s="791">
        <f>SUM(L107:L108,H109:H110)</f>
        <v>17294</v>
      </c>
      <c r="P113" s="791">
        <f>SUM(P107:P108,L109:L110)</f>
        <v>11635.982</v>
      </c>
      <c r="T113" s="791">
        <f>SUM(T107:T108,P109:P110)</f>
        <v>11043</v>
      </c>
      <c r="X113" s="791">
        <f>SUM(X107:X108,T109:T110)</f>
        <v>11338</v>
      </c>
      <c r="AB113" s="791">
        <f>SUM(AB107:AB108,X109:X110)</f>
        <v>11446</v>
      </c>
      <c r="AF113" s="791">
        <f>SUM(AF107:AF108,AB109:AB110)</f>
        <v>11766.088</v>
      </c>
      <c r="AJ113" s="791">
        <f>SUM(AJ107:AJ108,AF109:AF110)</f>
        <v>12200.93</v>
      </c>
      <c r="AN113" s="791">
        <f>SUM(AN107:AN108,AJ109:AJ110)</f>
        <v>12089.436912096291</v>
      </c>
      <c r="AR113" s="791">
        <f>SUM(AR107:AR108,AN109:AN110)</f>
        <v>11152.121407345341</v>
      </c>
      <c r="AV113" s="791">
        <f>SUM(AV107:AV108,AR109:AR110)</f>
        <v>10599.394190959627</v>
      </c>
      <c r="AZ113" s="791">
        <f>SUM(AZ107:AZ108,AV109:AV110)</f>
        <v>10871</v>
      </c>
      <c r="BD113" s="791">
        <f>SUM(BD107:BD108,AZ109:AZ110)</f>
        <v>10009</v>
      </c>
      <c r="BH113" s="791">
        <f>SUM(BH107:BH108,BD109:BD110)</f>
        <v>8634</v>
      </c>
      <c r="BL113" s="791">
        <f>SUM(BL107:BL108,BH109:BH110)</f>
        <v>8334</v>
      </c>
      <c r="BP113" s="791">
        <f>SUM(BP107:BP108,BL109:BL110)</f>
        <v>7956</v>
      </c>
      <c r="BT113" s="791">
        <f>SUM(BT107:BT108,BQ109:BQ110)</f>
        <v>3627</v>
      </c>
      <c r="BX113" s="791">
        <f>SUM(BX107:BX108,BU109:BU110)</f>
        <v>0</v>
      </c>
      <c r="CB113" s="1511">
        <f>SUM(CB107:CB108,BY109:BY110)</f>
        <v>0</v>
      </c>
    </row>
    <row r="114" spans="1:82" outlineLevel="1">
      <c r="A114" s="398" t="str">
        <f t="shared" si="6"/>
        <v>3Q</v>
      </c>
      <c r="B114" s="398" t="str">
        <f t="shared" si="6"/>
        <v>Oct</v>
      </c>
      <c r="D114" s="1134" t="s">
        <v>147</v>
      </c>
      <c r="H114" s="791">
        <f>SUM(H107:H109)+D110</f>
        <v>22759</v>
      </c>
      <c r="L114" s="791">
        <f>SUM(L107:L109)+H110</f>
        <v>14645</v>
      </c>
      <c r="P114" s="791">
        <f>SUM(P107:P109)+L110</f>
        <v>11542.982</v>
      </c>
      <c r="T114" s="791">
        <f>SUM(T107:T109)+P110</f>
        <v>10953</v>
      </c>
      <c r="X114" s="791">
        <f>SUM(X107:X109)+T110</f>
        <v>11365</v>
      </c>
      <c r="AB114" s="791">
        <f>SUM(AB107:AB109)+X110</f>
        <v>11445</v>
      </c>
      <c r="AF114" s="791">
        <f>SUM(AF107:AF109)+AB110</f>
        <v>11907.088</v>
      </c>
      <c r="AJ114" s="791">
        <f>SUM(AJ107:AJ109)+AF110</f>
        <v>12254.93</v>
      </c>
      <c r="AN114" s="791">
        <f>SUM(AN107:AN109)+AJ110</f>
        <v>11893.251271094674</v>
      </c>
      <c r="AR114" s="791">
        <f>SUM(AR107:AR109)+AN110</f>
        <v>10982.701239306585</v>
      </c>
      <c r="AV114" s="791">
        <f>SUM(AV107:AV109)+AR110</f>
        <v>10669</v>
      </c>
      <c r="AZ114" s="791">
        <f>SUM(AZ107:AZ109)+AV110</f>
        <v>10814</v>
      </c>
      <c r="BD114" s="791">
        <f>SUM(BD107:BD109)+AZ110</f>
        <v>9487</v>
      </c>
      <c r="BH114" s="791">
        <f>SUM(BH107:BH109)+BD110</f>
        <v>8619</v>
      </c>
      <c r="BL114" s="791">
        <f>SUM(BL107:BL109)+BH110</f>
        <v>8125</v>
      </c>
      <c r="BP114" s="791">
        <f>SUM(BP107:BP109)+BL110</f>
        <v>8020</v>
      </c>
      <c r="BT114" s="791">
        <f>SUM(BT107:BT109)+BQ110</f>
        <v>5422</v>
      </c>
      <c r="BX114" s="791">
        <f>SUM(BX107:BX109)+BU110</f>
        <v>0</v>
      </c>
      <c r="CB114" s="1511">
        <f>SUM(CB107:CB109)+BY110</f>
        <v>0</v>
      </c>
    </row>
    <row r="115" spans="1:82" outlineLevel="1">
      <c r="A115" s="398" t="str">
        <f t="shared" si="6"/>
        <v>4Q</v>
      </c>
      <c r="B115" s="398" t="str">
        <f t="shared" si="6"/>
        <v>Jan</v>
      </c>
      <c r="D115" s="1134" t="s">
        <v>147</v>
      </c>
      <c r="H115" s="791">
        <f>SUM(H107:H110)</f>
        <v>22547</v>
      </c>
      <c r="L115" s="791">
        <f>SUM(L107:L110)</f>
        <v>12010</v>
      </c>
      <c r="P115" s="791">
        <f>SUM(P107:P110)</f>
        <v>11298.982</v>
      </c>
      <c r="T115" s="791">
        <f>SUM(T107:T110)</f>
        <v>11015</v>
      </c>
      <c r="X115" s="791">
        <f>SUM(X107:X110)</f>
        <v>11322</v>
      </c>
      <c r="AB115" s="791">
        <f>SUM(AB107:AB110)</f>
        <v>11591</v>
      </c>
      <c r="AF115" s="791">
        <f>SUM(AF107:AF110)</f>
        <v>12094.088</v>
      </c>
      <c r="AJ115" s="791">
        <f>SUM(AJ107:AJ110)</f>
        <v>12195.93</v>
      </c>
      <c r="AN115" s="791">
        <f>SUM(AN107:AN110)</f>
        <v>11570.472978705891</v>
      </c>
      <c r="AR115" s="791">
        <f>SUM(AR107:AR110)</f>
        <v>10649.479531695368</v>
      </c>
      <c r="AV115" s="791">
        <f>SUM(AV107:AV110)</f>
        <v>10799</v>
      </c>
      <c r="AZ115" s="791">
        <f>SUM(AZ107:AZ110)</f>
        <v>10835</v>
      </c>
      <c r="BD115" s="791">
        <f>SUM(BD107:BD110)</f>
        <v>8866</v>
      </c>
      <c r="BH115" s="791">
        <f>SUM(BH107:BH110)</f>
        <v>8367</v>
      </c>
      <c r="BL115" s="791">
        <f>SUM(BL107:BL110)</f>
        <v>7996</v>
      </c>
      <c r="BP115" s="791">
        <f>SUM(BP107:BP110)</f>
        <v>8074</v>
      </c>
      <c r="BT115" s="791">
        <f>SUM(BT107:BT110)</f>
        <v>8071</v>
      </c>
      <c r="BX115" s="791">
        <f>SUM(BX107:BX110)</f>
        <v>0</v>
      </c>
      <c r="CB115" s="1511">
        <f>SUM(CB107:CB110)</f>
        <v>0</v>
      </c>
    </row>
    <row r="116" spans="1:82" outlineLevel="1">
      <c r="A116" s="1121" t="s">
        <v>211</v>
      </c>
      <c r="B116" s="593"/>
      <c r="C116" s="593"/>
      <c r="D116" s="593"/>
      <c r="E116" s="593"/>
      <c r="F116" s="593"/>
      <c r="G116" s="593"/>
      <c r="H116" s="593"/>
      <c r="I116" s="593"/>
      <c r="J116" s="593"/>
      <c r="K116" s="593"/>
      <c r="L116" s="593"/>
      <c r="M116" s="593"/>
      <c r="N116" s="593"/>
      <c r="O116" s="593"/>
      <c r="P116" s="593"/>
      <c r="Q116" s="593"/>
      <c r="R116" s="593"/>
      <c r="S116" s="593"/>
      <c r="T116" s="593"/>
      <c r="U116" s="593"/>
      <c r="V116" s="593"/>
      <c r="W116" s="593"/>
      <c r="X116" s="593"/>
      <c r="Y116" s="593"/>
      <c r="Z116" s="593"/>
      <c r="AA116" s="593"/>
      <c r="AB116" s="593"/>
      <c r="AC116" s="593"/>
      <c r="AD116" s="593"/>
      <c r="AE116" s="593"/>
      <c r="AF116" s="593"/>
      <c r="AG116" s="593"/>
      <c r="AH116" s="593"/>
      <c r="AI116" s="593"/>
      <c r="AJ116" s="593"/>
      <c r="AK116" s="593"/>
      <c r="AL116" s="593"/>
      <c r="AM116" s="593"/>
      <c r="AN116" s="593"/>
      <c r="AO116" s="593"/>
      <c r="AP116" s="593"/>
      <c r="AQ116" s="593"/>
      <c r="AR116" s="593"/>
      <c r="AS116" s="593"/>
      <c r="AT116" s="593"/>
      <c r="AU116" s="593"/>
      <c r="AV116" s="593"/>
      <c r="AW116" s="593"/>
      <c r="AX116" s="593"/>
      <c r="AY116" s="593"/>
      <c r="AZ116" s="593"/>
      <c r="BA116" s="593"/>
      <c r="BB116" s="593"/>
      <c r="BC116" s="593"/>
      <c r="BD116" s="593"/>
      <c r="BE116" s="593"/>
      <c r="BF116" s="593"/>
      <c r="BG116" s="593"/>
      <c r="BH116" s="593"/>
      <c r="BI116" s="593"/>
      <c r="BJ116" s="593"/>
      <c r="BL116" s="593"/>
      <c r="BM116" s="593"/>
      <c r="BN116" s="593"/>
      <c r="BP116" s="593"/>
      <c r="BQ116" s="593"/>
      <c r="BR116" s="593"/>
      <c r="BT116" s="593"/>
      <c r="BU116" s="593"/>
      <c r="BV116" s="593"/>
      <c r="BX116" s="593"/>
      <c r="BY116" s="593"/>
      <c r="BZ116" s="593"/>
      <c r="CB116" s="1507"/>
      <c r="CC116" s="1507"/>
      <c r="CD116" s="1507"/>
    </row>
    <row r="117" spans="1:82" outlineLevel="1">
      <c r="A117" s="398" t="str">
        <f>A112</f>
        <v>1Q</v>
      </c>
      <c r="B117" s="398" t="str">
        <f>B112</f>
        <v>Apr</v>
      </c>
      <c r="D117" s="1134" t="s">
        <v>147</v>
      </c>
      <c r="H117" s="1134" t="s">
        <v>147</v>
      </c>
      <c r="L117" s="1134" t="s">
        <v>147</v>
      </c>
      <c r="P117" s="1134" t="s">
        <v>147</v>
      </c>
      <c r="T117" s="1134" t="s">
        <v>147</v>
      </c>
      <c r="X117" s="791">
        <f>'qtrP&amp;L'!BW30</f>
        <v>1193</v>
      </c>
      <c r="AB117" s="791">
        <f>'qtrP&amp;L'!CA30</f>
        <v>1223</v>
      </c>
      <c r="AF117" s="791">
        <f>'qtrP&amp;L'!CE30</f>
        <v>1248</v>
      </c>
      <c r="AJ117" s="791">
        <f>'qtrP&amp;L'!CI30</f>
        <v>1302</v>
      </c>
      <c r="AN117" s="791">
        <f>'qtrP&amp;L'!CM30</f>
        <v>1317</v>
      </c>
      <c r="AR117" s="791">
        <f>'qtrP&amp;L'!CQ30</f>
        <v>1255</v>
      </c>
      <c r="AV117" s="791">
        <f>'qtrP&amp;L'!CU30</f>
        <v>1292</v>
      </c>
      <c r="AZ117" s="791">
        <f>'qtrP&amp;L'!CY30</f>
        <v>1281</v>
      </c>
      <c r="BD117" s="791">
        <f>'qtrP&amp;L'!DC30</f>
        <v>1160</v>
      </c>
      <c r="BH117" s="791">
        <f>'qtrP&amp;L'!DG30</f>
        <v>1078</v>
      </c>
      <c r="BL117" s="791">
        <f>'qtrP&amp;L'!DK30</f>
        <v>1009</v>
      </c>
      <c r="BP117" s="791">
        <f>'qtrP&amp;L'!DP30</f>
        <v>965</v>
      </c>
      <c r="BT117" s="791">
        <f>'qtrP&amp;L'!DU30</f>
        <v>872</v>
      </c>
      <c r="BX117" s="791">
        <f>'qtrP&amp;L'!DY30</f>
        <v>0</v>
      </c>
      <c r="CB117" s="1511">
        <f>'qtrP&amp;L'!EC30</f>
        <v>-3.3256880733944949E-2</v>
      </c>
    </row>
    <row r="118" spans="1:82" outlineLevel="1">
      <c r="A118" s="398" t="str">
        <f t="shared" ref="A118:B120" si="7">A113</f>
        <v>2Q</v>
      </c>
      <c r="B118" s="398" t="str">
        <f t="shared" si="7"/>
        <v>Jul</v>
      </c>
      <c r="D118" s="1134" t="s">
        <v>147</v>
      </c>
      <c r="H118" s="1134" t="s">
        <v>147</v>
      </c>
      <c r="L118" s="1134" t="s">
        <v>147</v>
      </c>
      <c r="P118" s="1134" t="s">
        <v>147</v>
      </c>
      <c r="T118" s="1134" t="s">
        <v>147</v>
      </c>
      <c r="X118" s="791">
        <f>'qtrP&amp;L'!BW31</f>
        <v>1097</v>
      </c>
      <c r="AB118" s="791">
        <f>'qtrP&amp;L'!CA31</f>
        <v>1141</v>
      </c>
      <c r="AF118" s="791">
        <f>'qtrP&amp;L'!CE31</f>
        <v>1208</v>
      </c>
      <c r="AJ118" s="791">
        <f>'qtrP&amp;L'!CI31</f>
        <v>1254</v>
      </c>
      <c r="AN118" s="791">
        <f>'qtrP&amp;L'!CM31</f>
        <v>1270</v>
      </c>
      <c r="AR118" s="791">
        <f>'qtrP&amp;L'!CQ31</f>
        <v>1242</v>
      </c>
      <c r="AV118" s="791">
        <f>'qtrP&amp;L'!CU31</f>
        <v>1275</v>
      </c>
      <c r="AZ118" s="791">
        <f>'qtrP&amp;L'!CY31</f>
        <v>1243</v>
      </c>
      <c r="BD118" s="791">
        <f>'qtrP&amp;L'!DC31</f>
        <v>1050</v>
      </c>
      <c r="BH118" s="791">
        <f>'qtrP&amp;L'!DG31</f>
        <v>1026</v>
      </c>
      <c r="BL118" s="791">
        <f>'qtrP&amp;L'!DK31</f>
        <v>964</v>
      </c>
      <c r="BP118" s="791">
        <f>'qtrP&amp;L'!DP31</f>
        <v>901</v>
      </c>
      <c r="BT118" s="791">
        <f>'qtrP&amp;L'!DU31</f>
        <v>853</v>
      </c>
      <c r="BX118" s="791">
        <f>'qtrP&amp;L'!DY31</f>
        <v>0</v>
      </c>
      <c r="CB118" s="1511">
        <f>'qtrP&amp;L'!EC31</f>
        <v>-1.289566236811257E-2</v>
      </c>
    </row>
    <row r="119" spans="1:82" outlineLevel="1">
      <c r="A119" s="398" t="str">
        <f t="shared" si="7"/>
        <v>3Q</v>
      </c>
      <c r="B119" s="398" t="str">
        <f t="shared" si="7"/>
        <v>Oct</v>
      </c>
      <c r="D119" s="1134" t="s">
        <v>147</v>
      </c>
      <c r="H119" s="1134" t="s">
        <v>147</v>
      </c>
      <c r="L119" s="1134" t="s">
        <v>147</v>
      </c>
      <c r="P119" s="1134" t="s">
        <v>147</v>
      </c>
      <c r="T119" s="1134" t="s">
        <v>147</v>
      </c>
      <c r="X119" s="791">
        <f>'qtrP&amp;L'!BW32</f>
        <v>1271</v>
      </c>
      <c r="AB119" s="791">
        <f>'qtrP&amp;L'!CA32</f>
        <v>1293</v>
      </c>
      <c r="AF119" s="791">
        <f>'qtrP&amp;L'!CE32</f>
        <v>1364</v>
      </c>
      <c r="AJ119" s="791">
        <f>'qtrP&amp;L'!CI32</f>
        <v>1361</v>
      </c>
      <c r="AN119" s="791">
        <f>'qtrP&amp;L'!CM32</f>
        <v>1320</v>
      </c>
      <c r="AR119" s="791">
        <f>'qtrP&amp;L'!CQ32</f>
        <v>1376</v>
      </c>
      <c r="AV119" s="791">
        <f>'qtrP&amp;L'!CU32</f>
        <v>1326</v>
      </c>
      <c r="AZ119" s="791">
        <f>'qtrP&amp;L'!CY32</f>
        <v>1242</v>
      </c>
      <c r="BD119" s="791">
        <f>'qtrP&amp;L'!DC32</f>
        <v>1087</v>
      </c>
      <c r="BH119" s="791">
        <f>'qtrP&amp;L'!DG32</f>
        <v>1006</v>
      </c>
      <c r="BL119" s="791">
        <f>'qtrP&amp;L'!DK32</f>
        <v>988</v>
      </c>
      <c r="BP119" s="791">
        <f>'qtrP&amp;L'!DP32</f>
        <v>947</v>
      </c>
      <c r="BT119" s="791">
        <f>'qtrP&amp;L'!DU32</f>
        <v>888</v>
      </c>
      <c r="BX119" s="791">
        <f>'qtrP&amp;L'!DY32</f>
        <v>0</v>
      </c>
      <c r="CB119" s="1511">
        <f>'qtrP&amp;L'!EC32</f>
        <v>-5.4054054054054057E-2</v>
      </c>
    </row>
    <row r="120" spans="1:82" outlineLevel="1">
      <c r="A120" s="398" t="str">
        <f t="shared" si="7"/>
        <v>4Q</v>
      </c>
      <c r="B120" s="398" t="str">
        <f t="shared" si="7"/>
        <v>Jan</v>
      </c>
      <c r="D120" s="1134" t="s">
        <v>147</v>
      </c>
      <c r="H120" s="1134" t="s">
        <v>147</v>
      </c>
      <c r="L120" s="1134" t="s">
        <v>147</v>
      </c>
      <c r="P120" s="1134" t="s">
        <v>147</v>
      </c>
      <c r="T120" s="1134" t="s">
        <v>147</v>
      </c>
      <c r="X120" s="791">
        <f>'qtrP&amp;L'!BW33</f>
        <v>1454</v>
      </c>
      <c r="AB120" s="791">
        <f>'qtrP&amp;L'!CA33</f>
        <v>1458</v>
      </c>
      <c r="AF120" s="791">
        <f>'qtrP&amp;L'!CE33</f>
        <v>1650</v>
      </c>
      <c r="AJ120" s="791">
        <f>'qtrP&amp;L'!CI33</f>
        <v>1485</v>
      </c>
      <c r="AN120" s="791">
        <f>'qtrP&amp;L'!CM33</f>
        <v>1488</v>
      </c>
      <c r="AR120" s="791">
        <f>'qtrP&amp;L'!CQ33</f>
        <v>1509</v>
      </c>
      <c r="AV120" s="791">
        <f>'qtrP&amp;L'!CU33</f>
        <v>1465</v>
      </c>
      <c r="AZ120" s="791">
        <f>'qtrP&amp;L'!CY33</f>
        <v>1343</v>
      </c>
      <c r="BD120" s="791">
        <f>'qtrP&amp;L'!DC33</f>
        <v>1209</v>
      </c>
      <c r="BH120" s="791">
        <f>'qtrP&amp;L'!DG33</f>
        <v>1004</v>
      </c>
      <c r="BL120" s="791">
        <f>'qtrP&amp;L'!DK33</f>
        <v>1032</v>
      </c>
      <c r="BP120" s="791">
        <f>'qtrP&amp;L'!DP33</f>
        <v>962</v>
      </c>
      <c r="BT120" s="791">
        <f>'qtrP&amp;L'!DU33</f>
        <v>925</v>
      </c>
      <c r="BX120" s="791">
        <f>'qtrP&amp;L'!DY33</f>
        <v>0</v>
      </c>
      <c r="CB120" s="1511">
        <f>'qtrP&amp;L'!EC33</f>
        <v>1.9459459459459483E-2</v>
      </c>
    </row>
    <row r="121" spans="1:82" outlineLevel="1">
      <c r="A121" s="1121" t="s">
        <v>589</v>
      </c>
      <c r="B121" s="593"/>
      <c r="C121" s="593"/>
      <c r="D121" s="593"/>
      <c r="E121" s="593"/>
      <c r="F121" s="593"/>
      <c r="G121" s="593"/>
      <c r="H121" s="593"/>
      <c r="I121" s="593"/>
      <c r="J121" s="593"/>
      <c r="K121" s="593"/>
      <c r="L121" s="593"/>
      <c r="M121" s="593"/>
      <c r="N121" s="593"/>
      <c r="O121" s="593"/>
      <c r="P121" s="593"/>
      <c r="Q121" s="593"/>
      <c r="R121" s="593"/>
      <c r="S121" s="593"/>
      <c r="T121" s="593"/>
      <c r="U121" s="593"/>
      <c r="V121" s="593"/>
      <c r="W121" s="593"/>
      <c r="X121" s="593"/>
      <c r="Y121" s="593"/>
      <c r="Z121" s="593"/>
      <c r="AA121" s="593"/>
      <c r="AB121" s="593"/>
      <c r="AC121" s="593"/>
      <c r="AD121" s="593"/>
      <c r="AE121" s="593"/>
      <c r="AF121" s="593"/>
      <c r="AG121" s="593"/>
      <c r="AH121" s="593"/>
      <c r="AI121" s="593"/>
      <c r="AJ121" s="593"/>
      <c r="AK121" s="593"/>
      <c r="AL121" s="593"/>
      <c r="AM121" s="593"/>
      <c r="AN121" s="593"/>
      <c r="AO121" s="593"/>
      <c r="AP121" s="593"/>
      <c r="AQ121" s="593"/>
      <c r="AR121" s="593"/>
      <c r="AS121" s="593"/>
      <c r="AT121" s="593"/>
      <c r="AU121" s="593"/>
      <c r="AV121" s="593"/>
      <c r="AW121" s="593"/>
      <c r="AX121" s="593"/>
      <c r="AY121" s="593"/>
      <c r="AZ121" s="593"/>
      <c r="BA121" s="593"/>
      <c r="BB121" s="593"/>
      <c r="BC121" s="593"/>
      <c r="BD121" s="593"/>
      <c r="BE121" s="593"/>
      <c r="BF121" s="593"/>
      <c r="BG121" s="593"/>
      <c r="BH121" s="593"/>
      <c r="BI121" s="593"/>
      <c r="BJ121" s="593"/>
      <c r="BL121" s="593"/>
      <c r="BM121" s="593"/>
      <c r="BN121" s="593"/>
      <c r="BP121" s="593"/>
      <c r="BQ121" s="593"/>
      <c r="BR121" s="593"/>
      <c r="BT121" s="593"/>
      <c r="BU121" s="593"/>
      <c r="BV121" s="593"/>
      <c r="BX121" s="593"/>
      <c r="BY121" s="593"/>
      <c r="BZ121" s="593"/>
      <c r="CB121" s="1507"/>
      <c r="CC121" s="1507"/>
      <c r="CD121" s="1507"/>
    </row>
    <row r="122" spans="1:82" outlineLevel="1">
      <c r="A122" s="398" t="str">
        <f t="shared" ref="A122:B125" si="8">A117</f>
        <v>1Q</v>
      </c>
      <c r="B122" s="398" t="str">
        <f t="shared" si="8"/>
        <v>Apr</v>
      </c>
      <c r="D122" s="1134" t="s">
        <v>147</v>
      </c>
      <c r="H122" s="1134" t="s">
        <v>147</v>
      </c>
      <c r="L122" s="1134" t="s">
        <v>147</v>
      </c>
      <c r="P122" s="1134" t="s">
        <v>147</v>
      </c>
      <c r="T122" s="1134" t="s">
        <v>147</v>
      </c>
      <c r="X122" s="1134" t="s">
        <v>147</v>
      </c>
      <c r="AB122" s="791">
        <f>SUM(AB117,X118:X120)</f>
        <v>5045</v>
      </c>
      <c r="AF122" s="791">
        <f>SUM(AF117,AB118:AB120)</f>
        <v>5140</v>
      </c>
      <c r="AJ122" s="791">
        <f>SUM(AJ117,AF118:AF120)</f>
        <v>5524</v>
      </c>
      <c r="AN122" s="791">
        <f>SUM(AN117,AJ118:AJ120)</f>
        <v>5417</v>
      </c>
      <c r="AR122" s="791">
        <f>SUM(AR117,AN118:AN120)</f>
        <v>5333</v>
      </c>
      <c r="AV122" s="791">
        <f>SUM(AV117,AR118:AR120)</f>
        <v>5419</v>
      </c>
      <c r="AZ122" s="791">
        <f>SUM(AZ117,AV118:AV120)</f>
        <v>5347</v>
      </c>
      <c r="BD122" s="791">
        <f>SUM(BD117,AZ118:AZ120)</f>
        <v>4988</v>
      </c>
      <c r="BH122" s="791">
        <f>SUM(BH117,BD118:BD120)</f>
        <v>4424</v>
      </c>
      <c r="BL122" s="791">
        <f>SUM(BL117,BH118:BH120)</f>
        <v>4045</v>
      </c>
      <c r="BP122" s="791">
        <f>SUM(BP117,BL118:BL120)</f>
        <v>3949</v>
      </c>
      <c r="BT122" s="791">
        <f>SUM(BT117,BQ118:BQ120)</f>
        <v>872</v>
      </c>
      <c r="BX122" s="791">
        <f>SUM(BX117,BU118:BU120)</f>
        <v>0</v>
      </c>
      <c r="CB122" s="1511">
        <f>SUM(CB117,BY118:BY120)</f>
        <v>-3.3256880733944949E-2</v>
      </c>
    </row>
    <row r="123" spans="1:82" outlineLevel="1">
      <c r="A123" s="398" t="str">
        <f t="shared" si="8"/>
        <v>2Q</v>
      </c>
      <c r="B123" s="398" t="str">
        <f t="shared" si="8"/>
        <v>Jul</v>
      </c>
      <c r="D123" s="1134" t="s">
        <v>147</v>
      </c>
      <c r="H123" s="1134" t="s">
        <v>147</v>
      </c>
      <c r="L123" s="1134" t="s">
        <v>147</v>
      </c>
      <c r="P123" s="1134" t="s">
        <v>147</v>
      </c>
      <c r="T123" s="1134" t="s">
        <v>147</v>
      </c>
      <c r="X123" s="1134" t="s">
        <v>147</v>
      </c>
      <c r="AB123" s="791">
        <f>SUM(AB117:AB118,X119:X120)</f>
        <v>5089</v>
      </c>
      <c r="AF123" s="791">
        <f>SUM(AF117:AF118,AB119:AB120)</f>
        <v>5207</v>
      </c>
      <c r="AJ123" s="791">
        <f>SUM(AJ117:AJ118,AF119:AF120)</f>
        <v>5570</v>
      </c>
      <c r="AN123" s="791">
        <f>SUM(AN117:AN118,AJ119:AJ120)</f>
        <v>5433</v>
      </c>
      <c r="AR123" s="791">
        <f>SUM(AR117:AR118,AN119:AN120)</f>
        <v>5305</v>
      </c>
      <c r="AV123" s="791">
        <f>SUM(AV117:AV118,AR119:AR120)</f>
        <v>5452</v>
      </c>
      <c r="AZ123" s="791">
        <f>SUM(AZ117:AZ118,AV119:AV120)</f>
        <v>5315</v>
      </c>
      <c r="BD123" s="791">
        <f>SUM(BD117:BD118,AZ119:AZ120)</f>
        <v>4795</v>
      </c>
      <c r="BH123" s="791">
        <f>SUM(BH117:BH118,BD119:BD120)</f>
        <v>4400</v>
      </c>
      <c r="BL123" s="791">
        <f>SUM(BL117:BL118,BH119:BH120)</f>
        <v>3983</v>
      </c>
      <c r="BP123" s="791">
        <f>SUM(BP117:BP118,BL119:BL120)</f>
        <v>3886</v>
      </c>
      <c r="BT123" s="791">
        <f>SUM(BT117:BT118,BQ119:BQ120)</f>
        <v>1725</v>
      </c>
      <c r="BX123" s="791">
        <f>SUM(BX117:BX118,BU119:BU120)</f>
        <v>0</v>
      </c>
      <c r="CB123" s="1511">
        <f>SUM(CB117:CB118,BY119:BY120)</f>
        <v>-4.6152543102057519E-2</v>
      </c>
    </row>
    <row r="124" spans="1:82" outlineLevel="1">
      <c r="A124" s="398" t="str">
        <f t="shared" si="8"/>
        <v>3Q</v>
      </c>
      <c r="B124" s="398" t="str">
        <f t="shared" si="8"/>
        <v>Oct</v>
      </c>
      <c r="D124" s="1134" t="s">
        <v>147</v>
      </c>
      <c r="H124" s="1134" t="s">
        <v>147</v>
      </c>
      <c r="L124" s="1134" t="s">
        <v>147</v>
      </c>
      <c r="P124" s="1134" t="s">
        <v>147</v>
      </c>
      <c r="T124" s="1134" t="s">
        <v>147</v>
      </c>
      <c r="X124" s="1134" t="s">
        <v>147</v>
      </c>
      <c r="AB124" s="791">
        <f>SUM(AB117:AB119)+X120</f>
        <v>5111</v>
      </c>
      <c r="AF124" s="791">
        <f>SUM(AF117:AF119)+AB120</f>
        <v>5278</v>
      </c>
      <c r="AJ124" s="791">
        <f>SUM(AJ117:AJ119)+AF120</f>
        <v>5567</v>
      </c>
      <c r="AN124" s="791">
        <f>SUM(AN117:AN119)+AJ120</f>
        <v>5392</v>
      </c>
      <c r="AR124" s="791">
        <f>SUM(AR117:AR119)+AN120</f>
        <v>5361</v>
      </c>
      <c r="AV124" s="791">
        <f>SUM(AV117:AV119)+AR120</f>
        <v>5402</v>
      </c>
      <c r="AZ124" s="791">
        <f>SUM(AZ117:AZ119)+AV120</f>
        <v>5231</v>
      </c>
      <c r="BD124" s="791">
        <f>SUM(BD117:BD119)+AZ120</f>
        <v>4640</v>
      </c>
      <c r="BH124" s="791">
        <f>SUM(BH117:BH119)+BD120</f>
        <v>4319</v>
      </c>
      <c r="BL124" s="791">
        <f>SUM(BL117:BL119)+BH120</f>
        <v>3965</v>
      </c>
      <c r="BP124" s="791">
        <f>SUM(BP117:BP119)+BL120</f>
        <v>3845</v>
      </c>
      <c r="BT124" s="791">
        <f>SUM(BT117:BT119)+BQ120</f>
        <v>2613</v>
      </c>
      <c r="BX124" s="791">
        <f>SUM(BX117:BX119)+BU120</f>
        <v>0</v>
      </c>
      <c r="CB124" s="1511">
        <f>SUM(CB117:CB119)+BY120</f>
        <v>-0.10020659715611158</v>
      </c>
    </row>
    <row r="125" spans="1:82" outlineLevel="1">
      <c r="A125" s="398" t="str">
        <f t="shared" si="8"/>
        <v>4Q</v>
      </c>
      <c r="B125" s="398" t="str">
        <f t="shared" si="8"/>
        <v>Jan</v>
      </c>
      <c r="D125" s="1134" t="s">
        <v>147</v>
      </c>
      <c r="H125" s="1134" t="s">
        <v>147</v>
      </c>
      <c r="L125" s="1134" t="s">
        <v>147</v>
      </c>
      <c r="P125" s="1134" t="s">
        <v>147</v>
      </c>
      <c r="T125" s="1134" t="s">
        <v>147</v>
      </c>
      <c r="X125" s="791">
        <f>SUM(X117:X120)</f>
        <v>5015</v>
      </c>
      <c r="AB125" s="791">
        <f>SUM(AB117:AB120)</f>
        <v>5115</v>
      </c>
      <c r="AF125" s="791">
        <f>SUM(AF117:AF120)</f>
        <v>5470</v>
      </c>
      <c r="AJ125" s="791">
        <f>SUM(AJ117:AJ120)</f>
        <v>5402</v>
      </c>
      <c r="AN125" s="791">
        <f>SUM(AN117:AN120)</f>
        <v>5395</v>
      </c>
      <c r="AR125" s="791">
        <f>SUM(AR117:AR120)</f>
        <v>5382</v>
      </c>
      <c r="AV125" s="791">
        <f>SUM(AV117:AV120)</f>
        <v>5358</v>
      </c>
      <c r="AZ125" s="791">
        <f>SUM(AZ117:AZ120)</f>
        <v>5109</v>
      </c>
      <c r="BD125" s="791">
        <f>SUM(BD117:BD120)</f>
        <v>4506</v>
      </c>
      <c r="BH125" s="791">
        <f>SUM(BH117:BH120)</f>
        <v>4114</v>
      </c>
      <c r="BL125" s="791">
        <f>SUM(BL117:BL120)</f>
        <v>3993</v>
      </c>
      <c r="BP125" s="791">
        <f>SUM(BP117:BP120)</f>
        <v>3775</v>
      </c>
      <c r="BT125" s="791">
        <f>SUM(BT117:BT120)</f>
        <v>3538</v>
      </c>
      <c r="BX125" s="791">
        <f>SUM(BX117:BX120)</f>
        <v>0</v>
      </c>
      <c r="CB125" s="1511">
        <f>SUM(CB117:CB120)</f>
        <v>-8.0747137696652094E-2</v>
      </c>
    </row>
    <row r="126" spans="1:82" outlineLevel="1"/>
    <row r="127" spans="1:82" outlineLevel="1"/>
  </sheetData>
  <phoneticPr fontId="10" type="noConversion"/>
  <printOptions horizontalCentered="1" verticalCentered="1"/>
  <pageMargins left="0.75" right="0.75" top="0" bottom="0" header="0.5" footer="0.5"/>
  <pageSetup orientation="landscape"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X75"/>
  <sheetViews>
    <sheetView showGridLines="0" zoomScale="85" zoomScaleNormal="85" workbookViewId="0"/>
  </sheetViews>
  <sheetFormatPr defaultRowHeight="12.75" outlineLevelRow="1" outlineLevelCol="1"/>
  <cols>
    <col min="1" max="1" width="1.85546875" style="398" customWidth="1"/>
    <col min="2" max="2" width="4" style="398" customWidth="1"/>
    <col min="3" max="3" width="29.140625" style="398" customWidth="1"/>
    <col min="4" max="4" width="2.140625" style="398" customWidth="1"/>
    <col min="5" max="20" width="9.140625" style="398" hidden="1" customWidth="1" outlineLevel="1"/>
    <col min="21" max="21" width="9.140625" style="398" hidden="1" customWidth="1" outlineLevel="1" collapsed="1"/>
    <col min="22" max="26" width="9.140625" style="398" hidden="1" customWidth="1" outlineLevel="1"/>
    <col min="27" max="27" width="9.28515625" style="398" hidden="1" customWidth="1" outlineLevel="1"/>
    <col min="28" max="28" width="8.28515625" style="398" customWidth="1" collapsed="1"/>
    <col min="29" max="29" width="8.7109375" style="398" customWidth="1"/>
    <col min="30" max="32" width="8.85546875" style="398" customWidth="1"/>
    <col min="33" max="34" width="8.140625" style="398" customWidth="1"/>
    <col min="35" max="35" width="7.5703125" style="136" customWidth="1"/>
    <col min="36" max="36" width="8.28515625" style="398" customWidth="1"/>
    <col min="37" max="38" width="8.28515625" style="582" customWidth="1"/>
    <col min="39" max="39" width="8.28515625" style="582" hidden="1" customWidth="1" outlineLevel="1"/>
    <col min="40" max="40" width="10.28515625" style="582" hidden="1" customWidth="1" outlineLevel="1"/>
    <col min="41" max="41" width="9.28515625" style="398" customWidth="1" collapsed="1"/>
    <col min="42" max="42" width="14.42578125" style="398" customWidth="1"/>
    <col min="43" max="43" width="23.85546875" style="398" customWidth="1"/>
    <col min="44" max="44" width="24.85546875" hidden="1" customWidth="1" outlineLevel="1"/>
    <col min="45" max="49" width="9.140625" hidden="1" customWidth="1" outlineLevel="1"/>
    <col min="50" max="50" width="9.140625" style="398" collapsed="1"/>
    <col min="51" max="16384" width="9.140625" style="398"/>
  </cols>
  <sheetData>
    <row r="1" spans="1:43">
      <c r="A1" s="582" t="s">
        <v>442</v>
      </c>
    </row>
    <row r="2" spans="1:43">
      <c r="A2" s="686" t="s">
        <v>725</v>
      </c>
      <c r="B2" s="584"/>
      <c r="C2" s="584"/>
      <c r="D2" s="584"/>
      <c r="E2" s="584"/>
      <c r="F2" s="584"/>
      <c r="G2" s="584"/>
      <c r="H2" s="584"/>
      <c r="I2" s="584"/>
      <c r="J2" s="584"/>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186"/>
      <c r="AJ2" s="584"/>
      <c r="AK2" s="686"/>
      <c r="AL2" s="686"/>
      <c r="AM2" s="686"/>
      <c r="AN2" s="686"/>
      <c r="AO2" s="584"/>
      <c r="AP2" s="584"/>
      <c r="AQ2" s="584"/>
    </row>
    <row r="3" spans="1:43">
      <c r="A3" s="585" t="s">
        <v>148</v>
      </c>
    </row>
    <row r="4" spans="1:43">
      <c r="A4" s="585" t="s">
        <v>149</v>
      </c>
      <c r="Z4" s="612"/>
      <c r="AD4" s="1161"/>
      <c r="AE4" s="1161"/>
      <c r="AF4" s="1161"/>
      <c r="AG4" s="1161"/>
      <c r="AH4" s="1161"/>
      <c r="AI4" s="276"/>
      <c r="AJ4" s="1161"/>
      <c r="AK4" s="1162"/>
      <c r="AL4" s="1162"/>
      <c r="AM4" s="1162"/>
      <c r="AN4" s="1162"/>
    </row>
    <row r="5" spans="1:43">
      <c r="AD5" s="591"/>
      <c r="AE5" s="1161"/>
      <c r="AF5" s="1161"/>
      <c r="AG5" s="1161"/>
      <c r="AH5" s="1161"/>
      <c r="AI5" s="276"/>
      <c r="AJ5" s="1161"/>
      <c r="AK5" s="1162"/>
      <c r="AL5" s="1162"/>
      <c r="AM5" s="1162"/>
      <c r="AN5" s="1162"/>
      <c r="AO5" s="612"/>
      <c r="AP5" s="612"/>
      <c r="AQ5" s="612"/>
    </row>
    <row r="6" spans="1:43">
      <c r="E6" s="1086">
        <f>bal!E6</f>
        <v>1989</v>
      </c>
      <c r="F6" s="1086">
        <f>bal!F6</f>
        <v>1990</v>
      </c>
      <c r="G6" s="1086">
        <f>bal!G6</f>
        <v>1991</v>
      </c>
      <c r="H6" s="1086">
        <f>bal!H6</f>
        <v>1992</v>
      </c>
      <c r="I6" s="1086">
        <f>bal!I6</f>
        <v>1993</v>
      </c>
      <c r="J6" s="1086">
        <f>bal!J6</f>
        <v>1994</v>
      </c>
      <c r="K6" s="1086">
        <f>bal!K6</f>
        <v>1995</v>
      </c>
      <c r="L6" s="1086">
        <f>bal!L6</f>
        <v>1996</v>
      </c>
      <c r="M6" s="1086">
        <f>bal!M6</f>
        <v>1997</v>
      </c>
      <c r="N6" s="1086">
        <f>bal!N6</f>
        <v>1998</v>
      </c>
      <c r="O6" s="1086">
        <f>bal!O6</f>
        <v>1999</v>
      </c>
      <c r="P6" s="1086">
        <f>bal!P6</f>
        <v>2000</v>
      </c>
      <c r="Q6" s="1086">
        <f>bal!Q6</f>
        <v>2001</v>
      </c>
      <c r="R6" s="1086">
        <f>bal!R6</f>
        <v>2002</v>
      </c>
      <c r="S6" s="1086" t="str">
        <f>bal!S6</f>
        <v>2001R</v>
      </c>
      <c r="T6" s="1086" t="str">
        <f>bal!T6</f>
        <v>2002R</v>
      </c>
      <c r="U6" s="1086">
        <f>bal!U6</f>
        <v>2003</v>
      </c>
      <c r="V6" s="1086">
        <f>bal!V6</f>
        <v>2004</v>
      </c>
      <c r="W6" s="1086">
        <f>bal!W6</f>
        <v>2005</v>
      </c>
      <c r="X6" s="1086">
        <f>bal!X6</f>
        <v>2006</v>
      </c>
      <c r="Y6" s="1086">
        <f>bal!Y6</f>
        <v>2007</v>
      </c>
      <c r="Z6" s="1086">
        <f>bal!Z6</f>
        <v>2008</v>
      </c>
      <c r="AA6" s="1086">
        <f>bal!AA6</f>
        <v>2009</v>
      </c>
      <c r="AB6" s="1086">
        <f>bal!AB6</f>
        <v>2010</v>
      </c>
      <c r="AC6" s="1086">
        <f>bal!AC6</f>
        <v>2011</v>
      </c>
      <c r="AD6" s="1086">
        <f>bal!AD6</f>
        <v>2012</v>
      </c>
      <c r="AE6" s="1086">
        <f>bal!AE6</f>
        <v>2013</v>
      </c>
      <c r="AF6" s="1086">
        <f>bal!AF6</f>
        <v>2014</v>
      </c>
      <c r="AG6" s="1086">
        <f>bal!AG6</f>
        <v>2015</v>
      </c>
      <c r="AH6" s="1086">
        <f>bal!AH6</f>
        <v>2016</v>
      </c>
      <c r="AI6" s="1086">
        <f>bal!AI6</f>
        <v>2017</v>
      </c>
      <c r="AJ6" s="1436">
        <f>bal!AJ6</f>
        <v>2018</v>
      </c>
      <c r="AK6" s="1436">
        <f>bal!AK6</f>
        <v>2019</v>
      </c>
      <c r="AL6" s="1436">
        <f>bal!AL6</f>
        <v>2020</v>
      </c>
      <c r="AM6" s="1436">
        <f>bal!AM6</f>
        <v>2021</v>
      </c>
      <c r="AN6" s="1436">
        <f>bal!AN6</f>
        <v>2022</v>
      </c>
      <c r="AO6" s="1087"/>
      <c r="AP6" s="1087"/>
      <c r="AQ6" s="1087"/>
    </row>
    <row r="7" spans="1:43">
      <c r="AD7" s="591"/>
      <c r="AE7" s="591"/>
      <c r="AF7" s="591"/>
      <c r="AG7" s="591"/>
      <c r="AH7" s="591"/>
      <c r="AI7" s="278"/>
      <c r="AJ7" s="591"/>
      <c r="AK7" s="1163"/>
      <c r="AL7" s="1163"/>
      <c r="AM7" s="1163"/>
      <c r="AN7" s="1163"/>
    </row>
    <row r="8" spans="1:43">
      <c r="B8" s="398" t="s">
        <v>212</v>
      </c>
      <c r="E8" s="1164">
        <f>'yrP&amp;L'!B66</f>
        <v>802</v>
      </c>
      <c r="F8" s="1164">
        <f>'yrP&amp;L'!C66</f>
        <v>577</v>
      </c>
      <c r="G8" s="1164">
        <f>'yrP&amp;L'!D66</f>
        <v>80</v>
      </c>
      <c r="H8" s="1164">
        <f>'yrP&amp;L'!E66</f>
        <v>777</v>
      </c>
      <c r="I8" s="1164">
        <f>'yrP&amp;L'!F66</f>
        <v>940</v>
      </c>
      <c r="J8" s="1164">
        <f>'yrP&amp;L'!G66</f>
        <v>1057</v>
      </c>
      <c r="K8" s="1164">
        <f>'yrP&amp;L'!H66</f>
        <v>838.2</v>
      </c>
      <c r="L8" s="1164">
        <f>'yrP&amp;L'!I66</f>
        <v>565</v>
      </c>
      <c r="M8" s="1164">
        <f>'yrP&amp;L'!J66</f>
        <v>558.21699999999998</v>
      </c>
      <c r="N8" s="1164">
        <f>'yrP&amp;L'!K66</f>
        <v>593.64937665669015</v>
      </c>
      <c r="O8" s="1164">
        <f>'yrP&amp;L'!L66</f>
        <v>163.52799999999999</v>
      </c>
      <c r="P8" s="1164">
        <f>'yrP&amp;L'!M66</f>
        <v>-581.76</v>
      </c>
      <c r="Q8" s="1164">
        <f>'yrP&amp;L'!P66</f>
        <v>184</v>
      </c>
      <c r="R8" s="1165">
        <v>371</v>
      </c>
      <c r="S8" s="1164">
        <f>'yrP&amp;L'!P66</f>
        <v>184</v>
      </c>
      <c r="T8" s="1164">
        <f>'yrP&amp;L'!Q66</f>
        <v>282</v>
      </c>
      <c r="U8" s="1164">
        <f>'yrP&amp;L'!R66</f>
        <v>-928</v>
      </c>
      <c r="V8" s="1164">
        <f>'yrP&amp;L'!S66</f>
        <v>524.37</v>
      </c>
      <c r="W8" s="1164">
        <f>'yrP&amp;L'!T66</f>
        <v>1088.8445947955379</v>
      </c>
      <c r="X8" s="1164">
        <f>'yrP&amp;L'!U66</f>
        <v>1155.3879310344828</v>
      </c>
      <c r="Y8" s="1164">
        <f>'yrP&amp;L'!V66</f>
        <v>1107.0699999999997</v>
      </c>
      <c r="Z8" s="1164">
        <f>'yrP&amp;L'!W66</f>
        <v>571.05588064515905</v>
      </c>
      <c r="AA8" s="1164">
        <f>'yrP&amp;L'!X66</f>
        <v>251.58199999999999</v>
      </c>
      <c r="AB8" s="1164">
        <f>'yrP&amp;L'!Y66</f>
        <v>389</v>
      </c>
      <c r="AC8" s="1164">
        <f>'yrP&amp;L'!Z66</f>
        <v>-151.6783730736779</v>
      </c>
      <c r="AD8" s="1164">
        <f>'yrP&amp;L'!AA66</f>
        <v>-985</v>
      </c>
      <c r="AE8" s="1164">
        <f>'yrP&amp;L'!AB66</f>
        <v>-1388</v>
      </c>
      <c r="AF8" s="1164">
        <f>'yrP&amp;L'!AC66</f>
        <v>-771</v>
      </c>
      <c r="AG8" s="1164">
        <v>-513</v>
      </c>
      <c r="AH8" s="1164">
        <f>'yrP&amp;L'!AE66-23</f>
        <v>1</v>
      </c>
      <c r="AI8" s="279">
        <f>'yrP&amp;L'!AF66</f>
        <v>-116.32</v>
      </c>
      <c r="AJ8" s="1164">
        <f>'yrP&amp;L'!AG66</f>
        <v>22.320335999998861</v>
      </c>
      <c r="AK8" s="1166">
        <f>'yrP&amp;L'!AH66</f>
        <v>-15.201141993255078</v>
      </c>
      <c r="AL8" s="1166">
        <f>'yrP&amp;L'!AI66</f>
        <v>-30.961796747183598</v>
      </c>
      <c r="AM8" s="1166">
        <f>'yrP&amp;L'!$AJ$66</f>
        <v>-126.52799288049573</v>
      </c>
      <c r="AN8" s="1166">
        <f>'yrP&amp;L'!$AK$66</f>
        <v>-254.11425232284682</v>
      </c>
      <c r="AO8" s="1164"/>
      <c r="AP8" s="1164"/>
      <c r="AQ8" s="1164"/>
    </row>
    <row r="9" spans="1:43">
      <c r="E9" s="1167"/>
      <c r="F9" s="1167"/>
      <c r="G9" s="1167"/>
      <c r="H9" s="1167"/>
      <c r="I9" s="1167"/>
      <c r="J9" s="1167"/>
      <c r="K9" s="1167"/>
      <c r="L9" s="1167"/>
      <c r="M9" s="1167"/>
      <c r="N9" s="1167"/>
      <c r="O9" s="1167"/>
      <c r="P9" s="1167"/>
      <c r="Q9" s="1167"/>
      <c r="R9" s="1167"/>
      <c r="S9" s="1167"/>
      <c r="T9" s="1167"/>
      <c r="U9" s="1167"/>
      <c r="V9" s="1167"/>
      <c r="W9" s="1167"/>
      <c r="X9" s="1167"/>
      <c r="Y9" s="1167"/>
      <c r="Z9" s="1167"/>
      <c r="AA9" s="1167"/>
      <c r="AB9" s="1167"/>
      <c r="AC9" s="1167"/>
      <c r="AD9" s="1168"/>
      <c r="AE9" s="1168"/>
      <c r="AF9" s="1168"/>
      <c r="AG9" s="1168"/>
      <c r="AH9" s="1168"/>
      <c r="AI9" s="281"/>
      <c r="AJ9" s="1168"/>
      <c r="AK9" s="1169"/>
      <c r="AL9" s="1169"/>
      <c r="AM9" s="1169"/>
      <c r="AN9" s="1169"/>
      <c r="AO9" s="1168"/>
      <c r="AP9" s="1168"/>
      <c r="AQ9" s="1168"/>
    </row>
    <row r="10" spans="1:43">
      <c r="B10" s="398" t="s">
        <v>380</v>
      </c>
      <c r="D10" s="898"/>
      <c r="E10" s="1170"/>
      <c r="F10" s="1170"/>
      <c r="G10" s="1170"/>
      <c r="H10" s="1170"/>
      <c r="I10" s="1170"/>
      <c r="J10" s="1170"/>
      <c r="K10" s="1170"/>
      <c r="L10" s="1170"/>
      <c r="M10" s="1170"/>
      <c r="N10" s="1170">
        <v>0</v>
      </c>
      <c r="O10" s="1170">
        <v>173</v>
      </c>
      <c r="P10" s="1170">
        <v>454</v>
      </c>
      <c r="Q10" s="1170">
        <v>56</v>
      </c>
      <c r="R10" s="1170">
        <v>104</v>
      </c>
      <c r="S10" s="1170">
        <v>67</v>
      </c>
      <c r="T10" s="1170">
        <v>77</v>
      </c>
      <c r="U10" s="1170">
        <v>35</v>
      </c>
      <c r="V10" s="1170">
        <v>19</v>
      </c>
      <c r="W10" s="1170">
        <v>12</v>
      </c>
      <c r="X10" s="1170">
        <v>4</v>
      </c>
      <c r="Y10" s="1170">
        <v>5</v>
      </c>
      <c r="Z10" s="1170">
        <v>29</v>
      </c>
      <c r="AA10" s="1170">
        <v>46</v>
      </c>
      <c r="AB10" s="1412">
        <v>32</v>
      </c>
      <c r="AC10" s="1412">
        <v>381</v>
      </c>
      <c r="AD10" s="1412">
        <f>121+117</f>
        <v>238</v>
      </c>
      <c r="AE10" s="1412">
        <f>132+30</f>
        <v>162</v>
      </c>
      <c r="AF10" s="1412">
        <f>32+39</f>
        <v>71</v>
      </c>
      <c r="AG10" s="1412">
        <f>10+25</f>
        <v>35</v>
      </c>
      <c r="AH10" s="1412">
        <f>3-1</f>
        <v>2</v>
      </c>
      <c r="AI10" s="1566">
        <f>74+6</f>
        <v>80</v>
      </c>
      <c r="AJ10" s="1414">
        <v>0</v>
      </c>
      <c r="AK10" s="1414">
        <v>0</v>
      </c>
      <c r="AL10" s="1414">
        <v>0</v>
      </c>
      <c r="AM10" s="1414">
        <v>0</v>
      </c>
      <c r="AN10" s="1414">
        <v>0</v>
      </c>
      <c r="AO10" s="1171"/>
      <c r="AP10" s="1171"/>
      <c r="AQ10" s="1171"/>
    </row>
    <row r="11" spans="1:43">
      <c r="B11" s="398" t="s">
        <v>381</v>
      </c>
      <c r="D11" s="898"/>
      <c r="E11" s="1170">
        <v>275</v>
      </c>
      <c r="F11" s="1170">
        <v>299</v>
      </c>
      <c r="G11" s="1170">
        <v>316</v>
      </c>
      <c r="H11" s="1170">
        <v>310</v>
      </c>
      <c r="I11" s="1170">
        <v>316</v>
      </c>
      <c r="J11" s="1170">
        <v>323</v>
      </c>
      <c r="K11" s="1170">
        <v>341</v>
      </c>
      <c r="L11" s="1170">
        <v>381</v>
      </c>
      <c r="M11" s="1170">
        <v>584</v>
      </c>
      <c r="N11" s="1170">
        <v>637</v>
      </c>
      <c r="O11" s="1170">
        <v>704</v>
      </c>
      <c r="P11" s="1170">
        <v>695</v>
      </c>
      <c r="Q11" s="1170">
        <v>717</v>
      </c>
      <c r="R11" s="1170">
        <v>667</v>
      </c>
      <c r="S11" s="1170">
        <v>369</v>
      </c>
      <c r="T11" s="1170">
        <v>369</v>
      </c>
      <c r="U11" s="1170">
        <v>386</v>
      </c>
      <c r="V11" s="1170">
        <v>359</v>
      </c>
      <c r="W11" s="1170">
        <v>372</v>
      </c>
      <c r="X11" s="1170">
        <v>389</v>
      </c>
      <c r="Y11" s="1170">
        <v>426</v>
      </c>
      <c r="Z11" s="1170">
        <v>469</v>
      </c>
      <c r="AA11" s="1170">
        <v>495</v>
      </c>
      <c r="AB11" s="1412">
        <v>511</v>
      </c>
      <c r="AC11" s="1412">
        <v>518</v>
      </c>
      <c r="AD11" s="1412">
        <v>543</v>
      </c>
      <c r="AE11" s="1412">
        <v>601</v>
      </c>
      <c r="AF11" s="1412">
        <v>631</v>
      </c>
      <c r="AG11" s="1412">
        <f>'yrP&amp;L'!AD31</f>
        <v>616</v>
      </c>
      <c r="AH11" s="1415">
        <f>'yrP&amp;L'!AE31</f>
        <v>609</v>
      </c>
      <c r="AI11" s="1567">
        <f>'yrP&amp;L'!AF31</f>
        <v>570</v>
      </c>
      <c r="AJ11" s="1416">
        <f>'yrP&amp;L'!AG31</f>
        <v>549</v>
      </c>
      <c r="AK11" s="1416">
        <f>'yrP&amp;L'!AH31</f>
        <v>540.54392745588927</v>
      </c>
      <c r="AL11" s="1416">
        <f>'yrP&amp;L'!AI31</f>
        <v>515.40399752693622</v>
      </c>
      <c r="AM11" s="1416">
        <f>'yrP&amp;L'!$AJ$31</f>
        <v>499.56853428656024</v>
      </c>
      <c r="AN11" s="1416">
        <f>'yrP&amp;L'!$AK$31</f>
        <v>472.98198524151951</v>
      </c>
      <c r="AO11" s="1172"/>
      <c r="AP11" s="398" t="s">
        <v>699</v>
      </c>
      <c r="AQ11" s="1172">
        <f>AH62</f>
        <v>887.00003340150124</v>
      </c>
    </row>
    <row r="12" spans="1:43" hidden="1" outlineLevel="1">
      <c r="B12" s="398" t="s">
        <v>382</v>
      </c>
      <c r="D12" s="898"/>
      <c r="E12" s="1170"/>
      <c r="F12" s="1170"/>
      <c r="G12" s="1170"/>
      <c r="H12" s="1170"/>
      <c r="I12" s="1170"/>
      <c r="J12" s="1170"/>
      <c r="K12" s="1170"/>
      <c r="L12" s="1170"/>
      <c r="M12" s="1170"/>
      <c r="N12" s="1170"/>
      <c r="O12" s="1170">
        <v>0</v>
      </c>
      <c r="P12" s="1170">
        <v>0</v>
      </c>
      <c r="Q12" s="1170">
        <v>-26</v>
      </c>
      <c r="R12" s="1170">
        <v>-18</v>
      </c>
      <c r="S12" s="1170">
        <v>-84</v>
      </c>
      <c r="T12" s="1170">
        <v>-18</v>
      </c>
      <c r="U12" s="1170">
        <v>-51</v>
      </c>
      <c r="V12" s="1170">
        <v>-8</v>
      </c>
      <c r="W12" s="1170">
        <v>-27</v>
      </c>
      <c r="X12" s="1170">
        <v>-8</v>
      </c>
      <c r="Y12" s="1170">
        <v>-12</v>
      </c>
      <c r="Z12" s="1170">
        <v>-10</v>
      </c>
      <c r="AA12" s="1170">
        <v>-2</v>
      </c>
      <c r="AB12" s="1412">
        <v>-8</v>
      </c>
      <c r="AC12" s="1412">
        <v>-6</v>
      </c>
      <c r="AD12" s="1412">
        <v>-397</v>
      </c>
      <c r="AE12" s="1412">
        <v>-132</v>
      </c>
      <c r="AF12" s="1412">
        <f>-25</f>
        <v>-25</v>
      </c>
      <c r="AG12" s="1412">
        <v>-9</v>
      </c>
      <c r="AH12" s="1412">
        <v>-5</v>
      </c>
      <c r="AI12" s="1568">
        <v>0</v>
      </c>
      <c r="AJ12" s="1414">
        <v>0</v>
      </c>
      <c r="AK12" s="1414">
        <v>0</v>
      </c>
      <c r="AL12" s="1414">
        <v>0</v>
      </c>
      <c r="AM12" s="1414">
        <v>0</v>
      </c>
      <c r="AN12" s="1414">
        <v>0</v>
      </c>
      <c r="AO12" s="1171"/>
      <c r="AP12" s="398" t="s">
        <v>706</v>
      </c>
      <c r="AQ12" s="1161">
        <f>AI8</f>
        <v>-116.32</v>
      </c>
    </row>
    <row r="13" spans="1:43" hidden="1" outlineLevel="1">
      <c r="B13" s="398" t="s">
        <v>383</v>
      </c>
      <c r="D13" s="898"/>
      <c r="E13" s="1170"/>
      <c r="F13" s="1170"/>
      <c r="G13" s="1170"/>
      <c r="H13" s="1170"/>
      <c r="I13" s="1170"/>
      <c r="J13" s="1170"/>
      <c r="K13" s="1170"/>
      <c r="L13" s="1170"/>
      <c r="M13" s="1170"/>
      <c r="N13" s="1170"/>
      <c r="O13" s="1170">
        <v>0</v>
      </c>
      <c r="P13" s="1170">
        <v>0</v>
      </c>
      <c r="Q13" s="1170">
        <v>58</v>
      </c>
      <c r="R13" s="1170">
        <v>47</v>
      </c>
      <c r="S13" s="1170">
        <v>58</v>
      </c>
      <c r="T13" s="1170">
        <v>47</v>
      </c>
      <c r="U13" s="1170">
        <v>0</v>
      </c>
      <c r="V13" s="1170">
        <v>0</v>
      </c>
      <c r="W13" s="1170">
        <v>0</v>
      </c>
      <c r="X13" s="1170">
        <v>0</v>
      </c>
      <c r="Y13" s="1170">
        <v>0</v>
      </c>
      <c r="Z13" s="1170">
        <v>0</v>
      </c>
      <c r="AA13" s="1170">
        <v>0</v>
      </c>
      <c r="AB13" s="1412">
        <v>0</v>
      </c>
      <c r="AC13" s="1412">
        <v>0</v>
      </c>
      <c r="AD13" s="1412">
        <v>0</v>
      </c>
      <c r="AE13" s="1412">
        <v>0</v>
      </c>
      <c r="AF13" s="1412">
        <v>0</v>
      </c>
      <c r="AG13" s="1413">
        <v>0</v>
      </c>
      <c r="AH13" s="1413">
        <v>0</v>
      </c>
      <c r="AI13" s="1568">
        <v>0</v>
      </c>
      <c r="AJ13" s="1414">
        <v>0</v>
      </c>
      <c r="AK13" s="1414">
        <v>0</v>
      </c>
      <c r="AL13" s="1414">
        <v>0</v>
      </c>
      <c r="AM13" s="1414">
        <v>0</v>
      </c>
      <c r="AN13" s="1414">
        <v>0</v>
      </c>
      <c r="AO13" s="1171"/>
      <c r="AP13" s="584" t="s">
        <v>633</v>
      </c>
      <c r="AQ13" s="1189">
        <f>AI11</f>
        <v>570</v>
      </c>
    </row>
    <row r="14" spans="1:43" collapsed="1">
      <c r="B14" s="398" t="s">
        <v>487</v>
      </c>
      <c r="D14" s="898"/>
      <c r="E14" s="1170"/>
      <c r="F14" s="1170"/>
      <c r="G14" s="1170"/>
      <c r="H14" s="1170"/>
      <c r="I14" s="1170"/>
      <c r="J14" s="1170"/>
      <c r="K14" s="1170"/>
      <c r="L14" s="1170"/>
      <c r="M14" s="1170"/>
      <c r="N14" s="1170"/>
      <c r="O14" s="1170">
        <v>-18</v>
      </c>
      <c r="P14" s="1170">
        <v>-79</v>
      </c>
      <c r="Q14" s="1170">
        <v>-73</v>
      </c>
      <c r="R14" s="1170">
        <v>30</v>
      </c>
      <c r="S14" s="1170">
        <v>-73</v>
      </c>
      <c r="T14" s="1170">
        <v>30</v>
      </c>
      <c r="U14" s="1170">
        <v>135</v>
      </c>
      <c r="V14" s="1170">
        <v>45</v>
      </c>
      <c r="W14" s="1170">
        <v>49</v>
      </c>
      <c r="X14" s="1170">
        <v>-51</v>
      </c>
      <c r="Y14" s="1170">
        <v>-155</v>
      </c>
      <c r="Z14" s="1170">
        <v>-201</v>
      </c>
      <c r="AA14" s="1170">
        <v>276</v>
      </c>
      <c r="AB14" s="1412">
        <v>197</v>
      </c>
      <c r="AC14" s="1412">
        <v>55</v>
      </c>
      <c r="AD14" s="1412">
        <v>272</v>
      </c>
      <c r="AE14" s="1412">
        <v>70</v>
      </c>
      <c r="AF14" s="1412">
        <v>-24</v>
      </c>
      <c r="AG14" s="1412">
        <v>127</v>
      </c>
      <c r="AH14" s="1412">
        <v>-39</v>
      </c>
      <c r="AI14" s="1566">
        <v>106</v>
      </c>
      <c r="AJ14" s="1414">
        <f>'yrP&amp;L'!AG25*AG67</f>
        <v>0</v>
      </c>
      <c r="AK14" s="1414">
        <f>'yrP&amp;L'!AH25*AH67</f>
        <v>0</v>
      </c>
      <c r="AL14" s="1414">
        <f>'yrP&amp;L'!AI25*AI67</f>
        <v>0</v>
      </c>
      <c r="AM14" s="1414">
        <f>'yrP&amp;L'!AJ25*AJ67</f>
        <v>0</v>
      </c>
      <c r="AN14" s="1414">
        <f>'yrP&amp;L'!AK25*AK67</f>
        <v>0</v>
      </c>
      <c r="AO14" s="1171"/>
      <c r="AP14" s="398" t="s">
        <v>703</v>
      </c>
      <c r="AQ14" s="1171">
        <f>AQ11+AQ13+AQ12</f>
        <v>1340.6800334015013</v>
      </c>
    </row>
    <row r="15" spans="1:43">
      <c r="B15" s="398" t="s">
        <v>384</v>
      </c>
      <c r="D15" s="898"/>
      <c r="E15" s="1170">
        <v>0</v>
      </c>
      <c r="F15" s="1170">
        <v>0</v>
      </c>
      <c r="G15" s="1170">
        <v>0</v>
      </c>
      <c r="H15" s="1170">
        <v>0</v>
      </c>
      <c r="I15" s="1170">
        <v>0</v>
      </c>
      <c r="J15" s="1170">
        <v>0</v>
      </c>
      <c r="K15" s="1170">
        <v>0</v>
      </c>
      <c r="L15" s="1170">
        <v>0</v>
      </c>
      <c r="M15" s="1170">
        <v>0</v>
      </c>
      <c r="N15" s="1170">
        <v>0</v>
      </c>
      <c r="O15" s="1170">
        <v>0</v>
      </c>
      <c r="P15" s="1170">
        <v>0</v>
      </c>
      <c r="Q15" s="1170">
        <v>0</v>
      </c>
      <c r="R15" s="1170">
        <v>0</v>
      </c>
      <c r="S15" s="1170">
        <v>0</v>
      </c>
      <c r="T15" s="1170">
        <v>-300</v>
      </c>
      <c r="U15" s="1170">
        <v>-300</v>
      </c>
      <c r="V15" s="1170">
        <v>-300</v>
      </c>
      <c r="W15" s="1170">
        <v>0</v>
      </c>
      <c r="X15" s="1170">
        <v>-300</v>
      </c>
      <c r="Y15" s="1170">
        <v>0</v>
      </c>
      <c r="Z15" s="1170">
        <v>0</v>
      </c>
      <c r="AA15" s="1170">
        <v>0</v>
      </c>
      <c r="AB15" s="1412">
        <v>-392</v>
      </c>
      <c r="AC15" s="1412">
        <v>0</v>
      </c>
      <c r="AD15" s="1412">
        <v>0</v>
      </c>
      <c r="AE15" s="1412">
        <v>0</v>
      </c>
      <c r="AF15" s="1412">
        <v>0</v>
      </c>
      <c r="AG15" s="1413">
        <v>0</v>
      </c>
      <c r="AH15" s="1413">
        <v>0</v>
      </c>
      <c r="AI15" s="1568">
        <v>0</v>
      </c>
      <c r="AJ15" s="1414">
        <v>0</v>
      </c>
      <c r="AK15" s="1414">
        <v>0</v>
      </c>
      <c r="AL15" s="1414">
        <v>0</v>
      </c>
      <c r="AM15" s="1414">
        <v>0</v>
      </c>
      <c r="AN15" s="1414">
        <v>0</v>
      </c>
      <c r="AO15" s="1171"/>
      <c r="AP15" s="398" t="s">
        <v>698</v>
      </c>
      <c r="AQ15" s="1171">
        <f>AI29</f>
        <v>-395</v>
      </c>
    </row>
    <row r="16" spans="1:43">
      <c r="B16" s="398" t="s">
        <v>385</v>
      </c>
      <c r="D16" s="898"/>
      <c r="E16" s="1170"/>
      <c r="F16" s="1170"/>
      <c r="G16" s="1170"/>
      <c r="H16" s="1170"/>
      <c r="I16" s="1170"/>
      <c r="J16" s="1170"/>
      <c r="K16" s="1170"/>
      <c r="L16" s="1170"/>
      <c r="M16" s="1170"/>
      <c r="N16" s="1170"/>
      <c r="O16" s="1170">
        <v>0</v>
      </c>
      <c r="P16" s="1170">
        <v>0</v>
      </c>
      <c r="Q16" s="1170">
        <v>6</v>
      </c>
      <c r="R16" s="1170">
        <v>4</v>
      </c>
      <c r="S16" s="1170">
        <v>8</v>
      </c>
      <c r="T16" s="1170">
        <v>6</v>
      </c>
      <c r="U16" s="1170">
        <v>9</v>
      </c>
      <c r="V16" s="1170">
        <v>23</v>
      </c>
      <c r="W16" s="1170">
        <v>38</v>
      </c>
      <c r="X16" s="1170">
        <v>66</v>
      </c>
      <c r="Y16" s="1170">
        <v>54</v>
      </c>
      <c r="Z16" s="1170">
        <v>53</v>
      </c>
      <c r="AA16" s="1170">
        <v>43</v>
      </c>
      <c r="AB16" s="1412">
        <v>51</v>
      </c>
      <c r="AC16" s="1412">
        <v>37</v>
      </c>
      <c r="AD16" s="1412">
        <f>50-12</f>
        <v>38</v>
      </c>
      <c r="AE16" s="1412">
        <v>28</v>
      </c>
      <c r="AF16" s="1412">
        <v>33</v>
      </c>
      <c r="AG16" s="1412">
        <v>44</v>
      </c>
      <c r="AH16" s="1412">
        <v>35</v>
      </c>
      <c r="AI16" s="1566">
        <f>25-60</f>
        <v>-35</v>
      </c>
      <c r="AJ16" s="1414">
        <v>0</v>
      </c>
      <c r="AK16" s="1414">
        <v>0</v>
      </c>
      <c r="AL16" s="1414">
        <v>0</v>
      </c>
      <c r="AM16" s="1414">
        <v>0</v>
      </c>
      <c r="AN16" s="1414">
        <v>0</v>
      </c>
      <c r="AO16" s="1171"/>
      <c r="AP16" s="584" t="s">
        <v>705</v>
      </c>
      <c r="AQ16" s="1189">
        <f>AI30</f>
        <v>154</v>
      </c>
    </row>
    <row r="17" spans="1:43">
      <c r="B17" s="398" t="s">
        <v>213</v>
      </c>
      <c r="D17" s="898"/>
      <c r="E17" s="1170">
        <v>-187</v>
      </c>
      <c r="F17" s="1170">
        <v>-246</v>
      </c>
      <c r="G17" s="1170">
        <v>109</v>
      </c>
      <c r="H17" s="1170">
        <v>48</v>
      </c>
      <c r="I17" s="1170">
        <v>100</v>
      </c>
      <c r="J17" s="1170">
        <v>29</v>
      </c>
      <c r="K17" s="1170">
        <v>144</v>
      </c>
      <c r="L17" s="1170">
        <v>-18</v>
      </c>
      <c r="M17" s="1170">
        <v>1</v>
      </c>
      <c r="N17" s="1170">
        <v>219</v>
      </c>
      <c r="O17" s="1170">
        <v>-8</v>
      </c>
      <c r="P17" s="1170">
        <v>-95</v>
      </c>
      <c r="Q17" s="1170">
        <v>86</v>
      </c>
      <c r="R17" s="1170">
        <v>141</v>
      </c>
      <c r="S17" s="1170">
        <v>18</v>
      </c>
      <c r="T17" s="1170">
        <v>96</v>
      </c>
      <c r="U17" s="1170">
        <v>136</v>
      </c>
      <c r="V17" s="1170">
        <v>1</v>
      </c>
      <c r="W17" s="1170">
        <v>15</v>
      </c>
      <c r="X17" s="1170">
        <v>-6</v>
      </c>
      <c r="Y17" s="1170">
        <v>37</v>
      </c>
      <c r="Z17" s="1170">
        <v>167</v>
      </c>
      <c r="AA17" s="1170">
        <v>78</v>
      </c>
      <c r="AB17" s="1412">
        <v>126</v>
      </c>
      <c r="AC17" s="1412">
        <v>-153</v>
      </c>
      <c r="AD17" s="1412">
        <v>-467</v>
      </c>
      <c r="AE17" s="1412">
        <f>-164-303</f>
        <v>-467</v>
      </c>
      <c r="AF17" s="1412">
        <f>0+3</f>
        <v>3</v>
      </c>
      <c r="AG17" s="1413">
        <v>0</v>
      </c>
      <c r="AH17" s="1412">
        <v>-3</v>
      </c>
      <c r="AI17" s="1566">
        <v>-63</v>
      </c>
      <c r="AJ17" s="1414">
        <f t="shared" ref="AJ17:AN17" si="0">AI17</f>
        <v>-63</v>
      </c>
      <c r="AK17" s="1414">
        <f t="shared" si="0"/>
        <v>-63</v>
      </c>
      <c r="AL17" s="1414">
        <f t="shared" si="0"/>
        <v>-63</v>
      </c>
      <c r="AM17" s="1414">
        <f t="shared" si="0"/>
        <v>-63</v>
      </c>
      <c r="AN17" s="1414">
        <f t="shared" si="0"/>
        <v>-63</v>
      </c>
      <c r="AO17" s="1171"/>
      <c r="AQ17" s="1171">
        <f>AQ14+AQ16+AQ15</f>
        <v>1099.6800334015013</v>
      </c>
    </row>
    <row r="18" spans="1:43" hidden="1" outlineLevel="1">
      <c r="B18" s="398" t="s">
        <v>386</v>
      </c>
      <c r="D18" s="898"/>
      <c r="E18" s="1170">
        <v>46</v>
      </c>
      <c r="F18" s="1170">
        <v>46</v>
      </c>
      <c r="G18" s="1170">
        <v>53</v>
      </c>
      <c r="H18" s="1170">
        <v>58</v>
      </c>
      <c r="I18" s="1170">
        <v>48</v>
      </c>
      <c r="J18" s="1170">
        <v>5</v>
      </c>
      <c r="K18" s="1170">
        <v>4</v>
      </c>
      <c r="L18" s="1170">
        <v>0</v>
      </c>
      <c r="M18" s="1170">
        <v>0</v>
      </c>
      <c r="N18" s="1170">
        <v>0</v>
      </c>
      <c r="O18" s="1170">
        <v>0</v>
      </c>
      <c r="P18" s="1170">
        <v>0</v>
      </c>
      <c r="Q18" s="1170">
        <v>0</v>
      </c>
      <c r="R18" s="1170">
        <v>0</v>
      </c>
      <c r="S18" s="1170">
        <v>0</v>
      </c>
      <c r="T18" s="1170">
        <v>0</v>
      </c>
      <c r="U18" s="1170">
        <v>0</v>
      </c>
      <c r="V18" s="1170">
        <v>0</v>
      </c>
      <c r="W18" s="1170">
        <v>0</v>
      </c>
      <c r="X18" s="1170">
        <v>0</v>
      </c>
      <c r="Y18" s="1170">
        <v>0</v>
      </c>
      <c r="Z18" s="1170">
        <v>0</v>
      </c>
      <c r="AA18" s="1170">
        <v>0</v>
      </c>
      <c r="AB18" s="1412">
        <v>0</v>
      </c>
      <c r="AC18" s="1412">
        <v>0</v>
      </c>
      <c r="AD18" s="1412">
        <v>0</v>
      </c>
      <c r="AE18" s="1412">
        <v>0</v>
      </c>
      <c r="AF18" s="1412">
        <v>0</v>
      </c>
      <c r="AG18" s="1413">
        <v>0</v>
      </c>
      <c r="AH18" s="1413">
        <v>0</v>
      </c>
      <c r="AI18" s="1568">
        <v>0</v>
      </c>
      <c r="AJ18" s="1414">
        <v>0</v>
      </c>
      <c r="AK18" s="1414">
        <v>0</v>
      </c>
      <c r="AL18" s="1414">
        <v>0</v>
      </c>
      <c r="AM18" s="1414">
        <v>0</v>
      </c>
      <c r="AN18" s="1414">
        <v>0</v>
      </c>
      <c r="AO18" s="1171"/>
      <c r="AP18" s="398" t="s">
        <v>700</v>
      </c>
      <c r="AQ18" s="1171">
        <f>AI43</f>
        <v>-2</v>
      </c>
    </row>
    <row r="19" spans="1:43" hidden="1" outlineLevel="1">
      <c r="B19" s="398" t="s">
        <v>214</v>
      </c>
      <c r="D19" s="898"/>
      <c r="E19" s="1170">
        <v>32</v>
      </c>
      <c r="F19" s="1170">
        <v>0</v>
      </c>
      <c r="G19" s="1170">
        <v>695</v>
      </c>
      <c r="H19" s="1170">
        <v>0</v>
      </c>
      <c r="I19" s="1170">
        <v>0</v>
      </c>
      <c r="J19" s="1170">
        <v>0</v>
      </c>
      <c r="K19" s="1170">
        <v>0</v>
      </c>
      <c r="L19" s="1170">
        <v>0</v>
      </c>
      <c r="M19" s="1170">
        <v>0</v>
      </c>
      <c r="N19" s="1170">
        <v>0</v>
      </c>
      <c r="O19" s="1170">
        <v>0</v>
      </c>
      <c r="P19" s="1170">
        <v>0</v>
      </c>
      <c r="Q19" s="1170">
        <v>0</v>
      </c>
      <c r="R19" s="1170">
        <v>0</v>
      </c>
      <c r="S19" s="1170">
        <v>0</v>
      </c>
      <c r="T19" s="1170">
        <v>0</v>
      </c>
      <c r="U19" s="1170">
        <v>1288</v>
      </c>
      <c r="V19" s="1170">
        <v>133</v>
      </c>
      <c r="W19" s="1170">
        <v>-111</v>
      </c>
      <c r="X19" s="1170">
        <v>-19</v>
      </c>
      <c r="Y19" s="1170">
        <v>-6</v>
      </c>
      <c r="Z19" s="1170">
        <v>-5</v>
      </c>
      <c r="AA19" s="1170">
        <v>0</v>
      </c>
      <c r="AB19" s="1412">
        <v>-11</v>
      </c>
      <c r="AC19" s="1412">
        <v>0</v>
      </c>
      <c r="AD19" s="1412">
        <v>0</v>
      </c>
      <c r="AE19" s="1412">
        <v>0</v>
      </c>
      <c r="AF19" s="1412">
        <v>0</v>
      </c>
      <c r="AG19" s="1413">
        <v>0</v>
      </c>
      <c r="AH19" s="1413">
        <v>0</v>
      </c>
      <c r="AI19" s="1568">
        <v>0</v>
      </c>
      <c r="AJ19" s="1414">
        <v>0</v>
      </c>
      <c r="AK19" s="1414">
        <v>0</v>
      </c>
      <c r="AL19" s="1414">
        <v>0</v>
      </c>
      <c r="AM19" s="1414">
        <v>0</v>
      </c>
      <c r="AN19" s="1414">
        <v>0</v>
      </c>
      <c r="AO19" s="1171"/>
      <c r="AP19" s="584" t="s">
        <v>701</v>
      </c>
      <c r="AQ19" s="1189">
        <f>AI51</f>
        <v>-654</v>
      </c>
    </row>
    <row r="20" spans="1:43" hidden="1" outlineLevel="1">
      <c r="B20" s="398" t="s">
        <v>387</v>
      </c>
      <c r="D20" s="898"/>
      <c r="E20" s="1170">
        <v>0</v>
      </c>
      <c r="F20" s="1170">
        <v>0</v>
      </c>
      <c r="G20" s="1170">
        <v>-268</v>
      </c>
      <c r="H20" s="1170">
        <v>0</v>
      </c>
      <c r="I20" s="1170">
        <v>0</v>
      </c>
      <c r="J20" s="1170">
        <v>0</v>
      </c>
      <c r="K20" s="1170">
        <v>0</v>
      </c>
      <c r="L20" s="1170">
        <v>0</v>
      </c>
      <c r="M20" s="1170">
        <v>0</v>
      </c>
      <c r="N20" s="1170">
        <v>0</v>
      </c>
      <c r="O20" s="1170">
        <v>0</v>
      </c>
      <c r="P20" s="1170">
        <v>0</v>
      </c>
      <c r="Q20" s="1170">
        <v>0</v>
      </c>
      <c r="R20" s="1170">
        <v>0</v>
      </c>
      <c r="S20" s="1170">
        <v>0</v>
      </c>
      <c r="T20" s="1170">
        <v>0</v>
      </c>
      <c r="U20" s="1170">
        <v>0</v>
      </c>
      <c r="V20" s="1170">
        <v>0</v>
      </c>
      <c r="W20" s="1170">
        <v>0</v>
      </c>
      <c r="X20" s="1170">
        <v>0</v>
      </c>
      <c r="Y20" s="1170">
        <v>0</v>
      </c>
      <c r="Z20" s="1170">
        <v>0</v>
      </c>
      <c r="AA20" s="1170">
        <v>0</v>
      </c>
      <c r="AB20" s="1412">
        <v>0</v>
      </c>
      <c r="AC20" s="1412">
        <v>0</v>
      </c>
      <c r="AD20" s="1412">
        <v>0</v>
      </c>
      <c r="AE20" s="1412">
        <v>0</v>
      </c>
      <c r="AF20" s="1412">
        <v>0</v>
      </c>
      <c r="AG20" s="1413">
        <v>0</v>
      </c>
      <c r="AH20" s="1413">
        <v>0</v>
      </c>
      <c r="AI20" s="1568">
        <v>0</v>
      </c>
      <c r="AJ20" s="1414">
        <v>0</v>
      </c>
      <c r="AK20" s="1414">
        <v>0</v>
      </c>
      <c r="AL20" s="1414">
        <v>0</v>
      </c>
      <c r="AM20" s="1414">
        <v>0</v>
      </c>
      <c r="AN20" s="1414">
        <v>0</v>
      </c>
      <c r="AO20" s="1171"/>
      <c r="AP20" s="398" t="s">
        <v>702</v>
      </c>
      <c r="AQ20" s="590">
        <f>AQ17+AQ18+AQ19</f>
        <v>443.6800334015013</v>
      </c>
    </row>
    <row r="21" spans="1:43" hidden="1" outlineLevel="1">
      <c r="B21" s="398" t="s">
        <v>388</v>
      </c>
      <c r="D21" s="898"/>
      <c r="E21" s="1170"/>
      <c r="F21" s="1170"/>
      <c r="G21" s="1170"/>
      <c r="H21" s="1170"/>
      <c r="I21" s="1170"/>
      <c r="J21" s="1170">
        <v>0</v>
      </c>
      <c r="K21" s="1170">
        <v>0</v>
      </c>
      <c r="L21" s="1170">
        <v>310</v>
      </c>
      <c r="M21" s="1170">
        <v>371</v>
      </c>
      <c r="N21" s="1170">
        <v>0</v>
      </c>
      <c r="O21" s="1170">
        <v>0</v>
      </c>
      <c r="P21" s="1170">
        <v>0</v>
      </c>
      <c r="Q21" s="1170">
        <v>0</v>
      </c>
      <c r="R21" s="1170">
        <v>0</v>
      </c>
      <c r="S21" s="1170">
        <v>0</v>
      </c>
      <c r="T21" s="1170">
        <v>0</v>
      </c>
      <c r="U21" s="1170">
        <v>0</v>
      </c>
      <c r="V21" s="1170">
        <v>0</v>
      </c>
      <c r="W21" s="1170">
        <v>0</v>
      </c>
      <c r="X21" s="1170">
        <v>0</v>
      </c>
      <c r="Y21" s="1170">
        <v>0</v>
      </c>
      <c r="Z21" s="1170">
        <v>0</v>
      </c>
      <c r="AA21" s="1170">
        <v>0</v>
      </c>
      <c r="AB21" s="1412">
        <v>0</v>
      </c>
      <c r="AC21" s="1412">
        <v>0</v>
      </c>
      <c r="AD21" s="1412">
        <v>0</v>
      </c>
      <c r="AE21" s="1412">
        <v>0</v>
      </c>
      <c r="AF21" s="1412">
        <v>0</v>
      </c>
      <c r="AG21" s="1413">
        <v>0</v>
      </c>
      <c r="AH21" s="1413">
        <v>0</v>
      </c>
      <c r="AI21" s="1568">
        <v>0</v>
      </c>
      <c r="AJ21" s="1414">
        <v>0</v>
      </c>
      <c r="AK21" s="1414">
        <v>0</v>
      </c>
      <c r="AL21" s="1414">
        <v>0</v>
      </c>
      <c r="AM21" s="1414">
        <v>0</v>
      </c>
      <c r="AN21" s="1414">
        <v>0</v>
      </c>
      <c r="AO21" s="1171"/>
      <c r="AP21" s="1171"/>
      <c r="AQ21" s="1171"/>
    </row>
    <row r="22" spans="1:43" hidden="1" outlineLevel="1">
      <c r="B22" s="398" t="s">
        <v>389</v>
      </c>
      <c r="D22" s="898"/>
      <c r="E22" s="1170">
        <v>0</v>
      </c>
      <c r="F22" s="1170">
        <v>0</v>
      </c>
      <c r="G22" s="1170">
        <v>0</v>
      </c>
      <c r="H22" s="1170">
        <v>0</v>
      </c>
      <c r="I22" s="1170">
        <v>4</v>
      </c>
      <c r="J22" s="1170">
        <v>0</v>
      </c>
      <c r="K22" s="1170">
        <v>0</v>
      </c>
      <c r="L22" s="1170">
        <v>0</v>
      </c>
      <c r="M22" s="1170">
        <v>0</v>
      </c>
      <c r="N22" s="1170">
        <v>0</v>
      </c>
      <c r="O22" s="1170">
        <v>0</v>
      </c>
      <c r="P22" s="1170">
        <v>0</v>
      </c>
      <c r="Q22" s="1170">
        <v>0</v>
      </c>
      <c r="R22" s="1170">
        <v>0</v>
      </c>
      <c r="S22" s="1170">
        <v>0</v>
      </c>
      <c r="T22" s="1170">
        <v>0</v>
      </c>
      <c r="U22" s="1170">
        <v>0</v>
      </c>
      <c r="V22" s="1170">
        <v>0</v>
      </c>
      <c r="W22" s="1170">
        <v>0</v>
      </c>
      <c r="X22" s="1170">
        <v>0</v>
      </c>
      <c r="Y22" s="1170">
        <v>0</v>
      </c>
      <c r="Z22" s="1170">
        <v>0</v>
      </c>
      <c r="AA22" s="1170">
        <v>0</v>
      </c>
      <c r="AB22" s="1412">
        <v>0</v>
      </c>
      <c r="AC22" s="1412">
        <v>0</v>
      </c>
      <c r="AD22" s="1412">
        <v>0</v>
      </c>
      <c r="AE22" s="1412">
        <v>0</v>
      </c>
      <c r="AF22" s="1412">
        <v>0</v>
      </c>
      <c r="AG22" s="1413"/>
      <c r="AH22" s="1413">
        <v>0</v>
      </c>
      <c r="AI22" s="1568">
        <v>0</v>
      </c>
      <c r="AJ22" s="1414">
        <v>0</v>
      </c>
      <c r="AK22" s="1414">
        <v>0</v>
      </c>
      <c r="AL22" s="1414">
        <v>0</v>
      </c>
      <c r="AM22" s="1414">
        <v>0</v>
      </c>
      <c r="AN22" s="1414">
        <v>0</v>
      </c>
      <c r="AO22" s="1171"/>
      <c r="AP22" s="1171"/>
      <c r="AQ22" s="1171"/>
    </row>
    <row r="23" spans="1:43" hidden="1" outlineLevel="1">
      <c r="B23" s="398" t="s">
        <v>390</v>
      </c>
      <c r="D23" s="898"/>
      <c r="E23" s="1170"/>
      <c r="F23" s="1170"/>
      <c r="G23" s="1170"/>
      <c r="H23" s="1170"/>
      <c r="I23" s="1170"/>
      <c r="J23" s="1170"/>
      <c r="K23" s="1170">
        <v>0</v>
      </c>
      <c r="L23" s="1170">
        <v>0</v>
      </c>
      <c r="M23" s="1170">
        <v>-52</v>
      </c>
      <c r="N23" s="1170">
        <v>-22</v>
      </c>
      <c r="O23" s="1170">
        <v>0</v>
      </c>
      <c r="P23" s="1170">
        <v>-11</v>
      </c>
      <c r="Q23" s="1170">
        <v>0</v>
      </c>
      <c r="R23" s="1170">
        <v>0</v>
      </c>
      <c r="S23" s="1170">
        <v>0</v>
      </c>
      <c r="T23" s="1170">
        <v>0</v>
      </c>
      <c r="U23" s="1170">
        <v>0</v>
      </c>
      <c r="V23" s="1170">
        <v>0</v>
      </c>
      <c r="W23" s="1170">
        <v>0</v>
      </c>
      <c r="X23" s="1170">
        <v>56</v>
      </c>
      <c r="Y23" s="1170">
        <v>0</v>
      </c>
      <c r="Z23" s="1170">
        <v>0.5</v>
      </c>
      <c r="AA23" s="1170">
        <v>0</v>
      </c>
      <c r="AB23" s="1412">
        <v>0</v>
      </c>
      <c r="AC23" s="1412">
        <v>-1.46</v>
      </c>
      <c r="AD23" s="1412">
        <v>0</v>
      </c>
      <c r="AE23" s="1412">
        <v>114</v>
      </c>
      <c r="AF23" s="1412">
        <v>34</v>
      </c>
      <c r="AG23" s="1412">
        <v>10</v>
      </c>
      <c r="AH23" s="1412">
        <v>30</v>
      </c>
      <c r="AI23" s="1566">
        <v>33</v>
      </c>
      <c r="AJ23" s="1414">
        <v>0</v>
      </c>
      <c r="AK23" s="1414">
        <v>0</v>
      </c>
      <c r="AL23" s="1414">
        <v>0</v>
      </c>
      <c r="AM23" s="1414">
        <v>0</v>
      </c>
      <c r="AN23" s="1414">
        <v>0</v>
      </c>
      <c r="AO23" s="1171"/>
      <c r="AP23" s="1171"/>
      <c r="AQ23" s="1171"/>
    </row>
    <row r="24" spans="1:43" hidden="1" outlineLevel="1">
      <c r="B24" s="398" t="s">
        <v>391</v>
      </c>
      <c r="D24" s="898"/>
      <c r="E24" s="1170">
        <v>0</v>
      </c>
      <c r="F24" s="1170">
        <v>0</v>
      </c>
      <c r="G24" s="1170">
        <v>0</v>
      </c>
      <c r="H24" s="1170">
        <v>0</v>
      </c>
      <c r="I24" s="1170">
        <v>0</v>
      </c>
      <c r="J24" s="1170">
        <v>0</v>
      </c>
      <c r="K24" s="1170">
        <v>0</v>
      </c>
      <c r="L24" s="1170">
        <v>0</v>
      </c>
      <c r="M24" s="1170">
        <v>0</v>
      </c>
      <c r="N24" s="1170">
        <v>0</v>
      </c>
      <c r="O24" s="1170">
        <v>3179</v>
      </c>
      <c r="P24" s="1170">
        <v>62</v>
      </c>
      <c r="Q24" s="1170">
        <v>1306</v>
      </c>
      <c r="R24" s="1170">
        <v>38</v>
      </c>
      <c r="S24" s="1170">
        <v>1306</v>
      </c>
      <c r="T24" s="1170">
        <v>0</v>
      </c>
      <c r="U24" s="1170">
        <v>20</v>
      </c>
      <c r="V24" s="1170">
        <v>0</v>
      </c>
      <c r="W24" s="1170">
        <v>283</v>
      </c>
      <c r="X24" s="1170">
        <v>0</v>
      </c>
      <c r="Y24" s="1170">
        <v>0</v>
      </c>
      <c r="Z24" s="1170">
        <v>0</v>
      </c>
      <c r="AA24" s="1170">
        <v>0</v>
      </c>
      <c r="AB24" s="1412">
        <v>0</v>
      </c>
      <c r="AC24" s="1412">
        <v>0</v>
      </c>
      <c r="AD24" s="1412">
        <v>0</v>
      </c>
      <c r="AE24" s="1412">
        <v>-17</v>
      </c>
      <c r="AF24" s="1412">
        <v>-92</v>
      </c>
      <c r="AG24" s="1412">
        <v>-9</v>
      </c>
      <c r="AH24" s="1412">
        <v>-73</v>
      </c>
      <c r="AI24" s="1566">
        <v>-119</v>
      </c>
      <c r="AJ24" s="1414">
        <v>0</v>
      </c>
      <c r="AK24" s="1414">
        <v>0</v>
      </c>
      <c r="AL24" s="1414">
        <v>0</v>
      </c>
      <c r="AM24" s="1414">
        <v>0</v>
      </c>
      <c r="AN24" s="1414">
        <v>0</v>
      </c>
      <c r="AO24" s="1171"/>
      <c r="AP24" s="1171"/>
      <c r="AQ24" s="1171"/>
    </row>
    <row r="25" spans="1:43" hidden="1" outlineLevel="1">
      <c r="B25" s="398" t="s">
        <v>392</v>
      </c>
      <c r="D25" s="898"/>
      <c r="E25" s="1170">
        <v>0</v>
      </c>
      <c r="F25" s="1170">
        <v>0</v>
      </c>
      <c r="G25" s="1170">
        <v>0</v>
      </c>
      <c r="H25" s="1170">
        <v>0</v>
      </c>
      <c r="I25" s="1170">
        <v>0</v>
      </c>
      <c r="J25" s="1170">
        <v>0</v>
      </c>
      <c r="K25" s="1170">
        <v>0</v>
      </c>
      <c r="L25" s="1170">
        <v>0</v>
      </c>
      <c r="M25" s="1170">
        <v>0</v>
      </c>
      <c r="N25" s="1170">
        <v>0</v>
      </c>
      <c r="O25" s="1170">
        <v>0</v>
      </c>
      <c r="P25" s="1170">
        <v>0</v>
      </c>
      <c r="Q25" s="1170">
        <v>0</v>
      </c>
      <c r="R25" s="1170">
        <v>0</v>
      </c>
      <c r="S25" s="1170">
        <v>61</v>
      </c>
      <c r="T25" s="1170">
        <v>38</v>
      </c>
      <c r="U25" s="1170">
        <v>100</v>
      </c>
      <c r="V25" s="1170">
        <v>4700</v>
      </c>
      <c r="W25" s="1170">
        <v>31</v>
      </c>
      <c r="X25" s="1170">
        <v>20</v>
      </c>
      <c r="Y25" s="1170">
        <v>26</v>
      </c>
      <c r="Z25" s="1170">
        <v>13</v>
      </c>
      <c r="AA25" s="1170">
        <v>13</v>
      </c>
      <c r="AB25" s="1412">
        <v>14</v>
      </c>
      <c r="AC25" s="1412">
        <v>15</v>
      </c>
      <c r="AD25" s="1412">
        <v>0</v>
      </c>
      <c r="AE25" s="1412">
        <v>0</v>
      </c>
      <c r="AF25" s="1412">
        <v>0</v>
      </c>
      <c r="AG25" s="1412">
        <f>13+11</f>
        <v>24</v>
      </c>
      <c r="AH25" s="1412">
        <f>2+96+13</f>
        <v>111</v>
      </c>
      <c r="AI25" s="1566">
        <v>0</v>
      </c>
      <c r="AJ25" s="1414">
        <v>0</v>
      </c>
      <c r="AK25" s="1414">
        <v>0</v>
      </c>
      <c r="AL25" s="1414">
        <v>0</v>
      </c>
      <c r="AM25" s="1414">
        <v>0</v>
      </c>
      <c r="AN25" s="1414">
        <v>0</v>
      </c>
      <c r="AO25" s="1171"/>
      <c r="AP25" s="1171"/>
      <c r="AQ25" s="1171"/>
    </row>
    <row r="26" spans="1:43" collapsed="1">
      <c r="E26" s="1173"/>
      <c r="F26" s="1173"/>
      <c r="G26" s="1173"/>
      <c r="H26" s="1173"/>
      <c r="I26" s="1173"/>
      <c r="J26" s="1173"/>
      <c r="K26" s="1173"/>
      <c r="L26" s="1173"/>
      <c r="M26" s="1173"/>
      <c r="N26" s="1173"/>
      <c r="O26" s="1173"/>
      <c r="P26" s="1173"/>
      <c r="Q26" s="1173"/>
      <c r="R26" s="1173"/>
      <c r="S26" s="1173"/>
      <c r="T26" s="1173"/>
      <c r="U26" s="1173"/>
      <c r="V26" s="1173"/>
      <c r="W26" s="1173"/>
      <c r="X26" s="1173"/>
      <c r="Y26" s="1173"/>
      <c r="Z26" s="1173"/>
      <c r="AA26" s="1173"/>
      <c r="AB26" s="1173"/>
      <c r="AC26" s="1173"/>
      <c r="AD26" s="1174"/>
      <c r="AE26" s="1174"/>
      <c r="AF26" s="1174"/>
      <c r="AG26" s="1174"/>
      <c r="AH26" s="1174"/>
      <c r="AI26" s="1569"/>
      <c r="AJ26" s="1174"/>
      <c r="AK26" s="1174"/>
      <c r="AL26" s="1174"/>
      <c r="AM26" s="1174"/>
      <c r="AN26" s="1174"/>
      <c r="AO26" s="1171"/>
      <c r="AP26" s="1171"/>
      <c r="AQ26" s="1171"/>
    </row>
    <row r="27" spans="1:43">
      <c r="A27" s="398" t="s">
        <v>217</v>
      </c>
      <c r="E27" s="1175">
        <f t="shared" ref="E27:AI27" si="1">SUM(E8:E26)</f>
        <v>968</v>
      </c>
      <c r="F27" s="1175">
        <f t="shared" si="1"/>
        <v>676</v>
      </c>
      <c r="G27" s="1175">
        <f t="shared" si="1"/>
        <v>985</v>
      </c>
      <c r="H27" s="1175">
        <f t="shared" si="1"/>
        <v>1193</v>
      </c>
      <c r="I27" s="1175">
        <f t="shared" si="1"/>
        <v>1408</v>
      </c>
      <c r="J27" s="1175">
        <f t="shared" si="1"/>
        <v>1414</v>
      </c>
      <c r="K27" s="1175">
        <f t="shared" si="1"/>
        <v>1327.2</v>
      </c>
      <c r="L27" s="1175">
        <f t="shared" si="1"/>
        <v>1238</v>
      </c>
      <c r="M27" s="1175">
        <f t="shared" si="1"/>
        <v>1462.2170000000001</v>
      </c>
      <c r="N27" s="1175">
        <f t="shared" si="1"/>
        <v>1427.64937665669</v>
      </c>
      <c r="O27" s="1175">
        <f t="shared" si="1"/>
        <v>4193.5280000000002</v>
      </c>
      <c r="P27" s="1175">
        <f t="shared" si="1"/>
        <v>444.24</v>
      </c>
      <c r="Q27" s="1175">
        <f t="shared" si="1"/>
        <v>2314</v>
      </c>
      <c r="R27" s="1175">
        <f t="shared" si="1"/>
        <v>1384</v>
      </c>
      <c r="S27" s="1175">
        <f t="shared" si="1"/>
        <v>1914</v>
      </c>
      <c r="T27" s="1175">
        <f t="shared" si="1"/>
        <v>627</v>
      </c>
      <c r="U27" s="1175">
        <f t="shared" si="1"/>
        <v>830</v>
      </c>
      <c r="V27" s="1175">
        <f t="shared" si="1"/>
        <v>5496.37</v>
      </c>
      <c r="W27" s="1175">
        <f t="shared" si="1"/>
        <v>1750.8445947955379</v>
      </c>
      <c r="X27" s="1175">
        <f t="shared" si="1"/>
        <v>1306.3879310344828</v>
      </c>
      <c r="Y27" s="1175">
        <f t="shared" si="1"/>
        <v>1482.0699999999997</v>
      </c>
      <c r="Z27" s="1175">
        <f t="shared" si="1"/>
        <v>1086.555880645159</v>
      </c>
      <c r="AA27" s="1175">
        <f t="shared" si="1"/>
        <v>1200.5819999999999</v>
      </c>
      <c r="AB27" s="1175">
        <f t="shared" si="1"/>
        <v>909</v>
      </c>
      <c r="AC27" s="1175">
        <f t="shared" si="1"/>
        <v>693.86162692632206</v>
      </c>
      <c r="AD27" s="1175">
        <f t="shared" si="1"/>
        <v>-758</v>
      </c>
      <c r="AE27" s="1175">
        <f t="shared" si="1"/>
        <v>-1029</v>
      </c>
      <c r="AF27" s="1175">
        <f t="shared" si="1"/>
        <v>-140</v>
      </c>
      <c r="AG27" s="1175">
        <f t="shared" si="1"/>
        <v>325</v>
      </c>
      <c r="AH27" s="1175">
        <f>SUM(AH8:AH26)</f>
        <v>668</v>
      </c>
      <c r="AI27" s="285">
        <f t="shared" si="1"/>
        <v>455.68000000000006</v>
      </c>
      <c r="AJ27" s="1175">
        <f>SUM(AJ8:AJ26)</f>
        <v>508.32033599999886</v>
      </c>
      <c r="AK27" s="1176">
        <f>SUM(AK8:AK26)</f>
        <v>462.3427854626342</v>
      </c>
      <c r="AL27" s="1176">
        <f>SUM(AL8:AL26)</f>
        <v>421.44220077975262</v>
      </c>
      <c r="AM27" s="1176">
        <f>SUM(AM8:AM26)</f>
        <v>310.04054140606451</v>
      </c>
      <c r="AN27" s="1176">
        <f>SUM(AN8:AN26)</f>
        <v>155.86773291867269</v>
      </c>
      <c r="AO27" s="1171"/>
      <c r="AP27" s="1171"/>
      <c r="AQ27" s="1171"/>
    </row>
    <row r="28" spans="1:43">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O28" s="1171"/>
      <c r="AP28" s="1171"/>
      <c r="AQ28" s="1171"/>
    </row>
    <row r="29" spans="1:43">
      <c r="B29" s="398" t="s">
        <v>215</v>
      </c>
      <c r="D29" s="898"/>
      <c r="E29" s="1177">
        <v>-477</v>
      </c>
      <c r="F29" s="1177">
        <v>-637</v>
      </c>
      <c r="G29" s="1177">
        <v>-516</v>
      </c>
      <c r="H29" s="1177">
        <v>-454</v>
      </c>
      <c r="I29" s="1177">
        <v>-480</v>
      </c>
      <c r="J29" s="1177">
        <v>-550</v>
      </c>
      <c r="K29" s="1177">
        <v>-717</v>
      </c>
      <c r="L29" s="1177">
        <v>-704</v>
      </c>
      <c r="M29" s="1177">
        <v>-824</v>
      </c>
      <c r="N29" s="1177">
        <v>-744</v>
      </c>
      <c r="O29" s="1177">
        <v>-722</v>
      </c>
      <c r="P29" s="1177">
        <v>-678</v>
      </c>
      <c r="Q29" s="1177">
        <v>-631</v>
      </c>
      <c r="R29" s="1177">
        <v>-658</v>
      </c>
      <c r="S29" s="1177">
        <v>-315</v>
      </c>
      <c r="T29" s="1177">
        <v>-315</v>
      </c>
      <c r="U29" s="1177">
        <v>-359</v>
      </c>
      <c r="V29" s="1177">
        <v>-398</v>
      </c>
      <c r="W29" s="1177">
        <v>-535</v>
      </c>
      <c r="X29" s="1177">
        <v>-772</v>
      </c>
      <c r="Y29" s="1177">
        <v>-1243</v>
      </c>
      <c r="Z29" s="1177">
        <v>-969</v>
      </c>
      <c r="AA29" s="1177">
        <v>-600</v>
      </c>
      <c r="AB29" s="1412">
        <v>-499</v>
      </c>
      <c r="AC29" s="1412">
        <v>-634</v>
      </c>
      <c r="AD29" s="1412">
        <v>-810</v>
      </c>
      <c r="AE29" s="1412">
        <v>-951</v>
      </c>
      <c r="AF29" s="1412">
        <v>-252</v>
      </c>
      <c r="AG29" s="1412">
        <v>-320</v>
      </c>
      <c r="AH29" s="1412">
        <v>-427</v>
      </c>
      <c r="AI29" s="1570">
        <v>-395</v>
      </c>
      <c r="AJ29" s="1382">
        <v>-375</v>
      </c>
      <c r="AK29" s="1382">
        <f>AJ29</f>
        <v>-375</v>
      </c>
      <c r="AL29" s="1382">
        <f>AK29</f>
        <v>-375</v>
      </c>
      <c r="AM29" s="1382">
        <f>AL29</f>
        <v>-375</v>
      </c>
      <c r="AN29" s="1382">
        <f>AM29</f>
        <v>-375</v>
      </c>
      <c r="AO29" s="1171"/>
      <c r="AP29" s="1171"/>
      <c r="AQ29" s="1171"/>
    </row>
    <row r="30" spans="1:43">
      <c r="B30" s="398" t="s">
        <v>495</v>
      </c>
      <c r="D30" s="898"/>
      <c r="E30" s="1170">
        <v>0</v>
      </c>
      <c r="F30" s="1170">
        <v>0</v>
      </c>
      <c r="G30" s="1170">
        <v>0</v>
      </c>
      <c r="H30" s="1170">
        <v>0</v>
      </c>
      <c r="I30" s="1170">
        <v>0</v>
      </c>
      <c r="J30" s="1170">
        <v>0</v>
      </c>
      <c r="K30" s="1170">
        <v>0</v>
      </c>
      <c r="L30" s="1170">
        <v>-1776</v>
      </c>
      <c r="M30" s="1170">
        <v>0</v>
      </c>
      <c r="N30" s="1170">
        <v>-247</v>
      </c>
      <c r="O30" s="1170">
        <v>0</v>
      </c>
      <c r="P30" s="1170">
        <v>0</v>
      </c>
      <c r="Q30" s="1170">
        <v>0</v>
      </c>
      <c r="R30" s="1170">
        <v>0</v>
      </c>
      <c r="S30" s="1170">
        <v>0</v>
      </c>
      <c r="T30" s="1170">
        <v>0</v>
      </c>
      <c r="U30" s="1170">
        <v>0</v>
      </c>
      <c r="V30" s="1170">
        <v>0</v>
      </c>
      <c r="W30" s="1170">
        <v>0</v>
      </c>
      <c r="X30" s="1170">
        <v>0</v>
      </c>
      <c r="Y30" s="1170">
        <v>0</v>
      </c>
      <c r="Z30" s="1170">
        <v>0</v>
      </c>
      <c r="AA30" s="1170">
        <v>0</v>
      </c>
      <c r="AB30" s="1412">
        <v>0</v>
      </c>
      <c r="AC30" s="1412">
        <v>0</v>
      </c>
      <c r="AD30" s="1412">
        <f>526-9</f>
        <v>517</v>
      </c>
      <c r="AE30" s="1412">
        <f>143+19</f>
        <v>162</v>
      </c>
      <c r="AF30" s="1412">
        <f>35+70</f>
        <v>105</v>
      </c>
      <c r="AG30" s="1412">
        <v>0</v>
      </c>
      <c r="AH30" s="1412">
        <v>0</v>
      </c>
      <c r="AI30" s="1566">
        <v>154</v>
      </c>
      <c r="AJ30" s="1414">
        <v>50</v>
      </c>
      <c r="AK30" s="1414">
        <v>0</v>
      </c>
      <c r="AL30" s="1414">
        <v>0</v>
      </c>
      <c r="AM30" s="1414">
        <v>0</v>
      </c>
      <c r="AN30" s="1414">
        <v>0</v>
      </c>
      <c r="AO30" s="1171"/>
      <c r="AP30" s="1171"/>
      <c r="AQ30" s="1171"/>
    </row>
    <row r="31" spans="1:43" hidden="1" outlineLevel="1">
      <c r="B31" s="398" t="s">
        <v>393</v>
      </c>
      <c r="D31" s="898"/>
      <c r="E31" s="1170">
        <v>-2</v>
      </c>
      <c r="F31" s="1170">
        <v>3</v>
      </c>
      <c r="G31" s="1170">
        <v>-20</v>
      </c>
      <c r="H31" s="1170">
        <v>-130</v>
      </c>
      <c r="I31" s="1170">
        <v>-136</v>
      </c>
      <c r="J31" s="1170">
        <v>-189</v>
      </c>
      <c r="K31" s="1170">
        <v>-163</v>
      </c>
      <c r="L31" s="1170">
        <v>22</v>
      </c>
      <c r="M31" s="1170">
        <v>127</v>
      </c>
      <c r="N31" s="1170">
        <v>-164</v>
      </c>
      <c r="O31" s="1170">
        <v>164</v>
      </c>
      <c r="P31" s="1170">
        <v>268</v>
      </c>
      <c r="Q31" s="1170">
        <v>0</v>
      </c>
      <c r="R31" s="1170">
        <v>0</v>
      </c>
      <c r="S31" s="1170">
        <v>0</v>
      </c>
      <c r="T31" s="1170">
        <v>0</v>
      </c>
      <c r="U31" s="1170">
        <v>0</v>
      </c>
      <c r="V31" s="1170">
        <v>0</v>
      </c>
      <c r="W31" s="1170">
        <v>0</v>
      </c>
      <c r="X31" s="1170">
        <v>0</v>
      </c>
      <c r="Y31" s="1170">
        <v>0</v>
      </c>
      <c r="Z31" s="1170">
        <v>0</v>
      </c>
      <c r="AA31" s="1170">
        <v>0</v>
      </c>
      <c r="AB31" s="1412">
        <v>0</v>
      </c>
      <c r="AC31" s="1412">
        <v>-251</v>
      </c>
      <c r="AD31" s="1412">
        <v>0</v>
      </c>
      <c r="AE31" s="1412">
        <v>0</v>
      </c>
      <c r="AF31" s="1412">
        <v>5</v>
      </c>
      <c r="AG31" s="1413">
        <v>0</v>
      </c>
      <c r="AH31" s="1413">
        <v>0</v>
      </c>
      <c r="AI31" s="1566">
        <f>9+3</f>
        <v>12</v>
      </c>
      <c r="AJ31" s="1414">
        <v>0</v>
      </c>
      <c r="AK31" s="1414">
        <v>0</v>
      </c>
      <c r="AL31" s="1414">
        <v>0</v>
      </c>
      <c r="AM31" s="1414">
        <v>0</v>
      </c>
      <c r="AN31" s="1414">
        <v>0</v>
      </c>
      <c r="AO31" s="1171"/>
      <c r="AP31" s="1171"/>
      <c r="AQ31" s="1171"/>
    </row>
    <row r="32" spans="1:43" hidden="1" outlineLevel="1">
      <c r="B32" s="398" t="s">
        <v>394</v>
      </c>
      <c r="D32" s="898"/>
      <c r="E32" s="1170">
        <v>0</v>
      </c>
      <c r="F32" s="1170">
        <v>0</v>
      </c>
      <c r="G32" s="1170">
        <v>0</v>
      </c>
      <c r="H32" s="1170">
        <v>-419</v>
      </c>
      <c r="I32" s="1170">
        <v>-12</v>
      </c>
      <c r="J32" s="1170" t="s">
        <v>395</v>
      </c>
      <c r="K32" s="1170">
        <v>-74</v>
      </c>
      <c r="L32" s="1170">
        <v>0</v>
      </c>
      <c r="M32" s="1170">
        <v>0</v>
      </c>
      <c r="N32" s="1170">
        <v>0</v>
      </c>
      <c r="O32" s="1170">
        <v>0</v>
      </c>
      <c r="P32" s="1170">
        <v>0</v>
      </c>
      <c r="Q32" s="1170">
        <v>0</v>
      </c>
      <c r="R32" s="1170">
        <v>0</v>
      </c>
      <c r="S32" s="1170">
        <v>0</v>
      </c>
      <c r="T32" s="1170">
        <v>0</v>
      </c>
      <c r="U32" s="1170">
        <v>0</v>
      </c>
      <c r="V32" s="1170">
        <v>0</v>
      </c>
      <c r="W32" s="1170">
        <v>0</v>
      </c>
      <c r="X32" s="1170">
        <v>0</v>
      </c>
      <c r="Y32" s="1170">
        <v>0</v>
      </c>
      <c r="Z32" s="1170">
        <v>0</v>
      </c>
      <c r="AA32" s="1170">
        <v>0</v>
      </c>
      <c r="AB32" s="1412">
        <v>0</v>
      </c>
      <c r="AC32" s="1412">
        <v>0</v>
      </c>
      <c r="AD32" s="1412">
        <v>0</v>
      </c>
      <c r="AE32" s="1412">
        <v>0</v>
      </c>
      <c r="AF32" s="1412">
        <v>0</v>
      </c>
      <c r="AG32" s="1413">
        <v>0</v>
      </c>
      <c r="AH32" s="1413">
        <v>0</v>
      </c>
      <c r="AI32" s="1568">
        <v>0</v>
      </c>
      <c r="AJ32" s="1414">
        <v>0</v>
      </c>
      <c r="AK32" s="1414">
        <v>0</v>
      </c>
      <c r="AL32" s="1414">
        <v>0</v>
      </c>
      <c r="AM32" s="1414">
        <v>0</v>
      </c>
      <c r="AN32" s="1414">
        <v>0</v>
      </c>
      <c r="AO32" s="1171"/>
      <c r="AP32" s="1171"/>
      <c r="AQ32" s="1171"/>
    </row>
    <row r="33" spans="1:43" collapsed="1">
      <c r="D33" s="898"/>
      <c r="E33" s="1178"/>
      <c r="F33" s="1178"/>
      <c r="G33" s="1178"/>
      <c r="H33" s="1178"/>
      <c r="I33" s="1178"/>
      <c r="J33" s="1178"/>
      <c r="K33" s="1178"/>
      <c r="L33" s="1178"/>
      <c r="M33" s="1178"/>
      <c r="N33" s="1178"/>
      <c r="O33" s="1178"/>
      <c r="P33" s="1178"/>
      <c r="Q33" s="1178"/>
      <c r="R33" s="1178"/>
      <c r="S33" s="1178"/>
      <c r="T33" s="1178"/>
      <c r="U33" s="1178"/>
      <c r="V33" s="1178"/>
      <c r="W33" s="1178"/>
      <c r="X33" s="1178"/>
      <c r="Y33" s="1178"/>
      <c r="Z33" s="1178"/>
      <c r="AA33" s="1178"/>
      <c r="AB33" s="1417"/>
      <c r="AC33" s="1417"/>
      <c r="AD33" s="1363"/>
      <c r="AE33" s="1363"/>
      <c r="AF33" s="1363"/>
      <c r="AG33" s="1363"/>
      <c r="AH33" s="1363"/>
      <c r="AI33" s="1571"/>
      <c r="AJ33" s="1384"/>
      <c r="AK33" s="1424"/>
      <c r="AL33" s="1424"/>
      <c r="AM33" s="1424"/>
      <c r="AN33" s="1424"/>
    </row>
    <row r="34" spans="1:43">
      <c r="B34" s="398" t="s">
        <v>224</v>
      </c>
      <c r="D34" s="898"/>
      <c r="E34" s="1178"/>
      <c r="F34" s="1178"/>
      <c r="G34" s="1178"/>
      <c r="H34" s="1178"/>
      <c r="I34" s="1178"/>
      <c r="J34" s="1178"/>
      <c r="K34" s="1178"/>
      <c r="L34" s="1178"/>
      <c r="M34" s="1178"/>
      <c r="N34" s="1178"/>
      <c r="O34" s="1178"/>
      <c r="P34" s="1178"/>
      <c r="Q34" s="1178"/>
      <c r="R34" s="1178"/>
      <c r="S34" s="1178"/>
      <c r="T34" s="1178"/>
      <c r="U34" s="1178"/>
      <c r="V34" s="1178"/>
      <c r="W34" s="1178"/>
      <c r="X34" s="1178"/>
      <c r="Y34" s="1178"/>
      <c r="Z34" s="1178"/>
      <c r="AA34" s="1178"/>
      <c r="AB34" s="1417"/>
      <c r="AC34" s="1417"/>
      <c r="AD34" s="1363"/>
      <c r="AE34" s="1363"/>
      <c r="AF34" s="1363"/>
      <c r="AG34" s="1363"/>
      <c r="AH34" s="1363"/>
      <c r="AI34" s="1571"/>
      <c r="AJ34" s="1384"/>
      <c r="AK34" s="1424"/>
      <c r="AL34" s="1424"/>
      <c r="AM34" s="1424"/>
      <c r="AN34" s="1424"/>
    </row>
    <row r="35" spans="1:43" hidden="1" outlineLevel="1">
      <c r="B35" s="398" t="s">
        <v>67</v>
      </c>
      <c r="D35" s="898"/>
      <c r="E35" s="1179"/>
      <c r="F35" s="1179"/>
      <c r="G35" s="1179"/>
      <c r="H35" s="1179"/>
      <c r="I35" s="1179"/>
      <c r="J35" s="1179"/>
      <c r="K35" s="1179"/>
      <c r="L35" s="1179"/>
      <c r="M35" s="1179"/>
      <c r="N35" s="1179">
        <v>95</v>
      </c>
      <c r="O35" s="1179">
        <v>-100</v>
      </c>
      <c r="P35" s="1179">
        <v>33</v>
      </c>
      <c r="Q35" s="1179"/>
      <c r="R35" s="1179"/>
      <c r="S35" s="1179">
        <v>28</v>
      </c>
      <c r="T35" s="1179">
        <v>-13</v>
      </c>
      <c r="U35" s="1179">
        <v>27</v>
      </c>
      <c r="V35" s="1179">
        <v>3</v>
      </c>
      <c r="W35" s="1179">
        <v>-44</v>
      </c>
      <c r="X35" s="1179">
        <v>29</v>
      </c>
      <c r="Y35" s="1179">
        <v>0</v>
      </c>
      <c r="Z35" s="1179">
        <v>0</v>
      </c>
      <c r="AA35" s="1179">
        <v>0</v>
      </c>
      <c r="AB35" s="1418">
        <v>0</v>
      </c>
      <c r="AC35" s="1418">
        <v>0</v>
      </c>
      <c r="AD35" s="1418">
        <v>0</v>
      </c>
      <c r="AE35" s="1418">
        <v>0</v>
      </c>
      <c r="AF35" s="1418">
        <v>0</v>
      </c>
      <c r="AG35" s="1418">
        <v>0</v>
      </c>
      <c r="AH35" s="1418">
        <v>0</v>
      </c>
      <c r="AI35" s="1572">
        <v>0</v>
      </c>
      <c r="AJ35" s="1425">
        <v>0</v>
      </c>
      <c r="AK35" s="1426">
        <v>0</v>
      </c>
      <c r="AL35" s="1426">
        <v>0</v>
      </c>
      <c r="AM35" s="1426">
        <v>0</v>
      </c>
      <c r="AN35" s="1426">
        <v>0</v>
      </c>
      <c r="AO35" s="1179"/>
      <c r="AP35" s="1179"/>
      <c r="AQ35" s="1179"/>
    </row>
    <row r="36" spans="1:43" collapsed="1">
      <c r="B36" s="398" t="s">
        <v>58</v>
      </c>
      <c r="D36" s="898"/>
      <c r="E36" s="1170"/>
      <c r="F36" s="1170"/>
      <c r="G36" s="1170"/>
      <c r="H36" s="1170"/>
      <c r="I36" s="1170"/>
      <c r="J36" s="1170"/>
      <c r="K36" s="1170"/>
      <c r="L36" s="1170"/>
      <c r="M36" s="1170"/>
      <c r="N36" s="1170">
        <v>64</v>
      </c>
      <c r="O36" s="1170">
        <v>229</v>
      </c>
      <c r="P36" s="1170">
        <v>772</v>
      </c>
      <c r="Q36" s="1170"/>
      <c r="R36" s="1170"/>
      <c r="S36" s="1170">
        <v>348</v>
      </c>
      <c r="T36" s="1170">
        <v>43</v>
      </c>
      <c r="U36" s="1170">
        <v>-94</v>
      </c>
      <c r="V36" s="1170">
        <v>-7</v>
      </c>
      <c r="W36" s="1170">
        <v>-67</v>
      </c>
      <c r="X36" s="1170">
        <v>-190</v>
      </c>
      <c r="Y36" s="1170">
        <v>-241</v>
      </c>
      <c r="Z36" s="1170">
        <v>382</v>
      </c>
      <c r="AA36" s="1170">
        <v>235</v>
      </c>
      <c r="AB36" s="1412">
        <v>-189</v>
      </c>
      <c r="AC36" s="1412">
        <v>297</v>
      </c>
      <c r="AD36" s="1412">
        <v>575</v>
      </c>
      <c r="AE36" s="1412">
        <v>-594</v>
      </c>
      <c r="AF36" s="1412">
        <v>283</v>
      </c>
      <c r="AG36" s="1412">
        <f>bal!AF14-bal!AG14</f>
        <v>-69</v>
      </c>
      <c r="AH36" s="1412">
        <v>-133</v>
      </c>
      <c r="AI36" s="1573">
        <v>92</v>
      </c>
      <c r="AJ36" s="1180">
        <f>bal!AI14-bal!AJ14</f>
        <v>27.619999999999891</v>
      </c>
      <c r="AK36" s="1181">
        <f>bal!AJ14-bal!AK14</f>
        <v>27.343800000000101</v>
      </c>
      <c r="AL36" s="1181">
        <f>bal!AK14-bal!AL14</f>
        <v>27.070361999999932</v>
      </c>
      <c r="AM36" s="1181">
        <f>bal!AL14-bal!AM14</f>
        <v>26.799658379999983</v>
      </c>
      <c r="AN36" s="1181">
        <f>bal!AM14-bal!AN14</f>
        <v>26.531661796199842</v>
      </c>
      <c r="AO36" s="1180"/>
      <c r="AP36" s="1180"/>
      <c r="AQ36" s="1180"/>
    </row>
    <row r="37" spans="1:43" hidden="1" outlineLevel="1">
      <c r="B37" s="398" t="s">
        <v>59</v>
      </c>
      <c r="D37" s="898"/>
      <c r="E37" s="1170"/>
      <c r="F37" s="1170"/>
      <c r="G37" s="1170"/>
      <c r="H37" s="1170"/>
      <c r="I37" s="1170"/>
      <c r="J37" s="1170"/>
      <c r="K37" s="1170"/>
      <c r="L37" s="1170"/>
      <c r="M37" s="1170"/>
      <c r="N37" s="1170">
        <v>0</v>
      </c>
      <c r="O37" s="1170">
        <v>167</v>
      </c>
      <c r="P37" s="1170">
        <v>-67</v>
      </c>
      <c r="Q37" s="1170"/>
      <c r="R37" s="1170"/>
      <c r="S37" s="1170">
        <v>-29</v>
      </c>
      <c r="T37" s="1170">
        <v>-17</v>
      </c>
      <c r="U37" s="1170">
        <v>-42</v>
      </c>
      <c r="V37" s="1170">
        <v>4</v>
      </c>
      <c r="W37" s="1170">
        <v>-16</v>
      </c>
      <c r="X37" s="1170">
        <v>-37</v>
      </c>
      <c r="Y37" s="1170">
        <v>51</v>
      </c>
      <c r="Z37" s="1170">
        <v>25</v>
      </c>
      <c r="AA37" s="1170">
        <v>36</v>
      </c>
      <c r="AB37" s="1412">
        <v>27</v>
      </c>
      <c r="AC37" s="1412">
        <v>-67</v>
      </c>
      <c r="AD37" s="1412">
        <v>-5</v>
      </c>
      <c r="AE37" s="1412">
        <v>74</v>
      </c>
      <c r="AF37" s="1412">
        <v>-1</v>
      </c>
      <c r="AG37" s="1412">
        <v>19</v>
      </c>
      <c r="AH37" s="1412">
        <v>11</v>
      </c>
      <c r="AI37" s="1573">
        <v>-15</v>
      </c>
      <c r="AJ37" s="1180">
        <f>(bal!AI15-bal!AJ15)</f>
        <v>0</v>
      </c>
      <c r="AK37" s="1181">
        <f>(bal!AJ15-bal!AK15)</f>
        <v>0</v>
      </c>
      <c r="AL37" s="1181">
        <f>(bal!AK15-bal!AL15)</f>
        <v>0</v>
      </c>
      <c r="AM37" s="1181">
        <f>(bal!AL15-bal!AM15)</f>
        <v>0</v>
      </c>
      <c r="AN37" s="1181">
        <f>(bal!AM15-bal!AN15)</f>
        <v>0</v>
      </c>
      <c r="AO37" s="1180"/>
      <c r="AP37" s="1180"/>
      <c r="AQ37" s="1180"/>
    </row>
    <row r="38" spans="1:43" collapsed="1">
      <c r="B38" s="398" t="s">
        <v>225</v>
      </c>
      <c r="D38" s="898"/>
      <c r="E38" s="1178"/>
      <c r="F38" s="1178"/>
      <c r="G38" s="1178"/>
      <c r="H38" s="1178"/>
      <c r="I38" s="1178"/>
      <c r="J38" s="1178"/>
      <c r="K38" s="1178"/>
      <c r="L38" s="1178"/>
      <c r="M38" s="1178"/>
      <c r="N38" s="1178"/>
      <c r="O38" s="1178"/>
      <c r="P38" s="1178"/>
      <c r="Q38" s="1178"/>
      <c r="R38" s="1178"/>
      <c r="S38" s="1178"/>
      <c r="T38" s="1178"/>
      <c r="U38" s="1178"/>
      <c r="V38" s="1178"/>
      <c r="W38" s="1178"/>
      <c r="X38" s="1178"/>
      <c r="Y38" s="1178"/>
      <c r="Z38" s="1178"/>
      <c r="AA38" s="1178"/>
      <c r="AB38" s="1417"/>
      <c r="AC38" s="1417"/>
      <c r="AD38" s="1363"/>
      <c r="AE38" s="1363"/>
      <c r="AF38" s="1363"/>
      <c r="AG38" s="1363"/>
      <c r="AH38" s="1363"/>
    </row>
    <row r="39" spans="1:43">
      <c r="B39" s="398" t="s">
        <v>61</v>
      </c>
      <c r="D39" s="898"/>
      <c r="E39" s="1182"/>
      <c r="F39" s="1182"/>
      <c r="G39" s="1182"/>
      <c r="H39" s="1182"/>
      <c r="I39" s="1182"/>
      <c r="J39" s="1182"/>
      <c r="K39" s="1182"/>
      <c r="L39" s="1182"/>
      <c r="M39" s="1182"/>
      <c r="N39" s="1182">
        <v>0</v>
      </c>
      <c r="O39" s="1182">
        <v>-40</v>
      </c>
      <c r="P39" s="1182">
        <v>365</v>
      </c>
      <c r="Q39" s="1182"/>
      <c r="R39" s="1182"/>
      <c r="S39" s="1182">
        <v>-401</v>
      </c>
      <c r="T39" s="1182">
        <v>53</v>
      </c>
      <c r="U39" s="1182">
        <v>79</v>
      </c>
      <c r="V39" s="1182">
        <v>22</v>
      </c>
      <c r="W39" s="1182">
        <v>28</v>
      </c>
      <c r="X39" s="1182">
        <v>195</v>
      </c>
      <c r="Y39" s="1182">
        <v>106</v>
      </c>
      <c r="Z39" s="1182">
        <v>-278</v>
      </c>
      <c r="AA39" s="1182">
        <v>32</v>
      </c>
      <c r="AB39" s="1419">
        <v>-93</v>
      </c>
      <c r="AC39" s="1419">
        <v>-111</v>
      </c>
      <c r="AD39" s="1412">
        <v>140</v>
      </c>
      <c r="AE39" s="1412">
        <v>-214</v>
      </c>
      <c r="AF39" s="1412">
        <v>49</v>
      </c>
      <c r="AG39" s="1412">
        <f>bal!AG26-bal!AF26</f>
        <v>-72</v>
      </c>
      <c r="AH39" s="1412">
        <v>52</v>
      </c>
      <c r="AI39" s="1566">
        <v>-4</v>
      </c>
      <c r="AJ39" s="1183">
        <f>bal!AJ26-bal!AI26</f>
        <v>-15.966999999999985</v>
      </c>
      <c r="AK39" s="1184">
        <f>bal!AK26-bal!AJ26</f>
        <v>-9.5703300000001263</v>
      </c>
      <c r="AL39" s="1184">
        <f>bal!AL26-bal!AK26</f>
        <v>-9.4746266999999307</v>
      </c>
      <c r="AM39" s="1184">
        <f>bal!AM26-bal!AL26</f>
        <v>-9.3798804330000394</v>
      </c>
      <c r="AN39" s="1184">
        <f>bal!AN26-bal!AM26</f>
        <v>-9.2860816286698764</v>
      </c>
      <c r="AO39" s="589"/>
      <c r="AP39" s="589"/>
      <c r="AQ39" s="589"/>
    </row>
    <row r="40" spans="1:43">
      <c r="B40" s="398" t="s">
        <v>62</v>
      </c>
      <c r="D40" s="898"/>
      <c r="E40" s="1185"/>
      <c r="F40" s="1185"/>
      <c r="G40" s="1185"/>
      <c r="H40" s="1185"/>
      <c r="I40" s="1185"/>
      <c r="J40" s="1185"/>
      <c r="K40" s="1185"/>
      <c r="L40" s="1185"/>
      <c r="M40" s="1185"/>
      <c r="N40" s="1185">
        <v>-358</v>
      </c>
      <c r="O40" s="1185">
        <v>-31</v>
      </c>
      <c r="P40" s="1185">
        <v>154</v>
      </c>
      <c r="Q40" s="1185"/>
      <c r="R40" s="1185"/>
      <c r="S40" s="1185">
        <v>111</v>
      </c>
      <c r="T40" s="1185">
        <v>-34</v>
      </c>
      <c r="U40" s="1185">
        <v>133</v>
      </c>
      <c r="V40" s="1185">
        <v>117</v>
      </c>
      <c r="W40" s="1185">
        <v>124</v>
      </c>
      <c r="X40" s="1185">
        <v>31</v>
      </c>
      <c r="Y40" s="1185">
        <v>-61</v>
      </c>
      <c r="Z40" s="1185">
        <v>-12</v>
      </c>
      <c r="AA40" s="1185">
        <v>143</v>
      </c>
      <c r="AB40" s="1420">
        <v>-81</v>
      </c>
      <c r="AC40" s="1420">
        <v>37</v>
      </c>
      <c r="AD40" s="1420">
        <v>-79</v>
      </c>
      <c r="AE40" s="1420">
        <v>-101</v>
      </c>
      <c r="AF40" s="1420">
        <v>58</v>
      </c>
      <c r="AG40" s="1420">
        <v>257</v>
      </c>
      <c r="AH40" s="1420">
        <v>-147</v>
      </c>
      <c r="AI40" s="1566">
        <v>-63</v>
      </c>
      <c r="AJ40" s="1183">
        <f>bal!AJ27-bal!AI27</f>
        <v>-6.8881458451103299</v>
      </c>
      <c r="AK40" s="1184">
        <f>bal!AK27-bal!AJ27</f>
        <v>-34.030622737139538</v>
      </c>
      <c r="AL40" s="1184">
        <f>bal!AL27-bal!AK27</f>
        <v>-33.420518173950086</v>
      </c>
      <c r="AM40" s="1184">
        <f>bal!AM27-bal!AL27</f>
        <v>-20.788748193551783</v>
      </c>
      <c r="AN40" s="1184">
        <f>bal!AN27-bal!AM27</f>
        <v>-19.453567335954745</v>
      </c>
      <c r="AO40" s="1186"/>
      <c r="AP40" s="1186"/>
      <c r="AQ40" s="1186"/>
    </row>
    <row r="41" spans="1:43" hidden="1" outlineLevel="1">
      <c r="B41" s="398" t="s">
        <v>396</v>
      </c>
      <c r="D41" s="898"/>
      <c r="E41" s="1185"/>
      <c r="F41" s="1185"/>
      <c r="G41" s="1185"/>
      <c r="H41" s="1185"/>
      <c r="I41" s="1185"/>
      <c r="J41" s="1185"/>
      <c r="K41" s="1185"/>
      <c r="L41" s="1185"/>
      <c r="M41" s="1185"/>
      <c r="N41" s="1185">
        <v>-171</v>
      </c>
      <c r="O41" s="1185">
        <v>-83</v>
      </c>
      <c r="P41" s="1185">
        <v>-150</v>
      </c>
      <c r="Q41" s="1185"/>
      <c r="R41" s="1185"/>
      <c r="S41" s="1185">
        <v>-162</v>
      </c>
      <c r="T41" s="1185">
        <v>-102</v>
      </c>
      <c r="U41" s="1185">
        <v>-18</v>
      </c>
      <c r="V41" s="1185">
        <v>176</v>
      </c>
      <c r="W41" s="1185">
        <v>-124</v>
      </c>
      <c r="X41" s="1185">
        <v>-1</v>
      </c>
      <c r="Y41" s="1185">
        <v>-66</v>
      </c>
      <c r="Z41" s="1185">
        <v>-36</v>
      </c>
      <c r="AA41" s="1185">
        <v>-57</v>
      </c>
      <c r="AB41" s="1420">
        <v>33</v>
      </c>
      <c r="AC41" s="1420">
        <v>-15</v>
      </c>
      <c r="AD41" s="1420">
        <v>117</v>
      </c>
      <c r="AE41" s="1420">
        <v>50</v>
      </c>
      <c r="AF41" s="1420">
        <v>-10</v>
      </c>
      <c r="AG41" s="1420">
        <v>4</v>
      </c>
      <c r="AH41" s="1420">
        <v>-6</v>
      </c>
      <c r="AI41" s="1574">
        <v>-12</v>
      </c>
      <c r="AJ41" s="589">
        <f>bal!AJ30-bal!AI30</f>
        <v>0</v>
      </c>
      <c r="AK41" s="1187">
        <f>bal!AK30-bal!AJ30</f>
        <v>0</v>
      </c>
      <c r="AL41" s="1187">
        <f>bal!AL30-bal!AK30</f>
        <v>0</v>
      </c>
      <c r="AM41" s="1187">
        <f>bal!AM30-bal!AL30</f>
        <v>0</v>
      </c>
      <c r="AN41" s="1187">
        <f>bal!AN30-bal!AM30</f>
        <v>0</v>
      </c>
      <c r="AO41" s="589"/>
      <c r="AP41" s="589"/>
      <c r="AQ41" s="589"/>
    </row>
    <row r="42" spans="1:43" hidden="1" outlineLevel="1">
      <c r="B42" s="398" t="s">
        <v>430</v>
      </c>
      <c r="D42" s="898"/>
      <c r="E42" s="1188">
        <v>-448</v>
      </c>
      <c r="F42" s="1188">
        <v>337</v>
      </c>
      <c r="G42" s="1188">
        <v>-74</v>
      </c>
      <c r="H42" s="1188">
        <v>381</v>
      </c>
      <c r="I42" s="1188">
        <v>-1122</v>
      </c>
      <c r="J42" s="1188">
        <v>-676</v>
      </c>
      <c r="K42" s="1188">
        <v>76</v>
      </c>
      <c r="L42" s="1188">
        <v>-856</v>
      </c>
      <c r="M42" s="1188">
        <v>-252</v>
      </c>
      <c r="N42" s="1188">
        <v>0</v>
      </c>
      <c r="O42" s="1188">
        <v>0</v>
      </c>
      <c r="P42" s="1188">
        <v>93</v>
      </c>
      <c r="Q42" s="1188">
        <f>13+49</f>
        <v>62</v>
      </c>
      <c r="R42" s="1188">
        <v>-17</v>
      </c>
      <c r="S42" s="1188">
        <v>183</v>
      </c>
      <c r="T42" s="1188">
        <v>451</v>
      </c>
      <c r="U42" s="1188">
        <v>-66</v>
      </c>
      <c r="V42" s="1188">
        <v>-1068</v>
      </c>
      <c r="W42" s="1188">
        <v>-97</v>
      </c>
      <c r="X42" s="1188">
        <v>-21</v>
      </c>
      <c r="Y42" s="1188">
        <v>-17</v>
      </c>
      <c r="Z42" s="1188">
        <v>1</v>
      </c>
      <c r="AA42" s="1188">
        <v>-3</v>
      </c>
      <c r="AB42" s="1421">
        <v>0</v>
      </c>
      <c r="AC42" s="1421">
        <v>0</v>
      </c>
      <c r="AD42" s="1421">
        <v>0</v>
      </c>
      <c r="AE42" s="1421">
        <v>0</v>
      </c>
      <c r="AF42" s="1421">
        <v>0</v>
      </c>
      <c r="AG42" s="1421">
        <v>0</v>
      </c>
      <c r="AH42" s="1421">
        <v>0</v>
      </c>
      <c r="AI42" s="1575">
        <v>0</v>
      </c>
      <c r="AJ42" s="1422">
        <v>0</v>
      </c>
      <c r="AK42" s="1423">
        <v>0</v>
      </c>
      <c r="AL42" s="1423">
        <v>0</v>
      </c>
      <c r="AM42" s="1423">
        <v>0</v>
      </c>
      <c r="AN42" s="1423">
        <v>0</v>
      </c>
      <c r="AO42" s="1190"/>
      <c r="AP42" s="1190"/>
      <c r="AQ42" s="1190"/>
    </row>
    <row r="43" spans="1:43" collapsed="1">
      <c r="B43" s="398" t="s">
        <v>218</v>
      </c>
      <c r="E43" s="1175">
        <f t="shared" ref="E43:AI43" si="2">SUM(E35:E42)</f>
        <v>-448</v>
      </c>
      <c r="F43" s="1175">
        <f t="shared" si="2"/>
        <v>337</v>
      </c>
      <c r="G43" s="1175">
        <f t="shared" si="2"/>
        <v>-74</v>
      </c>
      <c r="H43" s="1175">
        <f t="shared" si="2"/>
        <v>381</v>
      </c>
      <c r="I43" s="1175">
        <f t="shared" si="2"/>
        <v>-1122</v>
      </c>
      <c r="J43" s="1175">
        <f t="shared" si="2"/>
        <v>-676</v>
      </c>
      <c r="K43" s="1175">
        <f t="shared" si="2"/>
        <v>76</v>
      </c>
      <c r="L43" s="1175">
        <f t="shared" si="2"/>
        <v>-856</v>
      </c>
      <c r="M43" s="1175">
        <f t="shared" si="2"/>
        <v>-252</v>
      </c>
      <c r="N43" s="1175">
        <f t="shared" si="2"/>
        <v>-370</v>
      </c>
      <c r="O43" s="1175">
        <f t="shared" si="2"/>
        <v>142</v>
      </c>
      <c r="P43" s="1175">
        <f t="shared" si="2"/>
        <v>1200</v>
      </c>
      <c r="Q43" s="1175">
        <f t="shared" si="2"/>
        <v>62</v>
      </c>
      <c r="R43" s="1175">
        <f t="shared" si="2"/>
        <v>-17</v>
      </c>
      <c r="S43" s="1175">
        <f t="shared" si="2"/>
        <v>78</v>
      </c>
      <c r="T43" s="1175">
        <f t="shared" si="2"/>
        <v>381</v>
      </c>
      <c r="U43" s="1175">
        <f t="shared" si="2"/>
        <v>19</v>
      </c>
      <c r="V43" s="1175">
        <f t="shared" si="2"/>
        <v>-753</v>
      </c>
      <c r="W43" s="1175">
        <f t="shared" si="2"/>
        <v>-196</v>
      </c>
      <c r="X43" s="1175">
        <f t="shared" si="2"/>
        <v>6</v>
      </c>
      <c r="Y43" s="1175">
        <f t="shared" si="2"/>
        <v>-228</v>
      </c>
      <c r="Z43" s="1175">
        <f t="shared" si="2"/>
        <v>82</v>
      </c>
      <c r="AA43" s="1175">
        <f t="shared" si="2"/>
        <v>386</v>
      </c>
      <c r="AB43" s="1175">
        <f t="shared" si="2"/>
        <v>-303</v>
      </c>
      <c r="AC43" s="1175">
        <f t="shared" si="2"/>
        <v>141</v>
      </c>
      <c r="AD43" s="1175">
        <f t="shared" si="2"/>
        <v>748</v>
      </c>
      <c r="AE43" s="1175">
        <f t="shared" si="2"/>
        <v>-785</v>
      </c>
      <c r="AF43" s="1175">
        <f>SUM(AF35:AF42)</f>
        <v>379</v>
      </c>
      <c r="AG43" s="1175">
        <f>SUM(AG35:AG42)</f>
        <v>139</v>
      </c>
      <c r="AH43" s="1175">
        <f t="shared" si="2"/>
        <v>-223</v>
      </c>
      <c r="AI43" s="285">
        <f t="shared" si="2"/>
        <v>-2</v>
      </c>
      <c r="AJ43" s="1175">
        <f>SUM(AJ35:AJ42)</f>
        <v>4.7648541548895764</v>
      </c>
      <c r="AK43" s="1176">
        <f>SUM(AK35:AK42)</f>
        <v>-16.257152737139563</v>
      </c>
      <c r="AL43" s="1176">
        <f>SUM(AL35:AL42)</f>
        <v>-15.824782873950085</v>
      </c>
      <c r="AM43" s="1176">
        <f>SUM(AM35:AM42)</f>
        <v>-3.3689702465518394</v>
      </c>
      <c r="AN43" s="1176">
        <f>SUM(AN35:AN42)</f>
        <v>-2.2079871684247792</v>
      </c>
      <c r="AO43" s="1175"/>
      <c r="AP43" s="1175"/>
      <c r="AQ43" s="1175"/>
    </row>
    <row r="44" spans="1:43">
      <c r="E44" s="625"/>
      <c r="F44" s="625"/>
      <c r="G44" s="625"/>
      <c r="H44" s="625"/>
      <c r="I44" s="625"/>
      <c r="J44" s="625"/>
      <c r="K44" s="625"/>
      <c r="L44" s="625"/>
      <c r="M44" s="625"/>
      <c r="N44" s="625"/>
      <c r="O44" s="625"/>
      <c r="P44" s="625"/>
      <c r="Q44" s="625"/>
      <c r="R44" s="625"/>
      <c r="S44" s="625"/>
      <c r="T44" s="625"/>
      <c r="U44" s="625"/>
      <c r="V44" s="625"/>
      <c r="W44" s="625"/>
      <c r="X44" s="625"/>
      <c r="Y44" s="625"/>
      <c r="Z44" s="625"/>
      <c r="AA44" s="625"/>
      <c r="AB44" s="625"/>
      <c r="AC44" s="625"/>
      <c r="AD44" s="1191"/>
      <c r="AE44" s="1191"/>
      <c r="AF44" s="1191"/>
      <c r="AG44" s="1191"/>
      <c r="AH44" s="1191"/>
      <c r="AI44" s="294"/>
      <c r="AJ44" s="1191"/>
      <c r="AK44" s="1192"/>
      <c r="AL44" s="1192"/>
      <c r="AM44" s="1192"/>
      <c r="AN44" s="1192"/>
      <c r="AO44" s="1191"/>
      <c r="AP44" s="1191"/>
      <c r="AQ44" s="1191"/>
    </row>
    <row r="45" spans="1:43">
      <c r="A45" s="398" t="s">
        <v>219</v>
      </c>
      <c r="E45" s="625">
        <f t="shared" ref="E45:AI45" si="3">SUM(E29:E32)+E43</f>
        <v>-927</v>
      </c>
      <c r="F45" s="625">
        <f t="shared" si="3"/>
        <v>-297</v>
      </c>
      <c r="G45" s="625">
        <f t="shared" si="3"/>
        <v>-610</v>
      </c>
      <c r="H45" s="625">
        <f t="shared" si="3"/>
        <v>-622</v>
      </c>
      <c r="I45" s="625">
        <f t="shared" si="3"/>
        <v>-1750</v>
      </c>
      <c r="J45" s="625">
        <f t="shared" si="3"/>
        <v>-1415</v>
      </c>
      <c r="K45" s="625">
        <f t="shared" si="3"/>
        <v>-878</v>
      </c>
      <c r="L45" s="625">
        <f t="shared" si="3"/>
        <v>-3314</v>
      </c>
      <c r="M45" s="625">
        <f t="shared" si="3"/>
        <v>-949</v>
      </c>
      <c r="N45" s="625">
        <f t="shared" si="3"/>
        <v>-1525</v>
      </c>
      <c r="O45" s="625">
        <f t="shared" si="3"/>
        <v>-416</v>
      </c>
      <c r="P45" s="625">
        <f t="shared" si="3"/>
        <v>790</v>
      </c>
      <c r="Q45" s="625">
        <f t="shared" si="3"/>
        <v>-569</v>
      </c>
      <c r="R45" s="625">
        <f t="shared" si="3"/>
        <v>-675</v>
      </c>
      <c r="S45" s="625">
        <f t="shared" si="3"/>
        <v>-237</v>
      </c>
      <c r="T45" s="625">
        <f t="shared" si="3"/>
        <v>66</v>
      </c>
      <c r="U45" s="625">
        <f t="shared" si="3"/>
        <v>-340</v>
      </c>
      <c r="V45" s="625">
        <f t="shared" si="3"/>
        <v>-1151</v>
      </c>
      <c r="W45" s="625">
        <f t="shared" si="3"/>
        <v>-731</v>
      </c>
      <c r="X45" s="625">
        <f t="shared" si="3"/>
        <v>-766</v>
      </c>
      <c r="Y45" s="625">
        <f t="shared" si="3"/>
        <v>-1471</v>
      </c>
      <c r="Z45" s="625">
        <f t="shared" si="3"/>
        <v>-887</v>
      </c>
      <c r="AA45" s="625">
        <f t="shared" si="3"/>
        <v>-214</v>
      </c>
      <c r="AB45" s="625">
        <f t="shared" si="3"/>
        <v>-802</v>
      </c>
      <c r="AC45" s="625">
        <f t="shared" si="3"/>
        <v>-744</v>
      </c>
      <c r="AD45" s="625">
        <f t="shared" si="3"/>
        <v>455</v>
      </c>
      <c r="AE45" s="625">
        <f t="shared" si="3"/>
        <v>-1574</v>
      </c>
      <c r="AF45" s="625">
        <f t="shared" si="3"/>
        <v>237</v>
      </c>
      <c r="AG45" s="625">
        <f t="shared" si="3"/>
        <v>-181</v>
      </c>
      <c r="AH45" s="625">
        <f>SUM(AH29:AH32)+AH43</f>
        <v>-650</v>
      </c>
      <c r="AI45" s="286">
        <f t="shared" si="3"/>
        <v>-231</v>
      </c>
      <c r="AJ45" s="625">
        <f>SUM(AJ29:AJ32)+AJ43</f>
        <v>-320.23514584511042</v>
      </c>
      <c r="AK45" s="1193">
        <f>SUM(AK29:AK32)+AK43</f>
        <v>-391.25715273713956</v>
      </c>
      <c r="AL45" s="1193">
        <f>SUM(AL29:AL32)+AL43</f>
        <v>-390.82478287395008</v>
      </c>
      <c r="AM45" s="1193">
        <f>SUM(AM29:AM32)+AM43</f>
        <v>-378.36897024655184</v>
      </c>
      <c r="AN45" s="1193">
        <f>SUM(AN29:AN32)+AN43</f>
        <v>-377.20798716842478</v>
      </c>
      <c r="AO45" s="625"/>
      <c r="AP45" s="625"/>
      <c r="AQ45" s="625"/>
    </row>
    <row r="46" spans="1:43" ht="4.5" customHeight="1">
      <c r="E46" s="625"/>
      <c r="F46" s="625"/>
      <c r="G46" s="625"/>
      <c r="H46" s="625"/>
      <c r="I46" s="625"/>
      <c r="J46" s="625"/>
      <c r="K46" s="625"/>
      <c r="L46" s="625"/>
      <c r="M46" s="625"/>
      <c r="N46" s="625"/>
      <c r="O46" s="625"/>
      <c r="P46" s="625"/>
      <c r="Q46" s="625"/>
      <c r="R46" s="625"/>
      <c r="S46" s="625"/>
      <c r="T46" s="625"/>
      <c r="U46" s="625"/>
      <c r="V46" s="625"/>
      <c r="W46" s="625"/>
      <c r="X46" s="625"/>
      <c r="Y46" s="625"/>
      <c r="Z46" s="625"/>
      <c r="AA46" s="625"/>
      <c r="AB46" s="625"/>
      <c r="AC46" s="625"/>
      <c r="AD46" s="625"/>
      <c r="AE46" s="625"/>
      <c r="AF46" s="625"/>
      <c r="AG46" s="625"/>
      <c r="AH46" s="625"/>
      <c r="AI46" s="286"/>
      <c r="AJ46" s="625"/>
      <c r="AK46" s="1193"/>
      <c r="AL46" s="1193"/>
      <c r="AM46" s="1193"/>
      <c r="AN46" s="1193"/>
      <c r="AO46" s="625"/>
      <c r="AP46" s="625"/>
      <c r="AQ46" s="625"/>
    </row>
    <row r="47" spans="1:43">
      <c r="A47" s="1194" t="s">
        <v>220</v>
      </c>
      <c r="B47" s="1194"/>
      <c r="C47" s="1194"/>
      <c r="D47" s="1194"/>
      <c r="E47" s="1195">
        <f t="shared" ref="E47:AI47" si="4">E27+E29+E43</f>
        <v>43</v>
      </c>
      <c r="F47" s="1195">
        <f t="shared" si="4"/>
        <v>376</v>
      </c>
      <c r="G47" s="1195">
        <f t="shared" si="4"/>
        <v>395</v>
      </c>
      <c r="H47" s="1195">
        <f t="shared" si="4"/>
        <v>1120</v>
      </c>
      <c r="I47" s="1195">
        <f t="shared" si="4"/>
        <v>-194</v>
      </c>
      <c r="J47" s="1195">
        <f t="shared" si="4"/>
        <v>188</v>
      </c>
      <c r="K47" s="1195">
        <f t="shared" si="4"/>
        <v>686.2</v>
      </c>
      <c r="L47" s="1195">
        <f t="shared" si="4"/>
        <v>-322</v>
      </c>
      <c r="M47" s="1195">
        <f t="shared" si="4"/>
        <v>386.2170000000001</v>
      </c>
      <c r="N47" s="1195">
        <f t="shared" si="4"/>
        <v>313.64937665669004</v>
      </c>
      <c r="O47" s="1195">
        <f t="shared" si="4"/>
        <v>3613.5280000000002</v>
      </c>
      <c r="P47" s="1195">
        <f t="shared" si="4"/>
        <v>966.24</v>
      </c>
      <c r="Q47" s="1195">
        <f t="shared" si="4"/>
        <v>1745</v>
      </c>
      <c r="R47" s="1195">
        <f t="shared" si="4"/>
        <v>709</v>
      </c>
      <c r="S47" s="1195">
        <f t="shared" si="4"/>
        <v>1677</v>
      </c>
      <c r="T47" s="1195">
        <f t="shared" si="4"/>
        <v>693</v>
      </c>
      <c r="U47" s="1195">
        <f t="shared" si="4"/>
        <v>490</v>
      </c>
      <c r="V47" s="1195">
        <f t="shared" si="4"/>
        <v>4345.37</v>
      </c>
      <c r="W47" s="1195">
        <f t="shared" si="4"/>
        <v>1019.8445947955379</v>
      </c>
      <c r="X47" s="1195">
        <f t="shared" si="4"/>
        <v>540.38793103448279</v>
      </c>
      <c r="Y47" s="1195">
        <f t="shared" si="4"/>
        <v>11.069999999999709</v>
      </c>
      <c r="Z47" s="1195">
        <f t="shared" si="4"/>
        <v>199.55588064515905</v>
      </c>
      <c r="AA47" s="1195">
        <f t="shared" si="4"/>
        <v>986.58199999999988</v>
      </c>
      <c r="AB47" s="1195">
        <f t="shared" si="4"/>
        <v>107</v>
      </c>
      <c r="AC47" s="1195">
        <f t="shared" si="4"/>
        <v>200.86162692632206</v>
      </c>
      <c r="AD47" s="1195">
        <f t="shared" si="4"/>
        <v>-820</v>
      </c>
      <c r="AE47" s="1195">
        <f t="shared" si="4"/>
        <v>-2765</v>
      </c>
      <c r="AF47" s="1195">
        <f>AF27+AF29+AF43</f>
        <v>-13</v>
      </c>
      <c r="AG47" s="1195">
        <f>AG27+AG29+AG43</f>
        <v>144</v>
      </c>
      <c r="AH47" s="1195">
        <f t="shared" si="4"/>
        <v>18</v>
      </c>
      <c r="AI47" s="295">
        <f t="shared" si="4"/>
        <v>58.680000000000064</v>
      </c>
      <c r="AJ47" s="1195">
        <f>AJ27+AJ29+AJ43</f>
        <v>138.08519015488844</v>
      </c>
      <c r="AK47" s="1195">
        <f>AK27+AK29+AK43</f>
        <v>71.085632725494634</v>
      </c>
      <c r="AL47" s="1195">
        <f>AL27+AL29+AL43</f>
        <v>30.61741790580254</v>
      </c>
      <c r="AM47" s="1195">
        <f>AM27+AM29+AM43</f>
        <v>-68.328428840487334</v>
      </c>
      <c r="AN47" s="1195">
        <f>AN27+AN29+AN43</f>
        <v>-221.34025424975209</v>
      </c>
      <c r="AO47" s="1196"/>
      <c r="AP47" s="1196"/>
      <c r="AQ47" s="1196"/>
    </row>
    <row r="48" spans="1:43" ht="4.5" customHeight="1">
      <c r="E48" s="625"/>
      <c r="F48" s="625"/>
      <c r="G48" s="625"/>
      <c r="H48" s="625"/>
      <c r="I48" s="625"/>
      <c r="J48" s="625"/>
      <c r="K48" s="625"/>
      <c r="L48" s="625"/>
      <c r="M48" s="625"/>
      <c r="N48" s="625"/>
      <c r="O48" s="625"/>
      <c r="P48" s="625"/>
      <c r="Q48" s="625"/>
      <c r="R48" s="625"/>
      <c r="S48" s="625"/>
      <c r="T48" s="625"/>
      <c r="U48" s="625"/>
      <c r="V48" s="625"/>
      <c r="W48" s="625"/>
      <c r="X48" s="625"/>
      <c r="Y48" s="625"/>
      <c r="Z48" s="625"/>
      <c r="AA48" s="625"/>
      <c r="AB48" s="625"/>
      <c r="AC48" s="625"/>
    </row>
    <row r="49" spans="1:43" hidden="1" outlineLevel="1">
      <c r="C49" s="398" t="s">
        <v>397</v>
      </c>
      <c r="D49" s="898"/>
      <c r="E49" s="1179">
        <v>532</v>
      </c>
      <c r="F49" s="1197">
        <v>-384</v>
      </c>
      <c r="G49" s="1197">
        <v>-433</v>
      </c>
      <c r="H49" s="1197">
        <v>436</v>
      </c>
      <c r="I49" s="1197">
        <v>377</v>
      </c>
      <c r="J49" s="1197">
        <v>808</v>
      </c>
      <c r="K49" s="1197">
        <v>-583</v>
      </c>
      <c r="L49" s="1197">
        <v>2401</v>
      </c>
      <c r="M49" s="1197">
        <v>-2533</v>
      </c>
      <c r="N49" s="1197">
        <v>507</v>
      </c>
      <c r="O49" s="1197">
        <v>-1650</v>
      </c>
      <c r="P49" s="1197">
        <v>-330</v>
      </c>
      <c r="Q49" s="1197">
        <v>15</v>
      </c>
      <c r="R49" s="1197">
        <v>-2</v>
      </c>
      <c r="S49" s="1197">
        <v>15</v>
      </c>
      <c r="T49" s="1197">
        <v>-2</v>
      </c>
      <c r="U49" s="1197">
        <v>0</v>
      </c>
      <c r="V49" s="1197">
        <v>0</v>
      </c>
      <c r="W49" s="1197">
        <v>0</v>
      </c>
      <c r="X49" s="1197">
        <v>0</v>
      </c>
      <c r="Y49" s="1197">
        <v>0</v>
      </c>
      <c r="Z49" s="1197">
        <v>0</v>
      </c>
      <c r="AA49" s="1197">
        <v>0</v>
      </c>
      <c r="AB49" s="1427">
        <v>0</v>
      </c>
      <c r="AC49" s="1427">
        <v>0</v>
      </c>
      <c r="AD49" s="1412">
        <f>-230-20</f>
        <v>-250</v>
      </c>
      <c r="AE49" s="1412">
        <f>850-200</f>
        <v>650</v>
      </c>
      <c r="AF49" s="1412">
        <v>-650</v>
      </c>
      <c r="AG49" s="1412">
        <v>0</v>
      </c>
      <c r="AH49" s="1412">
        <v>0</v>
      </c>
      <c r="AI49" s="1576">
        <v>0</v>
      </c>
      <c r="AJ49" s="1426">
        <v>0</v>
      </c>
      <c r="AK49" s="1426">
        <v>0</v>
      </c>
      <c r="AL49" s="1426">
        <v>0</v>
      </c>
      <c r="AM49" s="1426">
        <v>0</v>
      </c>
      <c r="AN49" s="1426">
        <v>0</v>
      </c>
      <c r="AO49" s="1187"/>
      <c r="AP49" s="1187"/>
      <c r="AQ49" s="1187"/>
    </row>
    <row r="50" spans="1:43" hidden="1" outlineLevel="1">
      <c r="C50" s="398" t="s">
        <v>398</v>
      </c>
      <c r="D50" s="898"/>
      <c r="E50" s="1179">
        <v>0</v>
      </c>
      <c r="F50" s="1179">
        <v>500</v>
      </c>
      <c r="G50" s="1179">
        <v>500</v>
      </c>
      <c r="H50" s="1179">
        <v>280</v>
      </c>
      <c r="I50" s="1179">
        <v>1015</v>
      </c>
      <c r="J50" s="1179">
        <v>500</v>
      </c>
      <c r="K50" s="1179">
        <v>991</v>
      </c>
      <c r="L50" s="1179">
        <v>596</v>
      </c>
      <c r="M50" s="1179">
        <v>2990</v>
      </c>
      <c r="N50" s="1179">
        <v>644</v>
      </c>
      <c r="O50" s="1179">
        <v>0</v>
      </c>
      <c r="P50" s="1179">
        <v>0</v>
      </c>
      <c r="Q50" s="1179">
        <v>630</v>
      </c>
      <c r="R50" s="1179">
        <v>27</v>
      </c>
      <c r="S50" s="1179">
        <v>630</v>
      </c>
      <c r="T50" s="1179">
        <v>27</v>
      </c>
      <c r="U50" s="1179">
        <v>607</v>
      </c>
      <c r="V50" s="1179">
        <v>0</v>
      </c>
      <c r="W50" s="1179">
        <v>0</v>
      </c>
      <c r="X50" s="1179">
        <v>0</v>
      </c>
      <c r="Y50" s="1179">
        <v>980</v>
      </c>
      <c r="Z50" s="1179">
        <v>0</v>
      </c>
      <c r="AA50" s="1179">
        <v>0</v>
      </c>
      <c r="AB50" s="1418">
        <v>392</v>
      </c>
      <c r="AC50" s="1418">
        <v>0</v>
      </c>
      <c r="AD50" s="1412">
        <v>0</v>
      </c>
      <c r="AE50" s="1412">
        <v>2180</v>
      </c>
      <c r="AF50" s="1412">
        <v>893</v>
      </c>
      <c r="AG50" s="1418">
        <v>0</v>
      </c>
      <c r="AH50" s="1412">
        <f>2188+667-667</f>
        <v>2188</v>
      </c>
      <c r="AI50" s="1573">
        <f>804-804</f>
        <v>0</v>
      </c>
      <c r="AJ50" s="1425">
        <v>400</v>
      </c>
      <c r="AK50" s="1426">
        <v>0</v>
      </c>
      <c r="AL50" s="1426">
        <v>0</v>
      </c>
      <c r="AM50" s="1426">
        <v>0</v>
      </c>
      <c r="AN50" s="1426">
        <v>0</v>
      </c>
      <c r="AO50" s="1167"/>
      <c r="AP50" s="1167"/>
      <c r="AQ50" s="1167"/>
    </row>
    <row r="51" spans="1:43" hidden="1" outlineLevel="1">
      <c r="C51" s="398" t="s">
        <v>399</v>
      </c>
      <c r="D51" s="898"/>
      <c r="E51" s="1179">
        <v>-373</v>
      </c>
      <c r="F51" s="1179">
        <v>-187</v>
      </c>
      <c r="G51" s="1179">
        <v>-104</v>
      </c>
      <c r="H51" s="1179">
        <v>-677</v>
      </c>
      <c r="I51" s="1179">
        <v>-951</v>
      </c>
      <c r="J51" s="1179">
        <v>-350</v>
      </c>
      <c r="K51" s="1179">
        <v>-244</v>
      </c>
      <c r="L51" s="1179">
        <v>-133</v>
      </c>
      <c r="M51" s="1179">
        <v>-343</v>
      </c>
      <c r="N51" s="1179">
        <v>-478</v>
      </c>
      <c r="O51" s="1179">
        <v>-467</v>
      </c>
      <c r="P51" s="1179">
        <v>-816</v>
      </c>
      <c r="Q51" s="1179">
        <v>-257</v>
      </c>
      <c r="R51" s="1179">
        <v>-939</v>
      </c>
      <c r="S51" s="1179">
        <v>-257</v>
      </c>
      <c r="T51" s="1179">
        <v>-926</v>
      </c>
      <c r="U51" s="1179">
        <v>-450</v>
      </c>
      <c r="V51" s="1179">
        <v>-856</v>
      </c>
      <c r="W51" s="1179">
        <v>-474</v>
      </c>
      <c r="X51" s="1179">
        <v>-21</v>
      </c>
      <c r="Y51" s="1179">
        <v>-746</v>
      </c>
      <c r="Z51" s="1179">
        <v>-203</v>
      </c>
      <c r="AA51" s="1179">
        <v>-113</v>
      </c>
      <c r="AB51" s="1418">
        <v>-707</v>
      </c>
      <c r="AC51" s="1418">
        <v>-20</v>
      </c>
      <c r="AD51" s="1412">
        <v>0</v>
      </c>
      <c r="AE51" s="1412">
        <f>-110-29-256</f>
        <v>-395</v>
      </c>
      <c r="AF51" s="1412">
        <f>-33-26-412</f>
        <v>-471</v>
      </c>
      <c r="AG51" s="1412">
        <f>-520+-33+-4</f>
        <v>-557</v>
      </c>
      <c r="AH51" s="1412">
        <f>-2349-29-49</f>
        <v>-2427</v>
      </c>
      <c r="AI51" s="1573">
        <f>-599-9-16-30</f>
        <v>-654</v>
      </c>
      <c r="AJ51" s="1426">
        <f>-375-190</f>
        <v>-565</v>
      </c>
      <c r="AK51" s="1426">
        <v>-200</v>
      </c>
      <c r="AL51" s="1426">
        <v>-200</v>
      </c>
      <c r="AM51" s="1426">
        <v>300</v>
      </c>
      <c r="AN51" s="1426">
        <v>100</v>
      </c>
      <c r="AO51" s="1167"/>
      <c r="AP51" s="1167"/>
      <c r="AQ51" s="1167"/>
    </row>
    <row r="52" spans="1:43" hidden="1" outlineLevel="1">
      <c r="C52" s="398" t="s">
        <v>400</v>
      </c>
      <c r="D52" s="898"/>
      <c r="E52" s="1170">
        <v>-159</v>
      </c>
      <c r="F52" s="1170">
        <v>-225</v>
      </c>
      <c r="G52" s="1170">
        <v>0</v>
      </c>
      <c r="H52" s="1170">
        <v>0</v>
      </c>
      <c r="I52" s="1170">
        <v>0</v>
      </c>
      <c r="J52" s="1170">
        <v>-430</v>
      </c>
      <c r="K52" s="1170">
        <v>-211</v>
      </c>
      <c r="L52" s="1170">
        <v>-298</v>
      </c>
      <c r="M52" s="1170">
        <v>0</v>
      </c>
      <c r="N52" s="1170">
        <v>-181</v>
      </c>
      <c r="O52" s="1170">
        <v>0</v>
      </c>
      <c r="P52" s="1170">
        <v>0</v>
      </c>
      <c r="Q52" s="1170">
        <v>0</v>
      </c>
      <c r="R52" s="1170">
        <v>0</v>
      </c>
      <c r="S52" s="1170">
        <v>0</v>
      </c>
      <c r="T52" s="1170">
        <v>0</v>
      </c>
      <c r="U52" s="1170">
        <v>0</v>
      </c>
      <c r="V52" s="1170">
        <v>-1901</v>
      </c>
      <c r="W52" s="1170">
        <v>-2252</v>
      </c>
      <c r="X52" s="1170">
        <v>-750</v>
      </c>
      <c r="Y52" s="1170">
        <v>-400</v>
      </c>
      <c r="Z52" s="1170">
        <v>0</v>
      </c>
      <c r="AA52" s="1170">
        <v>0</v>
      </c>
      <c r="AB52" s="1412">
        <v>0</v>
      </c>
      <c r="AC52" s="1412">
        <v>-900</v>
      </c>
      <c r="AD52" s="1427">
        <v>0</v>
      </c>
      <c r="AE52" s="1427">
        <v>0</v>
      </c>
      <c r="AF52" s="1427">
        <v>0</v>
      </c>
      <c r="AG52" s="1418">
        <v>0</v>
      </c>
      <c r="AH52" s="1418">
        <v>0</v>
      </c>
      <c r="AI52" s="1572">
        <v>0</v>
      </c>
      <c r="AJ52" s="1425">
        <v>0</v>
      </c>
      <c r="AK52" s="1426">
        <v>0</v>
      </c>
      <c r="AL52" s="1426">
        <v>0</v>
      </c>
      <c r="AM52" s="1426">
        <v>0</v>
      </c>
      <c r="AN52" s="1426">
        <v>0</v>
      </c>
      <c r="AO52" s="1167"/>
      <c r="AP52" s="1167"/>
      <c r="AQ52" s="1167"/>
    </row>
    <row r="53" spans="1:43" hidden="1" outlineLevel="1">
      <c r="C53" s="398" t="s">
        <v>401</v>
      </c>
      <c r="D53" s="898"/>
      <c r="E53" s="1170">
        <v>0</v>
      </c>
      <c r="F53" s="1170">
        <v>0</v>
      </c>
      <c r="G53" s="1170">
        <v>7</v>
      </c>
      <c r="H53" s="1170">
        <v>39</v>
      </c>
      <c r="I53" s="1170">
        <v>37</v>
      </c>
      <c r="J53" s="1170">
        <v>0</v>
      </c>
      <c r="K53" s="1170">
        <v>0</v>
      </c>
      <c r="L53" s="1170">
        <v>0</v>
      </c>
      <c r="M53" s="1170">
        <v>121</v>
      </c>
      <c r="N53" s="1170">
        <v>0</v>
      </c>
      <c r="O53" s="1170">
        <v>62</v>
      </c>
      <c r="P53" s="1170">
        <v>28</v>
      </c>
      <c r="Q53" s="1170">
        <v>30</v>
      </c>
      <c r="R53" s="1170">
        <v>30</v>
      </c>
      <c r="S53" s="1170">
        <v>30</v>
      </c>
      <c r="T53" s="1170">
        <v>30</v>
      </c>
      <c r="U53" s="1170">
        <v>31</v>
      </c>
      <c r="V53" s="1170">
        <v>248</v>
      </c>
      <c r="W53" s="1170">
        <v>205</v>
      </c>
      <c r="X53" s="1170">
        <v>174</v>
      </c>
      <c r="Y53" s="1170">
        <v>62</v>
      </c>
      <c r="Z53" s="1170">
        <v>5</v>
      </c>
      <c r="AA53" s="1170">
        <v>1</v>
      </c>
      <c r="AB53" s="1412">
        <v>8</v>
      </c>
      <c r="AC53" s="1412">
        <v>18</v>
      </c>
      <c r="AD53" s="1412">
        <v>71</v>
      </c>
      <c r="AE53" s="1412">
        <f>786+7</f>
        <v>793</v>
      </c>
      <c r="AF53" s="1412">
        <v>0</v>
      </c>
      <c r="AG53" s="1418">
        <v>0</v>
      </c>
      <c r="AH53" s="1412">
        <v>2</v>
      </c>
      <c r="AI53" s="1573">
        <v>5</v>
      </c>
      <c r="AJ53" s="1425">
        <v>0</v>
      </c>
      <c r="AK53" s="1426">
        <v>0</v>
      </c>
      <c r="AL53" s="1426">
        <v>0</v>
      </c>
      <c r="AM53" s="1426">
        <v>0</v>
      </c>
      <c r="AN53" s="1426">
        <v>0</v>
      </c>
      <c r="AO53" s="1167"/>
      <c r="AP53" s="1167"/>
      <c r="AQ53" s="1167"/>
    </row>
    <row r="54" spans="1:43" hidden="1" outlineLevel="1">
      <c r="C54" s="398" t="s">
        <v>402</v>
      </c>
      <c r="D54" s="898"/>
      <c r="E54" s="1170">
        <v>-2</v>
      </c>
      <c r="F54" s="1170">
        <v>-19</v>
      </c>
      <c r="G54" s="1170">
        <v>-13</v>
      </c>
      <c r="H54" s="1170">
        <v>-18</v>
      </c>
      <c r="I54" s="1170">
        <v>-18</v>
      </c>
      <c r="J54" s="1170">
        <v>-18</v>
      </c>
      <c r="K54" s="1170">
        <v>-27</v>
      </c>
      <c r="L54" s="1170">
        <v>-35</v>
      </c>
      <c r="M54" s="1170">
        <v>-42</v>
      </c>
      <c r="N54" s="1170">
        <v>0</v>
      </c>
      <c r="O54" s="1170">
        <v>-29</v>
      </c>
      <c r="P54" s="1170">
        <v>-47</v>
      </c>
      <c r="Q54" s="1170">
        <v>-36</v>
      </c>
      <c r="R54" s="1170">
        <v>-30</v>
      </c>
      <c r="S54" s="1170">
        <v>-36</v>
      </c>
      <c r="T54" s="1170">
        <v>-30</v>
      </c>
      <c r="U54" s="1170">
        <v>0</v>
      </c>
      <c r="V54" s="1170">
        <v>0</v>
      </c>
      <c r="W54" s="1170">
        <v>0</v>
      </c>
      <c r="X54" s="1170">
        <v>0</v>
      </c>
      <c r="Y54" s="1170">
        <v>0</v>
      </c>
      <c r="Z54" s="1170">
        <v>0</v>
      </c>
      <c r="AA54" s="1170">
        <v>0</v>
      </c>
      <c r="AB54" s="1412">
        <v>0</v>
      </c>
      <c r="AC54" s="1412">
        <v>0</v>
      </c>
      <c r="AD54" s="1428">
        <v>0</v>
      </c>
      <c r="AE54" s="1428">
        <v>0</v>
      </c>
      <c r="AF54" s="1428">
        <v>0</v>
      </c>
      <c r="AG54" s="1418">
        <v>0</v>
      </c>
      <c r="AH54" s="1418">
        <v>0</v>
      </c>
      <c r="AI54" s="1572">
        <v>0</v>
      </c>
      <c r="AJ54" s="1425">
        <v>0</v>
      </c>
      <c r="AK54" s="1426">
        <v>0</v>
      </c>
      <c r="AL54" s="1426">
        <v>0</v>
      </c>
      <c r="AM54" s="1426">
        <v>0</v>
      </c>
      <c r="AN54" s="1426">
        <v>0</v>
      </c>
      <c r="AO54" s="1167"/>
      <c r="AP54" s="1167"/>
      <c r="AQ54" s="1167"/>
    </row>
    <row r="55" spans="1:43" hidden="1" outlineLevel="1">
      <c r="C55" s="398" t="s">
        <v>216</v>
      </c>
      <c r="D55" s="898"/>
      <c r="E55" s="1170">
        <v>-301</v>
      </c>
      <c r="F55" s="1170">
        <v>-335</v>
      </c>
      <c r="G55" s="1170">
        <v>-342</v>
      </c>
      <c r="H55" s="1170">
        <v>-342</v>
      </c>
      <c r="I55" s="1170">
        <v>-371</v>
      </c>
      <c r="J55" s="1170">
        <v>-421</v>
      </c>
      <c r="K55" s="1170">
        <v>-463</v>
      </c>
      <c r="L55" s="1170">
        <v>-497</v>
      </c>
      <c r="M55" s="1170">
        <v>-558</v>
      </c>
      <c r="N55" s="1170">
        <v>-586</v>
      </c>
      <c r="O55" s="1170">
        <v>-598</v>
      </c>
      <c r="P55" s="1170">
        <v>-294</v>
      </c>
      <c r="Q55" s="1170">
        <v>-161</v>
      </c>
      <c r="R55" s="1170">
        <v>-161</v>
      </c>
      <c r="S55" s="1170">
        <v>-161</v>
      </c>
      <c r="T55" s="1170">
        <v>-161</v>
      </c>
      <c r="U55" s="1170">
        <v>-160</v>
      </c>
      <c r="V55" s="1170">
        <v>-150</v>
      </c>
      <c r="W55" s="1170">
        <v>-131</v>
      </c>
      <c r="X55" s="1170">
        <v>-153</v>
      </c>
      <c r="Y55" s="1170">
        <v>-174</v>
      </c>
      <c r="Z55" s="1170">
        <v>-178</v>
      </c>
      <c r="AA55" s="1170">
        <v>-183</v>
      </c>
      <c r="AB55" s="1412">
        <v>-189</v>
      </c>
      <c r="AC55" s="1412">
        <v>-178</v>
      </c>
      <c r="AD55" s="1412">
        <v>-86</v>
      </c>
      <c r="AE55" s="1412">
        <v>0</v>
      </c>
      <c r="AF55" s="1412">
        <v>0</v>
      </c>
      <c r="AG55" s="1429">
        <v>0</v>
      </c>
      <c r="AH55" s="1429">
        <v>0</v>
      </c>
      <c r="AI55" s="1577">
        <v>0</v>
      </c>
      <c r="AJ55" s="1430">
        <v>0</v>
      </c>
      <c r="AK55" s="1431">
        <v>0</v>
      </c>
      <c r="AL55" s="1431">
        <v>0</v>
      </c>
      <c r="AM55" s="1431">
        <v>0</v>
      </c>
      <c r="AN55" s="1431">
        <v>0</v>
      </c>
      <c r="AO55" s="1198"/>
      <c r="AP55" s="1198"/>
      <c r="AQ55" s="1198"/>
    </row>
    <row r="56" spans="1:43" hidden="1" outlineLevel="1">
      <c r="C56" s="398" t="s">
        <v>390</v>
      </c>
      <c r="D56" s="898"/>
      <c r="E56" s="1170"/>
      <c r="F56" s="1170">
        <v>10</v>
      </c>
      <c r="G56" s="1170"/>
      <c r="H56" s="1170"/>
      <c r="I56" s="1170"/>
      <c r="J56" s="1170"/>
      <c r="K56" s="1170"/>
      <c r="L56" s="1170"/>
      <c r="M56" s="1170"/>
      <c r="N56" s="1170"/>
      <c r="O56" s="1170"/>
      <c r="P56" s="1170">
        <v>-16</v>
      </c>
      <c r="Q56" s="1170"/>
      <c r="R56" s="1170"/>
      <c r="S56" s="1170">
        <v>-27</v>
      </c>
      <c r="T56" s="1170">
        <v>8</v>
      </c>
      <c r="U56" s="1170">
        <v>-8</v>
      </c>
      <c r="V56" s="1170">
        <v>-1</v>
      </c>
      <c r="W56" s="1170">
        <v>-1</v>
      </c>
      <c r="X56" s="1170">
        <v>-1</v>
      </c>
      <c r="Y56" s="1170">
        <v>-8</v>
      </c>
      <c r="Z56" s="1170">
        <v>-4</v>
      </c>
      <c r="AA56" s="1170">
        <v>-32</v>
      </c>
      <c r="AB56" s="1412">
        <v>0</v>
      </c>
      <c r="AC56" s="1412">
        <v>16</v>
      </c>
      <c r="AD56" s="1412">
        <f>-4-5</f>
        <v>-9</v>
      </c>
      <c r="AE56" s="1412">
        <f>-31-9</f>
        <v>-40</v>
      </c>
      <c r="AF56" s="1412">
        <f>-65-1</f>
        <v>-66</v>
      </c>
      <c r="AG56" s="1412">
        <v>-5</v>
      </c>
      <c r="AH56" s="1412">
        <f>-10+216</f>
        <v>206</v>
      </c>
      <c r="AI56" s="1578">
        <v>-5</v>
      </c>
      <c r="AJ56" s="1430">
        <v>0</v>
      </c>
      <c r="AK56" s="1431">
        <v>0</v>
      </c>
      <c r="AL56" s="1431">
        <v>0</v>
      </c>
      <c r="AM56" s="1431">
        <v>0</v>
      </c>
      <c r="AN56" s="1431">
        <v>0</v>
      </c>
      <c r="AO56" s="1198"/>
      <c r="AP56" s="1198"/>
      <c r="AQ56" s="1198"/>
    </row>
    <row r="57" spans="1:43" ht="4.5" customHeight="1" collapsed="1">
      <c r="E57" s="625"/>
      <c r="F57" s="625"/>
      <c r="G57" s="625"/>
      <c r="H57" s="625"/>
      <c r="I57" s="625"/>
      <c r="J57" s="625"/>
      <c r="K57" s="625"/>
      <c r="L57" s="625"/>
      <c r="M57" s="625"/>
      <c r="N57" s="625"/>
      <c r="O57" s="625"/>
      <c r="P57" s="625"/>
      <c r="Q57" s="625"/>
      <c r="R57" s="625"/>
      <c r="S57" s="625"/>
      <c r="T57" s="625"/>
      <c r="U57" s="625"/>
      <c r="V57" s="625"/>
      <c r="W57" s="625"/>
      <c r="X57" s="625"/>
      <c r="Y57" s="625"/>
      <c r="Z57" s="625"/>
      <c r="AA57" s="1178"/>
      <c r="AB57" s="1178"/>
      <c r="AC57" s="1178"/>
    </row>
    <row r="58" spans="1:43">
      <c r="A58" s="398" t="s">
        <v>221</v>
      </c>
      <c r="E58" s="625">
        <f t="shared" ref="E58:AI58" si="5">SUM(E49:E56)</f>
        <v>-303</v>
      </c>
      <c r="F58" s="625">
        <f t="shared" si="5"/>
        <v>-640</v>
      </c>
      <c r="G58" s="625">
        <f t="shared" si="5"/>
        <v>-385</v>
      </c>
      <c r="H58" s="625">
        <f t="shared" si="5"/>
        <v>-282</v>
      </c>
      <c r="I58" s="625">
        <f t="shared" si="5"/>
        <v>89</v>
      </c>
      <c r="J58" s="625">
        <f t="shared" si="5"/>
        <v>89</v>
      </c>
      <c r="K58" s="625">
        <f t="shared" si="5"/>
        <v>-537</v>
      </c>
      <c r="L58" s="625">
        <f t="shared" si="5"/>
        <v>2034</v>
      </c>
      <c r="M58" s="625">
        <f t="shared" si="5"/>
        <v>-365</v>
      </c>
      <c r="N58" s="625">
        <f t="shared" si="5"/>
        <v>-94</v>
      </c>
      <c r="O58" s="625">
        <f t="shared" si="5"/>
        <v>-2682</v>
      </c>
      <c r="P58" s="625">
        <f t="shared" si="5"/>
        <v>-1475</v>
      </c>
      <c r="Q58" s="625">
        <f t="shared" si="5"/>
        <v>221</v>
      </c>
      <c r="R58" s="625">
        <f t="shared" si="5"/>
        <v>-1075</v>
      </c>
      <c r="S58" s="625">
        <f t="shared" si="5"/>
        <v>194</v>
      </c>
      <c r="T58" s="625">
        <f t="shared" si="5"/>
        <v>-1054</v>
      </c>
      <c r="U58" s="625">
        <f t="shared" si="5"/>
        <v>20</v>
      </c>
      <c r="V58" s="625">
        <f t="shared" si="5"/>
        <v>-2660</v>
      </c>
      <c r="W58" s="625">
        <f t="shared" si="5"/>
        <v>-2653</v>
      </c>
      <c r="X58" s="625">
        <f t="shared" si="5"/>
        <v>-751</v>
      </c>
      <c r="Y58" s="625">
        <f t="shared" si="5"/>
        <v>-286</v>
      </c>
      <c r="Z58" s="625">
        <f t="shared" si="5"/>
        <v>-380</v>
      </c>
      <c r="AA58" s="625">
        <f t="shared" si="5"/>
        <v>-327</v>
      </c>
      <c r="AB58" s="625">
        <f t="shared" si="5"/>
        <v>-496</v>
      </c>
      <c r="AC58" s="625">
        <f t="shared" si="5"/>
        <v>-1064</v>
      </c>
      <c r="AD58" s="625">
        <f t="shared" si="5"/>
        <v>-274</v>
      </c>
      <c r="AE58" s="625">
        <f t="shared" si="5"/>
        <v>3188</v>
      </c>
      <c r="AF58" s="625">
        <f t="shared" si="5"/>
        <v>-294</v>
      </c>
      <c r="AG58" s="625">
        <f t="shared" si="5"/>
        <v>-562</v>
      </c>
      <c r="AH58" s="625">
        <f>SUM(AH49:AH56)</f>
        <v>-31</v>
      </c>
      <c r="AI58" s="286">
        <f t="shared" si="5"/>
        <v>-654</v>
      </c>
      <c r="AJ58" s="625">
        <f>SUM(AJ49:AJ56)</f>
        <v>-165</v>
      </c>
      <c r="AK58" s="1193">
        <f>SUM(AK49:AK56)</f>
        <v>-200</v>
      </c>
      <c r="AL58" s="1193">
        <f>SUM(AL49:AL56)</f>
        <v>-200</v>
      </c>
      <c r="AM58" s="1193">
        <f>SUM(AM49:AM56)</f>
        <v>300</v>
      </c>
      <c r="AN58" s="1193">
        <f>SUM(AN49:AN56)</f>
        <v>100</v>
      </c>
      <c r="AO58" s="625"/>
      <c r="AP58" s="625"/>
      <c r="AQ58" s="625"/>
    </row>
    <row r="59" spans="1:43" ht="4.5" customHeight="1">
      <c r="E59" s="625"/>
      <c r="F59" s="625"/>
      <c r="G59" s="625"/>
      <c r="H59" s="625"/>
      <c r="I59" s="625"/>
      <c r="J59" s="625"/>
      <c r="K59" s="625"/>
      <c r="L59" s="625"/>
      <c r="M59" s="625"/>
      <c r="N59" s="625"/>
      <c r="O59" s="625"/>
      <c r="P59" s="625"/>
      <c r="Q59" s="625"/>
      <c r="R59" s="625"/>
      <c r="S59" s="625"/>
      <c r="T59" s="625"/>
      <c r="U59" s="625"/>
      <c r="V59" s="625"/>
      <c r="W59" s="625"/>
      <c r="X59" s="625"/>
      <c r="Y59" s="625"/>
      <c r="Z59" s="625"/>
      <c r="AA59" s="625"/>
      <c r="AB59" s="625"/>
      <c r="AC59" s="625"/>
      <c r="AD59" s="625"/>
      <c r="AE59" s="625"/>
      <c r="AF59" s="625"/>
      <c r="AG59" s="625"/>
      <c r="AH59" s="625"/>
      <c r="AI59" s="286"/>
      <c r="AJ59" s="625"/>
      <c r="AK59" s="1193"/>
      <c r="AL59" s="1193"/>
      <c r="AM59" s="1193"/>
      <c r="AN59" s="1193"/>
      <c r="AO59" s="625"/>
      <c r="AP59" s="625"/>
      <c r="AQ59" s="625"/>
    </row>
    <row r="60" spans="1:43">
      <c r="B60" s="398" t="s">
        <v>222</v>
      </c>
      <c r="E60" s="1199">
        <f>-E61+408</f>
        <v>670</v>
      </c>
      <c r="F60" s="1200">
        <f t="shared" ref="F60:R60" si="6">E62</f>
        <v>408</v>
      </c>
      <c r="G60" s="1200">
        <f t="shared" si="6"/>
        <v>147</v>
      </c>
      <c r="H60" s="1200">
        <f t="shared" si="6"/>
        <v>137</v>
      </c>
      <c r="I60" s="1200">
        <f t="shared" si="6"/>
        <v>426</v>
      </c>
      <c r="J60" s="1200">
        <f t="shared" si="6"/>
        <v>173</v>
      </c>
      <c r="K60" s="1200">
        <f t="shared" si="6"/>
        <v>261</v>
      </c>
      <c r="L60" s="1200">
        <f t="shared" si="6"/>
        <v>173.20000000000005</v>
      </c>
      <c r="M60" s="1200">
        <f t="shared" si="6"/>
        <v>131.20000000000005</v>
      </c>
      <c r="N60" s="1200">
        <f t="shared" si="6"/>
        <v>279.41700000000014</v>
      </c>
      <c r="O60" s="1200">
        <f t="shared" si="6"/>
        <v>88.066376656690181</v>
      </c>
      <c r="P60" s="1200">
        <f t="shared" si="6"/>
        <v>1183.5943766566904</v>
      </c>
      <c r="Q60" s="1200">
        <f t="shared" si="6"/>
        <v>942.83437665669044</v>
      </c>
      <c r="R60" s="1200">
        <f t="shared" si="6"/>
        <v>2908.8343766566904</v>
      </c>
      <c r="S60" s="1199">
        <v>944</v>
      </c>
      <c r="T60" s="1200">
        <f t="shared" ref="T60:AK60" si="7">S62</f>
        <v>2815</v>
      </c>
      <c r="U60" s="1200">
        <f t="shared" si="7"/>
        <v>2454</v>
      </c>
      <c r="V60" s="1200">
        <f t="shared" si="7"/>
        <v>2964</v>
      </c>
      <c r="W60" s="1200">
        <f t="shared" si="7"/>
        <v>4649.37</v>
      </c>
      <c r="X60" s="1200">
        <f t="shared" si="7"/>
        <v>3016.2145947955378</v>
      </c>
      <c r="Y60" s="1200">
        <f t="shared" si="7"/>
        <v>2805.6025258300206</v>
      </c>
      <c r="Z60" s="1200">
        <f t="shared" si="7"/>
        <v>2530.6725258300203</v>
      </c>
      <c r="AA60" s="1200">
        <f t="shared" si="7"/>
        <v>2350.2284064751793</v>
      </c>
      <c r="AB60" s="1200">
        <f t="shared" si="7"/>
        <v>3009.8104064751792</v>
      </c>
      <c r="AC60" s="1200">
        <f t="shared" si="7"/>
        <v>2620.8104064751792</v>
      </c>
      <c r="AD60" s="1200">
        <f t="shared" si="7"/>
        <v>1506.6720334015013</v>
      </c>
      <c r="AE60" s="1200">
        <f t="shared" si="7"/>
        <v>929.67203340150127</v>
      </c>
      <c r="AF60" s="1200">
        <f>AE62</f>
        <v>1514.6720334015013</v>
      </c>
      <c r="AG60" s="1200">
        <f>AF62</f>
        <v>1318.0000334015012</v>
      </c>
      <c r="AH60" s="1200">
        <f t="shared" si="7"/>
        <v>900.00003340150124</v>
      </c>
      <c r="AI60" s="301">
        <f t="shared" si="7"/>
        <v>887.00003340150124</v>
      </c>
      <c r="AJ60" s="1200">
        <f t="shared" si="7"/>
        <v>457.6800334015013</v>
      </c>
      <c r="AK60" s="1201">
        <f t="shared" si="7"/>
        <v>480.76522355638974</v>
      </c>
      <c r="AL60" s="1201">
        <f>AK62</f>
        <v>351.85085628188438</v>
      </c>
      <c r="AM60" s="1201">
        <f>AL62</f>
        <v>182.46827418768692</v>
      </c>
      <c r="AN60" s="1201">
        <f>AM62</f>
        <v>414.13984534719953</v>
      </c>
      <c r="AO60" s="1200"/>
      <c r="AP60" s="1200"/>
      <c r="AQ60" s="1200"/>
    </row>
    <row r="61" spans="1:43">
      <c r="A61" s="582"/>
      <c r="B61" s="582"/>
      <c r="C61" s="398" t="s">
        <v>223</v>
      </c>
      <c r="D61" s="582"/>
      <c r="E61" s="625">
        <f t="shared" ref="E61:AI61" si="8">E58+E27+E45</f>
        <v>-262</v>
      </c>
      <c r="F61" s="625">
        <f t="shared" si="8"/>
        <v>-261</v>
      </c>
      <c r="G61" s="625">
        <f t="shared" si="8"/>
        <v>-10</v>
      </c>
      <c r="H61" s="625">
        <f t="shared" si="8"/>
        <v>289</v>
      </c>
      <c r="I61" s="625">
        <f t="shared" si="8"/>
        <v>-253</v>
      </c>
      <c r="J61" s="625">
        <f t="shared" si="8"/>
        <v>88</v>
      </c>
      <c r="K61" s="625">
        <f t="shared" si="8"/>
        <v>-87.799999999999955</v>
      </c>
      <c r="L61" s="625">
        <f t="shared" si="8"/>
        <v>-42</v>
      </c>
      <c r="M61" s="625">
        <f t="shared" si="8"/>
        <v>148.2170000000001</v>
      </c>
      <c r="N61" s="625">
        <f t="shared" si="8"/>
        <v>-191.35062334330996</v>
      </c>
      <c r="O61" s="625">
        <f t="shared" si="8"/>
        <v>1095.5280000000002</v>
      </c>
      <c r="P61" s="625">
        <f t="shared" si="8"/>
        <v>-240.76</v>
      </c>
      <c r="Q61" s="625">
        <f t="shared" si="8"/>
        <v>1966</v>
      </c>
      <c r="R61" s="625">
        <f t="shared" si="8"/>
        <v>-366</v>
      </c>
      <c r="S61" s="625">
        <f t="shared" si="8"/>
        <v>1871</v>
      </c>
      <c r="T61" s="625">
        <f t="shared" si="8"/>
        <v>-361</v>
      </c>
      <c r="U61" s="625">
        <f t="shared" si="8"/>
        <v>510</v>
      </c>
      <c r="V61" s="625">
        <f t="shared" si="8"/>
        <v>1685.37</v>
      </c>
      <c r="W61" s="625">
        <f t="shared" si="8"/>
        <v>-1633.1554052044621</v>
      </c>
      <c r="X61" s="625">
        <f t="shared" si="8"/>
        <v>-210.61206896551721</v>
      </c>
      <c r="Y61" s="625">
        <f t="shared" si="8"/>
        <v>-274.93000000000029</v>
      </c>
      <c r="Z61" s="625">
        <f t="shared" si="8"/>
        <v>-180.44411935484095</v>
      </c>
      <c r="AA61" s="625">
        <f t="shared" si="8"/>
        <v>659.58199999999988</v>
      </c>
      <c r="AB61" s="625">
        <f t="shared" si="8"/>
        <v>-389</v>
      </c>
      <c r="AC61" s="625">
        <f t="shared" si="8"/>
        <v>-1114.1383730736779</v>
      </c>
      <c r="AD61" s="625">
        <f t="shared" si="8"/>
        <v>-577</v>
      </c>
      <c r="AE61" s="625">
        <f>AE58+AE27+AE45</f>
        <v>585</v>
      </c>
      <c r="AF61" s="625">
        <f t="shared" si="8"/>
        <v>-197</v>
      </c>
      <c r="AG61" s="625">
        <f t="shared" si="8"/>
        <v>-418</v>
      </c>
      <c r="AH61" s="625">
        <f>AH58+AH27+AH45</f>
        <v>-13</v>
      </c>
      <c r="AI61" s="286">
        <f t="shared" si="8"/>
        <v>-429.31999999999994</v>
      </c>
      <c r="AJ61" s="625">
        <f>AJ58+AJ27+AJ45</f>
        <v>23.085190154888437</v>
      </c>
      <c r="AK61" s="1193">
        <f>AK58+AK27+AK45</f>
        <v>-128.91436727450537</v>
      </c>
      <c r="AL61" s="1193">
        <f>AL58+AL27+AL45</f>
        <v>-169.38258209419746</v>
      </c>
      <c r="AM61" s="1193">
        <f>AM58+AM27+AM45</f>
        <v>231.67157115951261</v>
      </c>
      <c r="AN61" s="1193">
        <f>AN58+AN27+AN45</f>
        <v>-121.34025424975209</v>
      </c>
      <c r="AO61" s="625"/>
      <c r="AP61" s="625"/>
      <c r="AQ61" s="625"/>
    </row>
    <row r="62" spans="1:43">
      <c r="B62" s="398" t="s">
        <v>226</v>
      </c>
      <c r="E62" s="1175">
        <f t="shared" ref="E62:AI62" si="9">E60+E61</f>
        <v>408</v>
      </c>
      <c r="F62" s="1175">
        <f t="shared" si="9"/>
        <v>147</v>
      </c>
      <c r="G62" s="1175">
        <f t="shared" si="9"/>
        <v>137</v>
      </c>
      <c r="H62" s="1175">
        <f t="shared" si="9"/>
        <v>426</v>
      </c>
      <c r="I62" s="1175">
        <f t="shared" si="9"/>
        <v>173</v>
      </c>
      <c r="J62" s="1175">
        <f t="shared" si="9"/>
        <v>261</v>
      </c>
      <c r="K62" s="1175">
        <f t="shared" si="9"/>
        <v>173.20000000000005</v>
      </c>
      <c r="L62" s="1175">
        <f t="shared" si="9"/>
        <v>131.20000000000005</v>
      </c>
      <c r="M62" s="1175">
        <f t="shared" si="9"/>
        <v>279.41700000000014</v>
      </c>
      <c r="N62" s="1175">
        <f t="shared" si="9"/>
        <v>88.066376656690181</v>
      </c>
      <c r="O62" s="1175">
        <f t="shared" si="9"/>
        <v>1183.5943766566904</v>
      </c>
      <c r="P62" s="1175">
        <f t="shared" si="9"/>
        <v>942.83437665669044</v>
      </c>
      <c r="Q62" s="1175">
        <f t="shared" si="9"/>
        <v>2908.8343766566904</v>
      </c>
      <c r="R62" s="1175">
        <f t="shared" si="9"/>
        <v>2542.8343766566904</v>
      </c>
      <c r="S62" s="1175">
        <f t="shared" si="9"/>
        <v>2815</v>
      </c>
      <c r="T62" s="1175">
        <f t="shared" si="9"/>
        <v>2454</v>
      </c>
      <c r="U62" s="1175">
        <f t="shared" si="9"/>
        <v>2964</v>
      </c>
      <c r="V62" s="1175">
        <f t="shared" si="9"/>
        <v>4649.37</v>
      </c>
      <c r="W62" s="1175">
        <f t="shared" si="9"/>
        <v>3016.2145947955378</v>
      </c>
      <c r="X62" s="1175">
        <f t="shared" si="9"/>
        <v>2805.6025258300206</v>
      </c>
      <c r="Y62" s="1175">
        <f t="shared" si="9"/>
        <v>2530.6725258300203</v>
      </c>
      <c r="Z62" s="1175">
        <f t="shared" si="9"/>
        <v>2350.2284064751793</v>
      </c>
      <c r="AA62" s="1175">
        <f t="shared" si="9"/>
        <v>3009.8104064751792</v>
      </c>
      <c r="AB62" s="1175">
        <f t="shared" si="9"/>
        <v>2620.8104064751792</v>
      </c>
      <c r="AC62" s="1175">
        <f t="shared" si="9"/>
        <v>1506.6720334015013</v>
      </c>
      <c r="AD62" s="1175">
        <f t="shared" si="9"/>
        <v>929.67203340150127</v>
      </c>
      <c r="AE62" s="1175">
        <f t="shared" si="9"/>
        <v>1514.6720334015013</v>
      </c>
      <c r="AF62" s="1175">
        <f>AF60+AF61+0.328</f>
        <v>1318.0000334015012</v>
      </c>
      <c r="AG62" s="1175">
        <f t="shared" si="9"/>
        <v>900.00003340150124</v>
      </c>
      <c r="AH62" s="1175">
        <f t="shared" si="9"/>
        <v>887.00003340150124</v>
      </c>
      <c r="AI62" s="285">
        <f t="shared" si="9"/>
        <v>457.6800334015013</v>
      </c>
      <c r="AJ62" s="1175">
        <f>AJ60+AJ61</f>
        <v>480.76522355638974</v>
      </c>
      <c r="AK62" s="1176">
        <f>AK60+AK61</f>
        <v>351.85085628188438</v>
      </c>
      <c r="AL62" s="1176">
        <f>AL60+AL61</f>
        <v>182.46827418768692</v>
      </c>
      <c r="AM62" s="1176">
        <f>AM60+AM61</f>
        <v>414.13984534719953</v>
      </c>
      <c r="AN62" s="1176">
        <f>AN60+AN61</f>
        <v>292.79959109744743</v>
      </c>
      <c r="AO62" s="1175"/>
      <c r="AP62" s="1175"/>
      <c r="AQ62" s="1175"/>
    </row>
    <row r="63" spans="1:43">
      <c r="E63" s="625"/>
      <c r="F63" s="625"/>
      <c r="G63" s="625"/>
      <c r="H63" s="625"/>
      <c r="I63" s="625"/>
      <c r="J63" s="625"/>
      <c r="K63" s="625"/>
      <c r="L63" s="625"/>
      <c r="M63" s="625"/>
      <c r="N63" s="625"/>
      <c r="O63" s="625"/>
      <c r="P63" s="625"/>
      <c r="Q63" s="625"/>
      <c r="R63" s="625"/>
      <c r="S63" s="625"/>
      <c r="T63" s="625"/>
      <c r="U63" s="625"/>
      <c r="V63" s="625"/>
      <c r="W63" s="625"/>
      <c r="X63" s="625"/>
      <c r="Y63" s="625"/>
      <c r="Z63" s="625"/>
      <c r="AA63" s="625"/>
      <c r="AB63" s="625"/>
      <c r="AC63" s="625"/>
      <c r="AD63" s="625"/>
      <c r="AE63" s="625"/>
      <c r="AF63" s="625"/>
      <c r="AG63" s="625"/>
      <c r="AH63" s="625"/>
      <c r="AI63" s="286"/>
      <c r="AJ63" s="625"/>
      <c r="AK63" s="1193"/>
      <c r="AL63" s="1193"/>
      <c r="AM63" s="1193"/>
      <c r="AN63" s="1193"/>
      <c r="AO63" s="625"/>
      <c r="AP63" s="625"/>
      <c r="AQ63" s="625"/>
    </row>
    <row r="64" spans="1:43" ht="4.5" customHeight="1"/>
    <row r="65" spans="1:43">
      <c r="A65" s="398" t="s">
        <v>227</v>
      </c>
      <c r="E65" s="1202">
        <f t="shared" ref="E65:AI65" si="10">-E58+E61</f>
        <v>41</v>
      </c>
      <c r="F65" s="1202">
        <f t="shared" si="10"/>
        <v>379</v>
      </c>
      <c r="G65" s="1202">
        <f t="shared" si="10"/>
        <v>375</v>
      </c>
      <c r="H65" s="1202">
        <f t="shared" si="10"/>
        <v>571</v>
      </c>
      <c r="I65" s="1202">
        <f t="shared" si="10"/>
        <v>-342</v>
      </c>
      <c r="J65" s="1202">
        <f t="shared" si="10"/>
        <v>-1</v>
      </c>
      <c r="K65" s="1202">
        <f t="shared" si="10"/>
        <v>449.20000000000005</v>
      </c>
      <c r="L65" s="1202">
        <f t="shared" si="10"/>
        <v>-2076</v>
      </c>
      <c r="M65" s="1202">
        <f t="shared" si="10"/>
        <v>513.2170000000001</v>
      </c>
      <c r="N65" s="1202">
        <f t="shared" si="10"/>
        <v>-97.350623343309962</v>
      </c>
      <c r="O65" s="1202">
        <f t="shared" si="10"/>
        <v>3777.5280000000002</v>
      </c>
      <c r="P65" s="1202">
        <f t="shared" si="10"/>
        <v>1234.24</v>
      </c>
      <c r="Q65" s="1202">
        <f t="shared" si="10"/>
        <v>1745</v>
      </c>
      <c r="R65" s="1202">
        <f t="shared" si="10"/>
        <v>709</v>
      </c>
      <c r="S65" s="1202">
        <f t="shared" si="10"/>
        <v>1677</v>
      </c>
      <c r="T65" s="1202">
        <f t="shared" si="10"/>
        <v>693</v>
      </c>
      <c r="U65" s="1202">
        <f t="shared" si="10"/>
        <v>490</v>
      </c>
      <c r="V65" s="1202">
        <f t="shared" si="10"/>
        <v>4345.37</v>
      </c>
      <c r="W65" s="1202">
        <f t="shared" si="10"/>
        <v>1019.8445947955379</v>
      </c>
      <c r="X65" s="1202">
        <f t="shared" si="10"/>
        <v>540.38793103448279</v>
      </c>
      <c r="Y65" s="1202">
        <f t="shared" si="10"/>
        <v>11.069999999999709</v>
      </c>
      <c r="Z65" s="1202">
        <f t="shared" si="10"/>
        <v>199.55588064515905</v>
      </c>
      <c r="AA65" s="1202">
        <f t="shared" si="10"/>
        <v>986.58199999999988</v>
      </c>
      <c r="AB65" s="1202">
        <f t="shared" si="10"/>
        <v>107</v>
      </c>
      <c r="AC65" s="1202">
        <f t="shared" si="10"/>
        <v>-50.13837307367794</v>
      </c>
      <c r="AD65" s="1202">
        <f t="shared" si="10"/>
        <v>-303</v>
      </c>
      <c r="AE65" s="1202">
        <f t="shared" si="10"/>
        <v>-2603</v>
      </c>
      <c r="AF65" s="1202">
        <f t="shared" si="10"/>
        <v>97</v>
      </c>
      <c r="AG65" s="1202">
        <f t="shared" si="10"/>
        <v>144</v>
      </c>
      <c r="AH65" s="1202">
        <f t="shared" si="10"/>
        <v>18</v>
      </c>
      <c r="AI65" s="302">
        <f t="shared" si="10"/>
        <v>224.68000000000006</v>
      </c>
      <c r="AJ65" s="1202">
        <f>-AJ58+AJ61</f>
        <v>188.08519015488844</v>
      </c>
      <c r="AK65" s="1203">
        <f>-AK58+AK61</f>
        <v>71.085632725494634</v>
      </c>
      <c r="AL65" s="1203">
        <f>-AL58+AL61</f>
        <v>30.61741790580254</v>
      </c>
      <c r="AM65" s="1203">
        <f>-AM58+AM61</f>
        <v>-68.328428840487391</v>
      </c>
      <c r="AN65" s="1203">
        <f>-AN58+AN61</f>
        <v>-221.34025424975209</v>
      </c>
      <c r="AO65" s="1202"/>
      <c r="AP65" s="1202"/>
      <c r="AQ65" s="1202"/>
    </row>
    <row r="66" spans="1:43" ht="4.5" customHeight="1"/>
    <row r="67" spans="1:43" hidden="1">
      <c r="A67" s="398" t="s">
        <v>488</v>
      </c>
      <c r="E67" s="590"/>
      <c r="F67" s="709"/>
      <c r="G67" s="709"/>
      <c r="H67" s="709"/>
      <c r="I67" s="709"/>
      <c r="J67" s="709"/>
      <c r="K67" s="709"/>
      <c r="L67" s="709"/>
      <c r="M67" s="709"/>
      <c r="N67" s="709"/>
      <c r="O67" s="709"/>
      <c r="P67" s="709"/>
      <c r="Q67" s="709"/>
      <c r="R67" s="709">
        <f>R14/'yrP&amp;L'!O25</f>
        <v>1.4634146341463414</v>
      </c>
      <c r="S67" s="709">
        <f>S14/'yrP&amp;L'!P25</f>
        <v>-3.5609756097560976</v>
      </c>
      <c r="T67" s="709">
        <f>T14/'yrP&amp;L'!Q25</f>
        <v>1.4634146341463414</v>
      </c>
      <c r="U67" s="709">
        <f>U14/'yrP&amp;L'!R25</f>
        <v>6.5853658536585362</v>
      </c>
      <c r="V67" s="709">
        <f>V14/'yrP&amp;L'!S25</f>
        <v>0.54878048780487809</v>
      </c>
      <c r="W67" s="709">
        <f>W14/'yrP&amp;L'!T25</f>
        <v>0.71014492753623193</v>
      </c>
      <c r="X67" s="709">
        <f>X14/'yrP&amp;L'!U25</f>
        <v>-5.666666666666667</v>
      </c>
      <c r="Y67" s="709">
        <f>Y14/'yrP&amp;L'!V25</f>
        <v>1.597938144329897</v>
      </c>
      <c r="Z67" s="709">
        <f>Z14/'yrP&amp;L'!W25</f>
        <v>1.5112781954887218</v>
      </c>
      <c r="AA67" s="709">
        <f>AA14/'yrP&amp;L'!X25</f>
        <v>0.9261744966442953</v>
      </c>
      <c r="AB67" s="709">
        <f>AB14/'yrP&amp;L'!Y25</f>
        <v>0.89140271493212675</v>
      </c>
      <c r="AC67" s="709">
        <f>AC14/'yrP&amp;L'!Z25</f>
        <v>0.63218390804597702</v>
      </c>
      <c r="AD67" s="709">
        <f>AD14/'yrP&amp;L'!AA25</f>
        <v>0.86349206349206353</v>
      </c>
      <c r="AE67" s="709">
        <f>AE14/'yrP&amp;L'!AB25</f>
        <v>0.7</v>
      </c>
      <c r="AF67" s="709">
        <f>AF14/'yrP&amp;L'!AC25</f>
        <v>1.7142857142857142</v>
      </c>
      <c r="AG67" s="709">
        <f>AG14/'yrP&amp;L'!AD25</f>
        <v>0.62561576354679804</v>
      </c>
      <c r="AH67" s="709">
        <f>AH14/'yrP&amp;L'!AE25</f>
        <v>-39</v>
      </c>
      <c r="AI67" s="1579">
        <v>1.02</v>
      </c>
      <c r="AJ67" s="1403">
        <v>1</v>
      </c>
      <c r="AK67" s="1403">
        <v>1</v>
      </c>
      <c r="AL67" s="1403">
        <v>1</v>
      </c>
      <c r="AM67" s="1403">
        <v>1</v>
      </c>
      <c r="AN67" s="1403">
        <v>1</v>
      </c>
      <c r="AO67" s="1118"/>
      <c r="AP67" s="1118"/>
      <c r="AQ67" s="1118"/>
    </row>
    <row r="69" spans="1:43">
      <c r="A69" s="398" t="s">
        <v>209</v>
      </c>
      <c r="Z69" s="1204"/>
      <c r="AA69" s="1204"/>
    </row>
    <row r="70" spans="1:43">
      <c r="B70" s="398" t="s">
        <v>228</v>
      </c>
      <c r="E70" s="1133">
        <f>-E29/bal!E69</f>
        <v>2.9621809600695524E-2</v>
      </c>
      <c r="F70" s="1133">
        <f>-F29/bal!F69</f>
        <v>3.8924534066605558E-2</v>
      </c>
      <c r="G70" s="1133">
        <f>-G29/bal!G69</f>
        <v>3.1849885809517933E-2</v>
      </c>
      <c r="H70" s="1133">
        <f>-H29/bal!H69</f>
        <v>2.5209617413515465E-2</v>
      </c>
      <c r="I70" s="1133">
        <f>-I29/bal!I69</f>
        <v>2.5285782015487542E-2</v>
      </c>
      <c r="J70" s="1133">
        <f>-J29/bal!J69</f>
        <v>2.6987242394504417E-2</v>
      </c>
      <c r="K70" s="1133">
        <f>-K29/bal!K69</f>
        <v>3.4870148818208345E-2</v>
      </c>
      <c r="L70" s="1133">
        <f>-L29/bal!L69</f>
        <v>3.1078933427511918E-2</v>
      </c>
      <c r="M70" s="1133">
        <f>-M29/bal!M69</f>
        <v>2.7950015603164048E-2</v>
      </c>
      <c r="N70" s="1133">
        <f>-N29/bal!N69</f>
        <v>2.5273456077179155E-2</v>
      </c>
      <c r="O70" s="1133">
        <f>-O29/bal!O69</f>
        <v>2.2745172163941656E-2</v>
      </c>
      <c r="P70" s="1133">
        <f>-P29/bal!P69</f>
        <v>2.1289957922502042E-2</v>
      </c>
      <c r="Q70" s="1133">
        <f>-Q29/bal!Q69</f>
        <v>1.971628546431696E-2</v>
      </c>
      <c r="R70" s="1133">
        <f>-R29/bal!R69</f>
        <v>2.0341917333910407E-2</v>
      </c>
      <c r="S70" s="1133">
        <f>-S29/bal!S69</f>
        <v>1.7656950672645739E-2</v>
      </c>
      <c r="T70" s="1133">
        <f>-T29/bal!T69</f>
        <v>1.8120110446387484E-2</v>
      </c>
      <c r="U70" s="1133">
        <f>-U29/bal!U69</f>
        <v>2.0499057842745388E-2</v>
      </c>
      <c r="V70" s="1133">
        <f>-V29/bal!V69</f>
        <v>2.1993810786914234E-2</v>
      </c>
      <c r="W70" s="1133">
        <f>-W29/bal!W69</f>
        <v>2.8486108682544631E-2</v>
      </c>
      <c r="X70" s="1133">
        <f>-X29/bal!X69</f>
        <v>3.8784053604786879E-2</v>
      </c>
      <c r="Y70" s="1133">
        <f>-Y29/bal!Y69</f>
        <v>6.2597572644407518E-2</v>
      </c>
      <c r="Z70" s="1133">
        <f>-Z29/bal!Z69</f>
        <v>5.2416536260446005E-2</v>
      </c>
      <c r="AA70" s="1133">
        <f>-AA29/bal!AA69</f>
        <v>3.4169577686911659E-2</v>
      </c>
      <c r="AB70" s="1133">
        <f>-AB29/bal!AB69</f>
        <v>2.8098428965594911E-2</v>
      </c>
      <c r="AC70" s="1133">
        <f>-AC29/bal!AC69</f>
        <v>3.6732329084588643E-2</v>
      </c>
      <c r="AD70" s="1133">
        <f>-AD29/bal!AD69</f>
        <v>6.2379668848671542E-2</v>
      </c>
      <c r="AE70" s="1133">
        <f>-AE29/bal!AE69</f>
        <v>8.019225904376423E-2</v>
      </c>
      <c r="AF70" s="1133">
        <f>-AF29/bal!AF69</f>
        <v>2.0559680182752713E-2</v>
      </c>
      <c r="AG70" s="1133">
        <f>-AG29/bal!AG69</f>
        <v>2.5346534653465348E-2</v>
      </c>
      <c r="AH70" s="1133">
        <f>-AH29/bal!AH69</f>
        <v>3.4032039531362079E-2</v>
      </c>
      <c r="AI70" s="1521">
        <f>-AI29/bal!AI69</f>
        <v>3.1584839277146969E-2</v>
      </c>
      <c r="AJ70" s="1133">
        <f>-AJ29/bal!AJ69</f>
        <v>3.1109860448632391E-2</v>
      </c>
      <c r="AK70" s="1205">
        <f>-AK29/bal!AK69</f>
        <v>3.198167460943447E-2</v>
      </c>
      <c r="AL70" s="1205">
        <f>-AL29/bal!AL69</f>
        <v>3.3105098295455639E-2</v>
      </c>
      <c r="AM70" s="1205">
        <f>-AM29/bal!AM69</f>
        <v>3.4529796846862922E-2</v>
      </c>
      <c r="AN70" s="1205">
        <f>-AN29/bal!AN69</f>
        <v>3.6470733639446341E-2</v>
      </c>
      <c r="AO70" s="1133"/>
      <c r="AP70" s="1133"/>
      <c r="AQ70" s="1133"/>
    </row>
    <row r="71" spans="1:43">
      <c r="B71" s="398" t="s">
        <v>229</v>
      </c>
      <c r="E71" s="1206">
        <f>E47/'yrP&amp;L'!B78</f>
        <v>0.16080777860882575</v>
      </c>
      <c r="F71" s="1206">
        <f>F47/'yrP&amp;L'!C78</f>
        <v>1.447267128560431</v>
      </c>
      <c r="G71" s="1206">
        <f>G47/'yrP&amp;L'!D78</f>
        <v>1.5381619937694704</v>
      </c>
      <c r="H71" s="1206">
        <f>H47/'yrP&amp;L'!E78</f>
        <v>4.3310131477184841</v>
      </c>
      <c r="I71" s="1206">
        <f>I47/'yrP&amp;L'!F78</f>
        <v>-0.74187380497131927</v>
      </c>
      <c r="J71" s="1206">
        <f>J47/'yrP&amp;L'!G78</f>
        <v>0.72755417956656354</v>
      </c>
      <c r="K71" s="1206">
        <f>K47/'yrP&amp;L'!H78</f>
        <v>2.7503006012024049</v>
      </c>
      <c r="L71" s="1206">
        <f>L47/'yrP&amp;L'!I78</f>
        <v>-1.295774647887324</v>
      </c>
      <c r="M71" s="1206">
        <f>M47/'yrP&amp;L'!J78</f>
        <v>1.4420498459815183</v>
      </c>
      <c r="N71" s="1206">
        <f>N47/'yrP&amp;L'!K78</f>
        <v>1.1546084176576112</v>
      </c>
      <c r="O71" s="1206">
        <f>O47/'yrP&amp;L'!L78</f>
        <v>13.135325336241367</v>
      </c>
      <c r="P71" s="1206">
        <f>P47/'yrP&amp;L'!M78</f>
        <v>3.4983345401882695</v>
      </c>
      <c r="Q71" s="1206">
        <f>Q47/'yrP&amp;L'!N78</f>
        <v>6.5184908479641388</v>
      </c>
      <c r="R71" s="1206">
        <f>R47/'yrP&amp;L'!O78</f>
        <v>2.4015581336268945</v>
      </c>
      <c r="S71" s="1206">
        <f>S47/'yrP&amp;L'!P78</f>
        <v>6.2808988764044944</v>
      </c>
      <c r="T71" s="1206">
        <f>T47/'yrP&amp;L'!Q78</f>
        <v>2.3651877133105801</v>
      </c>
      <c r="U71" s="1206">
        <f>U47/'yrP&amp;L'!R78</f>
        <v>1.6498316498316499</v>
      </c>
      <c r="V71" s="1206">
        <f>V47/'yrP&amp;L'!S78</f>
        <v>14.368421922790773</v>
      </c>
      <c r="W71" s="1206">
        <f>W47/'yrP&amp;L'!T78</f>
        <v>3.993126839450031</v>
      </c>
      <c r="X71" s="1206">
        <f>X47/'yrP&amp;L'!U78</f>
        <v>2.3272520716385996</v>
      </c>
      <c r="Y71" s="1206">
        <f>Y47/'yrP&amp;L'!V78</f>
        <v>4.9161763073164021E-2</v>
      </c>
      <c r="Z71" s="1206">
        <f>Z47/'yrP&amp;L'!W78</f>
        <v>0.89537130968102774</v>
      </c>
      <c r="AA71" s="1206">
        <f>AA47/'yrP&amp;L'!X78</f>
        <v>4.2369851835945882</v>
      </c>
      <c r="AB71" s="1206">
        <f>AB47/'yrP&amp;L'!Y78</f>
        <v>0.44957983193277312</v>
      </c>
      <c r="AC71" s="1206">
        <f>AC47/'yrP&amp;L'!Z78</f>
        <v>0.92392652680000942</v>
      </c>
      <c r="AD71" s="1206">
        <f>AD47/'yrP&amp;L'!AA78</f>
        <v>-3.7408759124087592</v>
      </c>
      <c r="AE71" s="1206">
        <f>AE47/'yrP&amp;L'!AB78</f>
        <v>-11.091054953870838</v>
      </c>
      <c r="AF71" s="1206">
        <f>AE47/'yrP&amp;L'!AC78</f>
        <v>-9.0596330275229366</v>
      </c>
      <c r="AG71" s="1206">
        <f>AG47/'yrP&amp;L'!AD78</f>
        <v>0.4707420725727362</v>
      </c>
      <c r="AH71" s="1206">
        <f>AH47/'yrP&amp;L'!AE78</f>
        <v>5.7507987220447282E-2</v>
      </c>
      <c r="AI71" s="1580">
        <f>AI47/'yrP&amp;L'!AF78</f>
        <v>0.18862102217936375</v>
      </c>
      <c r="AJ71" s="1206">
        <f>AJ47/'yrP&amp;L'!AG78</f>
        <v>0.43892304562901596</v>
      </c>
      <c r="AK71" s="1207">
        <f>AK47/'yrP&amp;L'!AH78</f>
        <v>0.2259556030689594</v>
      </c>
      <c r="AL71" s="1207">
        <f>AL47/'yrP&amp;L'!AI78</f>
        <v>9.732173523777031E-2</v>
      </c>
      <c r="AM71" s="1207">
        <f>AM47/'yrP&amp;L'!AJ78</f>
        <v>-0.21719144577395846</v>
      </c>
      <c r="AN71" s="1207">
        <f>AN47/'yrP&amp;L'!AK78</f>
        <v>-0.70356088445566456</v>
      </c>
      <c r="AO71" s="1206"/>
      <c r="AP71" s="1206"/>
      <c r="AQ71" s="1206"/>
    </row>
    <row r="73" spans="1:43">
      <c r="A73" s="398" t="s">
        <v>139</v>
      </c>
    </row>
    <row r="75" spans="1:43" customFormat="1"/>
  </sheetData>
  <phoneticPr fontId="10" type="noConversion"/>
  <pageMargins left="0" right="0" top="0" bottom="0" header="0" footer="0"/>
  <pageSetup paperSize="5" orientation="landscape"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W91"/>
  <sheetViews>
    <sheetView zoomScale="85" zoomScaleNormal="85" workbookViewId="0"/>
  </sheetViews>
  <sheetFormatPr defaultRowHeight="12.75" outlineLevelRow="1" outlineLevelCol="1"/>
  <cols>
    <col min="1" max="1" width="3.7109375" style="398" customWidth="1"/>
    <col min="2" max="2" width="4" style="398" customWidth="1"/>
    <col min="3" max="3" width="29.140625" style="398" customWidth="1"/>
    <col min="4" max="4" width="2.140625" style="398" customWidth="1"/>
    <col min="5" max="11" width="9.140625" style="398" hidden="1" customWidth="1" outlineLevel="1"/>
    <col min="12" max="15" width="9.42578125" style="398" hidden="1" customWidth="1" outlineLevel="1"/>
    <col min="16" max="16" width="9.28515625" style="398" hidden="1" customWidth="1" outlineLevel="1"/>
    <col min="17" max="18" width="9.42578125" style="398" hidden="1" customWidth="1" outlineLevel="1"/>
    <col min="19" max="26" width="9.28515625" style="398" hidden="1" customWidth="1" outlineLevel="1"/>
    <col min="27" max="27" width="9" style="398" hidden="1" customWidth="1" outlineLevel="1"/>
    <col min="28" max="28" width="8.5703125" style="398" customWidth="1" collapsed="1"/>
    <col min="29" max="29" width="8.5703125" style="398" customWidth="1"/>
    <col min="30" max="30" width="8.42578125" style="398" customWidth="1"/>
    <col min="31" max="34" width="8.7109375" style="398" customWidth="1"/>
    <col min="35" max="35" width="11.7109375" style="398" customWidth="1"/>
    <col min="36" max="38" width="9" style="398" customWidth="1"/>
    <col min="39" max="39" width="9" style="398" hidden="1" customWidth="1" outlineLevel="1"/>
    <col min="40" max="40" width="10" style="398" hidden="1" customWidth="1" outlineLevel="1"/>
    <col min="41" max="41" width="10" style="398" customWidth="1" collapsed="1"/>
    <col min="42" max="42" width="10" style="398" customWidth="1"/>
    <col min="43" max="43" width="35.140625" hidden="1" customWidth="1" outlineLevel="1"/>
    <col min="44" max="47" width="9.140625" hidden="1" customWidth="1" outlineLevel="1"/>
    <col min="48" max="48" width="35.140625" hidden="1" customWidth="1" outlineLevel="1"/>
    <col min="49" max="49" width="9.140625" style="398" collapsed="1"/>
    <col min="50" max="16384" width="9.140625" style="398"/>
  </cols>
  <sheetData>
    <row r="1" spans="1:42">
      <c r="A1" s="582" t="s">
        <v>442</v>
      </c>
    </row>
    <row r="2" spans="1:42">
      <c r="A2" s="686" t="s">
        <v>726</v>
      </c>
      <c r="B2" s="584"/>
      <c r="C2" s="584"/>
      <c r="D2" s="584"/>
      <c r="E2" s="584"/>
      <c r="F2" s="584"/>
      <c r="G2" s="584"/>
      <c r="H2" s="584"/>
      <c r="I2" s="584"/>
      <c r="J2" s="584"/>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584"/>
      <c r="AJ2" s="584"/>
      <c r="AK2" s="584"/>
      <c r="AL2" s="584"/>
      <c r="AM2" s="584"/>
      <c r="AN2" s="584"/>
      <c r="AO2" s="507"/>
      <c r="AP2" s="507"/>
    </row>
    <row r="3" spans="1:42">
      <c r="A3" s="585" t="s">
        <v>148</v>
      </c>
      <c r="AD3" s="706"/>
      <c r="AE3" s="706"/>
      <c r="AF3" s="706"/>
      <c r="AG3" s="706"/>
      <c r="AH3" s="706"/>
      <c r="AI3" s="706"/>
      <c r="AJ3" s="706"/>
      <c r="AK3" s="706"/>
      <c r="AL3" s="706"/>
      <c r="AM3" s="706"/>
      <c r="AN3" s="706"/>
      <c r="AO3" s="706"/>
      <c r="AP3" s="706"/>
    </row>
    <row r="4" spans="1:42">
      <c r="A4" s="585" t="s">
        <v>149</v>
      </c>
      <c r="AD4" s="612"/>
      <c r="AE4" s="612"/>
      <c r="AF4" s="591"/>
      <c r="AG4" s="591"/>
      <c r="AH4" s="591"/>
      <c r="AI4" s="591"/>
      <c r="AJ4" s="591"/>
      <c r="AK4" s="591"/>
      <c r="AL4" s="591"/>
      <c r="AM4" s="591"/>
      <c r="AN4" s="591"/>
      <c r="AO4" s="591"/>
      <c r="AP4" s="591"/>
    </row>
    <row r="5" spans="1:42">
      <c r="AD5" s="1084"/>
      <c r="AE5" s="1084"/>
      <c r="AF5" s="1085"/>
      <c r="AG5" s="1085"/>
      <c r="AH5" s="1085"/>
      <c r="AI5" s="1085"/>
      <c r="AJ5" s="1085"/>
      <c r="AK5" s="1085"/>
      <c r="AL5" s="1085"/>
      <c r="AM5" s="1085"/>
      <c r="AN5" s="1085"/>
      <c r="AO5" s="1085"/>
      <c r="AP5" s="1085"/>
    </row>
    <row r="6" spans="1:42">
      <c r="E6" s="1086">
        <f t="shared" ref="E6:Q6" si="0">F6-1</f>
        <v>1989</v>
      </c>
      <c r="F6" s="1086">
        <f t="shared" si="0"/>
        <v>1990</v>
      </c>
      <c r="G6" s="1086">
        <f t="shared" si="0"/>
        <v>1991</v>
      </c>
      <c r="H6" s="1086">
        <f t="shared" si="0"/>
        <v>1992</v>
      </c>
      <c r="I6" s="1086">
        <f t="shared" si="0"/>
        <v>1993</v>
      </c>
      <c r="J6" s="1086">
        <f t="shared" si="0"/>
        <v>1994</v>
      </c>
      <c r="K6" s="1086">
        <f t="shared" si="0"/>
        <v>1995</v>
      </c>
      <c r="L6" s="1086">
        <f t="shared" si="0"/>
        <v>1996</v>
      </c>
      <c r="M6" s="1086">
        <f t="shared" si="0"/>
        <v>1997</v>
      </c>
      <c r="N6" s="1086">
        <f t="shared" si="0"/>
        <v>1998</v>
      </c>
      <c r="O6" s="1086">
        <f t="shared" si="0"/>
        <v>1999</v>
      </c>
      <c r="P6" s="1086">
        <f t="shared" si="0"/>
        <v>2000</v>
      </c>
      <c r="Q6" s="1086">
        <f t="shared" si="0"/>
        <v>2001</v>
      </c>
      <c r="R6" s="1086">
        <v>2002</v>
      </c>
      <c r="S6" s="1086" t="s">
        <v>354</v>
      </c>
      <c r="T6" s="1086" t="s">
        <v>355</v>
      </c>
      <c r="U6" s="1086">
        <f>R6+1</f>
        <v>2003</v>
      </c>
      <c r="V6" s="1086">
        <f>U6+1</f>
        <v>2004</v>
      </c>
      <c r="W6" s="1086">
        <f t="shared" ref="W6:AG6" si="1">V6+1</f>
        <v>2005</v>
      </c>
      <c r="X6" s="1086">
        <f t="shared" si="1"/>
        <v>2006</v>
      </c>
      <c r="Y6" s="1086">
        <f t="shared" si="1"/>
        <v>2007</v>
      </c>
      <c r="Z6" s="1086">
        <f t="shared" si="1"/>
        <v>2008</v>
      </c>
      <c r="AA6" s="1086">
        <f t="shared" si="1"/>
        <v>2009</v>
      </c>
      <c r="AB6" s="1086">
        <f t="shared" si="1"/>
        <v>2010</v>
      </c>
      <c r="AC6" s="1086">
        <f t="shared" si="1"/>
        <v>2011</v>
      </c>
      <c r="AD6" s="1086">
        <f t="shared" si="1"/>
        <v>2012</v>
      </c>
      <c r="AE6" s="1086">
        <f t="shared" si="1"/>
        <v>2013</v>
      </c>
      <c r="AF6" s="1086">
        <f>AE6+1</f>
        <v>2014</v>
      </c>
      <c r="AG6" s="1086">
        <f t="shared" si="1"/>
        <v>2015</v>
      </c>
      <c r="AH6" s="1086">
        <f t="shared" ref="AH6:AN6" si="2">AG6+1</f>
        <v>2016</v>
      </c>
      <c r="AI6" s="1086">
        <f t="shared" si="2"/>
        <v>2017</v>
      </c>
      <c r="AJ6" s="1436">
        <f t="shared" si="2"/>
        <v>2018</v>
      </c>
      <c r="AK6" s="1436">
        <f t="shared" si="2"/>
        <v>2019</v>
      </c>
      <c r="AL6" s="1436">
        <f t="shared" si="2"/>
        <v>2020</v>
      </c>
      <c r="AM6" s="1436">
        <f t="shared" si="2"/>
        <v>2021</v>
      </c>
      <c r="AN6" s="1436">
        <f t="shared" si="2"/>
        <v>2022</v>
      </c>
      <c r="AO6" s="1087"/>
      <c r="AP6" s="1087"/>
    </row>
    <row r="8" spans="1:42">
      <c r="A8" s="1088" t="s">
        <v>187</v>
      </c>
      <c r="L8" s="591"/>
      <c r="M8" s="591"/>
      <c r="N8" s="591"/>
      <c r="O8" s="591"/>
      <c r="P8" s="591"/>
      <c r="Q8" s="591"/>
      <c r="R8" s="591"/>
      <c r="AD8" s="1089"/>
      <c r="AE8" s="1089"/>
      <c r="AF8" s="591"/>
      <c r="AG8" s="591"/>
    </row>
    <row r="9" spans="1:42">
      <c r="B9" s="398" t="s">
        <v>57</v>
      </c>
      <c r="E9" s="1090">
        <v>408</v>
      </c>
      <c r="F9" s="1090">
        <v>137</v>
      </c>
      <c r="G9" s="1089">
        <f>flow!G62</f>
        <v>137</v>
      </c>
      <c r="H9" s="1089">
        <f>flow!H62</f>
        <v>426</v>
      </c>
      <c r="I9" s="1089">
        <f>flow!I62</f>
        <v>173</v>
      </c>
      <c r="J9" s="1089">
        <f>flow!J62</f>
        <v>261</v>
      </c>
      <c r="K9" s="1089">
        <f>flow!K62</f>
        <v>173.20000000000005</v>
      </c>
      <c r="L9" s="1089">
        <f>flow!L62</f>
        <v>131.20000000000005</v>
      </c>
      <c r="M9" s="1089">
        <f>flow!M62</f>
        <v>279.41700000000014</v>
      </c>
      <c r="N9" s="1089">
        <f>flow!N62</f>
        <v>88.066376656690181</v>
      </c>
      <c r="O9" s="1089">
        <f>flow!O62</f>
        <v>1183.5943766566904</v>
      </c>
      <c r="P9" s="1089">
        <f>flow!P62</f>
        <v>942.83437665669044</v>
      </c>
      <c r="Q9" s="1089">
        <f>flow!Q62</f>
        <v>2908.8343766566904</v>
      </c>
      <c r="R9" s="1089">
        <f>flow!R62</f>
        <v>2542.8343766566904</v>
      </c>
      <c r="S9" s="1089">
        <f>flow!S62</f>
        <v>2815</v>
      </c>
      <c r="T9" s="1089">
        <f>flow!T62</f>
        <v>2454</v>
      </c>
      <c r="U9" s="1089">
        <f>flow!U62</f>
        <v>2964</v>
      </c>
      <c r="V9" s="1089">
        <f>flow!V62</f>
        <v>4649.37</v>
      </c>
      <c r="W9" s="1089">
        <f>flow!W62</f>
        <v>3016.2145947955378</v>
      </c>
      <c r="X9" s="1089">
        <f>flow!X62</f>
        <v>2805.6025258300206</v>
      </c>
      <c r="Y9" s="1089">
        <f>flow!Y62</f>
        <v>2530.6725258300203</v>
      </c>
      <c r="Z9" s="1089">
        <f>flow!Z62</f>
        <v>2350.2284064751793</v>
      </c>
      <c r="AA9" s="1089">
        <f>flow!AA62</f>
        <v>3009.8104064751792</v>
      </c>
      <c r="AB9" s="1089">
        <f>flow!AB62</f>
        <v>2620.8104064751792</v>
      </c>
      <c r="AC9" s="1089">
        <f>flow!AC62</f>
        <v>1506.6720334015013</v>
      </c>
      <c r="AD9" s="1089">
        <f>ROUND(flow!AD62,0)</f>
        <v>930</v>
      </c>
      <c r="AE9" s="1089">
        <f>qtr_CF_BS!N75</f>
        <v>1515</v>
      </c>
      <c r="AF9" s="1089">
        <f>flow!AF62</f>
        <v>1318.0000334015012</v>
      </c>
      <c r="AG9" s="1089">
        <f>flow!AG62</f>
        <v>900.00003340150124</v>
      </c>
      <c r="AH9" s="1089">
        <f>flow!AH62</f>
        <v>887.00003340150124</v>
      </c>
      <c r="AI9" s="1089">
        <f>flow!AI62</f>
        <v>457.6800334015013</v>
      </c>
      <c r="AJ9" s="1089">
        <f>flow!AJ62</f>
        <v>480.76522355638974</v>
      </c>
      <c r="AK9" s="1089">
        <f>flow!AK62</f>
        <v>351.85085628188438</v>
      </c>
      <c r="AL9" s="1089">
        <f>flow!AL62</f>
        <v>182.46827418768692</v>
      </c>
      <c r="AM9" s="1089">
        <f>flow!AM62</f>
        <v>414.13984534719953</v>
      </c>
      <c r="AN9" s="1089">
        <f>flow!AN62</f>
        <v>292.79959109744743</v>
      </c>
      <c r="AO9" s="1089"/>
      <c r="AP9" s="1089"/>
    </row>
    <row r="10" spans="1:42">
      <c r="B10" s="398" t="s">
        <v>489</v>
      </c>
      <c r="D10" s="898"/>
      <c r="E10" s="1027">
        <v>4281</v>
      </c>
      <c r="F10" s="1027">
        <v>3720</v>
      </c>
      <c r="G10" s="1027">
        <v>4131</v>
      </c>
      <c r="H10" s="1027">
        <v>3750</v>
      </c>
      <c r="I10" s="1027">
        <v>4679</v>
      </c>
      <c r="J10" s="1027">
        <v>5159</v>
      </c>
      <c r="K10" s="1027">
        <v>5207</v>
      </c>
      <c r="L10" s="1027">
        <v>5757</v>
      </c>
      <c r="M10" s="1027">
        <v>4892</v>
      </c>
      <c r="N10" s="1027">
        <v>4683</v>
      </c>
      <c r="O10" s="1027">
        <v>1138</v>
      </c>
      <c r="P10" s="1027">
        <v>893</v>
      </c>
      <c r="Q10" s="1027">
        <v>698</v>
      </c>
      <c r="R10" s="1027">
        <v>705</v>
      </c>
      <c r="S10" s="1027">
        <v>112</v>
      </c>
      <c r="T10" s="1027">
        <v>155</v>
      </c>
      <c r="U10" s="1027">
        <v>140</v>
      </c>
      <c r="V10" s="1027">
        <v>274</v>
      </c>
      <c r="W10" s="1027">
        <v>270</v>
      </c>
      <c r="X10" s="1027">
        <v>263</v>
      </c>
      <c r="Y10" s="1027">
        <v>313</v>
      </c>
      <c r="Z10" s="1027">
        <v>352</v>
      </c>
      <c r="AA10" s="1027">
        <v>395</v>
      </c>
      <c r="AB10" s="1395">
        <v>334</v>
      </c>
      <c r="AC10" s="1395">
        <v>413</v>
      </c>
      <c r="AD10" s="1395">
        <f>57+106</f>
        <v>163</v>
      </c>
      <c r="AE10" s="1395">
        <f>4+193</f>
        <v>197</v>
      </c>
      <c r="AF10" s="1395">
        <f>172</f>
        <v>172</v>
      </c>
      <c r="AG10" s="1395">
        <v>231</v>
      </c>
      <c r="AH10" s="1395">
        <v>196</v>
      </c>
      <c r="AI10" s="1395">
        <v>0</v>
      </c>
      <c r="AJ10" s="1006">
        <f>AI10-flow!AJ17</f>
        <v>63</v>
      </c>
      <c r="AK10" s="1006">
        <f>AJ10-flow!AK17</f>
        <v>126</v>
      </c>
      <c r="AL10" s="1006">
        <f>AK10-flow!AL17</f>
        <v>189</v>
      </c>
      <c r="AM10" s="1006">
        <f>AL10-flow!AM17</f>
        <v>252</v>
      </c>
      <c r="AN10" s="1006">
        <f>AM10-flow!AN17</f>
        <v>315</v>
      </c>
      <c r="AO10" s="1091"/>
      <c r="AP10" s="1091"/>
    </row>
    <row r="11" spans="1:42" hidden="1" outlineLevel="1">
      <c r="C11" s="1092" t="s">
        <v>367</v>
      </c>
      <c r="D11" s="898"/>
      <c r="E11" s="1093">
        <v>0</v>
      </c>
      <c r="F11" s="1093">
        <v>0</v>
      </c>
      <c r="G11" s="1093">
        <v>0</v>
      </c>
      <c r="H11" s="1093">
        <v>0</v>
      </c>
      <c r="I11" s="1093">
        <v>0</v>
      </c>
      <c r="J11" s="1093">
        <v>0</v>
      </c>
      <c r="K11" s="1027">
        <v>3815</v>
      </c>
      <c r="L11" s="1027">
        <v>4311</v>
      </c>
      <c r="M11" s="1027">
        <v>4239</v>
      </c>
      <c r="N11" s="1027">
        <v>4082</v>
      </c>
      <c r="O11" s="1027">
        <v>3806</v>
      </c>
      <c r="P11" s="1027">
        <v>3289</v>
      </c>
      <c r="Q11" s="1027">
        <v>3127.2459016393441</v>
      </c>
      <c r="R11" s="1027">
        <v>3030</v>
      </c>
      <c r="S11" s="1027"/>
      <c r="T11" s="1027"/>
      <c r="U11" s="1027"/>
      <c r="V11" s="1027"/>
      <c r="W11" s="1027"/>
      <c r="X11" s="1027"/>
      <c r="Y11" s="1027"/>
      <c r="Z11" s="1027"/>
      <c r="AA11" s="1027"/>
      <c r="AB11" s="1395"/>
      <c r="AC11" s="1395"/>
      <c r="AD11" s="1395"/>
      <c r="AE11" s="1395"/>
      <c r="AF11" s="1396"/>
      <c r="AG11" s="1396"/>
      <c r="AH11" s="1396"/>
      <c r="AI11" s="1091"/>
      <c r="AJ11" s="1091"/>
      <c r="AK11" s="1091"/>
      <c r="AL11" s="1091"/>
      <c r="AM11" s="1091"/>
      <c r="AN11" s="1091"/>
      <c r="AO11" s="1091"/>
      <c r="AP11" s="1091"/>
    </row>
    <row r="12" spans="1:42" hidden="1" outlineLevel="1">
      <c r="C12" s="1092" t="s">
        <v>368</v>
      </c>
      <c r="D12" s="898"/>
      <c r="E12" s="1093">
        <v>0</v>
      </c>
      <c r="F12" s="1093">
        <v>0</v>
      </c>
      <c r="G12" s="1093">
        <v>0</v>
      </c>
      <c r="H12" s="1093">
        <v>0</v>
      </c>
      <c r="I12" s="1093">
        <v>0</v>
      </c>
      <c r="J12" s="1093">
        <v>0</v>
      </c>
      <c r="K12" s="1027">
        <v>346</v>
      </c>
      <c r="L12" s="1027">
        <v>1676</v>
      </c>
      <c r="M12" s="1027">
        <v>2148</v>
      </c>
      <c r="N12" s="1027">
        <v>2205</v>
      </c>
      <c r="O12" s="1027">
        <v>2411</v>
      </c>
      <c r="P12" s="1027">
        <v>2319</v>
      </c>
      <c r="Q12" s="1027">
        <v>2459.1340543758683</v>
      </c>
      <c r="R12" s="1027">
        <v>2318</v>
      </c>
      <c r="S12" s="1027"/>
      <c r="T12" s="1027"/>
      <c r="U12" s="1027"/>
      <c r="V12" s="1027"/>
      <c r="W12" s="1027"/>
      <c r="X12" s="1027"/>
      <c r="Y12" s="1027"/>
      <c r="Z12" s="1027"/>
      <c r="AA12" s="1027"/>
      <c r="AB12" s="1395"/>
      <c r="AC12" s="1395"/>
      <c r="AD12" s="1395"/>
      <c r="AE12" s="1395"/>
      <c r="AF12" s="1396"/>
      <c r="AG12" s="1396"/>
      <c r="AH12" s="1396"/>
      <c r="AI12" s="1091"/>
      <c r="AJ12" s="1091"/>
      <c r="AK12" s="1091"/>
      <c r="AL12" s="1091"/>
      <c r="AM12" s="1091"/>
      <c r="AN12" s="1091"/>
      <c r="AO12" s="1091"/>
      <c r="AP12" s="1091"/>
    </row>
    <row r="13" spans="1:42" hidden="1" outlineLevel="1">
      <c r="C13" s="1092" t="s">
        <v>369</v>
      </c>
      <c r="D13" s="898"/>
      <c r="E13" s="1093">
        <v>0</v>
      </c>
      <c r="F13" s="1093">
        <v>0</v>
      </c>
      <c r="G13" s="1093">
        <v>0</v>
      </c>
      <c r="H13" s="1093">
        <v>0</v>
      </c>
      <c r="I13" s="1093">
        <v>0</v>
      </c>
      <c r="J13" s="1093">
        <v>0</v>
      </c>
      <c r="K13" s="1027">
        <v>-226</v>
      </c>
      <c r="L13" s="1027">
        <v>-265</v>
      </c>
      <c r="M13" s="1027">
        <v>-225</v>
      </c>
      <c r="N13" s="1027">
        <v>-227</v>
      </c>
      <c r="O13" s="1027">
        <v>-270</v>
      </c>
      <c r="P13" s="1027">
        <v>-339</v>
      </c>
      <c r="Q13" s="1027">
        <v>-377</v>
      </c>
      <c r="R13" s="1027">
        <v>-403</v>
      </c>
      <c r="S13" s="1027"/>
      <c r="T13" s="1027"/>
      <c r="U13" s="1027"/>
      <c r="V13" s="1027"/>
      <c r="W13" s="1027"/>
      <c r="X13" s="1027"/>
      <c r="Y13" s="1027"/>
      <c r="Z13" s="1027"/>
      <c r="AA13" s="1027"/>
      <c r="AB13" s="1395"/>
      <c r="AC13" s="1395"/>
      <c r="AD13" s="1363"/>
      <c r="AE13" s="1363"/>
      <c r="AF13" s="1397"/>
      <c r="AG13" s="1397"/>
      <c r="AH13" s="1397"/>
      <c r="AI13" s="1094">
        <f t="shared" ref="AI13:AN13" si="3">AH13</f>
        <v>0</v>
      </c>
      <c r="AJ13" s="1094">
        <f t="shared" si="3"/>
        <v>0</v>
      </c>
      <c r="AK13" s="1094">
        <f t="shared" si="3"/>
        <v>0</v>
      </c>
      <c r="AL13" s="1094">
        <f t="shared" si="3"/>
        <v>0</v>
      </c>
      <c r="AM13" s="1094">
        <f t="shared" si="3"/>
        <v>0</v>
      </c>
      <c r="AN13" s="1094">
        <f t="shared" si="3"/>
        <v>0</v>
      </c>
      <c r="AO13" s="1094"/>
      <c r="AP13" s="1094"/>
    </row>
    <row r="14" spans="1:42" collapsed="1">
      <c r="B14" s="398" t="s">
        <v>58</v>
      </c>
      <c r="D14" s="898"/>
      <c r="E14" s="1027">
        <v>2613</v>
      </c>
      <c r="F14" s="1027">
        <v>2657</v>
      </c>
      <c r="G14" s="1027">
        <v>2897</v>
      </c>
      <c r="H14" s="1027">
        <v>3258</v>
      </c>
      <c r="I14" s="1027">
        <v>3545</v>
      </c>
      <c r="J14" s="1027">
        <v>3876</v>
      </c>
      <c r="K14" s="1027">
        <v>3935</v>
      </c>
      <c r="L14" s="1027">
        <v>5722</v>
      </c>
      <c r="M14" s="1027">
        <v>6162</v>
      </c>
      <c r="N14" s="1027">
        <v>6060</v>
      </c>
      <c r="O14" s="1027">
        <v>5947</v>
      </c>
      <c r="P14" s="1027">
        <v>5269</v>
      </c>
      <c r="Q14" s="1027">
        <v>4931</v>
      </c>
      <c r="R14" s="1027">
        <v>4945</v>
      </c>
      <c r="S14" s="1027">
        <v>2894</v>
      </c>
      <c r="T14" s="1027">
        <v>2955</v>
      </c>
      <c r="U14" s="1027">
        <v>3135</v>
      </c>
      <c r="V14" s="1027">
        <v>3142</v>
      </c>
      <c r="W14" s="1027">
        <v>3210</v>
      </c>
      <c r="X14" s="1027">
        <v>3400</v>
      </c>
      <c r="Y14" s="1027">
        <v>3641</v>
      </c>
      <c r="Z14" s="1027">
        <v>3259</v>
      </c>
      <c r="AA14" s="1027">
        <v>3024</v>
      </c>
      <c r="AB14" s="1395">
        <v>3213</v>
      </c>
      <c r="AC14" s="1395">
        <v>2916</v>
      </c>
      <c r="AD14" s="1395">
        <v>2341</v>
      </c>
      <c r="AE14" s="1395">
        <v>2935</v>
      </c>
      <c r="AF14" s="1395">
        <v>2652</v>
      </c>
      <c r="AG14" s="1395">
        <v>2721</v>
      </c>
      <c r="AH14" s="1395">
        <v>2854</v>
      </c>
      <c r="AI14" s="1395">
        <v>2762</v>
      </c>
      <c r="AJ14" s="1006">
        <f t="shared" ref="AJ14:AN14" si="4">AI14*(1+AJ88)</f>
        <v>2734.38</v>
      </c>
      <c r="AK14" s="1006">
        <f t="shared" si="4"/>
        <v>2707.0362</v>
      </c>
      <c r="AL14" s="1006">
        <f t="shared" si="4"/>
        <v>2679.9658380000001</v>
      </c>
      <c r="AM14" s="1006">
        <f t="shared" si="4"/>
        <v>2653.1661796200001</v>
      </c>
      <c r="AN14" s="1006">
        <f t="shared" si="4"/>
        <v>2626.6345178238003</v>
      </c>
      <c r="AO14" s="1091"/>
      <c r="AP14" s="1091"/>
    </row>
    <row r="15" spans="1:42">
      <c r="B15" s="398" t="s">
        <v>59</v>
      </c>
      <c r="D15" s="898"/>
      <c r="E15" s="1095">
        <v>165</v>
      </c>
      <c r="F15" s="1095">
        <v>168</v>
      </c>
      <c r="G15" s="1095">
        <v>163</v>
      </c>
      <c r="H15" s="1095">
        <v>157</v>
      </c>
      <c r="I15" s="1095">
        <v>168</v>
      </c>
      <c r="J15" s="1095">
        <v>73</v>
      </c>
      <c r="K15" s="1095">
        <v>94</v>
      </c>
      <c r="L15" s="1095">
        <v>102</v>
      </c>
      <c r="M15" s="1095">
        <v>143</v>
      </c>
      <c r="N15" s="1095">
        <v>168</v>
      </c>
      <c r="O15" s="1095">
        <v>154</v>
      </c>
      <c r="P15" s="1095">
        <v>151</v>
      </c>
      <c r="Q15" s="1095">
        <v>209</v>
      </c>
      <c r="R15" s="1095">
        <v>229</v>
      </c>
      <c r="S15" s="1095">
        <v>96</v>
      </c>
      <c r="T15" s="1095">
        <v>90</v>
      </c>
      <c r="U15" s="1095">
        <v>207</v>
      </c>
      <c r="V15" s="1095">
        <v>167</v>
      </c>
      <c r="W15" s="1095">
        <v>206</v>
      </c>
      <c r="X15" s="1095">
        <v>238</v>
      </c>
      <c r="Y15" s="1095">
        <v>265</v>
      </c>
      <c r="Z15" s="1095">
        <v>257</v>
      </c>
      <c r="AA15" s="1095">
        <v>222</v>
      </c>
      <c r="AB15" s="1398">
        <v>201</v>
      </c>
      <c r="AC15" s="1398">
        <v>245</v>
      </c>
      <c r="AD15" s="1398">
        <v>249</v>
      </c>
      <c r="AE15" s="1398">
        <v>186</v>
      </c>
      <c r="AF15" s="1398">
        <v>189</v>
      </c>
      <c r="AG15" s="1398">
        <v>166</v>
      </c>
      <c r="AH15" s="1398">
        <v>160</v>
      </c>
      <c r="AI15" s="1398">
        <v>190</v>
      </c>
      <c r="AJ15" s="1399">
        <f t="shared" ref="AJ15:AN15" si="5">AI15</f>
        <v>190</v>
      </c>
      <c r="AK15" s="1399">
        <f t="shared" si="5"/>
        <v>190</v>
      </c>
      <c r="AL15" s="1399">
        <f t="shared" si="5"/>
        <v>190</v>
      </c>
      <c r="AM15" s="1399">
        <f t="shared" si="5"/>
        <v>190</v>
      </c>
      <c r="AN15" s="1399">
        <f t="shared" si="5"/>
        <v>190</v>
      </c>
      <c r="AO15" s="1096"/>
      <c r="AP15" s="1096"/>
    </row>
    <row r="16" spans="1:42">
      <c r="C16" s="398" t="s">
        <v>68</v>
      </c>
      <c r="E16" s="1089">
        <f>SUM(E14:E15)+SUM(E9:E10)</f>
        <v>7467</v>
      </c>
      <c r="F16" s="1089">
        <f t="shared" ref="F16:AB16" si="6">SUM(F14:F15)+SUM(F9:F10)</f>
        <v>6682</v>
      </c>
      <c r="G16" s="1089">
        <f t="shared" si="6"/>
        <v>7328</v>
      </c>
      <c r="H16" s="1089">
        <f t="shared" si="6"/>
        <v>7591</v>
      </c>
      <c r="I16" s="1089">
        <f t="shared" si="6"/>
        <v>8565</v>
      </c>
      <c r="J16" s="1089">
        <f t="shared" si="6"/>
        <v>9369</v>
      </c>
      <c r="K16" s="1089">
        <f t="shared" si="6"/>
        <v>9409.2000000000007</v>
      </c>
      <c r="L16" s="1089">
        <f t="shared" si="6"/>
        <v>11712.2</v>
      </c>
      <c r="M16" s="1089">
        <f t="shared" si="6"/>
        <v>11476.417000000001</v>
      </c>
      <c r="N16" s="1089">
        <f t="shared" si="6"/>
        <v>10999.06637665669</v>
      </c>
      <c r="O16" s="1089">
        <f t="shared" si="6"/>
        <v>8422.5943766566907</v>
      </c>
      <c r="P16" s="1089">
        <f t="shared" si="6"/>
        <v>7255.8343766566904</v>
      </c>
      <c r="Q16" s="1089">
        <f t="shared" si="6"/>
        <v>8746.8343766566904</v>
      </c>
      <c r="R16" s="1089">
        <f t="shared" si="6"/>
        <v>8421.8343766566904</v>
      </c>
      <c r="S16" s="1089">
        <f t="shared" si="6"/>
        <v>5917</v>
      </c>
      <c r="T16" s="1089">
        <f t="shared" si="6"/>
        <v>5654</v>
      </c>
      <c r="U16" s="1089">
        <f t="shared" si="6"/>
        <v>6446</v>
      </c>
      <c r="V16" s="1089">
        <f t="shared" si="6"/>
        <v>8232.369999999999</v>
      </c>
      <c r="W16" s="1089">
        <f t="shared" si="6"/>
        <v>6702.2145947955378</v>
      </c>
      <c r="X16" s="1089">
        <f t="shared" si="6"/>
        <v>6706.6025258300206</v>
      </c>
      <c r="Y16" s="1089">
        <f t="shared" si="6"/>
        <v>6749.6725258300203</v>
      </c>
      <c r="Z16" s="1089">
        <f t="shared" si="6"/>
        <v>6218.2284064751793</v>
      </c>
      <c r="AA16" s="1089">
        <f t="shared" si="6"/>
        <v>6650.8104064751788</v>
      </c>
      <c r="AB16" s="1089">
        <f t="shared" si="6"/>
        <v>6368.8104064751788</v>
      </c>
      <c r="AC16" s="1089">
        <f>SUM(AC14:AC15)+SUM(AC9:AC10)</f>
        <v>5080.6720334015008</v>
      </c>
      <c r="AD16" s="1089">
        <f>SUM(AD14:AD15)+SUM(AD9:AD10)</f>
        <v>3683</v>
      </c>
      <c r="AE16" s="1089">
        <f>SUM(AE14:AE15)+SUM(AE9:AE10)</f>
        <v>4833</v>
      </c>
      <c r="AF16" s="1089">
        <f>SUM(AF14:AF15)+SUM(AF9:AF10)</f>
        <v>4331.0000334015012</v>
      </c>
      <c r="AG16" s="1089">
        <f>SUM(AG14:AG15)+SUM(AG9:AG10)</f>
        <v>4018.0000334015012</v>
      </c>
      <c r="AH16" s="1089">
        <f>SUM(AH13:AH15)+SUM(AH9:AH10)</f>
        <v>4097.0000334015012</v>
      </c>
      <c r="AI16" s="1089">
        <f t="shared" ref="AI16:AN16" si="7">SUM(AI13:AI15)+SUM(AI9:AI10)</f>
        <v>3409.6800334015015</v>
      </c>
      <c r="AJ16" s="1089">
        <f t="shared" si="7"/>
        <v>3468.1452235563897</v>
      </c>
      <c r="AK16" s="1089">
        <f t="shared" si="7"/>
        <v>3374.8870562818843</v>
      </c>
      <c r="AL16" s="1089">
        <f t="shared" si="7"/>
        <v>3241.4341121876869</v>
      </c>
      <c r="AM16" s="1089">
        <f t="shared" si="7"/>
        <v>3509.3060249671998</v>
      </c>
      <c r="AN16" s="1089">
        <f t="shared" si="7"/>
        <v>3424.4341089212476</v>
      </c>
      <c r="AO16" s="1089"/>
      <c r="AP16" s="1089"/>
    </row>
    <row r="17" spans="1:42">
      <c r="D17" s="898"/>
      <c r="E17" s="898"/>
      <c r="F17" s="898"/>
      <c r="G17" s="898"/>
      <c r="H17" s="898"/>
      <c r="I17" s="898"/>
      <c r="J17" s="898"/>
      <c r="K17" s="898"/>
      <c r="L17" s="898"/>
      <c r="M17" s="898"/>
      <c r="N17" s="898"/>
      <c r="O17" s="898"/>
      <c r="P17" s="898"/>
      <c r="Q17" s="898"/>
      <c r="R17" s="898"/>
      <c r="S17" s="898"/>
      <c r="T17" s="898"/>
      <c r="U17" s="898"/>
      <c r="V17" s="898"/>
      <c r="W17" s="898"/>
      <c r="X17" s="898"/>
      <c r="Y17" s="898"/>
      <c r="Z17" s="898"/>
      <c r="AA17" s="898"/>
      <c r="AB17" s="898"/>
      <c r="AC17" s="898"/>
      <c r="AD17" s="782"/>
      <c r="AE17" s="782"/>
      <c r="AF17" s="782"/>
      <c r="AG17" s="782"/>
      <c r="AH17" s="782"/>
      <c r="AI17" s="782"/>
      <c r="AJ17" s="782"/>
      <c r="AK17" s="782"/>
      <c r="AL17" s="782"/>
      <c r="AM17" s="782"/>
      <c r="AN17" s="782"/>
      <c r="AO17" s="782"/>
      <c r="AP17" s="782"/>
    </row>
    <row r="18" spans="1:42">
      <c r="B18" s="398" t="s">
        <v>60</v>
      </c>
      <c r="D18" s="898"/>
      <c r="E18" s="1097">
        <v>3237</v>
      </c>
      <c r="F18" s="1097">
        <v>3500</v>
      </c>
      <c r="G18" s="1097">
        <v>3633</v>
      </c>
      <c r="H18" s="1097">
        <v>3755</v>
      </c>
      <c r="I18" s="1097">
        <v>3818</v>
      </c>
      <c r="J18" s="1097">
        <v>3954</v>
      </c>
      <c r="K18" s="1097">
        <v>4281</v>
      </c>
      <c r="L18" s="1097">
        <v>5014</v>
      </c>
      <c r="M18" s="1097">
        <v>5329</v>
      </c>
      <c r="N18" s="1097">
        <v>5458</v>
      </c>
      <c r="O18" s="1097">
        <v>5312</v>
      </c>
      <c r="P18" s="1097">
        <v>5114</v>
      </c>
      <c r="Q18" s="1097">
        <v>4989</v>
      </c>
      <c r="R18" s="1097">
        <v>4901</v>
      </c>
      <c r="S18" s="1097">
        <v>3698</v>
      </c>
      <c r="T18" s="1097">
        <v>3566</v>
      </c>
      <c r="U18" s="1097">
        <v>3461</v>
      </c>
      <c r="V18" s="1097">
        <v>3575</v>
      </c>
      <c r="W18" s="1097">
        <v>3748</v>
      </c>
      <c r="X18" s="1097">
        <v>4162</v>
      </c>
      <c r="Y18" s="1097">
        <v>4959</v>
      </c>
      <c r="Z18" s="1097">
        <v>5367</v>
      </c>
      <c r="AA18" s="1097">
        <v>5357</v>
      </c>
      <c r="AB18" s="1582">
        <v>5231</v>
      </c>
      <c r="AC18" s="1582">
        <v>5176</v>
      </c>
      <c r="AD18" s="1582">
        <v>5353</v>
      </c>
      <c r="AE18" s="1582">
        <v>5619</v>
      </c>
      <c r="AF18" s="1582">
        <v>5148</v>
      </c>
      <c r="AG18" s="1582">
        <v>4816</v>
      </c>
      <c r="AH18" s="1582">
        <v>4599</v>
      </c>
      <c r="AI18" s="1582">
        <v>4281</v>
      </c>
      <c r="AJ18" s="1400">
        <f>AI18-flow!AJ11-flow!AJ29-flow!AJ30-flow!AJ25+flow!AJ30</f>
        <v>4107</v>
      </c>
      <c r="AK18" s="1400">
        <f>AJ18-flow!AK11-flow!AK29-flow!AK30-flow!AK25+flow!AK30</f>
        <v>3941.4560725441106</v>
      </c>
      <c r="AL18" s="1400">
        <f>AK18-flow!AL11-flow!AL29-flow!AL30-flow!AL25+flow!AL30</f>
        <v>3801.0520750171745</v>
      </c>
      <c r="AM18" s="1400">
        <f>AL18-flow!AM11-flow!AM29-flow!AM30-flow!AM25+flow!AM30</f>
        <v>3676.4835407306141</v>
      </c>
      <c r="AN18" s="1400">
        <f>AM18-flow!AN11-flow!AN29-flow!AN30-flow!AN25+flow!AN30</f>
        <v>3578.5015554890947</v>
      </c>
      <c r="AO18" s="1098"/>
      <c r="AP18" s="1098"/>
    </row>
    <row r="19" spans="1:42">
      <c r="B19" s="398" t="s">
        <v>370</v>
      </c>
      <c r="D19" s="898"/>
      <c r="E19" s="1093">
        <v>0</v>
      </c>
      <c r="F19" s="1093">
        <v>0</v>
      </c>
      <c r="G19" s="1093">
        <v>0</v>
      </c>
      <c r="H19" s="1093">
        <v>0</v>
      </c>
      <c r="I19" s="1093">
        <v>0</v>
      </c>
      <c r="J19" s="1093">
        <v>0</v>
      </c>
      <c r="K19" s="1093">
        <v>0</v>
      </c>
      <c r="L19" s="1093">
        <v>0</v>
      </c>
      <c r="M19" s="1093">
        <v>0</v>
      </c>
      <c r="N19" s="1093">
        <v>0</v>
      </c>
      <c r="O19" s="1093">
        <v>0</v>
      </c>
      <c r="P19" s="1093">
        <v>0</v>
      </c>
      <c r="Q19" s="1093">
        <v>0</v>
      </c>
      <c r="R19" s="1093">
        <v>0</v>
      </c>
      <c r="S19" s="1027">
        <v>873</v>
      </c>
      <c r="T19" s="1027">
        <v>1150</v>
      </c>
      <c r="U19" s="1027">
        <v>1320</v>
      </c>
      <c r="V19" s="1027">
        <v>1538</v>
      </c>
      <c r="W19" s="1027">
        <v>1469</v>
      </c>
      <c r="X19" s="1027">
        <v>1235</v>
      </c>
      <c r="Y19" s="1027">
        <v>2030</v>
      </c>
      <c r="Z19" s="1093">
        <v>0</v>
      </c>
      <c r="AA19" s="1093">
        <v>0</v>
      </c>
      <c r="AB19" s="1395">
        <v>763</v>
      </c>
      <c r="AC19" s="1583">
        <v>0</v>
      </c>
      <c r="AD19" s="1583">
        <v>0</v>
      </c>
      <c r="AE19" s="1395">
        <v>663</v>
      </c>
      <c r="AF19" s="1395">
        <v>220</v>
      </c>
      <c r="AG19" s="1395">
        <v>0</v>
      </c>
      <c r="AH19" s="1395">
        <f t="shared" ref="AH19:AN19" si="8">AG19</f>
        <v>0</v>
      </c>
      <c r="AI19" s="1395">
        <v>61</v>
      </c>
      <c r="AJ19" s="1006">
        <f t="shared" si="8"/>
        <v>61</v>
      </c>
      <c r="AK19" s="1006">
        <f t="shared" si="8"/>
        <v>61</v>
      </c>
      <c r="AL19" s="1006">
        <f t="shared" si="8"/>
        <v>61</v>
      </c>
      <c r="AM19" s="1006">
        <f t="shared" si="8"/>
        <v>61</v>
      </c>
      <c r="AN19" s="1006">
        <f t="shared" si="8"/>
        <v>61</v>
      </c>
      <c r="AO19" s="1006"/>
      <c r="AP19" s="1006"/>
    </row>
    <row r="20" spans="1:42">
      <c r="B20" s="398" t="s">
        <v>23</v>
      </c>
      <c r="D20" s="898"/>
      <c r="E20" s="1093">
        <v>0</v>
      </c>
      <c r="F20" s="1093">
        <v>0</v>
      </c>
      <c r="G20" s="1093">
        <v>0</v>
      </c>
      <c r="H20" s="1093">
        <v>0</v>
      </c>
      <c r="I20" s="1093">
        <v>0</v>
      </c>
      <c r="J20" s="1093">
        <v>0</v>
      </c>
      <c r="K20" s="1093">
        <v>0</v>
      </c>
      <c r="L20" s="1027">
        <v>1861</v>
      </c>
      <c r="M20" s="1027">
        <v>2940</v>
      </c>
      <c r="N20" s="1027">
        <v>2933</v>
      </c>
      <c r="O20" s="1027">
        <v>3056</v>
      </c>
      <c r="P20" s="1027">
        <v>2870</v>
      </c>
      <c r="Q20" s="1093">
        <v>0</v>
      </c>
      <c r="R20" s="1093">
        <v>0</v>
      </c>
      <c r="S20" s="1093">
        <v>0</v>
      </c>
      <c r="T20" s="1093">
        <v>0</v>
      </c>
      <c r="U20" s="1093">
        <v>0</v>
      </c>
      <c r="V20" s="1093">
        <v>0</v>
      </c>
      <c r="W20" s="1093">
        <v>0</v>
      </c>
      <c r="X20" s="1093">
        <v>0</v>
      </c>
      <c r="Y20" s="1093">
        <v>0</v>
      </c>
      <c r="Z20" s="1093">
        <v>0</v>
      </c>
      <c r="AA20" s="1093">
        <v>0</v>
      </c>
      <c r="AB20" s="1583">
        <v>0</v>
      </c>
      <c r="AC20" s="1583">
        <v>0</v>
      </c>
      <c r="AD20" s="1583">
        <v>0</v>
      </c>
      <c r="AE20" s="1583">
        <v>0</v>
      </c>
      <c r="AF20" s="1583">
        <v>0</v>
      </c>
      <c r="AG20" s="1583">
        <v>0</v>
      </c>
      <c r="AH20" s="1583">
        <v>0</v>
      </c>
      <c r="AI20" s="1583">
        <v>0</v>
      </c>
      <c r="AJ20" s="1099">
        <v>0</v>
      </c>
      <c r="AK20" s="1099">
        <v>0</v>
      </c>
      <c r="AL20" s="1099">
        <v>0</v>
      </c>
      <c r="AM20" s="1099">
        <v>0</v>
      </c>
      <c r="AN20" s="1099">
        <v>0</v>
      </c>
      <c r="AO20" s="1099"/>
      <c r="AP20" s="1099"/>
    </row>
    <row r="21" spans="1:42">
      <c r="B21" s="398" t="s">
        <v>371</v>
      </c>
      <c r="D21" s="898"/>
      <c r="E21" s="1027">
        <v>1994</v>
      </c>
      <c r="F21" s="1027">
        <v>2143</v>
      </c>
      <c r="G21" s="1027">
        <v>1483</v>
      </c>
      <c r="H21" s="1027">
        <v>2121</v>
      </c>
      <c r="I21" s="1027">
        <v>2405</v>
      </c>
      <c r="J21" s="1027">
        <v>2879</v>
      </c>
      <c r="K21" s="1027">
        <v>3412</v>
      </c>
      <c r="L21" s="1027">
        <v>3501</v>
      </c>
      <c r="M21" s="1027">
        <v>3679</v>
      </c>
      <c r="N21" s="1027">
        <v>4117</v>
      </c>
      <c r="O21" s="1027">
        <v>4096</v>
      </c>
      <c r="P21" s="1027">
        <v>1458</v>
      </c>
      <c r="Q21" s="1027">
        <v>4382</v>
      </c>
      <c r="R21" s="1027">
        <v>4613</v>
      </c>
      <c r="S21" s="1027">
        <v>485</v>
      </c>
      <c r="T21" s="1027">
        <v>485</v>
      </c>
      <c r="U21" s="1027">
        <v>472</v>
      </c>
      <c r="V21" s="1027">
        <v>473</v>
      </c>
      <c r="W21" s="1027">
        <v>542</v>
      </c>
      <c r="X21" s="1027">
        <v>571.87</v>
      </c>
      <c r="Y21" s="1027">
        <v>569</v>
      </c>
      <c r="Z21" s="1027">
        <v>424</v>
      </c>
      <c r="AA21" s="1027">
        <v>572</v>
      </c>
      <c r="AB21" s="1395">
        <v>678</v>
      </c>
      <c r="AC21" s="1395">
        <v>1167</v>
      </c>
      <c r="AD21" s="1395">
        <v>745</v>
      </c>
      <c r="AE21" s="1395">
        <v>686</v>
      </c>
      <c r="AF21" s="1395">
        <v>704.99996659850001</v>
      </c>
      <c r="AG21" s="1395">
        <v>607.99996659850001</v>
      </c>
      <c r="AH21" s="1395">
        <v>617.99996659850001</v>
      </c>
      <c r="AI21" s="1395">
        <v>661.31996659849995</v>
      </c>
      <c r="AJ21" s="1006">
        <f>AI21-SUM(flow!AJ15:AJ16)-flow!AJ25-flow!AJ23-flow!AJ30-flow!AJ56</f>
        <v>611.31996659849995</v>
      </c>
      <c r="AK21" s="1006">
        <f>AJ21-SUM(flow!AK15:AK16)-flow!AK25-flow!AK23-flow!AK30-flow!AK56</f>
        <v>611.31996659849995</v>
      </c>
      <c r="AL21" s="1006">
        <f>AK21-SUM(flow!AL15:AL16)-flow!AL25-flow!AL23-flow!AL30-flow!AL56</f>
        <v>611.31996659849995</v>
      </c>
      <c r="AM21" s="1006">
        <f>AL21-SUM(flow!AM15:AM16)-flow!AM25-flow!AM23-flow!AM30-flow!AM56</f>
        <v>611.31996659849995</v>
      </c>
      <c r="AN21" s="1006">
        <f>AM21-SUM(flow!AN15:AN16)-flow!AN25-flow!AN23-flow!AN30-flow!AN56</f>
        <v>611.31996659849995</v>
      </c>
      <c r="AO21" s="1006"/>
      <c r="AP21" s="1006"/>
    </row>
    <row r="22" spans="1:42">
      <c r="B22" s="398" t="s">
        <v>372</v>
      </c>
      <c r="D22" s="898"/>
      <c r="E22" s="1093">
        <v>0</v>
      </c>
      <c r="F22" s="1093">
        <v>0</v>
      </c>
      <c r="G22" s="1093">
        <v>0</v>
      </c>
      <c r="H22" s="1093">
        <v>0</v>
      </c>
      <c r="I22" s="1093">
        <v>0</v>
      </c>
      <c r="J22" s="1093">
        <v>0</v>
      </c>
      <c r="K22" s="1093">
        <v>0</v>
      </c>
      <c r="L22" s="1093">
        <v>0</v>
      </c>
      <c r="M22" s="1093">
        <v>0</v>
      </c>
      <c r="N22" s="1093">
        <v>0</v>
      </c>
      <c r="O22" s="1093">
        <v>0</v>
      </c>
      <c r="P22" s="1027">
        <v>3027</v>
      </c>
      <c r="Q22" s="1093">
        <v>0</v>
      </c>
      <c r="R22" s="1093">
        <v>0</v>
      </c>
      <c r="S22" s="1027">
        <v>7021</v>
      </c>
      <c r="T22" s="1027">
        <v>6932</v>
      </c>
      <c r="U22" s="1027">
        <v>6601</v>
      </c>
      <c r="V22" s="1027">
        <v>309</v>
      </c>
      <c r="W22" s="1093">
        <v>0</v>
      </c>
      <c r="X22" s="1093">
        <v>0</v>
      </c>
      <c r="Y22" s="1093">
        <v>0</v>
      </c>
      <c r="Z22" s="1093">
        <v>0</v>
      </c>
      <c r="AA22" s="1093">
        <v>0</v>
      </c>
      <c r="AB22" s="1583">
        <v>0</v>
      </c>
      <c r="AC22" s="1583">
        <v>0</v>
      </c>
      <c r="AD22" s="1583">
        <v>0</v>
      </c>
      <c r="AE22" s="1583">
        <v>0</v>
      </c>
      <c r="AF22" s="1583">
        <v>0</v>
      </c>
      <c r="AG22" s="1583">
        <v>0</v>
      </c>
      <c r="AH22" s="1583">
        <v>0</v>
      </c>
      <c r="AI22" s="1583">
        <v>0</v>
      </c>
      <c r="AJ22" s="1099">
        <v>0</v>
      </c>
      <c r="AK22" s="1099">
        <v>0</v>
      </c>
      <c r="AL22" s="1099">
        <v>0</v>
      </c>
      <c r="AM22" s="1099">
        <v>0</v>
      </c>
      <c r="AN22" s="1099">
        <v>0</v>
      </c>
      <c r="AO22" s="1099"/>
      <c r="AP22" s="1099"/>
    </row>
    <row r="23" spans="1:42">
      <c r="A23" s="398" t="s">
        <v>178</v>
      </c>
      <c r="E23" s="1100">
        <f t="shared" ref="E23:AI23" si="9">SUM(E18:E22)+E16</f>
        <v>12698</v>
      </c>
      <c r="F23" s="1100">
        <f t="shared" si="9"/>
        <v>12325</v>
      </c>
      <c r="G23" s="1100">
        <f t="shared" si="9"/>
        <v>12444</v>
      </c>
      <c r="H23" s="1100">
        <f t="shared" si="9"/>
        <v>13467</v>
      </c>
      <c r="I23" s="1100">
        <f t="shared" si="9"/>
        <v>14788</v>
      </c>
      <c r="J23" s="1100">
        <f t="shared" si="9"/>
        <v>16202</v>
      </c>
      <c r="K23" s="1100">
        <f t="shared" si="9"/>
        <v>17102.2</v>
      </c>
      <c r="L23" s="1100">
        <f t="shared" si="9"/>
        <v>22088.2</v>
      </c>
      <c r="M23" s="1100">
        <f t="shared" si="9"/>
        <v>23424.417000000001</v>
      </c>
      <c r="N23" s="1100">
        <f t="shared" si="9"/>
        <v>23507.06637665669</v>
      </c>
      <c r="O23" s="1100">
        <f t="shared" si="9"/>
        <v>20886.594376656692</v>
      </c>
      <c r="P23" s="1100">
        <f t="shared" si="9"/>
        <v>19724.83437665669</v>
      </c>
      <c r="Q23" s="1100">
        <f t="shared" si="9"/>
        <v>18117.83437665669</v>
      </c>
      <c r="R23" s="1100">
        <f t="shared" si="9"/>
        <v>17935.83437665669</v>
      </c>
      <c r="S23" s="1100">
        <f t="shared" si="9"/>
        <v>17994</v>
      </c>
      <c r="T23" s="1100">
        <f t="shared" si="9"/>
        <v>17787</v>
      </c>
      <c r="U23" s="1100">
        <f t="shared" si="9"/>
        <v>18300</v>
      </c>
      <c r="V23" s="1100">
        <f t="shared" si="9"/>
        <v>14127.369999999999</v>
      </c>
      <c r="W23" s="1100">
        <f t="shared" si="9"/>
        <v>12461.214594795538</v>
      </c>
      <c r="X23" s="1100">
        <f t="shared" si="9"/>
        <v>12675.47252583002</v>
      </c>
      <c r="Y23" s="1100">
        <f t="shared" si="9"/>
        <v>14307.672525830021</v>
      </c>
      <c r="Z23" s="1100">
        <f t="shared" si="9"/>
        <v>12009.22840647518</v>
      </c>
      <c r="AA23" s="1100">
        <f t="shared" si="9"/>
        <v>12579.810406475179</v>
      </c>
      <c r="AB23" s="1100">
        <f t="shared" si="9"/>
        <v>13040.810406475179</v>
      </c>
      <c r="AC23" s="1100">
        <f t="shared" si="9"/>
        <v>11423.672033401501</v>
      </c>
      <c r="AD23" s="1100">
        <f t="shared" si="9"/>
        <v>9781</v>
      </c>
      <c r="AE23" s="1100">
        <f t="shared" si="9"/>
        <v>11801</v>
      </c>
      <c r="AF23" s="1100">
        <f t="shared" si="9"/>
        <v>10404</v>
      </c>
      <c r="AG23" s="1100">
        <f t="shared" si="9"/>
        <v>9442</v>
      </c>
      <c r="AH23" s="1100">
        <f>SUM(AH18:AH22)+AH16</f>
        <v>9314</v>
      </c>
      <c r="AI23" s="1100">
        <f t="shared" si="9"/>
        <v>8413.0000000000018</v>
      </c>
      <c r="AJ23" s="1100">
        <f>SUM(AJ18:AJ22)+AJ16</f>
        <v>8247.4651901548896</v>
      </c>
      <c r="AK23" s="1100">
        <f>SUM(AK18:AK22)+AK16</f>
        <v>7988.6630954244956</v>
      </c>
      <c r="AL23" s="1100">
        <f>SUM(AL18:AL22)+AL16</f>
        <v>7714.8061538033617</v>
      </c>
      <c r="AM23" s="1100">
        <f>SUM(AM18:AM22)+AM16</f>
        <v>7858.1095322963138</v>
      </c>
      <c r="AN23" s="1100">
        <f>SUM(AN18:AN22)+AN16</f>
        <v>7675.2556310088421</v>
      </c>
      <c r="AO23" s="609"/>
      <c r="AP23" s="609"/>
    </row>
    <row r="24" spans="1:42">
      <c r="E24" s="782"/>
      <c r="F24" s="782"/>
      <c r="G24" s="782"/>
      <c r="H24" s="782"/>
      <c r="I24" s="782"/>
      <c r="J24" s="782"/>
      <c r="K24" s="782"/>
      <c r="L24" s="782"/>
      <c r="M24" s="782"/>
      <c r="N24" s="782"/>
      <c r="O24" s="782"/>
      <c r="P24" s="782"/>
      <c r="Q24" s="782"/>
      <c r="R24" s="782"/>
      <c r="S24" s="782"/>
      <c r="T24" s="782"/>
      <c r="U24" s="782"/>
      <c r="V24" s="782"/>
      <c r="W24" s="782"/>
      <c r="X24" s="782"/>
      <c r="Y24" s="782"/>
      <c r="Z24" s="782"/>
      <c r="AA24" s="782"/>
      <c r="AB24" s="782"/>
      <c r="AC24" s="782"/>
      <c r="AD24" s="782"/>
      <c r="AE24" s="782"/>
      <c r="AF24" s="782"/>
      <c r="AG24" s="782"/>
      <c r="AH24" s="782"/>
      <c r="AI24" s="782"/>
      <c r="AJ24" s="782"/>
      <c r="AK24" s="782"/>
      <c r="AL24" s="782"/>
      <c r="AM24" s="782"/>
      <c r="AN24" s="782"/>
      <c r="AO24" s="782"/>
      <c r="AP24" s="782"/>
    </row>
    <row r="25" spans="1:42">
      <c r="A25" s="1088" t="s">
        <v>69</v>
      </c>
      <c r="E25" s="782"/>
      <c r="F25" s="782"/>
      <c r="G25" s="782"/>
      <c r="H25" s="782"/>
      <c r="I25" s="782"/>
      <c r="J25" s="782"/>
      <c r="K25" s="782"/>
      <c r="L25" s="782"/>
      <c r="M25" s="782"/>
      <c r="N25" s="782"/>
      <c r="O25" s="782"/>
      <c r="P25" s="782"/>
      <c r="Q25" s="782"/>
      <c r="R25" s="782"/>
      <c r="S25" s="782"/>
      <c r="T25" s="782"/>
      <c r="U25" s="782"/>
      <c r="V25" s="1101"/>
      <c r="W25" s="1101"/>
      <c r="X25" s="782"/>
      <c r="Y25" s="782"/>
      <c r="Z25" s="782"/>
      <c r="AA25" s="1027"/>
      <c r="AB25" s="1027"/>
      <c r="AC25" s="1027"/>
      <c r="AD25" s="1027"/>
      <c r="AE25" s="1094"/>
      <c r="AF25" s="798"/>
      <c r="AG25" s="798"/>
      <c r="AH25" s="798"/>
      <c r="AI25" s="798"/>
      <c r="AJ25" s="798"/>
      <c r="AK25" s="798"/>
      <c r="AL25" s="798"/>
      <c r="AM25" s="798"/>
      <c r="AN25" s="798"/>
      <c r="AO25" s="798"/>
      <c r="AP25" s="798"/>
    </row>
    <row r="26" spans="1:42">
      <c r="B26" s="398" t="s">
        <v>584</v>
      </c>
      <c r="D26" s="898"/>
      <c r="E26" s="1097">
        <v>1794</v>
      </c>
      <c r="F26" s="1097">
        <v>1672</v>
      </c>
      <c r="G26" s="1097">
        <v>1565</v>
      </c>
      <c r="H26" s="1097">
        <v>2038</v>
      </c>
      <c r="I26" s="1097">
        <v>2139</v>
      </c>
      <c r="J26" s="1097">
        <v>2274</v>
      </c>
      <c r="K26" s="1097">
        <v>2404</v>
      </c>
      <c r="L26" s="1097">
        <v>3738</v>
      </c>
      <c r="M26" s="1097">
        <v>4059</v>
      </c>
      <c r="N26" s="1097">
        <v>3443</v>
      </c>
      <c r="O26" s="1097">
        <v>3351</v>
      </c>
      <c r="P26" s="1097">
        <v>3877</v>
      </c>
      <c r="Q26" s="1097">
        <v>3465</v>
      </c>
      <c r="R26" s="1097">
        <v>3791</v>
      </c>
      <c r="S26" s="1097">
        <v>2075</v>
      </c>
      <c r="T26" s="1097">
        <v>2209</v>
      </c>
      <c r="U26" s="1097">
        <v>2458</v>
      </c>
      <c r="V26" s="1097">
        <v>1143</v>
      </c>
      <c r="W26" s="1097">
        <v>1171</v>
      </c>
      <c r="X26" s="1097">
        <v>1366</v>
      </c>
      <c r="Y26" s="1097">
        <v>1472</v>
      </c>
      <c r="Z26" s="1097">
        <v>1194</v>
      </c>
      <c r="AA26" s="1097">
        <v>1226</v>
      </c>
      <c r="AB26" s="1582">
        <v>1133</v>
      </c>
      <c r="AC26" s="1582">
        <v>1022</v>
      </c>
      <c r="AD26" s="1582">
        <v>1162</v>
      </c>
      <c r="AE26" s="1582">
        <v>948</v>
      </c>
      <c r="AF26" s="1582">
        <v>997</v>
      </c>
      <c r="AG26" s="1582">
        <v>925</v>
      </c>
      <c r="AH26" s="1582">
        <v>977</v>
      </c>
      <c r="AI26" s="1582">
        <v>973</v>
      </c>
      <c r="AJ26" s="1400">
        <f t="shared" ref="AJ26:AM26" si="10">AJ84*AJ14</f>
        <v>957.03300000000002</v>
      </c>
      <c r="AK26" s="1400">
        <f t="shared" si="10"/>
        <v>947.46266999999989</v>
      </c>
      <c r="AL26" s="1400">
        <f t="shared" si="10"/>
        <v>937.98804329999996</v>
      </c>
      <c r="AM26" s="1400">
        <f t="shared" si="10"/>
        <v>928.60816286699992</v>
      </c>
      <c r="AN26" s="1400">
        <f t="shared" ref="AN26" si="11">AN84*AN14</f>
        <v>919.32208123833004</v>
      </c>
      <c r="AO26" s="1098"/>
      <c r="AP26" s="1098"/>
    </row>
    <row r="27" spans="1:42">
      <c r="B27" s="398" t="s">
        <v>585</v>
      </c>
      <c r="D27" s="898"/>
      <c r="E27" s="1093">
        <v>0</v>
      </c>
      <c r="F27" s="1093">
        <v>0</v>
      </c>
      <c r="G27" s="1093">
        <v>0</v>
      </c>
      <c r="H27" s="1093">
        <v>0</v>
      </c>
      <c r="I27" s="1093">
        <v>0</v>
      </c>
      <c r="J27" s="1093">
        <v>0</v>
      </c>
      <c r="K27" s="1093">
        <v>0</v>
      </c>
      <c r="L27" s="1093">
        <v>0</v>
      </c>
      <c r="M27" s="1093">
        <v>0</v>
      </c>
      <c r="N27" s="1093">
        <v>0</v>
      </c>
      <c r="O27" s="1093">
        <v>0</v>
      </c>
      <c r="P27" s="1093">
        <v>0</v>
      </c>
      <c r="Q27" s="1093">
        <v>0</v>
      </c>
      <c r="R27" s="1093">
        <v>0</v>
      </c>
      <c r="S27" s="1093">
        <v>0</v>
      </c>
      <c r="T27" s="1093">
        <v>0</v>
      </c>
      <c r="U27" s="1093">
        <v>0</v>
      </c>
      <c r="V27" s="1027">
        <v>1627</v>
      </c>
      <c r="W27" s="1027">
        <v>1562</v>
      </c>
      <c r="X27" s="1027">
        <v>1692</v>
      </c>
      <c r="Y27" s="1027">
        <v>1663</v>
      </c>
      <c r="Z27" s="1027">
        <v>1600</v>
      </c>
      <c r="AA27" s="1027">
        <v>1630</v>
      </c>
      <c r="AB27" s="1395">
        <v>1514</v>
      </c>
      <c r="AC27" s="1395">
        <v>1503</v>
      </c>
      <c r="AD27" s="1395">
        <f>1395</f>
        <v>1395</v>
      </c>
      <c r="AE27" s="1395">
        <v>1198</v>
      </c>
      <c r="AF27" s="1395">
        <v>1188</v>
      </c>
      <c r="AG27" s="1395">
        <v>1360</v>
      </c>
      <c r="AH27" s="1395">
        <v>1164</v>
      </c>
      <c r="AI27" s="1395">
        <v>1119</v>
      </c>
      <c r="AJ27" s="1016">
        <f t="shared" ref="AJ27:AM27" si="12">AJ81*AJ71/365</f>
        <v>1112.1118541548897</v>
      </c>
      <c r="AK27" s="1016">
        <f t="shared" si="12"/>
        <v>1078.0812314177501</v>
      </c>
      <c r="AL27" s="1016">
        <f t="shared" si="12"/>
        <v>1044.6607132438</v>
      </c>
      <c r="AM27" s="1016">
        <f t="shared" si="12"/>
        <v>1023.8719650502483</v>
      </c>
      <c r="AN27" s="1016">
        <f t="shared" ref="AN27" si="13">AN81*AN71/365</f>
        <v>1004.4183977142935</v>
      </c>
      <c r="AO27" s="1091"/>
      <c r="AP27" s="1091"/>
    </row>
    <row r="28" spans="1:42">
      <c r="B28" s="398" t="s">
        <v>168</v>
      </c>
      <c r="D28" s="898"/>
      <c r="E28" s="1027">
        <v>1288</v>
      </c>
      <c r="F28" s="1027">
        <v>904</v>
      </c>
      <c r="G28" s="1027">
        <v>471</v>
      </c>
      <c r="H28" s="1027">
        <v>907</v>
      </c>
      <c r="I28" s="1027">
        <v>1284</v>
      </c>
      <c r="J28" s="1027">
        <v>2092</v>
      </c>
      <c r="K28" s="1027">
        <v>1509</v>
      </c>
      <c r="L28" s="1027">
        <v>3950</v>
      </c>
      <c r="M28" s="1027">
        <v>1417</v>
      </c>
      <c r="N28" s="1027">
        <v>1924</v>
      </c>
      <c r="O28" s="1027">
        <v>330</v>
      </c>
      <c r="P28" s="1093">
        <v>0</v>
      </c>
      <c r="Q28" s="1027">
        <v>15</v>
      </c>
      <c r="R28" s="1027">
        <v>13</v>
      </c>
      <c r="S28" s="1093">
        <v>0</v>
      </c>
      <c r="T28" s="1093">
        <v>0</v>
      </c>
      <c r="U28" s="1093">
        <v>0</v>
      </c>
      <c r="V28" s="1093">
        <v>0</v>
      </c>
      <c r="W28" s="1093">
        <v>0</v>
      </c>
      <c r="X28" s="1093">
        <v>0</v>
      </c>
      <c r="Y28" s="1093">
        <v>0</v>
      </c>
      <c r="Z28" s="1093">
        <v>0</v>
      </c>
      <c r="AA28" s="1093">
        <v>0</v>
      </c>
      <c r="AB28" s="1583">
        <v>0</v>
      </c>
      <c r="AC28" s="1395">
        <v>231</v>
      </c>
      <c r="AD28" s="1395">
        <v>26</v>
      </c>
      <c r="AE28" s="1395">
        <f>27+650</f>
        <v>677</v>
      </c>
      <c r="AF28" s="1395">
        <v>28</v>
      </c>
      <c r="AG28" s="1395">
        <v>26</v>
      </c>
      <c r="AH28" s="1395">
        <f>15+263</f>
        <v>278</v>
      </c>
      <c r="AI28" s="1395">
        <f>232+8</f>
        <v>240</v>
      </c>
      <c r="AJ28" s="1016">
        <f>AI28+flow!AJ49</f>
        <v>240</v>
      </c>
      <c r="AK28" s="1016">
        <f>AJ28+flow!AK49</f>
        <v>240</v>
      </c>
      <c r="AL28" s="1016">
        <f>AK28+flow!AL49</f>
        <v>240</v>
      </c>
      <c r="AM28" s="1016">
        <f>AL28+flow!AM49</f>
        <v>240</v>
      </c>
      <c r="AN28" s="1016">
        <f>AM28+flow!AN49</f>
        <v>240</v>
      </c>
      <c r="AO28" s="1091"/>
      <c r="AP28" s="1091"/>
    </row>
    <row r="29" spans="1:42">
      <c r="B29" s="398" t="s">
        <v>373</v>
      </c>
      <c r="D29" s="898"/>
      <c r="E29" s="1027">
        <v>164</v>
      </c>
      <c r="F29" s="1102">
        <v>75</v>
      </c>
      <c r="G29" s="1102">
        <v>237</v>
      </c>
      <c r="H29" s="1093">
        <v>0</v>
      </c>
      <c r="I29" s="1102">
        <v>348</v>
      </c>
      <c r="J29" s="1093">
        <v>0</v>
      </c>
      <c r="K29" s="1093">
        <v>0</v>
      </c>
      <c r="L29" s="1102">
        <v>250</v>
      </c>
      <c r="M29" s="1102">
        <v>449</v>
      </c>
      <c r="N29" s="1102">
        <v>438</v>
      </c>
      <c r="O29" s="1102">
        <v>625</v>
      </c>
      <c r="P29" s="1102">
        <v>250</v>
      </c>
      <c r="Q29" s="1102">
        <v>920</v>
      </c>
      <c r="R29" s="1102">
        <v>275</v>
      </c>
      <c r="S29" s="1102">
        <v>920</v>
      </c>
      <c r="T29" s="1102">
        <v>276</v>
      </c>
      <c r="U29" s="1102">
        <v>242</v>
      </c>
      <c r="V29" s="1102">
        <v>459</v>
      </c>
      <c r="W29" s="1102">
        <v>21</v>
      </c>
      <c r="X29" s="1102">
        <v>434</v>
      </c>
      <c r="Y29" s="1102">
        <v>203</v>
      </c>
      <c r="Z29" s="1093">
        <v>0</v>
      </c>
      <c r="AA29" s="1102">
        <v>393</v>
      </c>
      <c r="AB29" s="1583">
        <v>0</v>
      </c>
      <c r="AC29" s="1583">
        <v>0</v>
      </c>
      <c r="AD29" s="1583">
        <v>0</v>
      </c>
      <c r="AE29" s="1395">
        <v>23</v>
      </c>
      <c r="AF29" s="1395">
        <v>28</v>
      </c>
      <c r="AG29" s="1395">
        <v>101</v>
      </c>
      <c r="AH29" s="1583">
        <v>0</v>
      </c>
      <c r="AI29" s="1583">
        <v>0</v>
      </c>
      <c r="AJ29" s="1099">
        <v>0</v>
      </c>
      <c r="AK29" s="1099">
        <v>0</v>
      </c>
      <c r="AL29" s="1099">
        <v>0</v>
      </c>
      <c r="AM29" s="1099">
        <v>0</v>
      </c>
      <c r="AN29" s="1099">
        <v>0</v>
      </c>
      <c r="AO29" s="1099"/>
      <c r="AP29" s="1099"/>
    </row>
    <row r="30" spans="1:42">
      <c r="B30" s="398" t="s">
        <v>374</v>
      </c>
      <c r="D30" s="898"/>
      <c r="E30" s="1095">
        <v>154</v>
      </c>
      <c r="F30" s="1095">
        <v>11</v>
      </c>
      <c r="G30" s="1095">
        <v>60</v>
      </c>
      <c r="H30" s="1095">
        <v>64</v>
      </c>
      <c r="I30" s="1095">
        <v>112</v>
      </c>
      <c r="J30" s="1095">
        <v>115</v>
      </c>
      <c r="K30" s="1095">
        <v>107</v>
      </c>
      <c r="L30" s="1095">
        <v>28</v>
      </c>
      <c r="M30" s="1095">
        <v>116</v>
      </c>
      <c r="N30" s="1095">
        <v>107</v>
      </c>
      <c r="O30" s="1095">
        <v>159</v>
      </c>
      <c r="P30" s="1095">
        <v>108</v>
      </c>
      <c r="Q30" s="1095">
        <v>99</v>
      </c>
      <c r="R30" s="1095">
        <v>80</v>
      </c>
      <c r="S30" s="1095">
        <v>162</v>
      </c>
      <c r="T30" s="1095">
        <v>0</v>
      </c>
      <c r="U30" s="1095">
        <v>943</v>
      </c>
      <c r="V30" s="1095">
        <v>68</v>
      </c>
      <c r="W30" s="1095">
        <v>8</v>
      </c>
      <c r="X30" s="1103">
        <v>0</v>
      </c>
      <c r="Y30" s="1103">
        <v>0</v>
      </c>
      <c r="Z30" s="1103">
        <v>0</v>
      </c>
      <c r="AA30" s="1103">
        <v>0</v>
      </c>
      <c r="AB30" s="1584">
        <v>0</v>
      </c>
      <c r="AC30" s="1584">
        <v>0</v>
      </c>
      <c r="AD30" s="1584">
        <v>0</v>
      </c>
      <c r="AE30" s="1584">
        <v>0</v>
      </c>
      <c r="AF30" s="1584">
        <v>0</v>
      </c>
      <c r="AG30" s="1584">
        <v>0</v>
      </c>
      <c r="AH30" s="1584">
        <v>0</v>
      </c>
      <c r="AI30" s="1584">
        <v>0</v>
      </c>
      <c r="AJ30" s="1104">
        <v>0</v>
      </c>
      <c r="AK30" s="1104">
        <v>0</v>
      </c>
      <c r="AL30" s="1104">
        <v>0</v>
      </c>
      <c r="AM30" s="1104">
        <v>0</v>
      </c>
      <c r="AN30" s="1104">
        <v>0</v>
      </c>
      <c r="AO30" s="1105"/>
      <c r="AP30" s="1105"/>
    </row>
    <row r="31" spans="1:42">
      <c r="C31" s="398" t="s">
        <v>63</v>
      </c>
      <c r="E31" s="1089">
        <f>SUM(E26:E30)</f>
        <v>3400</v>
      </c>
      <c r="F31" s="1089">
        <f t="shared" ref="F31:Y31" si="14">SUM(F26:F30)</f>
        <v>2662</v>
      </c>
      <c r="G31" s="1089">
        <f t="shared" si="14"/>
        <v>2333</v>
      </c>
      <c r="H31" s="1089">
        <f t="shared" si="14"/>
        <v>3009</v>
      </c>
      <c r="I31" s="1089">
        <f t="shared" si="14"/>
        <v>3883</v>
      </c>
      <c r="J31" s="1089">
        <f t="shared" si="14"/>
        <v>4481</v>
      </c>
      <c r="K31" s="1089">
        <f t="shared" si="14"/>
        <v>4020</v>
      </c>
      <c r="L31" s="1089">
        <f t="shared" si="14"/>
        <v>7966</v>
      </c>
      <c r="M31" s="1089">
        <f t="shared" si="14"/>
        <v>6041</v>
      </c>
      <c r="N31" s="1089">
        <f t="shared" si="14"/>
        <v>5912</v>
      </c>
      <c r="O31" s="1089">
        <f t="shared" si="14"/>
        <v>4465</v>
      </c>
      <c r="P31" s="1089">
        <f t="shared" si="14"/>
        <v>4235</v>
      </c>
      <c r="Q31" s="1089">
        <f t="shared" si="14"/>
        <v>4499</v>
      </c>
      <c r="R31" s="1089">
        <f t="shared" si="14"/>
        <v>4159</v>
      </c>
      <c r="S31" s="1089">
        <f t="shared" si="14"/>
        <v>3157</v>
      </c>
      <c r="T31" s="1089">
        <f t="shared" si="14"/>
        <v>2485</v>
      </c>
      <c r="U31" s="1089">
        <f t="shared" si="14"/>
        <v>3643</v>
      </c>
      <c r="V31" s="1089">
        <f t="shared" si="14"/>
        <v>3297</v>
      </c>
      <c r="W31" s="1089">
        <f t="shared" si="14"/>
        <v>2762</v>
      </c>
      <c r="X31" s="1089">
        <f t="shared" si="14"/>
        <v>3492</v>
      </c>
      <c r="Y31" s="1089">
        <f t="shared" si="14"/>
        <v>3338</v>
      </c>
      <c r="Z31" s="1089">
        <f t="shared" ref="Z31:AI31" si="15">SUM(Z26:Z30)</f>
        <v>2794</v>
      </c>
      <c r="AA31" s="1089">
        <f t="shared" si="15"/>
        <v>3249</v>
      </c>
      <c r="AB31" s="1089">
        <f t="shared" si="15"/>
        <v>2647</v>
      </c>
      <c r="AC31" s="1089">
        <f t="shared" si="15"/>
        <v>2756</v>
      </c>
      <c r="AD31" s="1089">
        <f t="shared" si="15"/>
        <v>2583</v>
      </c>
      <c r="AE31" s="1089">
        <f t="shared" si="15"/>
        <v>2846</v>
      </c>
      <c r="AF31" s="1089">
        <f t="shared" si="15"/>
        <v>2241</v>
      </c>
      <c r="AG31" s="1089">
        <f t="shared" si="15"/>
        <v>2412</v>
      </c>
      <c r="AH31" s="1089">
        <f t="shared" si="15"/>
        <v>2419</v>
      </c>
      <c r="AI31" s="1089">
        <f t="shared" si="15"/>
        <v>2332</v>
      </c>
      <c r="AJ31" s="1089">
        <f>SUM(AJ26:AJ30)</f>
        <v>2309.1448541548898</v>
      </c>
      <c r="AK31" s="1089">
        <f>SUM(AK26:AK30)</f>
        <v>2265.54390141775</v>
      </c>
      <c r="AL31" s="1089">
        <f>SUM(AL26:AL30)</f>
        <v>2222.6487565438001</v>
      </c>
      <c r="AM31" s="1089">
        <f>SUM(AM26:AM30)</f>
        <v>2192.480127917248</v>
      </c>
      <c r="AN31" s="1089">
        <f>SUM(AN26:AN30)</f>
        <v>2163.7404789526236</v>
      </c>
      <c r="AO31" s="1089"/>
      <c r="AP31" s="1089"/>
    </row>
    <row r="32" spans="1:42">
      <c r="E32" s="782"/>
      <c r="F32" s="782"/>
      <c r="G32" s="782"/>
      <c r="H32" s="782"/>
      <c r="I32" s="782"/>
      <c r="J32" s="782"/>
      <c r="K32" s="782"/>
      <c r="L32" s="782"/>
      <c r="M32" s="782"/>
      <c r="N32" s="782"/>
      <c r="O32" s="782"/>
      <c r="P32" s="782"/>
      <c r="Q32" s="782"/>
      <c r="R32" s="782"/>
      <c r="S32" s="782"/>
      <c r="T32" s="782"/>
      <c r="U32" s="782"/>
      <c r="V32" s="782"/>
      <c r="W32" s="782"/>
      <c r="X32" s="782"/>
      <c r="Y32" s="782"/>
      <c r="Z32" s="782"/>
      <c r="AA32" s="782"/>
      <c r="AB32" s="782"/>
      <c r="AC32" s="782"/>
      <c r="AD32" s="782"/>
      <c r="AE32" s="782"/>
      <c r="AF32" s="782"/>
      <c r="AG32" s="782"/>
      <c r="AH32" s="782"/>
      <c r="AI32" s="782"/>
      <c r="AJ32" s="782"/>
      <c r="AK32" s="782"/>
      <c r="AL32" s="782"/>
      <c r="AM32" s="782"/>
      <c r="AN32" s="782"/>
      <c r="AO32" s="782"/>
      <c r="AP32" s="782"/>
    </row>
    <row r="33" spans="1:42">
      <c r="B33" s="398" t="s">
        <v>169</v>
      </c>
      <c r="D33" s="898"/>
      <c r="E33" s="1097">
        <v>2755</v>
      </c>
      <c r="F33" s="1097">
        <v>3135</v>
      </c>
      <c r="G33" s="1097">
        <v>3354</v>
      </c>
      <c r="H33" s="1097">
        <v>3171</v>
      </c>
      <c r="I33" s="1097">
        <v>2929</v>
      </c>
      <c r="J33" s="1097">
        <v>3335</v>
      </c>
      <c r="K33" s="1097">
        <v>4080</v>
      </c>
      <c r="L33" s="1097">
        <v>4565</v>
      </c>
      <c r="M33" s="1097">
        <v>6986</v>
      </c>
      <c r="N33" s="1097">
        <v>7143</v>
      </c>
      <c r="O33" s="1097">
        <v>5844</v>
      </c>
      <c r="P33" s="1097">
        <v>5448</v>
      </c>
      <c r="Q33" s="1097">
        <v>5179</v>
      </c>
      <c r="R33" s="1097">
        <v>4940</v>
      </c>
      <c r="S33" s="1097">
        <v>5140</v>
      </c>
      <c r="T33" s="1097">
        <v>4897</v>
      </c>
      <c r="U33" s="1097">
        <v>5114</v>
      </c>
      <c r="V33" s="1097">
        <v>3464</v>
      </c>
      <c r="W33" s="1097">
        <v>3444</v>
      </c>
      <c r="X33" s="1097">
        <v>3010</v>
      </c>
      <c r="Y33" s="1097">
        <v>3505</v>
      </c>
      <c r="Z33" s="1097">
        <v>3505</v>
      </c>
      <c r="AA33" s="1097">
        <v>2999</v>
      </c>
      <c r="AB33" s="1582">
        <v>3099</v>
      </c>
      <c r="AC33" s="1582">
        <v>2871</v>
      </c>
      <c r="AD33" s="1582">
        <f>2868+88</f>
        <v>2956</v>
      </c>
      <c r="AE33" s="1582">
        <f>4839+62</f>
        <v>4901</v>
      </c>
      <c r="AF33" s="1582">
        <f>5322+38</f>
        <v>5360</v>
      </c>
      <c r="AG33" s="1582">
        <f>4668+10</f>
        <v>4678</v>
      </c>
      <c r="AH33" s="1582">
        <f>219+4339</f>
        <v>4558</v>
      </c>
      <c r="AI33" s="1582">
        <f>3780+212</f>
        <v>3992</v>
      </c>
      <c r="AJ33" s="1400">
        <f>AI33+flow!AJ50+flow!AJ51</f>
        <v>3827</v>
      </c>
      <c r="AK33" s="1400">
        <f>AJ33+flow!AK50+flow!AK51</f>
        <v>3627</v>
      </c>
      <c r="AL33" s="1400">
        <f>AK33+flow!AL50+flow!AL51</f>
        <v>3427</v>
      </c>
      <c r="AM33" s="1400">
        <f>AL33+flow!AM50+flow!AM51</f>
        <v>3727</v>
      </c>
      <c r="AN33" s="1400">
        <f>AM33+flow!AN50+flow!AN51</f>
        <v>3827</v>
      </c>
      <c r="AO33" s="1098"/>
      <c r="AP33" s="1098"/>
    </row>
    <row r="34" spans="1:42">
      <c r="B34" s="398" t="s">
        <v>213</v>
      </c>
      <c r="D34" s="898"/>
      <c r="E34" s="1027">
        <v>1124</v>
      </c>
      <c r="F34" s="1027">
        <v>1021</v>
      </c>
      <c r="G34" s="1027">
        <v>968</v>
      </c>
      <c r="H34" s="1027">
        <v>1012</v>
      </c>
      <c r="I34" s="1027">
        <v>1013</v>
      </c>
      <c r="J34" s="1027">
        <v>1039</v>
      </c>
      <c r="K34" s="1027">
        <v>1188</v>
      </c>
      <c r="L34" s="1027">
        <v>1362</v>
      </c>
      <c r="M34" s="1027">
        <v>1325</v>
      </c>
      <c r="N34" s="1027">
        <v>1512</v>
      </c>
      <c r="O34" s="1027">
        <v>1461</v>
      </c>
      <c r="P34" s="1027">
        <v>1136</v>
      </c>
      <c r="Q34" s="1027">
        <v>1231</v>
      </c>
      <c r="R34" s="1027">
        <v>1391</v>
      </c>
      <c r="S34" s="1027">
        <v>1016</v>
      </c>
      <c r="T34" s="1027">
        <v>1161</v>
      </c>
      <c r="U34" s="1027">
        <v>1218</v>
      </c>
      <c r="V34" s="1027">
        <v>1319</v>
      </c>
      <c r="W34" s="1027">
        <v>1287</v>
      </c>
      <c r="X34" s="1027">
        <v>1206</v>
      </c>
      <c r="Y34" s="1027">
        <v>1463</v>
      </c>
      <c r="Z34" s="1027">
        <v>599</v>
      </c>
      <c r="AA34" s="1027">
        <v>817</v>
      </c>
      <c r="AB34" s="1395">
        <v>1192</v>
      </c>
      <c r="AC34" s="1395">
        <v>888</v>
      </c>
      <c r="AD34" s="1395">
        <v>388</v>
      </c>
      <c r="AE34" s="1395">
        <v>335</v>
      </c>
      <c r="AF34" s="1395">
        <v>363</v>
      </c>
      <c r="AG34" s="1395">
        <v>425</v>
      </c>
      <c r="AH34" s="1395">
        <v>400</v>
      </c>
      <c r="AI34" s="1395">
        <v>143</v>
      </c>
      <c r="AJ34" s="1016">
        <f t="shared" ref="AJ34:AN34" si="16">AI34</f>
        <v>143</v>
      </c>
      <c r="AK34" s="1016">
        <f t="shared" si="16"/>
        <v>143</v>
      </c>
      <c r="AL34" s="1016">
        <f t="shared" si="16"/>
        <v>143</v>
      </c>
      <c r="AM34" s="1016">
        <f t="shared" si="16"/>
        <v>143</v>
      </c>
      <c r="AN34" s="1016">
        <f t="shared" si="16"/>
        <v>143</v>
      </c>
      <c r="AO34" s="1091"/>
      <c r="AP34" s="1091"/>
    </row>
    <row r="35" spans="1:42">
      <c r="B35" s="398" t="s">
        <v>64</v>
      </c>
      <c r="D35" s="898"/>
      <c r="E35" s="1027">
        <v>1066</v>
      </c>
      <c r="F35" s="1027">
        <v>1113</v>
      </c>
      <c r="G35" s="1027">
        <v>1601</v>
      </c>
      <c r="H35" s="1027">
        <v>1570</v>
      </c>
      <c r="I35" s="1027">
        <v>1598</v>
      </c>
      <c r="J35" s="1027">
        <v>1732</v>
      </c>
      <c r="K35" s="1027">
        <v>1930</v>
      </c>
      <c r="L35" s="1027">
        <v>2243</v>
      </c>
      <c r="M35" s="1027">
        <v>1784</v>
      </c>
      <c r="N35" s="1027">
        <v>1839</v>
      </c>
      <c r="O35" s="1027">
        <v>1890</v>
      </c>
      <c r="P35" s="1027">
        <v>2664</v>
      </c>
      <c r="Q35" s="1027">
        <v>1010</v>
      </c>
      <c r="R35" s="1027">
        <v>1007</v>
      </c>
      <c r="S35" s="1027">
        <v>786</v>
      </c>
      <c r="T35" s="1027">
        <v>782</v>
      </c>
      <c r="U35" s="1027">
        <v>804</v>
      </c>
      <c r="V35" s="1027">
        <v>1042</v>
      </c>
      <c r="W35" s="1027">
        <v>961</v>
      </c>
      <c r="X35" s="1027">
        <v>677</v>
      </c>
      <c r="Y35" s="1027">
        <v>691</v>
      </c>
      <c r="Z35" s="1027">
        <v>958</v>
      </c>
      <c r="AA35" s="1027">
        <v>738</v>
      </c>
      <c r="AB35" s="1395">
        <v>644</v>
      </c>
      <c r="AC35" s="1395">
        <v>899</v>
      </c>
      <c r="AD35" s="1395">
        <v>683</v>
      </c>
      <c r="AE35" s="1395">
        <v>632</v>
      </c>
      <c r="AF35" s="1395">
        <v>526</v>
      </c>
      <c r="AG35" s="1395">
        <v>618</v>
      </c>
      <c r="AH35" s="1395">
        <v>583</v>
      </c>
      <c r="AI35" s="1395">
        <v>567</v>
      </c>
      <c r="AJ35" s="1401">
        <f>AI35+flow!AJ14</f>
        <v>567</v>
      </c>
      <c r="AK35" s="1401">
        <f>AJ35+flow!AK14</f>
        <v>567</v>
      </c>
      <c r="AL35" s="1401">
        <f>AK35+flow!AL14</f>
        <v>567</v>
      </c>
      <c r="AM35" s="1401">
        <f>AL35+flow!AM14</f>
        <v>567</v>
      </c>
      <c r="AN35" s="1401">
        <f>AM35+flow!AN14</f>
        <v>567</v>
      </c>
      <c r="AO35" s="1006"/>
      <c r="AP35" s="1006"/>
    </row>
    <row r="36" spans="1:42">
      <c r="B36" s="398" t="s">
        <v>375</v>
      </c>
      <c r="D36" s="898"/>
      <c r="E36" s="1103">
        <v>0</v>
      </c>
      <c r="F36" s="1103">
        <v>0</v>
      </c>
      <c r="G36" s="1103">
        <v>0</v>
      </c>
      <c r="H36" s="1103">
        <v>0</v>
      </c>
      <c r="I36" s="1103">
        <v>0</v>
      </c>
      <c r="J36" s="1103">
        <v>0</v>
      </c>
      <c r="K36" s="1103">
        <v>0</v>
      </c>
      <c r="L36" s="1103">
        <v>0</v>
      </c>
      <c r="M36" s="1103">
        <v>0</v>
      </c>
      <c r="N36" s="1103">
        <v>0</v>
      </c>
      <c r="O36" s="1103">
        <v>0</v>
      </c>
      <c r="P36" s="1103">
        <v>0</v>
      </c>
      <c r="Q36" s="1103">
        <v>0</v>
      </c>
      <c r="R36" s="1103">
        <v>0</v>
      </c>
      <c r="S36" s="1095">
        <v>1765</v>
      </c>
      <c r="T36" s="1095">
        <v>2092</v>
      </c>
      <c r="U36" s="1095">
        <v>2096</v>
      </c>
      <c r="V36" s="1095">
        <v>149</v>
      </c>
      <c r="W36" s="1103">
        <v>0</v>
      </c>
      <c r="X36" s="1103">
        <v>0</v>
      </c>
      <c r="Y36" s="1103">
        <v>0</v>
      </c>
      <c r="Z36" s="1103">
        <v>0</v>
      </c>
      <c r="AA36" s="1103">
        <v>0</v>
      </c>
      <c r="AB36" s="1584">
        <v>0</v>
      </c>
      <c r="AC36" s="1584">
        <v>0</v>
      </c>
      <c r="AD36" s="1584">
        <v>0</v>
      </c>
      <c r="AE36" s="1584">
        <v>0</v>
      </c>
      <c r="AF36" s="1584">
        <v>0</v>
      </c>
      <c r="AG36" s="1584">
        <v>0</v>
      </c>
      <c r="AH36" s="1584">
        <v>0</v>
      </c>
      <c r="AI36" s="1584">
        <v>0</v>
      </c>
      <c r="AJ36" s="1104">
        <v>0</v>
      </c>
      <c r="AK36" s="1104">
        <v>0</v>
      </c>
      <c r="AL36" s="1104">
        <v>0</v>
      </c>
      <c r="AM36" s="1104">
        <v>0</v>
      </c>
      <c r="AN36" s="1104">
        <v>0</v>
      </c>
      <c r="AO36" s="1105"/>
      <c r="AP36" s="1105"/>
    </row>
    <row r="37" spans="1:42">
      <c r="C37" s="398" t="s">
        <v>65</v>
      </c>
      <c r="E37" s="1089">
        <f>SUM(E33:E36)</f>
        <v>4945</v>
      </c>
      <c r="F37" s="1089">
        <f t="shared" ref="F37:AB37" si="17">SUM(F33:F36)</f>
        <v>5269</v>
      </c>
      <c r="G37" s="1089">
        <f t="shared" si="17"/>
        <v>5923</v>
      </c>
      <c r="H37" s="1089">
        <f t="shared" si="17"/>
        <v>5753</v>
      </c>
      <c r="I37" s="1089">
        <f t="shared" si="17"/>
        <v>5540</v>
      </c>
      <c r="J37" s="1089">
        <f t="shared" si="17"/>
        <v>6106</v>
      </c>
      <c r="K37" s="1089">
        <f t="shared" si="17"/>
        <v>7198</v>
      </c>
      <c r="L37" s="1089">
        <f t="shared" si="17"/>
        <v>8170</v>
      </c>
      <c r="M37" s="1089">
        <f t="shared" si="17"/>
        <v>10095</v>
      </c>
      <c r="N37" s="1089">
        <f t="shared" si="17"/>
        <v>10494</v>
      </c>
      <c r="O37" s="1089">
        <f t="shared" si="17"/>
        <v>9195</v>
      </c>
      <c r="P37" s="1089">
        <f t="shared" si="17"/>
        <v>9248</v>
      </c>
      <c r="Q37" s="1089">
        <f t="shared" si="17"/>
        <v>7420</v>
      </c>
      <c r="R37" s="1089">
        <f t="shared" si="17"/>
        <v>7338</v>
      </c>
      <c r="S37" s="1089">
        <f t="shared" si="17"/>
        <v>8707</v>
      </c>
      <c r="T37" s="1089">
        <f t="shared" si="17"/>
        <v>8932</v>
      </c>
      <c r="U37" s="1089">
        <f t="shared" si="17"/>
        <v>9232</v>
      </c>
      <c r="V37" s="1089">
        <f t="shared" si="17"/>
        <v>5974</v>
      </c>
      <c r="W37" s="1089">
        <f t="shared" si="17"/>
        <v>5692</v>
      </c>
      <c r="X37" s="1089">
        <f t="shared" si="17"/>
        <v>4893</v>
      </c>
      <c r="Y37" s="1089">
        <f t="shared" si="17"/>
        <v>5659</v>
      </c>
      <c r="Z37" s="1089">
        <f t="shared" si="17"/>
        <v>5062</v>
      </c>
      <c r="AA37" s="1089">
        <f t="shared" si="17"/>
        <v>4554</v>
      </c>
      <c r="AB37" s="1089">
        <f t="shared" si="17"/>
        <v>4935</v>
      </c>
      <c r="AC37" s="1089">
        <f t="shared" ref="AC37:AI37" si="18">SUM(AC33:AC36)</f>
        <v>4658</v>
      </c>
      <c r="AD37" s="1089">
        <f t="shared" si="18"/>
        <v>4027</v>
      </c>
      <c r="AE37" s="1089">
        <f t="shared" si="18"/>
        <v>5868</v>
      </c>
      <c r="AF37" s="1089">
        <f t="shared" si="18"/>
        <v>6249</v>
      </c>
      <c r="AG37" s="1089">
        <f t="shared" si="18"/>
        <v>5721</v>
      </c>
      <c r="AH37" s="1089">
        <f t="shared" si="18"/>
        <v>5541</v>
      </c>
      <c r="AI37" s="1089">
        <f t="shared" si="18"/>
        <v>4702</v>
      </c>
      <c r="AJ37" s="1089">
        <f>SUM(AJ33:AJ36)</f>
        <v>4537</v>
      </c>
      <c r="AK37" s="1089">
        <f>SUM(AK33:AK36)</f>
        <v>4337</v>
      </c>
      <c r="AL37" s="1089">
        <f>SUM(AL33:AL36)</f>
        <v>4137</v>
      </c>
      <c r="AM37" s="1089">
        <f>SUM(AM33:AM36)</f>
        <v>4437</v>
      </c>
      <c r="AN37" s="1089">
        <f>SUM(AN33:AN36)</f>
        <v>4537</v>
      </c>
      <c r="AO37" s="1089"/>
      <c r="AP37" s="1089"/>
    </row>
    <row r="38" spans="1:42">
      <c r="E38" s="1106"/>
      <c r="F38" s="1106"/>
      <c r="G38" s="1106"/>
      <c r="H38" s="1106"/>
      <c r="I38" s="1106"/>
      <c r="J38" s="1106"/>
      <c r="K38" s="1106"/>
      <c r="L38" s="1106"/>
      <c r="M38" s="1106"/>
      <c r="N38" s="1106"/>
      <c r="O38" s="1106"/>
      <c r="P38" s="1106"/>
      <c r="Q38" s="1106"/>
      <c r="R38" s="1106"/>
      <c r="S38" s="1106"/>
      <c r="T38" s="1106"/>
      <c r="U38" s="1106"/>
      <c r="V38" s="1106"/>
      <c r="W38" s="1106"/>
      <c r="X38" s="1106"/>
      <c r="Y38" s="1106"/>
      <c r="Z38" s="1106"/>
      <c r="AA38" s="1106"/>
      <c r="AB38" s="1106"/>
      <c r="AC38" s="1106"/>
      <c r="AD38" s="1106"/>
      <c r="AE38" s="1106"/>
      <c r="AF38" s="1106"/>
      <c r="AG38" s="1106"/>
      <c r="AH38" s="1106"/>
      <c r="AI38" s="1106"/>
      <c r="AJ38" s="1106"/>
      <c r="AK38" s="1106"/>
      <c r="AL38" s="1106"/>
      <c r="AM38" s="1106"/>
      <c r="AN38" s="1106"/>
      <c r="AO38" s="1106"/>
      <c r="AP38" s="1106"/>
    </row>
    <row r="39" spans="1:42">
      <c r="A39" s="398" t="s">
        <v>70</v>
      </c>
      <c r="E39" s="1100">
        <f>E37+E31</f>
        <v>8345</v>
      </c>
      <c r="F39" s="1100">
        <f t="shared" ref="F39:AB39" si="19">F37+F31</f>
        <v>7931</v>
      </c>
      <c r="G39" s="1100">
        <f t="shared" si="19"/>
        <v>8256</v>
      </c>
      <c r="H39" s="1100">
        <f t="shared" si="19"/>
        <v>8762</v>
      </c>
      <c r="I39" s="1100">
        <f t="shared" si="19"/>
        <v>9423</v>
      </c>
      <c r="J39" s="1100">
        <f t="shared" si="19"/>
        <v>10587</v>
      </c>
      <c r="K39" s="1100">
        <f t="shared" si="19"/>
        <v>11218</v>
      </c>
      <c r="L39" s="1100">
        <f t="shared" si="19"/>
        <v>16136</v>
      </c>
      <c r="M39" s="1100">
        <f t="shared" si="19"/>
        <v>16136</v>
      </c>
      <c r="N39" s="1100">
        <f t="shared" si="19"/>
        <v>16406</v>
      </c>
      <c r="O39" s="1100">
        <f t="shared" si="19"/>
        <v>13660</v>
      </c>
      <c r="P39" s="1100">
        <f t="shared" si="19"/>
        <v>13483</v>
      </c>
      <c r="Q39" s="1100">
        <f t="shared" si="19"/>
        <v>11919</v>
      </c>
      <c r="R39" s="1100">
        <f t="shared" si="19"/>
        <v>11497</v>
      </c>
      <c r="S39" s="1100">
        <f t="shared" si="19"/>
        <v>11864</v>
      </c>
      <c r="T39" s="1100">
        <f t="shared" si="19"/>
        <v>11417</v>
      </c>
      <c r="U39" s="1100">
        <f t="shared" si="19"/>
        <v>12875</v>
      </c>
      <c r="V39" s="1100">
        <f t="shared" si="19"/>
        <v>9271</v>
      </c>
      <c r="W39" s="1100">
        <f t="shared" si="19"/>
        <v>8454</v>
      </c>
      <c r="X39" s="1100">
        <f t="shared" si="19"/>
        <v>8385</v>
      </c>
      <c r="Y39" s="1100">
        <f t="shared" si="19"/>
        <v>8997</v>
      </c>
      <c r="Z39" s="1100">
        <f t="shared" si="19"/>
        <v>7856</v>
      </c>
      <c r="AA39" s="1100">
        <f t="shared" si="19"/>
        <v>7803</v>
      </c>
      <c r="AB39" s="1100">
        <f t="shared" si="19"/>
        <v>7582</v>
      </c>
      <c r="AC39" s="1100">
        <f t="shared" ref="AC39:AH39" si="20">AC37+AC31</f>
        <v>7414</v>
      </c>
      <c r="AD39" s="1100">
        <f t="shared" si="20"/>
        <v>6610</v>
      </c>
      <c r="AE39" s="1100">
        <f t="shared" si="20"/>
        <v>8714</v>
      </c>
      <c r="AF39" s="1100">
        <f t="shared" si="20"/>
        <v>8490</v>
      </c>
      <c r="AG39" s="1100">
        <f t="shared" si="20"/>
        <v>8133</v>
      </c>
      <c r="AH39" s="1100">
        <f t="shared" si="20"/>
        <v>7960</v>
      </c>
      <c r="AI39" s="1100">
        <f t="shared" ref="AI39:AN39" si="21">AI37+AI31</f>
        <v>7034</v>
      </c>
      <c r="AJ39" s="1100">
        <f t="shared" si="21"/>
        <v>6846.1448541548898</v>
      </c>
      <c r="AK39" s="1100">
        <f t="shared" si="21"/>
        <v>6602.54390141775</v>
      </c>
      <c r="AL39" s="1100">
        <f t="shared" si="21"/>
        <v>6359.6487565438001</v>
      </c>
      <c r="AM39" s="1100">
        <f t="shared" si="21"/>
        <v>6629.480127917248</v>
      </c>
      <c r="AN39" s="1100">
        <f t="shared" si="21"/>
        <v>6700.7404789526236</v>
      </c>
      <c r="AO39" s="609"/>
      <c r="AP39" s="609"/>
    </row>
    <row r="40" spans="1:42">
      <c r="E40" s="782"/>
      <c r="F40" s="782"/>
      <c r="G40" s="782"/>
      <c r="H40" s="782"/>
      <c r="I40" s="782"/>
      <c r="J40" s="782"/>
      <c r="K40" s="782"/>
      <c r="L40" s="782"/>
      <c r="M40" s="782"/>
      <c r="N40" s="782"/>
      <c r="O40" s="782"/>
      <c r="P40" s="782"/>
      <c r="Q40" s="782"/>
      <c r="R40" s="782"/>
      <c r="S40" s="782"/>
      <c r="T40" s="782"/>
      <c r="U40" s="782"/>
      <c r="V40" s="782"/>
      <c r="W40" s="782"/>
      <c r="X40" s="782"/>
      <c r="Y40" s="782"/>
      <c r="Z40" s="782"/>
      <c r="AA40" s="782"/>
      <c r="AB40" s="782"/>
      <c r="AC40" s="782"/>
      <c r="AD40" s="782"/>
      <c r="AE40" s="782"/>
      <c r="AF40" s="782"/>
      <c r="AG40" s="782"/>
      <c r="AH40" s="1346"/>
      <c r="AI40" s="1346"/>
      <c r="AJ40" s="782"/>
      <c r="AK40" s="782"/>
      <c r="AL40" s="782"/>
      <c r="AM40" s="782"/>
      <c r="AN40" s="782"/>
      <c r="AO40" s="782"/>
      <c r="AP40" s="782"/>
    </row>
    <row r="41" spans="1:42">
      <c r="A41" s="1088" t="s">
        <v>172</v>
      </c>
      <c r="E41" s="782"/>
      <c r="F41" s="782"/>
      <c r="G41" s="782"/>
      <c r="H41" s="782"/>
      <c r="I41" s="782"/>
      <c r="J41" s="782"/>
      <c r="K41" s="782"/>
      <c r="L41" s="782"/>
      <c r="M41" s="782"/>
      <c r="N41" s="782"/>
      <c r="O41" s="782"/>
      <c r="P41" s="782"/>
      <c r="Q41" s="782"/>
      <c r="R41" s="782"/>
      <c r="S41" s="782"/>
      <c r="T41" s="782"/>
      <c r="U41" s="782"/>
      <c r="V41" s="782"/>
      <c r="W41" s="782"/>
      <c r="X41" s="782"/>
      <c r="Y41" s="782"/>
      <c r="Z41" s="782"/>
      <c r="AA41" s="782"/>
      <c r="AB41" s="782"/>
      <c r="AC41" s="782"/>
      <c r="AD41" s="782"/>
      <c r="AE41" s="782"/>
      <c r="AF41" s="782"/>
      <c r="AG41" s="782"/>
      <c r="AH41" s="782"/>
      <c r="AI41" s="782"/>
      <c r="AJ41" s="782"/>
      <c r="AK41" s="782"/>
      <c r="AL41" s="782"/>
      <c r="AM41" s="782"/>
      <c r="AN41" s="782"/>
      <c r="AO41" s="779"/>
      <c r="AP41" s="782"/>
    </row>
    <row r="42" spans="1:42">
      <c r="B42" s="398" t="s">
        <v>208</v>
      </c>
      <c r="D42" s="898"/>
      <c r="E42" s="1097">
        <v>704</v>
      </c>
      <c r="F42" s="1097">
        <v>697</v>
      </c>
      <c r="G42" s="1097">
        <v>684</v>
      </c>
      <c r="H42" s="1097">
        <v>666</v>
      </c>
      <c r="I42" s="1097">
        <v>648</v>
      </c>
      <c r="J42" s="1097">
        <v>630</v>
      </c>
      <c r="K42" s="1097">
        <v>603</v>
      </c>
      <c r="L42" s="1097">
        <v>568</v>
      </c>
      <c r="M42" s="1097">
        <v>526</v>
      </c>
      <c r="N42" s="1097">
        <v>475</v>
      </c>
      <c r="O42" s="1097">
        <v>446</v>
      </c>
      <c r="P42" s="1097">
        <v>399</v>
      </c>
      <c r="Q42" s="1097">
        <v>363</v>
      </c>
      <c r="R42" s="1097">
        <v>333</v>
      </c>
      <c r="S42" s="1097">
        <v>363</v>
      </c>
      <c r="T42" s="1097">
        <v>333</v>
      </c>
      <c r="U42" s="1097">
        <v>304</v>
      </c>
      <c r="V42" s="1097">
        <v>0</v>
      </c>
      <c r="W42" s="1097">
        <v>0</v>
      </c>
      <c r="X42" s="1097">
        <v>0</v>
      </c>
      <c r="Y42" s="1097">
        <v>0</v>
      </c>
      <c r="Z42" s="1097">
        <v>0</v>
      </c>
      <c r="AA42" s="1097">
        <v>0</v>
      </c>
      <c r="AB42" s="1582">
        <v>0</v>
      </c>
      <c r="AC42" s="1582">
        <v>0</v>
      </c>
      <c r="AD42" s="1582">
        <v>0</v>
      </c>
      <c r="AE42" s="1582">
        <v>0</v>
      </c>
      <c r="AF42" s="1582">
        <f t="shared" ref="AF42:AK42" si="22">AE42</f>
        <v>0</v>
      </c>
      <c r="AG42" s="1582">
        <f t="shared" si="22"/>
        <v>0</v>
      </c>
      <c r="AH42" s="1582">
        <f t="shared" si="22"/>
        <v>0</v>
      </c>
      <c r="AI42" s="1089">
        <f t="shared" si="22"/>
        <v>0</v>
      </c>
      <c r="AJ42" s="1089">
        <f t="shared" si="22"/>
        <v>0</v>
      </c>
      <c r="AK42" s="1089">
        <f t="shared" si="22"/>
        <v>0</v>
      </c>
      <c r="AL42" s="1089">
        <f>AK42</f>
        <v>0</v>
      </c>
      <c r="AM42" s="1089">
        <f>AL42</f>
        <v>0</v>
      </c>
      <c r="AN42" s="1089">
        <f>AM42</f>
        <v>0</v>
      </c>
      <c r="AO42" s="1089"/>
      <c r="AP42" s="1089"/>
    </row>
    <row r="43" spans="1:42">
      <c r="B43" s="398" t="s">
        <v>376</v>
      </c>
      <c r="D43" s="898"/>
      <c r="E43" s="1027">
        <v>-619</v>
      </c>
      <c r="F43" s="1027">
        <v>-566</v>
      </c>
      <c r="G43" s="1027">
        <v>-509</v>
      </c>
      <c r="H43" s="1027">
        <v>-447</v>
      </c>
      <c r="I43" s="1027">
        <v>-379</v>
      </c>
      <c r="J43" s="1027">
        <v>-307</v>
      </c>
      <c r="K43" s="1027">
        <v>-228</v>
      </c>
      <c r="L43" s="1027">
        <v>-142</v>
      </c>
      <c r="M43" s="1027">
        <v>-49</v>
      </c>
      <c r="N43" s="1093">
        <v>0</v>
      </c>
      <c r="O43" s="1093">
        <f>+N43</f>
        <v>0</v>
      </c>
      <c r="P43" s="1093">
        <f>+O43</f>
        <v>0</v>
      </c>
      <c r="Q43" s="1093">
        <f>+P43</f>
        <v>0</v>
      </c>
      <c r="R43" s="1093">
        <f>+Q43</f>
        <v>0</v>
      </c>
      <c r="S43" s="1093">
        <v>0</v>
      </c>
      <c r="T43" s="1093">
        <v>0</v>
      </c>
      <c r="U43" s="1093">
        <v>0</v>
      </c>
      <c r="V43" s="1093">
        <v>0</v>
      </c>
      <c r="W43" s="1093">
        <v>0</v>
      </c>
      <c r="X43" s="1093">
        <v>0</v>
      </c>
      <c r="Y43" s="1093">
        <v>0</v>
      </c>
      <c r="Z43" s="1093">
        <v>0</v>
      </c>
      <c r="AA43" s="1093">
        <v>0</v>
      </c>
      <c r="AB43" s="1583">
        <v>0</v>
      </c>
      <c r="AC43" s="1583">
        <v>0</v>
      </c>
      <c r="AD43" s="1583">
        <v>0</v>
      </c>
      <c r="AE43" s="1583">
        <v>0</v>
      </c>
      <c r="AF43" s="1583">
        <v>0</v>
      </c>
      <c r="AG43" s="1583">
        <v>0</v>
      </c>
      <c r="AH43" s="1583">
        <v>0</v>
      </c>
      <c r="AI43" s="1099">
        <v>0</v>
      </c>
      <c r="AJ43" s="1099">
        <v>0</v>
      </c>
      <c r="AK43" s="1099">
        <v>0</v>
      </c>
      <c r="AL43" s="1099">
        <v>0</v>
      </c>
      <c r="AM43" s="1099">
        <v>0</v>
      </c>
      <c r="AN43" s="1099">
        <v>0</v>
      </c>
      <c r="AO43" s="1099"/>
      <c r="AP43" s="1099"/>
    </row>
    <row r="44" spans="1:42">
      <c r="B44" s="398" t="s">
        <v>377</v>
      </c>
      <c r="D44" s="898"/>
      <c r="E44" s="1027">
        <v>865</v>
      </c>
      <c r="F44" s="1027">
        <v>850</v>
      </c>
      <c r="G44" s="1027">
        <v>857</v>
      </c>
      <c r="H44" s="1027">
        <v>955</v>
      </c>
      <c r="I44" s="1027">
        <v>1003</v>
      </c>
      <c r="J44" s="1027">
        <v>1030</v>
      </c>
      <c r="K44" s="1027">
        <f>1112+0.2</f>
        <v>1112.2</v>
      </c>
      <c r="L44" s="1027">
        <f>1416+0.2</f>
        <v>1416.2</v>
      </c>
      <c r="M44" s="1027">
        <v>2765.4169999999999</v>
      </c>
      <c r="N44" s="1027">
        <f>2850-0.933623343309591</f>
        <v>2849.0663766566904</v>
      </c>
      <c r="O44" s="1027">
        <f>3266-1.40562334330752</f>
        <v>3264.5943766566925</v>
      </c>
      <c r="P44" s="1027">
        <f>3294-1.16562334330956</f>
        <v>3292.8343766566904</v>
      </c>
      <c r="Q44" s="1027">
        <v>3328.8343766566904</v>
      </c>
      <c r="R44" s="1027">
        <v>3421.8343766566904</v>
      </c>
      <c r="S44" s="1027">
        <v>3330</v>
      </c>
      <c r="T44" s="1027">
        <v>3423</v>
      </c>
      <c r="U44" s="1027">
        <v>3531</v>
      </c>
      <c r="V44" s="1027">
        <v>4176</v>
      </c>
      <c r="W44" s="1027">
        <v>3479</v>
      </c>
      <c r="X44" s="1027">
        <v>3542</v>
      </c>
      <c r="Y44" s="1027">
        <v>3564</v>
      </c>
      <c r="Z44" s="1027">
        <v>3610</v>
      </c>
      <c r="AA44" s="1027">
        <v>3985</v>
      </c>
      <c r="AB44" s="1395">
        <v>4043</v>
      </c>
      <c r="AC44" s="1395">
        <f>3699+108</f>
        <v>3807</v>
      </c>
      <c r="AD44" s="1395">
        <f>3799+110</f>
        <v>3909</v>
      </c>
      <c r="AE44" s="1395">
        <f>4571+152</f>
        <v>4723</v>
      </c>
      <c r="AF44" s="1395">
        <f>4606+152</f>
        <v>4758</v>
      </c>
      <c r="AG44" s="1395">
        <f>4654+153</f>
        <v>4807</v>
      </c>
      <c r="AH44" s="1395">
        <f>4679+154</f>
        <v>4833</v>
      </c>
      <c r="AI44" s="1395">
        <f>156+4705</f>
        <v>4861</v>
      </c>
      <c r="AJ44" s="1016">
        <f>AI44+flow!AJ54</f>
        <v>4861</v>
      </c>
      <c r="AK44" s="1016">
        <f>AJ44+flow!AK54</f>
        <v>4861</v>
      </c>
      <c r="AL44" s="1016">
        <f>AK44+flow!AL54</f>
        <v>4861</v>
      </c>
      <c r="AM44" s="1016">
        <f>AL44+flow!AM54</f>
        <v>4861</v>
      </c>
      <c r="AN44" s="1016">
        <f>AM44+flow!AN54</f>
        <v>4861</v>
      </c>
      <c r="AO44" s="1091"/>
      <c r="AP44" s="1091"/>
    </row>
    <row r="45" spans="1:42">
      <c r="B45" s="398" t="s">
        <v>378</v>
      </c>
      <c r="D45" s="898"/>
      <c r="E45" s="1027">
        <v>3403</v>
      </c>
      <c r="F45" s="1027">
        <v>3413</v>
      </c>
      <c r="G45" s="1027">
        <v>3156</v>
      </c>
      <c r="H45" s="1027">
        <v>3531</v>
      </c>
      <c r="I45" s="1027">
        <v>4093</v>
      </c>
      <c r="J45" s="1027">
        <v>4262</v>
      </c>
      <c r="K45" s="1027">
        <v>4397</v>
      </c>
      <c r="L45" s="1027">
        <v>4110</v>
      </c>
      <c r="M45" s="1027">
        <v>4046</v>
      </c>
      <c r="N45" s="1027">
        <v>3777</v>
      </c>
      <c r="O45" s="1027">
        <v>3516</v>
      </c>
      <c r="P45" s="1027">
        <v>2566</v>
      </c>
      <c r="Q45" s="1027">
        <v>2507</v>
      </c>
      <c r="R45" s="1027">
        <v>2684</v>
      </c>
      <c r="S45" s="1027">
        <v>2574</v>
      </c>
      <c r="T45" s="1027">
        <v>2817</v>
      </c>
      <c r="U45" s="1027">
        <v>1728</v>
      </c>
      <c r="V45" s="1027">
        <v>812</v>
      </c>
      <c r="W45" s="1027">
        <v>512</v>
      </c>
      <c r="X45" s="1027">
        <v>924.38793103448188</v>
      </c>
      <c r="Y45" s="1027">
        <v>1538.5885258300216</v>
      </c>
      <c r="Z45" s="1027">
        <v>1957.0849064751837</v>
      </c>
      <c r="AA45" s="1027">
        <v>2022.66690647518</v>
      </c>
      <c r="AB45" s="1395">
        <v>2219.4579310344816</v>
      </c>
      <c r="AC45" s="1395">
        <v>1412</v>
      </c>
      <c r="AD45" s="1395">
        <v>380</v>
      </c>
      <c r="AE45" s="1395">
        <v>-1008</v>
      </c>
      <c r="AF45" s="1395">
        <v>-1779</v>
      </c>
      <c r="AG45" s="1395">
        <v>-3007</v>
      </c>
      <c r="AH45" s="1395">
        <v>-3006</v>
      </c>
      <c r="AI45" s="1395">
        <v>-3122</v>
      </c>
      <c r="AJ45" s="1016">
        <f>AI45+flow!AJ55+flow!AJ8+flow!AJ10</f>
        <v>-3099.6796640000011</v>
      </c>
      <c r="AK45" s="1016">
        <f>AJ45+flow!AK55+flow!AK8+flow!AK10</f>
        <v>-3114.8808059932562</v>
      </c>
      <c r="AL45" s="1016">
        <f>AK45+flow!AL55+flow!AL8+flow!AL10</f>
        <v>-3145.8426027404398</v>
      </c>
      <c r="AM45" s="1016">
        <f>AL45+flow!AM55+flow!AM8+flow!AM10</f>
        <v>-3272.3705956209355</v>
      </c>
      <c r="AN45" s="1016">
        <f>AM45+flow!AN55+flow!AN8+flow!AN10</f>
        <v>-3526.4848479437824</v>
      </c>
      <c r="AO45" s="1091"/>
      <c r="AP45" s="1091"/>
    </row>
    <row r="46" spans="1:42">
      <c r="B46" s="398" t="s">
        <v>379</v>
      </c>
      <c r="D46" s="898"/>
      <c r="E46" s="1103">
        <v>0</v>
      </c>
      <c r="F46" s="1103">
        <v>0</v>
      </c>
      <c r="G46" s="1103">
        <v>0</v>
      </c>
      <c r="H46" s="1103">
        <v>0</v>
      </c>
      <c r="I46" s="1103">
        <v>0</v>
      </c>
      <c r="J46" s="1103">
        <v>0</v>
      </c>
      <c r="K46" s="1103">
        <v>0</v>
      </c>
      <c r="L46" s="1103">
        <v>0</v>
      </c>
      <c r="M46" s="1103">
        <v>0</v>
      </c>
      <c r="N46" s="1103">
        <v>0</v>
      </c>
      <c r="O46" s="1103">
        <v>0</v>
      </c>
      <c r="P46" s="1095">
        <v>-16</v>
      </c>
      <c r="Q46" s="1103">
        <v>0</v>
      </c>
      <c r="R46" s="1103">
        <v>0</v>
      </c>
      <c r="S46" s="1095">
        <v>-137</v>
      </c>
      <c r="T46" s="1095">
        <v>-203</v>
      </c>
      <c r="U46" s="1095">
        <v>-138</v>
      </c>
      <c r="V46" s="1095">
        <v>-131.63000000000102</v>
      </c>
      <c r="W46" s="1095">
        <v>16.214594795537824</v>
      </c>
      <c r="X46" s="1095">
        <v>-175.91540520446108</v>
      </c>
      <c r="Y46" s="1095">
        <v>208.08399999999892</v>
      </c>
      <c r="Z46" s="1095">
        <v>-1413.8565000000035</v>
      </c>
      <c r="AA46" s="1095">
        <v>-1229.8565000000035</v>
      </c>
      <c r="AB46" s="1398">
        <v>-803.6475245593025</v>
      </c>
      <c r="AC46" s="1398">
        <f>-1209.33--0.00203340150073927</f>
        <v>-1209.3279665984992</v>
      </c>
      <c r="AD46" s="1398">
        <v>-1118</v>
      </c>
      <c r="AE46" s="1398">
        <f>AE47-SUM(AE44:AE45)</f>
        <v>-628</v>
      </c>
      <c r="AF46" s="1398">
        <v>-1065</v>
      </c>
      <c r="AG46" s="1398">
        <v>-491</v>
      </c>
      <c r="AH46" s="1398">
        <v>-473</v>
      </c>
      <c r="AI46" s="1398">
        <v>-360</v>
      </c>
      <c r="AJ46" s="1107">
        <f t="shared" ref="AJ46:AN46" si="23">AI46</f>
        <v>-360</v>
      </c>
      <c r="AK46" s="1107">
        <f t="shared" si="23"/>
        <v>-360</v>
      </c>
      <c r="AL46" s="1107">
        <f t="shared" si="23"/>
        <v>-360</v>
      </c>
      <c r="AM46" s="1107">
        <f t="shared" si="23"/>
        <v>-360</v>
      </c>
      <c r="AN46" s="1107">
        <f t="shared" si="23"/>
        <v>-360</v>
      </c>
      <c r="AO46" s="615"/>
      <c r="AP46" s="615"/>
    </row>
    <row r="47" spans="1:42">
      <c r="C47" s="398" t="s">
        <v>66</v>
      </c>
      <c r="E47" s="1089">
        <f>SUM(E42:E46)</f>
        <v>4353</v>
      </c>
      <c r="F47" s="1089">
        <f t="shared" ref="F47:AB47" si="24">SUM(F42:F46)</f>
        <v>4394</v>
      </c>
      <c r="G47" s="1089">
        <f t="shared" si="24"/>
        <v>4188</v>
      </c>
      <c r="H47" s="1089">
        <f t="shared" si="24"/>
        <v>4705</v>
      </c>
      <c r="I47" s="1089">
        <f t="shared" si="24"/>
        <v>5365</v>
      </c>
      <c r="J47" s="1089">
        <f t="shared" si="24"/>
        <v>5615</v>
      </c>
      <c r="K47" s="1089">
        <f t="shared" si="24"/>
        <v>5884.2</v>
      </c>
      <c r="L47" s="1089">
        <f t="shared" si="24"/>
        <v>5952.2</v>
      </c>
      <c r="M47" s="1089">
        <f t="shared" si="24"/>
        <v>7288.4169999999995</v>
      </c>
      <c r="N47" s="1089">
        <f t="shared" si="24"/>
        <v>7101.0663766566904</v>
      </c>
      <c r="O47" s="1089">
        <f t="shared" si="24"/>
        <v>7226.5943766566925</v>
      </c>
      <c r="P47" s="1089">
        <f t="shared" si="24"/>
        <v>6241.8343766566904</v>
      </c>
      <c r="Q47" s="1089">
        <f t="shared" si="24"/>
        <v>6198.8343766566904</v>
      </c>
      <c r="R47" s="1089">
        <f t="shared" si="24"/>
        <v>6438.8343766566904</v>
      </c>
      <c r="S47" s="1089">
        <f t="shared" si="24"/>
        <v>6130</v>
      </c>
      <c r="T47" s="1089">
        <f t="shared" si="24"/>
        <v>6370</v>
      </c>
      <c r="U47" s="1089">
        <f t="shared" si="24"/>
        <v>5425</v>
      </c>
      <c r="V47" s="1089">
        <f t="shared" si="24"/>
        <v>4856.369999999999</v>
      </c>
      <c r="W47" s="1089">
        <f t="shared" si="24"/>
        <v>4007.2145947955378</v>
      </c>
      <c r="X47" s="1089">
        <f t="shared" si="24"/>
        <v>4290.4725258300205</v>
      </c>
      <c r="Y47" s="1089">
        <f t="shared" si="24"/>
        <v>5310.6725258300203</v>
      </c>
      <c r="Z47" s="1089">
        <f t="shared" si="24"/>
        <v>4153.2284064751802</v>
      </c>
      <c r="AA47" s="1089">
        <f t="shared" si="24"/>
        <v>4777.8104064751769</v>
      </c>
      <c r="AB47" s="1089">
        <f t="shared" si="24"/>
        <v>5458.8104064751788</v>
      </c>
      <c r="AC47" s="1089">
        <f>SUM(AC42:AC46)</f>
        <v>4009.6720334015008</v>
      </c>
      <c r="AD47" s="1089">
        <f>SUM(AD42:AD46)</f>
        <v>3171</v>
      </c>
      <c r="AE47" s="1089">
        <v>3087</v>
      </c>
      <c r="AF47" s="1089">
        <v>1914</v>
      </c>
      <c r="AG47" s="1089">
        <f>SUM(AG44:AG46)</f>
        <v>1309</v>
      </c>
      <c r="AH47" s="1089">
        <f t="shared" ref="AH47:AM47" si="25">SUM(AH42:AH46)</f>
        <v>1354</v>
      </c>
      <c r="AI47" s="1089">
        <f t="shared" si="25"/>
        <v>1379</v>
      </c>
      <c r="AJ47" s="1089">
        <f t="shared" si="25"/>
        <v>1401.3203359999989</v>
      </c>
      <c r="AK47" s="1089">
        <f t="shared" si="25"/>
        <v>1386.1191940067438</v>
      </c>
      <c r="AL47" s="1089">
        <f t="shared" si="25"/>
        <v>1355.1573972595602</v>
      </c>
      <c r="AM47" s="1089">
        <f t="shared" si="25"/>
        <v>1228.6294043790645</v>
      </c>
      <c r="AN47" s="1089">
        <f t="shared" ref="AN47" si="26">SUM(AN42:AN46)</f>
        <v>974.51515205621763</v>
      </c>
      <c r="AO47" s="1089"/>
      <c r="AP47" s="1089"/>
    </row>
    <row r="48" spans="1:42">
      <c r="E48" s="782"/>
      <c r="F48" s="782"/>
      <c r="G48" s="782"/>
      <c r="H48" s="782"/>
      <c r="I48" s="782"/>
      <c r="J48" s="782"/>
      <c r="K48" s="782"/>
      <c r="L48" s="782"/>
      <c r="M48" s="782"/>
      <c r="N48" s="782"/>
      <c r="O48" s="782"/>
      <c r="P48" s="782"/>
      <c r="Q48" s="782"/>
      <c r="R48" s="782"/>
      <c r="S48" s="782"/>
      <c r="T48" s="782"/>
      <c r="U48" s="782"/>
      <c r="V48" s="782"/>
      <c r="W48" s="782"/>
      <c r="X48" s="782"/>
      <c r="Y48" s="782"/>
      <c r="Z48" s="782"/>
      <c r="AA48" s="782"/>
      <c r="AB48" s="782"/>
      <c r="AC48" s="782"/>
      <c r="AD48" s="782"/>
      <c r="AE48" s="782"/>
      <c r="AF48" s="782"/>
      <c r="AG48" s="782"/>
      <c r="AH48" s="782"/>
      <c r="AI48" s="782"/>
      <c r="AJ48" s="782"/>
      <c r="AK48" s="782"/>
      <c r="AL48" s="782"/>
      <c r="AM48" s="782"/>
      <c r="AN48" s="782"/>
      <c r="AO48" s="782"/>
      <c r="AP48" s="782"/>
    </row>
    <row r="49" spans="1:42">
      <c r="A49" s="398" t="s">
        <v>189</v>
      </c>
      <c r="E49" s="1100">
        <f>E47+E39</f>
        <v>12698</v>
      </c>
      <c r="F49" s="1100">
        <f t="shared" ref="F49:AB49" si="27">F47+F39</f>
        <v>12325</v>
      </c>
      <c r="G49" s="1100">
        <f t="shared" si="27"/>
        <v>12444</v>
      </c>
      <c r="H49" s="1100">
        <f t="shared" si="27"/>
        <v>13467</v>
      </c>
      <c r="I49" s="1100">
        <f t="shared" si="27"/>
        <v>14788</v>
      </c>
      <c r="J49" s="1100">
        <f t="shared" si="27"/>
        <v>16202</v>
      </c>
      <c r="K49" s="1100">
        <f t="shared" si="27"/>
        <v>17102.2</v>
      </c>
      <c r="L49" s="1100">
        <f t="shared" si="27"/>
        <v>22088.2</v>
      </c>
      <c r="M49" s="1100">
        <f t="shared" si="27"/>
        <v>23424.417000000001</v>
      </c>
      <c r="N49" s="1100">
        <f t="shared" si="27"/>
        <v>23507.06637665669</v>
      </c>
      <c r="O49" s="1100">
        <f t="shared" si="27"/>
        <v>20886.594376656692</v>
      </c>
      <c r="P49" s="1100">
        <f t="shared" si="27"/>
        <v>19724.83437665669</v>
      </c>
      <c r="Q49" s="1100">
        <f t="shared" si="27"/>
        <v>18117.83437665669</v>
      </c>
      <c r="R49" s="1100">
        <f t="shared" si="27"/>
        <v>17935.83437665669</v>
      </c>
      <c r="S49" s="1100">
        <f t="shared" si="27"/>
        <v>17994</v>
      </c>
      <c r="T49" s="1100">
        <f t="shared" si="27"/>
        <v>17787</v>
      </c>
      <c r="U49" s="1100">
        <f t="shared" si="27"/>
        <v>18300</v>
      </c>
      <c r="V49" s="1100">
        <f t="shared" si="27"/>
        <v>14127.369999999999</v>
      </c>
      <c r="W49" s="1100">
        <f t="shared" si="27"/>
        <v>12461.214594795538</v>
      </c>
      <c r="X49" s="1100">
        <f t="shared" si="27"/>
        <v>12675.47252583002</v>
      </c>
      <c r="Y49" s="1100">
        <f t="shared" si="27"/>
        <v>14307.672525830021</v>
      </c>
      <c r="Z49" s="1100">
        <f t="shared" si="27"/>
        <v>12009.22840647518</v>
      </c>
      <c r="AA49" s="1100">
        <f t="shared" si="27"/>
        <v>12580.810406475177</v>
      </c>
      <c r="AB49" s="1100">
        <f t="shared" si="27"/>
        <v>13040.810406475179</v>
      </c>
      <c r="AC49" s="1100">
        <f t="shared" ref="AC49:AK49" si="28">AC47+AC39</f>
        <v>11423.672033401501</v>
      </c>
      <c r="AD49" s="1100">
        <f t="shared" si="28"/>
        <v>9781</v>
      </c>
      <c r="AE49" s="1100">
        <f t="shared" si="28"/>
        <v>11801</v>
      </c>
      <c r="AF49" s="1100">
        <f t="shared" si="28"/>
        <v>10404</v>
      </c>
      <c r="AG49" s="1100">
        <f t="shared" si="28"/>
        <v>9442</v>
      </c>
      <c r="AH49" s="1100">
        <f t="shared" si="28"/>
        <v>9314</v>
      </c>
      <c r="AI49" s="1100">
        <f t="shared" si="28"/>
        <v>8413</v>
      </c>
      <c r="AJ49" s="1100">
        <f t="shared" si="28"/>
        <v>8247.4651901548896</v>
      </c>
      <c r="AK49" s="1100">
        <f t="shared" si="28"/>
        <v>7988.6630954244938</v>
      </c>
      <c r="AL49" s="1100">
        <f>AL47+AL39</f>
        <v>7714.8061538033598</v>
      </c>
      <c r="AM49" s="1100">
        <f>AM47+AM39</f>
        <v>7858.109532296312</v>
      </c>
      <c r="AN49" s="1100">
        <f>AN47+AN39</f>
        <v>7675.2556310088412</v>
      </c>
      <c r="AO49" s="609"/>
      <c r="AP49" s="609"/>
    </row>
    <row r="50" spans="1:42">
      <c r="E50" s="609"/>
      <c r="F50" s="609"/>
      <c r="G50" s="609"/>
      <c r="H50" s="609"/>
      <c r="I50" s="609"/>
      <c r="J50" s="609"/>
      <c r="K50" s="609"/>
      <c r="L50" s="609"/>
      <c r="M50" s="609"/>
      <c r="N50" s="609"/>
      <c r="O50" s="609"/>
      <c r="P50" s="609"/>
      <c r="Q50" s="609"/>
      <c r="R50" s="609"/>
      <c r="S50" s="609"/>
      <c r="T50" s="609"/>
      <c r="U50" s="609"/>
      <c r="V50" s="609"/>
      <c r="W50" s="609"/>
      <c r="X50" s="609"/>
      <c r="Y50" s="609"/>
      <c r="Z50" s="609"/>
      <c r="AA50" s="609"/>
      <c r="AB50" s="609"/>
      <c r="AC50" s="609"/>
      <c r="AD50" s="609"/>
      <c r="AE50" s="609"/>
      <c r="AF50" s="609"/>
      <c r="AG50" s="609"/>
      <c r="AH50" s="609"/>
      <c r="AI50" s="609"/>
      <c r="AJ50" s="609"/>
      <c r="AK50" s="609"/>
      <c r="AL50" s="609"/>
      <c r="AM50" s="609"/>
      <c r="AN50" s="609"/>
      <c r="AO50" s="609"/>
      <c r="AP50" s="609"/>
    </row>
    <row r="51" spans="1:42" hidden="1" outlineLevel="1">
      <c r="E51" s="398">
        <v>0</v>
      </c>
      <c r="F51" s="398">
        <v>0</v>
      </c>
      <c r="G51" s="398">
        <v>0</v>
      </c>
      <c r="H51" s="398">
        <v>0</v>
      </c>
      <c r="I51" s="398">
        <v>0</v>
      </c>
      <c r="J51" s="398">
        <v>0</v>
      </c>
      <c r="K51" s="398">
        <v>0</v>
      </c>
      <c r="L51" s="398">
        <v>0</v>
      </c>
      <c r="M51" s="398">
        <v>0</v>
      </c>
      <c r="N51" s="398">
        <v>0</v>
      </c>
      <c r="O51" s="398">
        <v>0</v>
      </c>
      <c r="P51" s="398">
        <v>0</v>
      </c>
      <c r="Q51" s="398">
        <v>0</v>
      </c>
      <c r="R51" s="398">
        <v>0</v>
      </c>
      <c r="S51" s="398">
        <v>0</v>
      </c>
      <c r="T51" s="398">
        <v>0</v>
      </c>
      <c r="U51" s="398">
        <v>0</v>
      </c>
      <c r="V51" s="398">
        <v>0</v>
      </c>
      <c r="W51" s="398">
        <v>0</v>
      </c>
      <c r="X51" s="398">
        <v>0</v>
      </c>
      <c r="Y51" s="398">
        <v>0</v>
      </c>
      <c r="Z51" s="398">
        <v>0</v>
      </c>
      <c r="AA51" s="398">
        <v>0</v>
      </c>
      <c r="AB51" s="398">
        <v>0</v>
      </c>
      <c r="AC51" s="398">
        <v>0</v>
      </c>
      <c r="AD51" s="398">
        <v>0</v>
      </c>
      <c r="AE51" s="398">
        <v>0</v>
      </c>
      <c r="AF51" s="398">
        <v>0</v>
      </c>
      <c r="AG51" s="398">
        <v>0</v>
      </c>
      <c r="AH51" s="398">
        <v>0</v>
      </c>
      <c r="AI51" s="398">
        <v>0</v>
      </c>
      <c r="AJ51" s="398">
        <v>0</v>
      </c>
      <c r="AK51" s="398">
        <v>0</v>
      </c>
      <c r="AL51" s="398">
        <v>0</v>
      </c>
      <c r="AM51" s="398">
        <v>0</v>
      </c>
    </row>
    <row r="52" spans="1:42" ht="4.5" customHeight="1" collapsed="1">
      <c r="E52" s="782"/>
      <c r="F52" s="782"/>
      <c r="G52" s="782"/>
      <c r="H52" s="782"/>
      <c r="I52" s="782"/>
      <c r="J52" s="782"/>
      <c r="K52" s="782"/>
      <c r="L52" s="782"/>
      <c r="M52" s="782"/>
      <c r="N52" s="782"/>
      <c r="O52" s="782"/>
      <c r="P52" s="782"/>
      <c r="Q52" s="782"/>
      <c r="R52" s="782"/>
      <c r="S52" s="782"/>
      <c r="T52" s="782"/>
      <c r="U52" s="782"/>
      <c r="V52" s="782"/>
      <c r="W52" s="782"/>
      <c r="X52" s="782"/>
      <c r="Y52" s="782"/>
      <c r="Z52" s="782"/>
      <c r="AA52" s="782"/>
      <c r="AB52" s="782"/>
      <c r="AC52" s="782"/>
      <c r="AD52" s="782"/>
      <c r="AE52" s="782"/>
      <c r="AF52" s="782"/>
      <c r="AG52" s="782"/>
      <c r="AH52" s="782"/>
      <c r="AI52" s="782"/>
      <c r="AJ52" s="782"/>
      <c r="AK52" s="782"/>
      <c r="AL52" s="782"/>
      <c r="AM52" s="782"/>
      <c r="AN52" s="782"/>
      <c r="AO52" s="782"/>
      <c r="AP52" s="782"/>
    </row>
    <row r="53" spans="1:42">
      <c r="A53" s="398" t="s">
        <v>139</v>
      </c>
      <c r="E53" s="782"/>
      <c r="F53" s="782"/>
      <c r="G53" s="782"/>
      <c r="H53" s="782"/>
      <c r="I53" s="782"/>
      <c r="J53" s="782"/>
      <c r="K53" s="782"/>
      <c r="L53" s="782"/>
      <c r="M53" s="782"/>
      <c r="N53" s="782"/>
      <c r="O53" s="782"/>
      <c r="P53" s="782"/>
      <c r="Q53" s="782"/>
      <c r="R53" s="782"/>
      <c r="S53" s="782"/>
      <c r="T53" s="782"/>
      <c r="U53" s="782"/>
      <c r="V53" s="782"/>
      <c r="W53" s="782"/>
      <c r="X53" s="782"/>
      <c r="Y53" s="782"/>
      <c r="Z53" s="782"/>
      <c r="AA53" s="782"/>
      <c r="AB53" s="782"/>
      <c r="AC53" s="782"/>
      <c r="AD53" s="782"/>
      <c r="AE53" s="782"/>
      <c r="AF53" s="782"/>
      <c r="AG53" s="782"/>
      <c r="AH53" s="782"/>
      <c r="AI53" s="782"/>
      <c r="AJ53" s="782"/>
      <c r="AK53" s="782"/>
      <c r="AL53" s="782"/>
      <c r="AM53" s="782"/>
      <c r="AN53" s="782"/>
      <c r="AO53" s="782"/>
      <c r="AP53" s="782"/>
    </row>
    <row r="54" spans="1:42" hidden="1" outlineLevel="1">
      <c r="E54" s="782">
        <f>flow!E52</f>
        <v>-159</v>
      </c>
      <c r="F54" s="782">
        <f>flow!F52</f>
        <v>-225</v>
      </c>
      <c r="G54" s="782">
        <f>flow!G52</f>
        <v>0</v>
      </c>
      <c r="H54" s="782">
        <f>flow!H52</f>
        <v>0</v>
      </c>
      <c r="I54" s="782">
        <f>flow!I52</f>
        <v>0</v>
      </c>
      <c r="J54" s="782">
        <f>flow!J52</f>
        <v>-430</v>
      </c>
      <c r="K54" s="782">
        <f>flow!K52</f>
        <v>-211</v>
      </c>
      <c r="L54" s="782">
        <f>flow!L52</f>
        <v>-298</v>
      </c>
      <c r="M54" s="782">
        <f>flow!M52</f>
        <v>0</v>
      </c>
      <c r="N54" s="782">
        <f>flow!N52</f>
        <v>-181</v>
      </c>
      <c r="O54" s="782">
        <f>flow!O52</f>
        <v>0</v>
      </c>
      <c r="P54" s="766">
        <f>flow!P52</f>
        <v>0</v>
      </c>
      <c r="Q54" s="766">
        <f>flow!Q52</f>
        <v>0</v>
      </c>
      <c r="R54" s="766">
        <f>flow!R52</f>
        <v>0</v>
      </c>
      <c r="S54" s="766">
        <f>flow!S52</f>
        <v>0</v>
      </c>
      <c r="T54" s="766">
        <f>flow!T52</f>
        <v>0</v>
      </c>
      <c r="U54" s="766">
        <f>flow!U52</f>
        <v>0</v>
      </c>
      <c r="V54" s="766">
        <f>flow!V52</f>
        <v>-1901</v>
      </c>
      <c r="W54" s="766">
        <f>flow!W52</f>
        <v>-2252</v>
      </c>
      <c r="X54" s="766">
        <f>flow!X52</f>
        <v>-750</v>
      </c>
      <c r="Y54" s="766">
        <f>flow!Y52</f>
        <v>-400</v>
      </c>
      <c r="Z54" s="766">
        <f>flow!Z52</f>
        <v>0</v>
      </c>
      <c r="AA54" s="766">
        <f>flow!AA52</f>
        <v>0</v>
      </c>
      <c r="AB54" s="766">
        <f>flow!AB52</f>
        <v>0</v>
      </c>
      <c r="AC54" s="766">
        <f>flow!AC52</f>
        <v>-900</v>
      </c>
      <c r="AD54" s="766">
        <f>flow!AD52</f>
        <v>0</v>
      </c>
      <c r="AE54" s="766"/>
      <c r="AF54" s="766">
        <f>flow!AF52</f>
        <v>0</v>
      </c>
      <c r="AG54" s="766">
        <f>flow!AG52</f>
        <v>0</v>
      </c>
      <c r="AH54" s="766">
        <f>flow!AH52</f>
        <v>0</v>
      </c>
      <c r="AI54" s="766">
        <f>flow!AI52</f>
        <v>0</v>
      </c>
      <c r="AJ54" s="766">
        <f>flow!AJ52</f>
        <v>0</v>
      </c>
      <c r="AK54" s="766">
        <f>flow!AK52</f>
        <v>0</v>
      </c>
      <c r="AL54" s="766">
        <f>flow!AL52</f>
        <v>0</v>
      </c>
      <c r="AM54" s="766">
        <f>flow!AM52</f>
        <v>0</v>
      </c>
      <c r="AN54" s="766">
        <f>flow!AN52</f>
        <v>0</v>
      </c>
      <c r="AO54" s="766"/>
      <c r="AP54" s="766"/>
    </row>
    <row r="55" spans="1:42" hidden="1" outlineLevel="1">
      <c r="E55" s="782">
        <f>+flow!E53</f>
        <v>0</v>
      </c>
      <c r="F55" s="782">
        <f>+flow!F53</f>
        <v>0</v>
      </c>
      <c r="G55" s="782">
        <f>+flow!G53</f>
        <v>7</v>
      </c>
      <c r="H55" s="782">
        <f>+flow!H53</f>
        <v>39</v>
      </c>
      <c r="I55" s="782">
        <f>+flow!I53</f>
        <v>37</v>
      </c>
      <c r="J55" s="782">
        <f>+flow!J53</f>
        <v>0</v>
      </c>
      <c r="K55" s="782">
        <f>+flow!K53</f>
        <v>0</v>
      </c>
      <c r="L55" s="782">
        <f>+flow!L53</f>
        <v>0</v>
      </c>
      <c r="M55" s="782">
        <f>+flow!M53</f>
        <v>121</v>
      </c>
      <c r="N55" s="782">
        <f>+flow!N53</f>
        <v>0</v>
      </c>
      <c r="O55" s="782">
        <f>+flow!O53</f>
        <v>62</v>
      </c>
      <c r="P55" s="766">
        <f>+flow!P53</f>
        <v>28</v>
      </c>
      <c r="Q55" s="766">
        <f>+flow!Q53</f>
        <v>30</v>
      </c>
      <c r="R55" s="766">
        <f>+flow!R53</f>
        <v>30</v>
      </c>
      <c r="S55" s="766">
        <f>+flow!S53</f>
        <v>30</v>
      </c>
      <c r="T55" s="766">
        <f>+flow!T53</f>
        <v>30</v>
      </c>
      <c r="U55" s="766">
        <f>+flow!U53</f>
        <v>31</v>
      </c>
      <c r="V55" s="766">
        <f>+flow!V53</f>
        <v>248</v>
      </c>
      <c r="W55" s="766">
        <f>+flow!W53</f>
        <v>205</v>
      </c>
      <c r="X55" s="766">
        <f>+flow!X53</f>
        <v>174</v>
      </c>
      <c r="Y55" s="766">
        <f>+flow!Y53</f>
        <v>62</v>
      </c>
      <c r="Z55" s="766">
        <f>+flow!Z53</f>
        <v>5</v>
      </c>
      <c r="AA55" s="766">
        <f>+flow!AA53</f>
        <v>1</v>
      </c>
      <c r="AB55" s="766">
        <f>+flow!AB53</f>
        <v>8</v>
      </c>
      <c r="AC55" s="766">
        <f>+flow!AC53</f>
        <v>18</v>
      </c>
      <c r="AD55" s="766">
        <f>+flow!AD53</f>
        <v>71</v>
      </c>
      <c r="AE55" s="766"/>
      <c r="AF55" s="766">
        <f>+flow!AF53</f>
        <v>0</v>
      </c>
      <c r="AG55" s="766">
        <f>+flow!AG53</f>
        <v>0</v>
      </c>
      <c r="AH55" s="766">
        <f>+flow!AH53</f>
        <v>2</v>
      </c>
      <c r="AI55" s="766">
        <f>+flow!AI53</f>
        <v>5</v>
      </c>
      <c r="AJ55" s="766">
        <f>+flow!AJ53</f>
        <v>0</v>
      </c>
      <c r="AK55" s="766">
        <f>+flow!AK53</f>
        <v>0</v>
      </c>
      <c r="AL55" s="766">
        <f>+flow!AL53</f>
        <v>0</v>
      </c>
      <c r="AM55" s="766">
        <f>+flow!AM53</f>
        <v>0</v>
      </c>
      <c r="AN55" s="766">
        <f>+flow!AN53</f>
        <v>0</v>
      </c>
      <c r="AO55" s="766"/>
      <c r="AP55" s="766"/>
    </row>
    <row r="56" spans="1:42" collapsed="1">
      <c r="A56" s="1108" t="s">
        <v>56</v>
      </c>
      <c r="B56" s="1108"/>
      <c r="C56" s="1108"/>
      <c r="D56" s="1108"/>
      <c r="E56" s="614">
        <f t="shared" ref="E56:AI56" si="29">E49-E23</f>
        <v>0</v>
      </c>
      <c r="F56" s="614">
        <f t="shared" si="29"/>
        <v>0</v>
      </c>
      <c r="G56" s="614">
        <f t="shared" si="29"/>
        <v>0</v>
      </c>
      <c r="H56" s="614">
        <f t="shared" si="29"/>
        <v>0</v>
      </c>
      <c r="I56" s="614">
        <f t="shared" si="29"/>
        <v>0</v>
      </c>
      <c r="J56" s="614">
        <f t="shared" si="29"/>
        <v>0</v>
      </c>
      <c r="K56" s="614">
        <f t="shared" si="29"/>
        <v>0</v>
      </c>
      <c r="L56" s="614">
        <f t="shared" si="29"/>
        <v>0</v>
      </c>
      <c r="M56" s="614">
        <f t="shared" si="29"/>
        <v>0</v>
      </c>
      <c r="N56" s="614">
        <f t="shared" si="29"/>
        <v>0</v>
      </c>
      <c r="O56" s="614">
        <f t="shared" si="29"/>
        <v>0</v>
      </c>
      <c r="P56" s="614">
        <f t="shared" si="29"/>
        <v>0</v>
      </c>
      <c r="Q56" s="614">
        <f t="shared" si="29"/>
        <v>0</v>
      </c>
      <c r="R56" s="614">
        <f t="shared" si="29"/>
        <v>0</v>
      </c>
      <c r="S56" s="614">
        <f t="shared" si="29"/>
        <v>0</v>
      </c>
      <c r="T56" s="614">
        <f t="shared" si="29"/>
        <v>0</v>
      </c>
      <c r="U56" s="614">
        <f t="shared" si="29"/>
        <v>0</v>
      </c>
      <c r="V56" s="614">
        <f t="shared" si="29"/>
        <v>0</v>
      </c>
      <c r="W56" s="614">
        <f t="shared" si="29"/>
        <v>0</v>
      </c>
      <c r="X56" s="614">
        <f t="shared" si="29"/>
        <v>0</v>
      </c>
      <c r="Y56" s="614">
        <f t="shared" si="29"/>
        <v>0</v>
      </c>
      <c r="Z56" s="614">
        <f t="shared" si="29"/>
        <v>0</v>
      </c>
      <c r="AA56" s="614">
        <f t="shared" si="29"/>
        <v>0.99999999999818101</v>
      </c>
      <c r="AB56" s="614">
        <f t="shared" si="29"/>
        <v>0</v>
      </c>
      <c r="AC56" s="614">
        <f t="shared" si="29"/>
        <v>0</v>
      </c>
      <c r="AD56" s="614">
        <f t="shared" si="29"/>
        <v>0</v>
      </c>
      <c r="AE56" s="614">
        <f t="shared" si="29"/>
        <v>0</v>
      </c>
      <c r="AF56" s="1589">
        <f t="shared" si="29"/>
        <v>0</v>
      </c>
      <c r="AG56" s="1149">
        <f>AG49-AG23</f>
        <v>0</v>
      </c>
      <c r="AH56" s="1589">
        <f t="shared" si="29"/>
        <v>0</v>
      </c>
      <c r="AI56" s="1592">
        <f t="shared" si="29"/>
        <v>0</v>
      </c>
      <c r="AJ56" s="1149">
        <f>AJ49-AJ23</f>
        <v>0</v>
      </c>
      <c r="AK56" s="1149">
        <f>AK49-AK23</f>
        <v>0</v>
      </c>
      <c r="AL56" s="1149">
        <f>AL49-AL23</f>
        <v>0</v>
      </c>
      <c r="AM56" s="674">
        <f>AM49-AM23</f>
        <v>0</v>
      </c>
      <c r="AN56" s="674">
        <f>AN49-AN23</f>
        <v>0</v>
      </c>
      <c r="AO56" s="674"/>
      <c r="AP56" s="674"/>
    </row>
    <row r="57" spans="1:42">
      <c r="E57" s="782"/>
      <c r="F57" s="782"/>
      <c r="G57" s="782"/>
      <c r="H57" s="782"/>
      <c r="I57" s="782"/>
      <c r="J57" s="782"/>
      <c r="K57" s="782"/>
      <c r="L57" s="782"/>
      <c r="M57" s="782"/>
      <c r="N57" s="782"/>
      <c r="O57" s="782"/>
      <c r="P57" s="782"/>
      <c r="Q57" s="782"/>
      <c r="R57" s="782"/>
      <c r="S57" s="782"/>
      <c r="T57" s="782"/>
      <c r="U57" s="782"/>
      <c r="V57" s="782"/>
      <c r="W57" s="782"/>
      <c r="X57" s="782"/>
      <c r="Y57" s="782"/>
      <c r="Z57" s="782"/>
      <c r="AA57" s="782"/>
      <c r="AB57" s="782"/>
      <c r="AC57" s="782"/>
      <c r="AD57" s="782"/>
      <c r="AE57" s="782"/>
      <c r="AF57" s="1590"/>
      <c r="AG57" s="1590"/>
      <c r="AH57" s="1588"/>
      <c r="AI57" s="1591"/>
      <c r="AJ57" s="782"/>
      <c r="AK57" s="782"/>
      <c r="AL57" s="782"/>
      <c r="AM57" s="782"/>
      <c r="AN57" s="782"/>
      <c r="AO57" s="782"/>
      <c r="AP57" s="782"/>
    </row>
    <row r="58" spans="1:42">
      <c r="A58" s="398" t="s">
        <v>209</v>
      </c>
      <c r="E58" s="782"/>
      <c r="F58" s="782"/>
      <c r="G58" s="782"/>
      <c r="H58" s="782"/>
      <c r="I58" s="782"/>
      <c r="J58" s="782"/>
      <c r="K58" s="782"/>
      <c r="L58" s="782"/>
      <c r="M58" s="782"/>
      <c r="N58" s="782"/>
      <c r="O58" s="782"/>
      <c r="P58" s="782"/>
      <c r="Q58" s="782"/>
      <c r="R58" s="782"/>
      <c r="S58" s="782"/>
      <c r="T58" s="782"/>
      <c r="U58" s="782"/>
      <c r="V58" s="782"/>
      <c r="W58" s="782"/>
      <c r="X58" s="782"/>
      <c r="Y58" s="782"/>
      <c r="Z58" s="782"/>
      <c r="AA58" s="782"/>
      <c r="AB58" s="782"/>
      <c r="AC58" s="782"/>
      <c r="AD58" s="779"/>
      <c r="AE58" s="779"/>
      <c r="AF58" s="782"/>
      <c r="AG58" s="782"/>
      <c r="AH58" s="782"/>
      <c r="AI58" s="782"/>
      <c r="AJ58" s="782"/>
      <c r="AK58" s="782"/>
      <c r="AL58" s="782"/>
      <c r="AM58" s="782"/>
      <c r="AN58" s="782"/>
      <c r="AO58" s="782"/>
      <c r="AP58" s="782"/>
    </row>
    <row r="59" spans="1:42">
      <c r="A59" s="1109" t="s">
        <v>426</v>
      </c>
      <c r="B59" s="503"/>
      <c r="C59" s="503"/>
      <c r="D59" s="503"/>
      <c r="E59" s="503"/>
      <c r="F59" s="503"/>
      <c r="G59" s="503"/>
      <c r="H59" s="503"/>
      <c r="I59" s="503"/>
      <c r="J59" s="503"/>
      <c r="K59" s="503"/>
      <c r="L59" s="503"/>
      <c r="M59" s="503"/>
      <c r="N59" s="503"/>
      <c r="O59" s="503"/>
      <c r="P59" s="503"/>
      <c r="Q59" s="503"/>
      <c r="R59" s="503"/>
      <c r="S59" s="503"/>
      <c r="T59" s="503"/>
      <c r="U59" s="503"/>
      <c r="V59" s="503"/>
      <c r="W59" s="503"/>
      <c r="X59" s="503"/>
      <c r="Y59" s="503"/>
      <c r="Z59" s="503"/>
      <c r="AA59" s="503"/>
      <c r="AB59" s="503"/>
      <c r="AC59" s="503"/>
      <c r="AD59" s="503"/>
      <c r="AE59" s="503"/>
      <c r="AF59" s="503"/>
      <c r="AG59" s="503"/>
      <c r="AH59" s="503"/>
      <c r="AI59" s="503"/>
      <c r="AJ59" s="503"/>
      <c r="AK59" s="503"/>
      <c r="AL59" s="503"/>
      <c r="AM59" s="503"/>
      <c r="AN59" s="503"/>
      <c r="AO59" s="503"/>
      <c r="AP59" s="503"/>
    </row>
    <row r="60" spans="1:42">
      <c r="B60" s="1110" t="s">
        <v>170</v>
      </c>
      <c r="E60" s="591">
        <f>E33+E28+E29</f>
        <v>4207</v>
      </c>
      <c r="F60" s="591">
        <f t="shared" ref="F60:AG60" si="30">F33+F28+F29</f>
        <v>4114</v>
      </c>
      <c r="G60" s="591">
        <f t="shared" si="30"/>
        <v>4062</v>
      </c>
      <c r="H60" s="591">
        <f t="shared" si="30"/>
        <v>4078</v>
      </c>
      <c r="I60" s="591">
        <f t="shared" si="30"/>
        <v>4561</v>
      </c>
      <c r="J60" s="591">
        <f t="shared" si="30"/>
        <v>5427</v>
      </c>
      <c r="K60" s="591">
        <f t="shared" si="30"/>
        <v>5589</v>
      </c>
      <c r="L60" s="591">
        <f t="shared" si="30"/>
        <v>8765</v>
      </c>
      <c r="M60" s="591">
        <f t="shared" si="30"/>
        <v>8852</v>
      </c>
      <c r="N60" s="591">
        <f t="shared" si="30"/>
        <v>9505</v>
      </c>
      <c r="O60" s="591">
        <f t="shared" si="30"/>
        <v>6799</v>
      </c>
      <c r="P60" s="591">
        <f t="shared" si="30"/>
        <v>5698</v>
      </c>
      <c r="Q60" s="591">
        <f t="shared" si="30"/>
        <v>6114</v>
      </c>
      <c r="R60" s="591">
        <f t="shared" si="30"/>
        <v>5228</v>
      </c>
      <c r="S60" s="591">
        <f t="shared" si="30"/>
        <v>6060</v>
      </c>
      <c r="T60" s="591">
        <f t="shared" si="30"/>
        <v>5173</v>
      </c>
      <c r="U60" s="591">
        <f t="shared" si="30"/>
        <v>5356</v>
      </c>
      <c r="V60" s="591">
        <f t="shared" si="30"/>
        <v>3923</v>
      </c>
      <c r="W60" s="591">
        <f t="shared" si="30"/>
        <v>3465</v>
      </c>
      <c r="X60" s="591">
        <f t="shared" si="30"/>
        <v>3444</v>
      </c>
      <c r="Y60" s="591">
        <f t="shared" si="30"/>
        <v>3708</v>
      </c>
      <c r="Z60" s="591">
        <f t="shared" si="30"/>
        <v>3505</v>
      </c>
      <c r="AA60" s="591">
        <f t="shared" si="30"/>
        <v>3392</v>
      </c>
      <c r="AB60" s="591">
        <f t="shared" si="30"/>
        <v>3099</v>
      </c>
      <c r="AC60" s="591">
        <f t="shared" si="30"/>
        <v>3102</v>
      </c>
      <c r="AD60" s="591">
        <f>AD33+AD28+AD29</f>
        <v>2982</v>
      </c>
      <c r="AE60" s="591">
        <f>AE33+AE28+AE29</f>
        <v>5601</v>
      </c>
      <c r="AF60" s="591">
        <f t="shared" si="30"/>
        <v>5416</v>
      </c>
      <c r="AG60" s="591">
        <f t="shared" si="30"/>
        <v>4805</v>
      </c>
      <c r="AH60" s="591">
        <f t="shared" ref="AH60:AM60" si="31">AH33+AH28+AH29</f>
        <v>4836</v>
      </c>
      <c r="AI60" s="591">
        <f t="shared" si="31"/>
        <v>4232</v>
      </c>
      <c r="AJ60" s="591">
        <f t="shared" si="31"/>
        <v>4067</v>
      </c>
      <c r="AK60" s="591">
        <f t="shared" si="31"/>
        <v>3867</v>
      </c>
      <c r="AL60" s="591">
        <f t="shared" si="31"/>
        <v>3667</v>
      </c>
      <c r="AM60" s="591">
        <f t="shared" si="31"/>
        <v>3967</v>
      </c>
      <c r="AN60" s="591">
        <f t="shared" ref="AN60" si="32">AN33+AN28+AN29</f>
        <v>4067</v>
      </c>
      <c r="AO60" s="591"/>
      <c r="AP60" s="591"/>
    </row>
    <row r="61" spans="1:42">
      <c r="A61" s="507"/>
      <c r="B61" s="1110" t="s">
        <v>420</v>
      </c>
      <c r="C61" s="507"/>
      <c r="D61" s="507"/>
      <c r="E61" s="591">
        <f t="shared" ref="E61:AC61" si="33">E60-E9</f>
        <v>3799</v>
      </c>
      <c r="F61" s="591">
        <f t="shared" si="33"/>
        <v>3977</v>
      </c>
      <c r="G61" s="591">
        <f t="shared" si="33"/>
        <v>3925</v>
      </c>
      <c r="H61" s="591">
        <f t="shared" si="33"/>
        <v>3652</v>
      </c>
      <c r="I61" s="591">
        <f t="shared" si="33"/>
        <v>4388</v>
      </c>
      <c r="J61" s="591">
        <f t="shared" si="33"/>
        <v>5166</v>
      </c>
      <c r="K61" s="591">
        <f t="shared" si="33"/>
        <v>5415.8</v>
      </c>
      <c r="L61" s="591">
        <f t="shared" si="33"/>
        <v>8633.7999999999993</v>
      </c>
      <c r="M61" s="591">
        <f t="shared" si="33"/>
        <v>8572.5830000000005</v>
      </c>
      <c r="N61" s="591">
        <f t="shared" si="33"/>
        <v>9416.9336233433096</v>
      </c>
      <c r="O61" s="591">
        <f t="shared" si="33"/>
        <v>5615.4056233433093</v>
      </c>
      <c r="P61" s="591">
        <f t="shared" si="33"/>
        <v>4755.1656233433096</v>
      </c>
      <c r="Q61" s="591">
        <f t="shared" si="33"/>
        <v>3205.1656233433096</v>
      </c>
      <c r="R61" s="591">
        <f t="shared" si="33"/>
        <v>2685.1656233433096</v>
      </c>
      <c r="S61" s="591">
        <f t="shared" si="33"/>
        <v>3245</v>
      </c>
      <c r="T61" s="591">
        <f t="shared" si="33"/>
        <v>2719</v>
      </c>
      <c r="U61" s="591">
        <f t="shared" si="33"/>
        <v>2392</v>
      </c>
      <c r="V61" s="591">
        <f t="shared" si="33"/>
        <v>-726.36999999999989</v>
      </c>
      <c r="W61" s="591">
        <f t="shared" si="33"/>
        <v>448.78540520446222</v>
      </c>
      <c r="X61" s="591">
        <f t="shared" si="33"/>
        <v>638.39747416997943</v>
      </c>
      <c r="Y61" s="591">
        <f t="shared" si="33"/>
        <v>1177.3274741699797</v>
      </c>
      <c r="Z61" s="591">
        <f t="shared" si="33"/>
        <v>1154.7715935248207</v>
      </c>
      <c r="AA61" s="591">
        <f t="shared" si="33"/>
        <v>382.18959352482079</v>
      </c>
      <c r="AB61" s="591">
        <f t="shared" si="33"/>
        <v>478.18959352482079</v>
      </c>
      <c r="AC61" s="591">
        <f t="shared" si="33"/>
        <v>1595.3279665984987</v>
      </c>
      <c r="AD61" s="591">
        <f t="shared" ref="AD61:AI61" si="34">AD60-AD9</f>
        <v>2052</v>
      </c>
      <c r="AE61" s="591">
        <f t="shared" si="34"/>
        <v>4086</v>
      </c>
      <c r="AF61" s="591">
        <f t="shared" si="34"/>
        <v>4097.9999665984988</v>
      </c>
      <c r="AG61" s="591">
        <f t="shared" si="34"/>
        <v>3904.9999665984988</v>
      </c>
      <c r="AH61" s="591">
        <f t="shared" si="34"/>
        <v>3948.9999665984988</v>
      </c>
      <c r="AI61" s="591">
        <f t="shared" si="34"/>
        <v>3774.3199665984985</v>
      </c>
      <c r="AJ61" s="591">
        <f>AJ60-AJ9</f>
        <v>3586.2347764436104</v>
      </c>
      <c r="AK61" s="591">
        <f>AK60-AK9</f>
        <v>3515.1491437181157</v>
      </c>
      <c r="AL61" s="591">
        <f>AL60-AL9</f>
        <v>3484.5317258123132</v>
      </c>
      <c r="AM61" s="591">
        <f>AM60-AM9</f>
        <v>3552.8601546528007</v>
      </c>
      <c r="AN61" s="591">
        <f>AN60-AN9</f>
        <v>3774.2004089025527</v>
      </c>
      <c r="AO61" s="591"/>
      <c r="AP61" s="591"/>
    </row>
    <row r="62" spans="1:42">
      <c r="B62" s="1111" t="s">
        <v>421</v>
      </c>
      <c r="E62" s="591">
        <f>E60+E47</f>
        <v>8560</v>
      </c>
      <c r="F62" s="591">
        <f t="shared" ref="F62:AG62" si="35">F60+F47</f>
        <v>8508</v>
      </c>
      <c r="G62" s="591">
        <f t="shared" si="35"/>
        <v>8250</v>
      </c>
      <c r="H62" s="591">
        <f t="shared" si="35"/>
        <v>8783</v>
      </c>
      <c r="I62" s="591">
        <f t="shared" si="35"/>
        <v>9926</v>
      </c>
      <c r="J62" s="591">
        <f t="shared" si="35"/>
        <v>11042</v>
      </c>
      <c r="K62" s="591">
        <f t="shared" si="35"/>
        <v>11473.2</v>
      </c>
      <c r="L62" s="591">
        <f t="shared" si="35"/>
        <v>14717.2</v>
      </c>
      <c r="M62" s="591">
        <f t="shared" si="35"/>
        <v>16140.416999999999</v>
      </c>
      <c r="N62" s="591">
        <f t="shared" si="35"/>
        <v>16606.06637665669</v>
      </c>
      <c r="O62" s="591">
        <f t="shared" si="35"/>
        <v>14025.594376656692</v>
      </c>
      <c r="P62" s="591">
        <f t="shared" si="35"/>
        <v>11939.83437665669</v>
      </c>
      <c r="Q62" s="591">
        <f t="shared" si="35"/>
        <v>12312.83437665669</v>
      </c>
      <c r="R62" s="591">
        <f t="shared" si="35"/>
        <v>11666.83437665669</v>
      </c>
      <c r="S62" s="591">
        <f t="shared" si="35"/>
        <v>12190</v>
      </c>
      <c r="T62" s="591">
        <f t="shared" si="35"/>
        <v>11543</v>
      </c>
      <c r="U62" s="591">
        <f t="shared" si="35"/>
        <v>10781</v>
      </c>
      <c r="V62" s="591">
        <f t="shared" si="35"/>
        <v>8779.369999999999</v>
      </c>
      <c r="W62" s="591">
        <f t="shared" si="35"/>
        <v>7472.2145947955378</v>
      </c>
      <c r="X62" s="591">
        <f t="shared" si="35"/>
        <v>7734.4725258300205</v>
      </c>
      <c r="Y62" s="591">
        <f t="shared" si="35"/>
        <v>9018.6725258300212</v>
      </c>
      <c r="Z62" s="591">
        <f t="shared" si="35"/>
        <v>7658.2284064751802</v>
      </c>
      <c r="AA62" s="591">
        <f t="shared" si="35"/>
        <v>8169.8104064751769</v>
      </c>
      <c r="AB62" s="591">
        <f t="shared" si="35"/>
        <v>8557.8104064751788</v>
      </c>
      <c r="AC62" s="591">
        <f t="shared" si="35"/>
        <v>7111.6720334015008</v>
      </c>
      <c r="AD62" s="591">
        <f t="shared" si="35"/>
        <v>6153</v>
      </c>
      <c r="AE62" s="591">
        <f>AE60+AE47</f>
        <v>8688</v>
      </c>
      <c r="AF62" s="591">
        <f t="shared" si="35"/>
        <v>7330</v>
      </c>
      <c r="AG62" s="591">
        <f t="shared" si="35"/>
        <v>6114</v>
      </c>
      <c r="AH62" s="591">
        <f t="shared" ref="AH62:AM62" si="36">AH60+AH47</f>
        <v>6190</v>
      </c>
      <c r="AI62" s="591">
        <f t="shared" si="36"/>
        <v>5611</v>
      </c>
      <c r="AJ62" s="591">
        <f t="shared" si="36"/>
        <v>5468.3203359999989</v>
      </c>
      <c r="AK62" s="591">
        <f t="shared" si="36"/>
        <v>5253.1191940067438</v>
      </c>
      <c r="AL62" s="591">
        <f t="shared" si="36"/>
        <v>5022.1573972595597</v>
      </c>
      <c r="AM62" s="591">
        <f t="shared" si="36"/>
        <v>5195.629404379064</v>
      </c>
      <c r="AN62" s="591">
        <f t="shared" ref="AN62" si="37">AN60+AN47</f>
        <v>5041.5151520562176</v>
      </c>
      <c r="AO62" s="591"/>
      <c r="AP62" s="591"/>
    </row>
    <row r="63" spans="1:42">
      <c r="B63" s="1111" t="s">
        <v>422</v>
      </c>
      <c r="E63" s="591">
        <f t="shared" ref="E63:AI63" si="38">E23-E9-E34-E35-E26-E30</f>
        <v>8152</v>
      </c>
      <c r="F63" s="591">
        <f t="shared" si="38"/>
        <v>8371</v>
      </c>
      <c r="G63" s="591">
        <f t="shared" si="38"/>
        <v>8113</v>
      </c>
      <c r="H63" s="591">
        <f t="shared" si="38"/>
        <v>8357</v>
      </c>
      <c r="I63" s="591">
        <f t="shared" si="38"/>
        <v>9753</v>
      </c>
      <c r="J63" s="591">
        <f t="shared" si="38"/>
        <v>10781</v>
      </c>
      <c r="K63" s="591">
        <f t="shared" si="38"/>
        <v>11300</v>
      </c>
      <c r="L63" s="591">
        <f t="shared" si="38"/>
        <v>14586</v>
      </c>
      <c r="M63" s="591">
        <f t="shared" si="38"/>
        <v>15861</v>
      </c>
      <c r="N63" s="591">
        <f t="shared" si="38"/>
        <v>16518</v>
      </c>
      <c r="O63" s="591">
        <f t="shared" si="38"/>
        <v>12842.000000000004</v>
      </c>
      <c r="P63" s="591">
        <f t="shared" si="38"/>
        <v>10997</v>
      </c>
      <c r="Q63" s="591">
        <f t="shared" si="38"/>
        <v>9404</v>
      </c>
      <c r="R63" s="591">
        <f t="shared" si="38"/>
        <v>9124</v>
      </c>
      <c r="S63" s="591">
        <f t="shared" si="38"/>
        <v>11140</v>
      </c>
      <c r="T63" s="591">
        <f t="shared" si="38"/>
        <v>11181</v>
      </c>
      <c r="U63" s="591">
        <f t="shared" si="38"/>
        <v>9913</v>
      </c>
      <c r="V63" s="591">
        <f t="shared" si="38"/>
        <v>5906</v>
      </c>
      <c r="W63" s="591">
        <f t="shared" si="38"/>
        <v>6018</v>
      </c>
      <c r="X63" s="591">
        <f t="shared" si="38"/>
        <v>6620.869999999999</v>
      </c>
      <c r="Y63" s="591">
        <f t="shared" si="38"/>
        <v>8151</v>
      </c>
      <c r="Z63" s="591">
        <f t="shared" si="38"/>
        <v>6908</v>
      </c>
      <c r="AA63" s="591">
        <f t="shared" si="38"/>
        <v>6789</v>
      </c>
      <c r="AB63" s="591">
        <f t="shared" si="38"/>
        <v>7451</v>
      </c>
      <c r="AC63" s="591">
        <f t="shared" si="38"/>
        <v>7108</v>
      </c>
      <c r="AD63" s="591">
        <f t="shared" si="38"/>
        <v>6618</v>
      </c>
      <c r="AE63" s="591">
        <f>AE23-AE9-AE34-AE35-AE26-AE30</f>
        <v>8371</v>
      </c>
      <c r="AF63" s="591">
        <f t="shared" si="38"/>
        <v>7199.9999665984978</v>
      </c>
      <c r="AG63" s="591">
        <f t="shared" si="38"/>
        <v>6573.9999665984978</v>
      </c>
      <c r="AH63" s="591">
        <f t="shared" si="38"/>
        <v>6466.9999665984978</v>
      </c>
      <c r="AI63" s="591">
        <f t="shared" si="38"/>
        <v>6272.3199665985003</v>
      </c>
      <c r="AJ63" s="591">
        <f>AJ23-AJ9-AJ34-AJ35-AJ26-AJ30</f>
        <v>6099.6669665984991</v>
      </c>
      <c r="AK63" s="591">
        <f>AK23-AK9-AK34-AK35-AK26-AK30</f>
        <v>5979.3495691426115</v>
      </c>
      <c r="AL63" s="591">
        <f>AL23-AL9-AL34-AL35-AL26-AL30</f>
        <v>5884.349836315675</v>
      </c>
      <c r="AM63" s="591">
        <f>AM23-AM9-AM34-AM35-AM26-AM30</f>
        <v>5805.3615240821146</v>
      </c>
      <c r="AN63" s="591">
        <f>AN23-AN9-AN34-AN35-AN26-AN30</f>
        <v>5753.1339586730646</v>
      </c>
      <c r="AO63" s="591"/>
      <c r="AP63" s="591"/>
    </row>
    <row r="64" spans="1:42">
      <c r="B64" s="1112" t="s">
        <v>423</v>
      </c>
      <c r="E64" s="1113">
        <f t="shared" ref="E64:AF64" si="39">E60/E39</f>
        <v>0.50413421210305576</v>
      </c>
      <c r="F64" s="1113">
        <f t="shared" si="39"/>
        <v>0.51872399445214978</v>
      </c>
      <c r="G64" s="1113">
        <f t="shared" si="39"/>
        <v>0.49200581395348836</v>
      </c>
      <c r="H64" s="1113">
        <f t="shared" si="39"/>
        <v>0.46541885414288975</v>
      </c>
      <c r="I64" s="1113">
        <f t="shared" si="39"/>
        <v>0.48402844104849835</v>
      </c>
      <c r="J64" s="1113">
        <f t="shared" si="39"/>
        <v>0.51260980447718896</v>
      </c>
      <c r="K64" s="1113">
        <f t="shared" si="39"/>
        <v>0.49821715100730968</v>
      </c>
      <c r="L64" s="1113">
        <f t="shared" si="39"/>
        <v>0.54319533961328703</v>
      </c>
      <c r="M64" s="1113">
        <f t="shared" si="39"/>
        <v>0.54858701041150226</v>
      </c>
      <c r="N64" s="1113">
        <f t="shared" si="39"/>
        <v>0.57936120931366575</v>
      </c>
      <c r="O64" s="1113">
        <f t="shared" si="39"/>
        <v>0.49773060029282579</v>
      </c>
      <c r="P64" s="1113">
        <f t="shared" si="39"/>
        <v>0.42260624490098642</v>
      </c>
      <c r="Q64" s="1113">
        <f t="shared" si="39"/>
        <v>0.51296249685376294</v>
      </c>
      <c r="R64" s="1113">
        <f t="shared" si="39"/>
        <v>0.45472732017047923</v>
      </c>
      <c r="S64" s="1113">
        <f t="shared" si="39"/>
        <v>0.51078894133513153</v>
      </c>
      <c r="T64" s="1113">
        <f t="shared" si="39"/>
        <v>0.45309625996321273</v>
      </c>
      <c r="U64" s="1113">
        <f t="shared" si="39"/>
        <v>0.41599999999999998</v>
      </c>
      <c r="V64" s="1113">
        <f t="shared" si="39"/>
        <v>0.42314744903462409</v>
      </c>
      <c r="W64" s="1113">
        <f t="shared" si="39"/>
        <v>0.40986515259048972</v>
      </c>
      <c r="X64" s="1113">
        <f t="shared" si="39"/>
        <v>0.41073345259391769</v>
      </c>
      <c r="Y64" s="1113">
        <f t="shared" si="39"/>
        <v>0.41213737912637544</v>
      </c>
      <c r="Z64" s="1113">
        <f t="shared" si="39"/>
        <v>0.44615580448065173</v>
      </c>
      <c r="AA64" s="1113">
        <f t="shared" si="39"/>
        <v>0.43470460079456619</v>
      </c>
      <c r="AB64" s="1113">
        <f t="shared" si="39"/>
        <v>0.40873120548667896</v>
      </c>
      <c r="AC64" s="1113">
        <f t="shared" si="39"/>
        <v>0.41839762611275966</v>
      </c>
      <c r="AD64" s="1113">
        <f t="shared" si="39"/>
        <v>0.45113464447806356</v>
      </c>
      <c r="AE64" s="1113">
        <f>AE60/AE39</f>
        <v>0.64275877897635991</v>
      </c>
      <c r="AF64" s="1113">
        <f t="shared" si="39"/>
        <v>0.63792697290930511</v>
      </c>
      <c r="AG64" s="1113">
        <f t="shared" ref="AG64:AM64" si="40">AG60/AG39</f>
        <v>0.59080290175826877</v>
      </c>
      <c r="AH64" s="1113">
        <f t="shared" si="40"/>
        <v>0.60753768844221101</v>
      </c>
      <c r="AI64" s="1113">
        <f t="shared" si="40"/>
        <v>0.60164913278362242</v>
      </c>
      <c r="AJ64" s="1113">
        <f t="shared" si="40"/>
        <v>0.59405696003229591</v>
      </c>
      <c r="AK64" s="1113">
        <f t="shared" si="40"/>
        <v>0.58568334534960798</v>
      </c>
      <c r="AL64" s="1113">
        <f t="shared" si="40"/>
        <v>0.57660417113866824</v>
      </c>
      <c r="AM64" s="1113">
        <f t="shared" si="40"/>
        <v>0.59838779564247568</v>
      </c>
      <c r="AN64" s="1113">
        <f t="shared" ref="AN64" si="41">AN60/AN39</f>
        <v>0.6069478459544374</v>
      </c>
      <c r="AO64" s="1113"/>
      <c r="AP64" s="1113"/>
    </row>
    <row r="65" spans="1:42">
      <c r="B65" s="1112" t="s">
        <v>424</v>
      </c>
      <c r="E65" s="1113">
        <f>E60/E62</f>
        <v>0.49147196261682241</v>
      </c>
      <c r="F65" s="1113">
        <f t="shared" ref="F65:AF65" si="42">F60/F62</f>
        <v>0.48354489891866481</v>
      </c>
      <c r="G65" s="1113">
        <f t="shared" si="42"/>
        <v>0.49236363636363634</v>
      </c>
      <c r="H65" s="1113">
        <f t="shared" si="42"/>
        <v>0.46430604577023799</v>
      </c>
      <c r="I65" s="1113">
        <f t="shared" si="42"/>
        <v>0.45950030223655047</v>
      </c>
      <c r="J65" s="1113">
        <f t="shared" si="42"/>
        <v>0.49148704944756383</v>
      </c>
      <c r="K65" s="1113">
        <f t="shared" si="42"/>
        <v>0.48713523689990584</v>
      </c>
      <c r="L65" s="1113">
        <f t="shared" si="42"/>
        <v>0.59556165574973496</v>
      </c>
      <c r="M65" s="1113">
        <f t="shared" si="42"/>
        <v>0.54843688363194087</v>
      </c>
      <c r="N65" s="1113">
        <f t="shared" si="42"/>
        <v>0.5723811879591949</v>
      </c>
      <c r="O65" s="1113">
        <f t="shared" si="42"/>
        <v>0.48475663971259736</v>
      </c>
      <c r="P65" s="1113">
        <f t="shared" si="42"/>
        <v>0.47722605023232445</v>
      </c>
      <c r="Q65" s="1113">
        <f t="shared" si="42"/>
        <v>0.49655504272771167</v>
      </c>
      <c r="R65" s="1113">
        <f t="shared" si="42"/>
        <v>0.44810784410039456</v>
      </c>
      <c r="S65" s="1113">
        <f t="shared" si="42"/>
        <v>0.49712879409351929</v>
      </c>
      <c r="T65" s="1113">
        <f t="shared" si="42"/>
        <v>0.44815039417828989</v>
      </c>
      <c r="U65" s="1113">
        <f t="shared" si="42"/>
        <v>0.49679992579538074</v>
      </c>
      <c r="V65" s="1113">
        <f t="shared" si="42"/>
        <v>0.44684299670705308</v>
      </c>
      <c r="W65" s="1113">
        <f t="shared" si="42"/>
        <v>0.46371794546872391</v>
      </c>
      <c r="X65" s="1113">
        <f t="shared" si="42"/>
        <v>0.44527923378076895</v>
      </c>
      <c r="Y65" s="1113">
        <f t="shared" si="42"/>
        <v>0.41114698303769925</v>
      </c>
      <c r="Z65" s="1113">
        <f t="shared" si="42"/>
        <v>0.45767765258038723</v>
      </c>
      <c r="AA65" s="1113">
        <f t="shared" si="42"/>
        <v>0.41518711343798015</v>
      </c>
      <c r="AB65" s="1113">
        <f t="shared" si="42"/>
        <v>0.36212533963771548</v>
      </c>
      <c r="AC65" s="1113">
        <f t="shared" si="42"/>
        <v>0.43618434391107863</v>
      </c>
      <c r="AD65" s="1113">
        <f t="shared" si="42"/>
        <v>0.48464163822525597</v>
      </c>
      <c r="AE65" s="1113">
        <f>AE60/AE62</f>
        <v>0.64468232044198892</v>
      </c>
      <c r="AF65" s="1113">
        <f t="shared" si="42"/>
        <v>0.73888130968622101</v>
      </c>
      <c r="AG65" s="1113">
        <f t="shared" ref="AG65:AM65" si="43">AG60/AG62</f>
        <v>0.78590121033693161</v>
      </c>
      <c r="AH65" s="1113">
        <f t="shared" si="43"/>
        <v>0.78126009693053311</v>
      </c>
      <c r="AI65" s="1113">
        <f t="shared" si="43"/>
        <v>0.75423275708429871</v>
      </c>
      <c r="AJ65" s="1113">
        <f t="shared" si="43"/>
        <v>0.74373843339524515</v>
      </c>
      <c r="AK65" s="1113">
        <f t="shared" si="43"/>
        <v>0.73613406762440114</v>
      </c>
      <c r="AL65" s="1113">
        <f t="shared" si="43"/>
        <v>0.73016429194373156</v>
      </c>
      <c r="AM65" s="1113">
        <f t="shared" si="43"/>
        <v>0.76352635864607077</v>
      </c>
      <c r="AN65" s="1113">
        <f t="shared" ref="AN65" si="44">AN60/AN62</f>
        <v>0.80670192934781626</v>
      </c>
      <c r="AO65" s="1113"/>
      <c r="AP65" s="1113"/>
    </row>
    <row r="66" spans="1:42">
      <c r="B66" s="1112" t="s">
        <v>425</v>
      </c>
      <c r="E66" s="1113">
        <f>E61/E62</f>
        <v>0.44380841121495329</v>
      </c>
      <c r="F66" s="1113">
        <f t="shared" ref="F66:AG66" si="45">F61/F62</f>
        <v>0.46744240714621532</v>
      </c>
      <c r="G66" s="1113">
        <f t="shared" si="45"/>
        <v>0.47575757575757577</v>
      </c>
      <c r="H66" s="1113">
        <f t="shared" si="45"/>
        <v>0.41580325629056131</v>
      </c>
      <c r="I66" s="1113">
        <f t="shared" si="45"/>
        <v>0.44207132782591174</v>
      </c>
      <c r="J66" s="1113">
        <f t="shared" si="45"/>
        <v>0.4678500271689911</v>
      </c>
      <c r="K66" s="1113">
        <f t="shared" si="45"/>
        <v>0.47203918697486313</v>
      </c>
      <c r="L66" s="1113">
        <f t="shared" si="45"/>
        <v>0.58664691653303613</v>
      </c>
      <c r="M66" s="1113">
        <f t="shared" si="45"/>
        <v>0.53112524911840886</v>
      </c>
      <c r="N66" s="1113">
        <f t="shared" si="45"/>
        <v>0.56707792259464795</v>
      </c>
      <c r="O66" s="1113">
        <f t="shared" si="45"/>
        <v>0.4003684601551884</v>
      </c>
      <c r="P66" s="1113">
        <f t="shared" si="45"/>
        <v>0.39826060172493094</v>
      </c>
      <c r="Q66" s="1113">
        <f t="shared" si="45"/>
        <v>0.26031095077668132</v>
      </c>
      <c r="R66" s="1113">
        <f t="shared" si="45"/>
        <v>0.23015374493666077</v>
      </c>
      <c r="S66" s="1113">
        <f t="shared" si="45"/>
        <v>0.26620180475799837</v>
      </c>
      <c r="T66" s="1113">
        <f t="shared" si="45"/>
        <v>0.23555401542060123</v>
      </c>
      <c r="U66" s="1113">
        <f t="shared" si="45"/>
        <v>0.22187181152026714</v>
      </c>
      <c r="V66" s="1113">
        <f t="shared" si="45"/>
        <v>-8.2736004975300051E-2</v>
      </c>
      <c r="W66" s="1113">
        <f t="shared" si="45"/>
        <v>6.0060561632831737E-2</v>
      </c>
      <c r="X66" s="1113">
        <f t="shared" si="45"/>
        <v>8.2539238718346883E-2</v>
      </c>
      <c r="Y66" s="1113">
        <f t="shared" si="45"/>
        <v>0.1305433222902864</v>
      </c>
      <c r="Z66" s="1113">
        <f t="shared" si="45"/>
        <v>0.15078834584620629</v>
      </c>
      <c r="AA66" s="1113">
        <f t="shared" si="45"/>
        <v>4.6780717606605335E-2</v>
      </c>
      <c r="AB66" s="1113">
        <f t="shared" si="45"/>
        <v>5.5877563396707595E-2</v>
      </c>
      <c r="AC66" s="1113">
        <f t="shared" si="45"/>
        <v>0.22432530059115452</v>
      </c>
      <c r="AD66" s="1113">
        <f t="shared" si="45"/>
        <v>0.33349585568015599</v>
      </c>
      <c r="AE66" s="1113">
        <f>AE61/AE62</f>
        <v>0.47030386740331492</v>
      </c>
      <c r="AF66" s="1113">
        <f t="shared" si="45"/>
        <v>0.55907230103663008</v>
      </c>
      <c r="AG66" s="1113">
        <f t="shared" si="45"/>
        <v>0.63869806454015354</v>
      </c>
      <c r="AH66" s="1113">
        <f t="shared" ref="AH66:AM66" si="46">AH61/AH62</f>
        <v>0.63796445340848118</v>
      </c>
      <c r="AI66" s="1113">
        <f t="shared" si="46"/>
        <v>0.67266440324336096</v>
      </c>
      <c r="AJ66" s="1113">
        <f t="shared" si="46"/>
        <v>0.65582017074495158</v>
      </c>
      <c r="AK66" s="1113">
        <f t="shared" si="46"/>
        <v>0.66915465153132847</v>
      </c>
      <c r="AL66" s="1113">
        <f t="shared" si="46"/>
        <v>0.69383164448683299</v>
      </c>
      <c r="AM66" s="1113">
        <f t="shared" si="46"/>
        <v>0.68381708511741079</v>
      </c>
      <c r="AN66" s="1113">
        <f t="shared" ref="AN66" si="47">AN61/AN62</f>
        <v>0.74862423201549211</v>
      </c>
      <c r="AO66" s="1113"/>
      <c r="AP66" s="1113"/>
    </row>
    <row r="67" spans="1:42">
      <c r="B67" s="1112"/>
      <c r="E67" s="1113"/>
      <c r="F67" s="782"/>
      <c r="G67" s="782"/>
      <c r="H67" s="782"/>
      <c r="I67" s="782"/>
      <c r="J67" s="782"/>
      <c r="K67" s="782"/>
      <c r="L67" s="782"/>
      <c r="M67" s="782"/>
      <c r="N67" s="782"/>
      <c r="O67" s="782"/>
      <c r="P67" s="782"/>
      <c r="Q67" s="782"/>
      <c r="R67" s="782"/>
      <c r="S67" s="782"/>
      <c r="T67" s="782"/>
      <c r="U67" s="782"/>
      <c r="V67" s="782"/>
      <c r="W67" s="782"/>
      <c r="X67" s="782"/>
      <c r="Y67" s="782"/>
      <c r="Z67" s="782"/>
      <c r="AA67" s="782"/>
      <c r="AB67" s="782"/>
      <c r="AC67" s="782"/>
      <c r="AD67" s="782"/>
      <c r="AE67" s="782"/>
      <c r="AF67" s="782"/>
      <c r="AG67" s="782"/>
      <c r="AH67" s="782"/>
      <c r="AI67" s="782"/>
      <c r="AJ67" s="782"/>
      <c r="AK67" s="782"/>
      <c r="AL67" s="782"/>
      <c r="AM67" s="782"/>
      <c r="AN67" s="782"/>
      <c r="AO67" s="782"/>
      <c r="AP67" s="782"/>
    </row>
    <row r="68" spans="1:42">
      <c r="A68" s="1109" t="s">
        <v>427</v>
      </c>
      <c r="B68" s="503"/>
      <c r="C68" s="503"/>
      <c r="D68" s="503"/>
      <c r="E68" s="503"/>
      <c r="F68" s="503"/>
      <c r="G68" s="503"/>
      <c r="H68" s="503"/>
      <c r="I68" s="503"/>
      <c r="J68" s="503"/>
      <c r="K68" s="503"/>
      <c r="L68" s="503"/>
      <c r="M68" s="503"/>
      <c r="N68" s="503"/>
      <c r="O68" s="503"/>
      <c r="P68" s="503"/>
      <c r="Q68" s="503"/>
      <c r="R68" s="503"/>
      <c r="S68" s="503"/>
      <c r="T68" s="503"/>
      <c r="U68" s="503"/>
      <c r="V68" s="503"/>
      <c r="W68" s="503"/>
      <c r="X68" s="503"/>
      <c r="Y68" s="503"/>
      <c r="Z68" s="503"/>
      <c r="AA68" s="503"/>
      <c r="AB68" s="503"/>
      <c r="AC68" s="503"/>
      <c r="AD68" s="503"/>
      <c r="AE68" s="503"/>
      <c r="AF68" s="503"/>
      <c r="AG68" s="503"/>
      <c r="AH68" s="503"/>
      <c r="AI68" s="503"/>
      <c r="AJ68" s="503"/>
      <c r="AK68" s="503"/>
      <c r="AL68" s="503"/>
      <c r="AM68" s="503"/>
      <c r="AN68" s="503"/>
      <c r="AO68" s="503"/>
      <c r="AP68" s="503"/>
    </row>
    <row r="69" spans="1:42" hidden="1" outlineLevel="1">
      <c r="B69" s="398" t="s">
        <v>152</v>
      </c>
      <c r="E69" s="1089">
        <f>'yrP&amp;L'!B7</f>
        <v>16103</v>
      </c>
      <c r="F69" s="1089">
        <f>'yrP&amp;L'!C7</f>
        <v>16365</v>
      </c>
      <c r="G69" s="1089">
        <f>'yrP&amp;L'!D7</f>
        <v>16201</v>
      </c>
      <c r="H69" s="1089">
        <f>'yrP&amp;L'!E7</f>
        <v>18009</v>
      </c>
      <c r="I69" s="1089">
        <f>'yrP&amp;L'!F7</f>
        <v>18983</v>
      </c>
      <c r="J69" s="1089">
        <f>'yrP&amp;L'!G7</f>
        <v>20380</v>
      </c>
      <c r="K69" s="1089">
        <f>'yrP&amp;L'!H7</f>
        <v>20562</v>
      </c>
      <c r="L69" s="1089">
        <f>'yrP&amp;L'!I7</f>
        <v>22652</v>
      </c>
      <c r="M69" s="1089">
        <f>'yrP&amp;L'!J7</f>
        <v>29481.200000000001</v>
      </c>
      <c r="N69" s="1089">
        <f>'yrP&amp;L'!K7</f>
        <v>29438</v>
      </c>
      <c r="O69" s="1089">
        <f>'yrP&amp;L'!L7</f>
        <v>31743</v>
      </c>
      <c r="P69" s="1089">
        <f>'yrP&amp;L'!M7</f>
        <v>31846</v>
      </c>
      <c r="Q69" s="1089">
        <f>'yrP&amp;L'!N7</f>
        <v>32004</v>
      </c>
      <c r="R69" s="1089">
        <f>'yrP&amp;L'!O7</f>
        <v>32347</v>
      </c>
      <c r="S69" s="1089">
        <f>'yrP&amp;L'!P7</f>
        <v>17840</v>
      </c>
      <c r="T69" s="1089">
        <f>'yrP&amp;L'!Q7</f>
        <v>17384</v>
      </c>
      <c r="U69" s="1089">
        <f>'yrP&amp;L'!R7</f>
        <v>17513</v>
      </c>
      <c r="V69" s="1089">
        <f>'yrP&amp;L'!S7</f>
        <v>18096</v>
      </c>
      <c r="W69" s="1089">
        <f>'yrP&amp;L'!T7</f>
        <v>18781.083999999999</v>
      </c>
      <c r="X69" s="1089">
        <f>'yrP&amp;L'!U7</f>
        <v>19905.088</v>
      </c>
      <c r="Y69" s="1089">
        <f>'yrP&amp;L'!V7</f>
        <v>19857</v>
      </c>
      <c r="Z69" s="1089">
        <f>'yrP&amp;L'!W7</f>
        <v>18486.532478705889</v>
      </c>
      <c r="AA69" s="1089">
        <f>'yrP&amp;L'!X7</f>
        <v>17559.479531695368</v>
      </c>
      <c r="AB69" s="1089">
        <f>'yrP&amp;L'!Y7</f>
        <v>17759</v>
      </c>
      <c r="AC69" s="1089">
        <f>'yrP&amp;L'!Z7</f>
        <v>17260</v>
      </c>
      <c r="AD69" s="1089">
        <f>'yrP&amp;L'!AA7</f>
        <v>12985</v>
      </c>
      <c r="AE69" s="1089">
        <f>'yrP&amp;L'!AB7</f>
        <v>11859</v>
      </c>
      <c r="AF69" s="1089">
        <f>'yrP&amp;L'!AC7</f>
        <v>12257</v>
      </c>
      <c r="AG69" s="1089">
        <f>'yrP&amp;L'!AD7</f>
        <v>12625</v>
      </c>
      <c r="AH69" s="1089">
        <f>'yrP&amp;L'!AE7</f>
        <v>12547</v>
      </c>
      <c r="AI69" s="1089">
        <f>'yrP&amp;L'!AF7</f>
        <v>12506</v>
      </c>
      <c r="AJ69" s="1089">
        <f>'yrP&amp;L'!AG7</f>
        <v>12054.056</v>
      </c>
      <c r="AK69" s="1089">
        <f>'yrP&amp;L'!AH7</f>
        <v>11725.464803815385</v>
      </c>
      <c r="AL69" s="1089">
        <f>'yrP&amp;L'!AI7</f>
        <v>11327.560385207391</v>
      </c>
      <c r="AM69" s="1089">
        <f>'yrP&amp;L'!AJ7</f>
        <v>10860.185527968701</v>
      </c>
      <c r="AN69" s="1089">
        <f>'yrP&amp;L'!AK7</f>
        <v>10282.217070467816</v>
      </c>
      <c r="AO69" s="1089"/>
      <c r="AP69" s="1089"/>
    </row>
    <row r="70" spans="1:42" hidden="1" outlineLevel="1">
      <c r="B70" s="398" t="s">
        <v>210</v>
      </c>
      <c r="E70" s="1006">
        <f>'yrP&amp;L'!B11</f>
        <v>10762</v>
      </c>
      <c r="F70" s="1006">
        <f>'yrP&amp;L'!C11</f>
        <v>11172</v>
      </c>
      <c r="G70" s="1006">
        <f>'yrP&amp;L'!D11</f>
        <v>11190</v>
      </c>
      <c r="H70" s="1006">
        <f>'yrP&amp;L'!E11</f>
        <v>12329</v>
      </c>
      <c r="I70" s="1006">
        <f>'yrP&amp;L'!F11</f>
        <v>13033</v>
      </c>
      <c r="J70" s="1006">
        <f>'yrP&amp;L'!G11</f>
        <v>13969</v>
      </c>
      <c r="K70" s="1006">
        <f>'yrP&amp;L'!H11</f>
        <v>14354</v>
      </c>
      <c r="L70" s="1006">
        <f>'yrP&amp;L'!I11</f>
        <v>16072</v>
      </c>
      <c r="M70" s="1006">
        <f>'yrP&amp;L'!J11</f>
        <v>21269.200000000001</v>
      </c>
      <c r="N70" s="1006">
        <f>'yrP&amp;L'!K11</f>
        <v>21532.95262334331</v>
      </c>
      <c r="O70" s="1006">
        <f>'yrP&amp;L'!L11</f>
        <v>22148</v>
      </c>
      <c r="P70" s="1006">
        <f>'yrP&amp;L'!M11</f>
        <v>22766</v>
      </c>
      <c r="Q70" s="1006">
        <f>'yrP&amp;L'!N11</f>
        <v>22751</v>
      </c>
      <c r="R70" s="1006">
        <f>'yrP&amp;L'!O11</f>
        <v>22547</v>
      </c>
      <c r="S70" s="1006">
        <f>'yrP&amp;L'!P11</f>
        <v>11866</v>
      </c>
      <c r="T70" s="1006">
        <f>'yrP&amp;L'!Q11</f>
        <v>11287</v>
      </c>
      <c r="U70" s="1006">
        <f>'yrP&amp;L'!R11</f>
        <v>11237</v>
      </c>
      <c r="V70" s="1006">
        <f>'yrP&amp;L'!S11</f>
        <v>11322</v>
      </c>
      <c r="W70" s="1006">
        <f>'yrP&amp;L'!T11</f>
        <v>11591</v>
      </c>
      <c r="X70" s="1006">
        <f>'yrP&amp;L'!U11</f>
        <v>12094.088</v>
      </c>
      <c r="Y70" s="1006">
        <f>'yrP&amp;L'!V11</f>
        <v>12195.93</v>
      </c>
      <c r="Z70" s="1006">
        <f>'yrP&amp;L'!W11</f>
        <v>11570.472978705891</v>
      </c>
      <c r="AA70" s="1006">
        <f>'yrP&amp;L'!X11</f>
        <v>10649.479531695368</v>
      </c>
      <c r="AB70" s="1006">
        <f>'yrP&amp;L'!Y11</f>
        <v>10799</v>
      </c>
      <c r="AC70" s="1006">
        <f>'yrP&amp;L'!Z11</f>
        <v>10835</v>
      </c>
      <c r="AD70" s="1006">
        <f>'yrP&amp;L'!AA11</f>
        <v>8866</v>
      </c>
      <c r="AE70" s="1006">
        <f>'yrP&amp;L'!AB11</f>
        <v>8367</v>
      </c>
      <c r="AF70" s="1006">
        <f>'yrP&amp;L'!AC11</f>
        <v>7996</v>
      </c>
      <c r="AG70" s="1006">
        <f>'yrP&amp;L'!AD11</f>
        <v>8074</v>
      </c>
      <c r="AH70" s="1006">
        <f>'yrP&amp;L'!AE11</f>
        <v>8071</v>
      </c>
      <c r="AI70" s="1006">
        <f>'yrP&amp;L'!AF11</f>
        <v>8174</v>
      </c>
      <c r="AJ70" s="1006">
        <f>'yrP&amp;L'!AG11</f>
        <v>7801.4506640000018</v>
      </c>
      <c r="AK70" s="1006">
        <f>'yrP&amp;L'!AH11</f>
        <v>7599.2737393527505</v>
      </c>
      <c r="AL70" s="1006">
        <f>'yrP&amp;L'!AI11</f>
        <v>7353.8522020766386</v>
      </c>
      <c r="AM70" s="1006">
        <f>'yrP&amp;L'!AJ11</f>
        <v>7071.0667972604215</v>
      </c>
      <c r="AN70" s="1006">
        <f>'yrP&amp;L'!AK11</f>
        <v>6718.4006338436702</v>
      </c>
      <c r="AO70" s="1006"/>
      <c r="AP70" s="1006"/>
    </row>
    <row r="71" spans="1:42" hidden="1" outlineLevel="1">
      <c r="B71" s="398" t="s">
        <v>211</v>
      </c>
      <c r="E71" s="1006">
        <f>'yrP&amp;L'!B15</f>
        <v>0</v>
      </c>
      <c r="F71" s="1006">
        <f>'yrP&amp;L'!C15</f>
        <v>0</v>
      </c>
      <c r="G71" s="1006">
        <f>'yrP&amp;L'!D15</f>
        <v>0</v>
      </c>
      <c r="H71" s="1006">
        <f>'yrP&amp;L'!E15</f>
        <v>0</v>
      </c>
      <c r="I71" s="1006">
        <f>'yrP&amp;L'!F15</f>
        <v>0</v>
      </c>
      <c r="J71" s="1006">
        <f>'yrP&amp;L'!G15</f>
        <v>0</v>
      </c>
      <c r="K71" s="1006">
        <f>'yrP&amp;L'!H15</f>
        <v>0</v>
      </c>
      <c r="L71" s="1006">
        <f>'yrP&amp;L'!I15</f>
        <v>0</v>
      </c>
      <c r="M71" s="1006">
        <f>'yrP&amp;L'!J15</f>
        <v>0</v>
      </c>
      <c r="N71" s="1006">
        <f>'yrP&amp;L'!K15</f>
        <v>0</v>
      </c>
      <c r="O71" s="1006">
        <f>'yrP&amp;L'!L15</f>
        <v>0</v>
      </c>
      <c r="P71" s="1006">
        <f>'yrP&amp;L'!M15</f>
        <v>0</v>
      </c>
      <c r="Q71" s="1006">
        <f>'yrP&amp;L'!N15</f>
        <v>0</v>
      </c>
      <c r="R71" s="1006">
        <f>'yrP&amp;L'!O15</f>
        <v>0</v>
      </c>
      <c r="S71" s="1006">
        <f>'yrP&amp;L'!P15</f>
        <v>0</v>
      </c>
      <c r="T71" s="1006">
        <f>'yrP&amp;L'!Q15</f>
        <v>5050</v>
      </c>
      <c r="U71" s="1006">
        <f>'yrP&amp;L'!R15</f>
        <v>5139</v>
      </c>
      <c r="V71" s="1006">
        <f>'yrP&amp;L'!S15</f>
        <v>5015</v>
      </c>
      <c r="W71" s="1006">
        <f>'yrP&amp;L'!T15</f>
        <v>5115</v>
      </c>
      <c r="X71" s="1006">
        <f>'yrP&amp;L'!U15</f>
        <v>5470</v>
      </c>
      <c r="Y71" s="1006">
        <f>'yrP&amp;L'!V15</f>
        <v>5402</v>
      </c>
      <c r="Z71" s="1006">
        <f>'yrP&amp;L'!W15</f>
        <v>5395</v>
      </c>
      <c r="AA71" s="1006">
        <f>'yrP&amp;L'!X15</f>
        <v>5382</v>
      </c>
      <c r="AB71" s="1006">
        <f>'yrP&amp;L'!Y15</f>
        <v>5358</v>
      </c>
      <c r="AC71" s="1006">
        <f>'yrP&amp;L'!Z15</f>
        <v>5109</v>
      </c>
      <c r="AD71" s="1006">
        <f>'yrP&amp;L'!AA15</f>
        <v>4506</v>
      </c>
      <c r="AE71" s="1006">
        <f>'yrP&amp;L'!AB15</f>
        <v>4114</v>
      </c>
      <c r="AF71" s="1006">
        <f>'yrP&amp;L'!AC15</f>
        <v>3993</v>
      </c>
      <c r="AG71" s="1006">
        <f>'yrP&amp;L'!AD15</f>
        <v>3775</v>
      </c>
      <c r="AH71" s="1006">
        <f>'yrP&amp;L'!AE15</f>
        <v>3538</v>
      </c>
      <c r="AI71" s="1006">
        <f>'yrP&amp;L'!AF15</f>
        <v>3468</v>
      </c>
      <c r="AJ71" s="1006">
        <f>'yrP&amp;L'!AG15</f>
        <v>3380.2849999999999</v>
      </c>
      <c r="AK71" s="1006">
        <f>'yrP&amp;L'!AH15</f>
        <v>3276.8482789999998</v>
      </c>
      <c r="AL71" s="1006">
        <f>'yrP&amp;L'!AI15</f>
        <v>3175.2659823509998</v>
      </c>
      <c r="AM71" s="1006">
        <f>'yrP&amp;L'!AJ15</f>
        <v>3112.0781893022149</v>
      </c>
      <c r="AN71" s="1006">
        <f>'yrP&amp;L'!AK15</f>
        <v>3052.9487037054728</v>
      </c>
      <c r="AO71" s="1006"/>
      <c r="AP71" s="1006"/>
    </row>
    <row r="72" spans="1:42" hidden="1" outlineLevel="1">
      <c r="B72" s="398" t="s">
        <v>212</v>
      </c>
      <c r="E72" s="1006">
        <f>'yrP&amp;L'!B66</f>
        <v>802</v>
      </c>
      <c r="F72" s="1006">
        <f>'yrP&amp;L'!C66</f>
        <v>577</v>
      </c>
      <c r="G72" s="1006">
        <f>'yrP&amp;L'!D66</f>
        <v>80</v>
      </c>
      <c r="H72" s="1006">
        <f>'yrP&amp;L'!E66</f>
        <v>777</v>
      </c>
      <c r="I72" s="1006">
        <f>'yrP&amp;L'!F66</f>
        <v>940</v>
      </c>
      <c r="J72" s="1006">
        <f>'yrP&amp;L'!G66</f>
        <v>1057</v>
      </c>
      <c r="K72" s="1006">
        <f>'yrP&amp;L'!H66</f>
        <v>838.2</v>
      </c>
      <c r="L72" s="1006">
        <f>'yrP&amp;L'!I66</f>
        <v>565</v>
      </c>
      <c r="M72" s="1006">
        <f>'yrP&amp;L'!J66</f>
        <v>558.21699999999998</v>
      </c>
      <c r="N72" s="1006">
        <f>'yrP&amp;L'!K66</f>
        <v>593.64937665669015</v>
      </c>
      <c r="O72" s="1006">
        <f>'yrP&amp;L'!L66</f>
        <v>163.52799999999999</v>
      </c>
      <c r="P72" s="1006">
        <f>'yrP&amp;L'!M66</f>
        <v>-581.76</v>
      </c>
      <c r="Q72" s="1006">
        <f>'yrP&amp;L'!N66</f>
        <v>122.563</v>
      </c>
      <c r="R72" s="1006">
        <f>'yrP&amp;L'!O66</f>
        <v>409.51600000000002</v>
      </c>
      <c r="S72" s="1006">
        <f>'yrP&amp;L'!P66</f>
        <v>184</v>
      </c>
      <c r="T72" s="1006">
        <f>'yrP&amp;L'!Q66</f>
        <v>282</v>
      </c>
      <c r="U72" s="1006">
        <f>'yrP&amp;L'!R66</f>
        <v>-928</v>
      </c>
      <c r="V72" s="1006">
        <f>'yrP&amp;L'!S66</f>
        <v>524.37</v>
      </c>
      <c r="W72" s="1006">
        <f>'yrP&amp;L'!T66</f>
        <v>1088.8445947955379</v>
      </c>
      <c r="X72" s="1006">
        <f>'yrP&amp;L'!U66</f>
        <v>1155.3879310344828</v>
      </c>
      <c r="Y72" s="1006">
        <f>'yrP&amp;L'!V66</f>
        <v>1107.0699999999997</v>
      </c>
      <c r="Z72" s="1006">
        <f>'yrP&amp;L'!W66</f>
        <v>571.05588064515905</v>
      </c>
      <c r="AA72" s="1006">
        <f>'yrP&amp;L'!X66</f>
        <v>251.58199999999999</v>
      </c>
      <c r="AB72" s="1006">
        <f>'yrP&amp;L'!Y66</f>
        <v>389</v>
      </c>
      <c r="AC72" s="1006">
        <f>'yrP&amp;L'!Z66</f>
        <v>-151.6783730736779</v>
      </c>
      <c r="AD72" s="1006">
        <f>'yrP&amp;L'!AA66</f>
        <v>-985</v>
      </c>
      <c r="AE72" s="1006">
        <f>'yrP&amp;L'!AB66</f>
        <v>-1388</v>
      </c>
      <c r="AF72" s="1006">
        <f>'yrP&amp;L'!AC66</f>
        <v>-771</v>
      </c>
      <c r="AG72" s="1006">
        <f>'yrP&amp;L'!AD66</f>
        <v>-546.75</v>
      </c>
      <c r="AH72" s="1006">
        <f>'yrP&amp;L'!AE66</f>
        <v>24</v>
      </c>
      <c r="AI72" s="1006">
        <f>'yrP&amp;L'!AF66</f>
        <v>-116.32</v>
      </c>
      <c r="AJ72" s="1006">
        <f>'yrP&amp;L'!AG66</f>
        <v>22.320335999998861</v>
      </c>
      <c r="AK72" s="1006">
        <f>'yrP&amp;L'!AH66</f>
        <v>-15.201141993255078</v>
      </c>
      <c r="AL72" s="1006">
        <f>'yrP&amp;L'!AI66</f>
        <v>-30.961796747183598</v>
      </c>
      <c r="AM72" s="1006">
        <f>'yrP&amp;L'!AJ66</f>
        <v>-126.52799288049573</v>
      </c>
      <c r="AN72" s="1006">
        <f>'yrP&amp;L'!AK66</f>
        <v>-254.11425232284682</v>
      </c>
      <c r="AO72" s="1006"/>
      <c r="AP72" s="1006"/>
    </row>
    <row r="73" spans="1:42" collapsed="1"/>
    <row r="74" spans="1:42" hidden="1">
      <c r="E74" s="1114"/>
      <c r="F74" s="1114"/>
      <c r="G74" s="1114"/>
      <c r="H74" s="1114"/>
      <c r="I74" s="1114"/>
      <c r="J74" s="1114"/>
      <c r="K74" s="1114"/>
      <c r="L74" s="1114"/>
      <c r="M74" s="1114"/>
      <c r="N74" s="1114"/>
      <c r="O74" s="1114"/>
      <c r="P74" s="1114"/>
      <c r="Q74" s="1114"/>
      <c r="R74" s="1114"/>
      <c r="S74" s="1114"/>
      <c r="T74" s="1114"/>
      <c r="U74" s="1114"/>
      <c r="V74" s="1114"/>
      <c r="W74" s="1114"/>
      <c r="X74" s="1114"/>
      <c r="Y74" s="1114"/>
      <c r="Z74" s="1114"/>
      <c r="AA74" s="1114"/>
      <c r="AB74" s="1114"/>
      <c r="AC74" s="1114"/>
      <c r="AD74" s="1114"/>
      <c r="AE74" s="1114"/>
      <c r="AF74" s="1114"/>
      <c r="AG74" s="1114"/>
      <c r="AH74" s="1114"/>
      <c r="AI74" s="1114"/>
      <c r="AJ74" s="1114"/>
      <c r="AK74" s="1114"/>
      <c r="AL74" s="1114"/>
      <c r="AM74" s="1114"/>
      <c r="AN74" s="1114"/>
      <c r="AO74" s="1114"/>
      <c r="AP74" s="1114"/>
    </row>
    <row r="75" spans="1:42">
      <c r="B75" s="398" t="s">
        <v>333</v>
      </c>
      <c r="D75" s="1114"/>
      <c r="E75" s="1114">
        <f t="shared" ref="E75:AI75" si="48">E70/E14</f>
        <v>4.1186375813241485</v>
      </c>
      <c r="F75" s="1114">
        <f t="shared" si="48"/>
        <v>4.2047421904403466</v>
      </c>
      <c r="G75" s="1114">
        <f t="shared" si="48"/>
        <v>3.8626164998274075</v>
      </c>
      <c r="H75" s="1114">
        <f t="shared" si="48"/>
        <v>3.7842234499693062</v>
      </c>
      <c r="I75" s="1114">
        <f t="shared" si="48"/>
        <v>3.6764456981664315</v>
      </c>
      <c r="J75" s="1114">
        <f t="shared" si="48"/>
        <v>3.6039731682146541</v>
      </c>
      <c r="K75" s="1114">
        <f t="shared" si="48"/>
        <v>3.6477763659466329</v>
      </c>
      <c r="L75" s="1114">
        <f t="shared" si="48"/>
        <v>2.8088081090527788</v>
      </c>
      <c r="M75" s="1114">
        <f t="shared" si="48"/>
        <v>3.4516715352158389</v>
      </c>
      <c r="N75" s="1114">
        <f t="shared" si="48"/>
        <v>3.5532925121028565</v>
      </c>
      <c r="O75" s="1114">
        <f t="shared" si="48"/>
        <v>3.7242307045569194</v>
      </c>
      <c r="P75" s="1114">
        <f t="shared" si="48"/>
        <v>4.3207439741886509</v>
      </c>
      <c r="Q75" s="1114">
        <f t="shared" si="48"/>
        <v>4.6138714256743052</v>
      </c>
      <c r="R75" s="1114">
        <f t="shared" si="48"/>
        <v>4.5595551061678465</v>
      </c>
      <c r="S75" s="1114">
        <f t="shared" si="48"/>
        <v>4.1002073255010369</v>
      </c>
      <c r="T75" s="1114">
        <f t="shared" si="48"/>
        <v>3.8196277495769881</v>
      </c>
      <c r="U75" s="1114">
        <f t="shared" si="48"/>
        <v>3.5843700159489633</v>
      </c>
      <c r="V75" s="1114">
        <f t="shared" si="48"/>
        <v>3.6034373010821135</v>
      </c>
      <c r="W75" s="1114">
        <f t="shared" si="48"/>
        <v>3.6109034267912774</v>
      </c>
      <c r="X75" s="1114">
        <f t="shared" si="48"/>
        <v>3.5570847058823527</v>
      </c>
      <c r="Y75" s="1114">
        <f t="shared" si="48"/>
        <v>3.3496099972535021</v>
      </c>
      <c r="Z75" s="1114">
        <f t="shared" si="48"/>
        <v>3.5503138934353764</v>
      </c>
      <c r="AA75" s="1114">
        <f t="shared" si="48"/>
        <v>3.5216532842907964</v>
      </c>
      <c r="AB75" s="1114">
        <f t="shared" si="48"/>
        <v>3.3610333022097727</v>
      </c>
      <c r="AC75" s="1114">
        <f t="shared" si="48"/>
        <v>3.7157064471879289</v>
      </c>
      <c r="AD75" s="1114">
        <f t="shared" si="48"/>
        <v>3.7872703972661257</v>
      </c>
      <c r="AE75" s="1114">
        <f>AE70/AE14</f>
        <v>2.8507666098807496</v>
      </c>
      <c r="AF75" s="1114">
        <f t="shared" si="48"/>
        <v>3.0150829562594268</v>
      </c>
      <c r="AG75" s="1114">
        <f t="shared" si="48"/>
        <v>2.9672914369717014</v>
      </c>
      <c r="AH75" s="1114">
        <f t="shared" si="48"/>
        <v>2.8279607568325158</v>
      </c>
      <c r="AI75" s="1114">
        <f t="shared" si="48"/>
        <v>2.9594496741491674</v>
      </c>
      <c r="AJ75" s="1114">
        <f>AJ70/AJ14</f>
        <v>2.853096740028819</v>
      </c>
      <c r="AK75" s="1114">
        <f>AK70/AK14</f>
        <v>2.8072301875212271</v>
      </c>
      <c r="AL75" s="1114">
        <f>AL70/AL14</f>
        <v>2.7440096801997513</v>
      </c>
      <c r="AM75" s="1114">
        <f>AM70/AM14</f>
        <v>2.6651428212737036</v>
      </c>
      <c r="AN75" s="1114">
        <f>AN70/AN14</f>
        <v>2.557798044704731</v>
      </c>
      <c r="AO75" s="1114"/>
      <c r="AP75" s="1114"/>
    </row>
    <row r="76" spans="1:42">
      <c r="B76" s="398" t="s">
        <v>419</v>
      </c>
      <c r="E76" s="1114">
        <f t="shared" ref="E76:AI76" si="49">E70/E26</f>
        <v>5.9988851727982162</v>
      </c>
      <c r="F76" s="1114">
        <f t="shared" si="49"/>
        <v>6.6818181818181817</v>
      </c>
      <c r="G76" s="1114">
        <f t="shared" si="49"/>
        <v>7.1501597444089455</v>
      </c>
      <c r="H76" s="1114">
        <f t="shared" si="49"/>
        <v>6.0495583905789987</v>
      </c>
      <c r="I76" s="1114">
        <f t="shared" si="49"/>
        <v>6.0930341280972415</v>
      </c>
      <c r="J76" s="1114">
        <f t="shared" si="49"/>
        <v>6.1429199648197006</v>
      </c>
      <c r="K76" s="1114">
        <f t="shared" si="49"/>
        <v>5.9708818635607317</v>
      </c>
      <c r="L76" s="1114">
        <f t="shared" si="49"/>
        <v>4.2996254681647939</v>
      </c>
      <c r="M76" s="1114">
        <f t="shared" si="49"/>
        <v>5.2400098546440015</v>
      </c>
      <c r="N76" s="1114">
        <f t="shared" si="49"/>
        <v>6.2541250721299182</v>
      </c>
      <c r="O76" s="1114">
        <f t="shared" si="49"/>
        <v>6.6093703372127726</v>
      </c>
      <c r="P76" s="1114">
        <f t="shared" si="49"/>
        <v>5.8720660304359038</v>
      </c>
      <c r="Q76" s="1114">
        <f t="shared" si="49"/>
        <v>6.5659451659451662</v>
      </c>
      <c r="R76" s="1114">
        <f t="shared" si="49"/>
        <v>5.9475072540226854</v>
      </c>
      <c r="S76" s="1114">
        <f t="shared" si="49"/>
        <v>5.7185542168674699</v>
      </c>
      <c r="T76" s="1114">
        <f t="shared" si="49"/>
        <v>5.1095518334087826</v>
      </c>
      <c r="U76" s="1114">
        <f t="shared" si="49"/>
        <v>4.5716029292107407</v>
      </c>
      <c r="V76" s="1114">
        <f t="shared" si="49"/>
        <v>9.9055118110236222</v>
      </c>
      <c r="W76" s="1114">
        <f t="shared" si="49"/>
        <v>9.8983774551665249</v>
      </c>
      <c r="X76" s="1114">
        <f t="shared" si="49"/>
        <v>8.8536515373352849</v>
      </c>
      <c r="Y76" s="1114">
        <f t="shared" si="49"/>
        <v>8.2852785326086966</v>
      </c>
      <c r="Z76" s="1114">
        <f t="shared" si="49"/>
        <v>9.6905133825007468</v>
      </c>
      <c r="AA76" s="1114">
        <f t="shared" si="49"/>
        <v>8.6863617713665313</v>
      </c>
      <c r="AB76" s="1114">
        <f t="shared" si="49"/>
        <v>9.5313327449249776</v>
      </c>
      <c r="AC76" s="1114">
        <f t="shared" si="49"/>
        <v>10.601761252446185</v>
      </c>
      <c r="AD76" s="1114">
        <f>AD70/AD26</f>
        <v>7.6299483648881239</v>
      </c>
      <c r="AE76" s="1114">
        <f>AE70/AE26</f>
        <v>8.825949367088608</v>
      </c>
      <c r="AF76" s="1114">
        <f t="shared" si="49"/>
        <v>8.0200601805416252</v>
      </c>
      <c r="AG76" s="1114">
        <f t="shared" si="49"/>
        <v>8.7286486486486492</v>
      </c>
      <c r="AH76" s="1114">
        <f t="shared" si="49"/>
        <v>8.2610030706243602</v>
      </c>
      <c r="AI76" s="1114">
        <f t="shared" si="49"/>
        <v>8.4008221993833505</v>
      </c>
      <c r="AJ76" s="1114">
        <f>AJ70/AJ26</f>
        <v>8.1517049715109113</v>
      </c>
      <c r="AK76" s="1114">
        <f>AK70/AK26</f>
        <v>8.0206576786320785</v>
      </c>
      <c r="AL76" s="1114">
        <f>AL70/AL26</f>
        <v>7.8400276577135752</v>
      </c>
      <c r="AM76" s="1114">
        <f>AM70/AM26</f>
        <v>7.6146937750677264</v>
      </c>
      <c r="AN76" s="1114">
        <f>AN70/AN26</f>
        <v>7.3079944134420893</v>
      </c>
      <c r="AO76" s="1114"/>
      <c r="AP76" s="1114"/>
    </row>
    <row r="77" spans="1:42">
      <c r="AD77" s="612"/>
      <c r="AE77" s="612"/>
      <c r="AF77" s="612"/>
      <c r="AG77" s="612"/>
      <c r="AH77" s="612"/>
      <c r="AI77" s="612"/>
      <c r="AJ77" s="612"/>
      <c r="AK77" s="612"/>
      <c r="AL77" s="612"/>
      <c r="AM77" s="612"/>
      <c r="AN77" s="612"/>
      <c r="AO77" s="612"/>
      <c r="AP77" s="612"/>
    </row>
    <row r="78" spans="1:42" hidden="1">
      <c r="B78" s="1115"/>
      <c r="E78" s="1039"/>
      <c r="F78" s="1039"/>
      <c r="G78" s="1039"/>
      <c r="H78" s="1039"/>
      <c r="I78" s="1039"/>
      <c r="J78" s="1039"/>
      <c r="K78" s="1039"/>
      <c r="L78" s="1039"/>
      <c r="M78" s="1039"/>
      <c r="N78" s="1039"/>
      <c r="O78" s="1039"/>
      <c r="P78" s="1039"/>
      <c r="Q78" s="1039"/>
      <c r="R78" s="1039"/>
      <c r="S78" s="1039"/>
      <c r="T78" s="1039"/>
      <c r="U78" s="1039"/>
      <c r="V78" s="1039"/>
      <c r="W78" s="1039"/>
      <c r="X78" s="1039"/>
      <c r="Y78" s="1039"/>
      <c r="Z78" s="1039"/>
      <c r="AA78" s="1039"/>
      <c r="AB78" s="1039"/>
      <c r="AC78" s="1039"/>
      <c r="AD78" s="1039"/>
      <c r="AE78" s="1039"/>
      <c r="AF78" s="1039"/>
      <c r="AG78" s="1039"/>
      <c r="AH78" s="1039"/>
      <c r="AI78" s="1039"/>
      <c r="AJ78" s="1039"/>
      <c r="AK78" s="1039"/>
      <c r="AL78" s="1039"/>
      <c r="AM78" s="1039"/>
      <c r="AN78" s="1039"/>
      <c r="AO78" s="1039"/>
      <c r="AP78" s="1039"/>
    </row>
    <row r="79" spans="1:42">
      <c r="B79" s="1115" t="s">
        <v>428</v>
      </c>
      <c r="E79" s="1039">
        <f t="shared" ref="E79:T79" si="50">365/E75</f>
        <v>88.621538747444717</v>
      </c>
      <c r="F79" s="1039">
        <f t="shared" si="50"/>
        <v>86.806749015395624</v>
      </c>
      <c r="G79" s="1039">
        <f t="shared" si="50"/>
        <v>94.495531724754244</v>
      </c>
      <c r="H79" s="1039">
        <f t="shared" si="50"/>
        <v>96.453078108524622</v>
      </c>
      <c r="I79" s="1039">
        <f t="shared" si="50"/>
        <v>99.280672139952429</v>
      </c>
      <c r="J79" s="1039">
        <f t="shared" si="50"/>
        <v>101.27711360870499</v>
      </c>
      <c r="K79" s="1039">
        <f t="shared" si="50"/>
        <v>100.06095861780688</v>
      </c>
      <c r="L79" s="1039">
        <f t="shared" si="50"/>
        <v>129.94835739173718</v>
      </c>
      <c r="M79" s="1039">
        <f t="shared" si="50"/>
        <v>105.74586726346078</v>
      </c>
      <c r="N79" s="1039">
        <f t="shared" si="50"/>
        <v>102.72163036304353</v>
      </c>
      <c r="O79" s="1039">
        <f t="shared" si="50"/>
        <v>98.006817771356324</v>
      </c>
      <c r="P79" s="1039">
        <f t="shared" si="50"/>
        <v>84.476192567864359</v>
      </c>
      <c r="Q79" s="1039">
        <f t="shared" si="50"/>
        <v>79.109269922201221</v>
      </c>
      <c r="R79" s="1039">
        <f t="shared" si="50"/>
        <v>80.051669845212217</v>
      </c>
      <c r="S79" s="1039">
        <f t="shared" si="50"/>
        <v>89.019888757795371</v>
      </c>
      <c r="T79" s="1039">
        <f t="shared" si="50"/>
        <v>95.559050234783385</v>
      </c>
      <c r="U79" s="1039">
        <f t="shared" ref="U79:AC79" si="51">365/U75</f>
        <v>101.83100471656137</v>
      </c>
      <c r="V79" s="1039">
        <f t="shared" si="51"/>
        <v>101.29217452746865</v>
      </c>
      <c r="W79" s="1039">
        <f t="shared" si="51"/>
        <v>101.08273660598741</v>
      </c>
      <c r="X79" s="1039">
        <f t="shared" si="51"/>
        <v>102.61211924371644</v>
      </c>
      <c r="Y79" s="1039">
        <f t="shared" si="51"/>
        <v>108.96790978629755</v>
      </c>
      <c r="Z79" s="1039">
        <f t="shared" si="51"/>
        <v>102.80781107126741</v>
      </c>
      <c r="AA79" s="1039">
        <f t="shared" si="51"/>
        <v>103.64450175381336</v>
      </c>
      <c r="AB79" s="1039">
        <f t="shared" si="51"/>
        <v>108.59755532919715</v>
      </c>
      <c r="AC79" s="1039">
        <f t="shared" si="51"/>
        <v>98.231656668204892</v>
      </c>
      <c r="AD79" s="1039">
        <f t="shared" ref="AD79:AI79" si="52">365/AD75</f>
        <v>96.375479359350322</v>
      </c>
      <c r="AE79" s="1039">
        <f t="shared" si="52"/>
        <v>128.03573562806264</v>
      </c>
      <c r="AF79" s="1039">
        <f t="shared" si="52"/>
        <v>121.05802901450726</v>
      </c>
      <c r="AG79" s="1039">
        <f t="shared" si="52"/>
        <v>123.00780282387913</v>
      </c>
      <c r="AH79" s="1039">
        <f>365/AH75</f>
        <v>129.06826911163424</v>
      </c>
      <c r="AI79" s="1039">
        <f t="shared" si="52"/>
        <v>123.3337411304135</v>
      </c>
      <c r="AJ79" s="1039">
        <f t="shared" ref="AJ79:AM80" si="53">365/AJ75</f>
        <v>127.9311685717019</v>
      </c>
      <c r="AK79" s="1039">
        <f t="shared" si="53"/>
        <v>130.02140031925686</v>
      </c>
      <c r="AL79" s="1039">
        <f t="shared" si="53"/>
        <v>133.01702345796014</v>
      </c>
      <c r="AM79" s="1039">
        <f t="shared" si="53"/>
        <v>136.95326084834812</v>
      </c>
      <c r="AN79" s="1039">
        <f t="shared" ref="AN79" si="54">365/AN75</f>
        <v>142.70086755114988</v>
      </c>
      <c r="AO79" s="1039"/>
      <c r="AP79" s="1039"/>
    </row>
    <row r="80" spans="1:42">
      <c r="A80" s="507"/>
      <c r="B80" s="1116" t="s">
        <v>429</v>
      </c>
      <c r="C80" s="1117"/>
      <c r="D80" s="507"/>
      <c r="E80" s="1039">
        <f>365/E76</f>
        <v>60.844638543021745</v>
      </c>
      <c r="F80" s="1039">
        <f t="shared" ref="F80:AC80" si="55">365/F76</f>
        <v>54.625850340136054</v>
      </c>
      <c r="G80" s="1039">
        <f t="shared" si="55"/>
        <v>51.047810545129579</v>
      </c>
      <c r="H80" s="1039">
        <f t="shared" si="55"/>
        <v>60.334982561440512</v>
      </c>
      <c r="I80" s="1039">
        <f t="shared" si="55"/>
        <v>59.904473260185682</v>
      </c>
      <c r="J80" s="1039">
        <f t="shared" si="55"/>
        <v>59.417996993342406</v>
      </c>
      <c r="K80" s="1039">
        <f t="shared" si="55"/>
        <v>61.129998606660166</v>
      </c>
      <c r="L80" s="1039">
        <f t="shared" si="55"/>
        <v>84.891114982578401</v>
      </c>
      <c r="M80" s="1039">
        <f t="shared" si="55"/>
        <v>69.656357549884333</v>
      </c>
      <c r="N80" s="1039">
        <f t="shared" si="55"/>
        <v>58.361480749168138</v>
      </c>
      <c r="O80" s="1039">
        <f t="shared" si="55"/>
        <v>55.224625248329417</v>
      </c>
      <c r="P80" s="1039">
        <f t="shared" si="55"/>
        <v>62.158701572520428</v>
      </c>
      <c r="Q80" s="1039">
        <f t="shared" si="55"/>
        <v>55.589864181794205</v>
      </c>
      <c r="R80" s="1039">
        <f t="shared" si="55"/>
        <v>61.370248813589392</v>
      </c>
      <c r="S80" s="1039">
        <f t="shared" si="55"/>
        <v>63.827321759649415</v>
      </c>
      <c r="T80" s="1039">
        <f t="shared" si="55"/>
        <v>71.434836537609641</v>
      </c>
      <c r="U80" s="1039">
        <f t="shared" si="55"/>
        <v>79.840704814452252</v>
      </c>
      <c r="V80" s="1039">
        <f t="shared" si="55"/>
        <v>36.848171701112875</v>
      </c>
      <c r="W80" s="1039">
        <f t="shared" si="55"/>
        <v>36.874730394271417</v>
      </c>
      <c r="X80" s="1039">
        <f t="shared" si="55"/>
        <v>41.225927907916663</v>
      </c>
      <c r="Y80" s="1039">
        <f t="shared" si="55"/>
        <v>44.054040979244711</v>
      </c>
      <c r="Z80" s="1039">
        <f t="shared" si="55"/>
        <v>37.665703104968792</v>
      </c>
      <c r="AA80" s="1039">
        <f t="shared" si="55"/>
        <v>42.019893898867451</v>
      </c>
      <c r="AB80" s="1039">
        <f t="shared" si="55"/>
        <v>38.294749513843875</v>
      </c>
      <c r="AC80" s="1039">
        <f t="shared" si="55"/>
        <v>34.428241808952464</v>
      </c>
      <c r="AD80" s="1039">
        <f t="shared" ref="AD80:AI80" si="56">365/AD76</f>
        <v>47.837807353936384</v>
      </c>
      <c r="AE80" s="1039">
        <f>365/AE76</f>
        <v>41.355324489064181</v>
      </c>
      <c r="AF80" s="1039">
        <f t="shared" si="56"/>
        <v>45.510880440220106</v>
      </c>
      <c r="AG80" s="1039">
        <f t="shared" si="56"/>
        <v>41.8163240029725</v>
      </c>
      <c r="AH80" s="1039">
        <f>365/AH76</f>
        <v>44.183496468839053</v>
      </c>
      <c r="AI80" s="1039">
        <f t="shared" si="56"/>
        <v>43.448128211402008</v>
      </c>
      <c r="AJ80" s="1039">
        <f t="shared" si="53"/>
        <v>44.775909000095666</v>
      </c>
      <c r="AK80" s="1039">
        <f t="shared" si="53"/>
        <v>45.507490111739898</v>
      </c>
      <c r="AL80" s="1039">
        <f t="shared" si="53"/>
        <v>46.555958210286043</v>
      </c>
      <c r="AM80" s="1039">
        <f t="shared" si="53"/>
        <v>47.933641296921834</v>
      </c>
      <c r="AN80" s="1039">
        <f t="shared" ref="AN80" si="57">365/AN76</f>
        <v>49.945303642902459</v>
      </c>
      <c r="AO80" s="1039"/>
      <c r="AP80" s="1039"/>
    </row>
    <row r="81" spans="1:42">
      <c r="A81" s="507"/>
      <c r="B81" s="1116" t="s">
        <v>542</v>
      </c>
      <c r="C81" s="1117"/>
      <c r="D81" s="507"/>
      <c r="E81" s="1039"/>
      <c r="F81" s="1039"/>
      <c r="G81" s="1039"/>
      <c r="H81" s="1039"/>
      <c r="I81" s="1039"/>
      <c r="J81" s="1039"/>
      <c r="K81" s="1039"/>
      <c r="L81" s="1039"/>
      <c r="M81" s="1039"/>
      <c r="N81" s="1039"/>
      <c r="O81" s="1039"/>
      <c r="P81" s="1039"/>
      <c r="Q81" s="1039"/>
      <c r="R81" s="1039"/>
      <c r="S81" s="1039"/>
      <c r="T81" s="1039"/>
      <c r="U81" s="1039"/>
      <c r="V81" s="1039">
        <f t="shared" ref="V81:AG81" si="58">365/(V71/V27)</f>
        <v>118.41575274177468</v>
      </c>
      <c r="W81" s="1039">
        <f t="shared" si="58"/>
        <v>111.46236559139786</v>
      </c>
      <c r="X81" s="1039">
        <f t="shared" si="58"/>
        <v>112.90310786106033</v>
      </c>
      <c r="Y81" s="1039">
        <f t="shared" si="58"/>
        <v>112.36486486486486</v>
      </c>
      <c r="Z81" s="1039">
        <f t="shared" si="58"/>
        <v>108.24837812789619</v>
      </c>
      <c r="AA81" s="1039">
        <f t="shared" si="58"/>
        <v>110.54440728353772</v>
      </c>
      <c r="AB81" s="1039">
        <f t="shared" si="58"/>
        <v>103.13736468831652</v>
      </c>
      <c r="AC81" s="1039">
        <f t="shared" si="58"/>
        <v>107.37815619495009</v>
      </c>
      <c r="AD81" s="1039">
        <f t="shared" si="58"/>
        <v>112.99933422103862</v>
      </c>
      <c r="AE81" s="1039">
        <f>365/(AE71/AE27)</f>
        <v>106.28828390860477</v>
      </c>
      <c r="AF81" s="1039">
        <f t="shared" si="58"/>
        <v>108.59504132231405</v>
      </c>
      <c r="AG81" s="1039">
        <f t="shared" si="58"/>
        <v>131.49668874172184</v>
      </c>
      <c r="AH81" s="1039">
        <f>365/(AH71/AH27)</f>
        <v>120.08479366873941</v>
      </c>
      <c r="AI81" s="1402">
        <f t="shared" ref="AI81:AN81" si="59">AH81</f>
        <v>120.08479366873941</v>
      </c>
      <c r="AJ81" s="1402">
        <f t="shared" si="59"/>
        <v>120.08479366873941</v>
      </c>
      <c r="AK81" s="1402">
        <f t="shared" si="59"/>
        <v>120.08479366873941</v>
      </c>
      <c r="AL81" s="1402">
        <f t="shared" si="59"/>
        <v>120.08479366873941</v>
      </c>
      <c r="AM81" s="1402">
        <f t="shared" si="59"/>
        <v>120.08479366873941</v>
      </c>
      <c r="AN81" s="1402">
        <f t="shared" si="59"/>
        <v>120.08479366873941</v>
      </c>
      <c r="AO81" s="1040"/>
      <c r="AP81" s="1040"/>
    </row>
    <row r="82" spans="1:42">
      <c r="AD82" s="612"/>
      <c r="AE82" s="612"/>
      <c r="AF82" s="612"/>
      <c r="AG82" s="612"/>
      <c r="AH82" s="612"/>
      <c r="AI82" s="612"/>
      <c r="AJ82" s="612"/>
      <c r="AK82" s="612"/>
      <c r="AL82" s="612"/>
      <c r="AM82" s="612"/>
      <c r="AN82" s="612"/>
      <c r="AO82" s="612"/>
      <c r="AP82" s="612"/>
    </row>
    <row r="83" spans="1:42">
      <c r="B83" s="398" t="s">
        <v>539</v>
      </c>
      <c r="E83" s="678">
        <f t="shared" ref="E83:AI83" si="60">E26/E14</f>
        <v>0.68656716417910446</v>
      </c>
      <c r="F83" s="678">
        <f t="shared" si="60"/>
        <v>0.62928114414753478</v>
      </c>
      <c r="G83" s="678">
        <f t="shared" si="60"/>
        <v>0.5402140144977563</v>
      </c>
      <c r="H83" s="678">
        <f t="shared" si="60"/>
        <v>0.625537139349294</v>
      </c>
      <c r="I83" s="678">
        <f t="shared" si="60"/>
        <v>0.60338504936530324</v>
      </c>
      <c r="J83" s="678">
        <f t="shared" si="60"/>
        <v>0.58668730650154799</v>
      </c>
      <c r="K83" s="678">
        <f t="shared" si="60"/>
        <v>0.61092757306226175</v>
      </c>
      <c r="L83" s="678">
        <f t="shared" si="60"/>
        <v>0.65326808808109049</v>
      </c>
      <c r="M83" s="678">
        <f t="shared" si="60"/>
        <v>0.65871470301850044</v>
      </c>
      <c r="N83" s="678">
        <f t="shared" si="60"/>
        <v>0.56815181518151814</v>
      </c>
      <c r="O83" s="678">
        <f t="shared" si="60"/>
        <v>0.56347738355473342</v>
      </c>
      <c r="P83" s="678">
        <f t="shared" si="60"/>
        <v>0.73581324729550202</v>
      </c>
      <c r="Q83" s="678">
        <f t="shared" si="60"/>
        <v>0.7026972216588927</v>
      </c>
      <c r="R83" s="678">
        <f t="shared" si="60"/>
        <v>0.76663296258847324</v>
      </c>
      <c r="S83" s="678">
        <f t="shared" si="60"/>
        <v>0.71700069108500342</v>
      </c>
      <c r="T83" s="678">
        <f t="shared" si="60"/>
        <v>0.74754653130287652</v>
      </c>
      <c r="U83" s="678">
        <f t="shared" si="60"/>
        <v>0.78405103668261567</v>
      </c>
      <c r="V83" s="678">
        <f t="shared" si="60"/>
        <v>0.36378103119032462</v>
      </c>
      <c r="W83" s="678">
        <f t="shared" si="60"/>
        <v>0.364797507788162</v>
      </c>
      <c r="X83" s="678">
        <f t="shared" si="60"/>
        <v>0.40176470588235297</v>
      </c>
      <c r="Y83" s="678">
        <f t="shared" si="60"/>
        <v>0.40428453721505081</v>
      </c>
      <c r="Z83" s="678">
        <f t="shared" si="60"/>
        <v>0.36637005216324026</v>
      </c>
      <c r="AA83" s="678">
        <f t="shared" si="60"/>
        <v>0.40542328042328041</v>
      </c>
      <c r="AB83" s="678">
        <f t="shared" si="60"/>
        <v>0.35262994086523497</v>
      </c>
      <c r="AC83" s="678">
        <f t="shared" si="60"/>
        <v>0.35048010973936899</v>
      </c>
      <c r="AD83" s="678">
        <f t="shared" si="60"/>
        <v>0.49636907304570699</v>
      </c>
      <c r="AE83" s="678">
        <f t="shared" si="60"/>
        <v>0.32299829642248723</v>
      </c>
      <c r="AF83" s="678">
        <f t="shared" si="60"/>
        <v>0.37594268476621417</v>
      </c>
      <c r="AG83" s="678">
        <f t="shared" si="60"/>
        <v>0.33994854832782068</v>
      </c>
      <c r="AH83" s="678">
        <f>AH26/AH14</f>
        <v>0.34232655921513666</v>
      </c>
      <c r="AI83" s="678">
        <f t="shared" si="60"/>
        <v>0.35228095582910934</v>
      </c>
      <c r="AJ83" s="678">
        <f>AJ26/AJ14</f>
        <v>0.35</v>
      </c>
      <c r="AK83" s="678">
        <f>AK26/AK14</f>
        <v>0.35</v>
      </c>
      <c r="AL83" s="678">
        <f>AL26/AL14</f>
        <v>0.35</v>
      </c>
      <c r="AM83" s="678">
        <f>AM26/AM14</f>
        <v>0.35</v>
      </c>
      <c r="AN83" s="678">
        <f>AN26/AN14</f>
        <v>0.35</v>
      </c>
      <c r="AO83" s="678"/>
      <c r="AP83" s="678"/>
    </row>
    <row r="84" spans="1:42">
      <c r="B84" s="398" t="s">
        <v>540</v>
      </c>
      <c r="V84" s="709">
        <f t="shared" ref="V84:AF84" si="61">V26/V14</f>
        <v>0.36378103119032462</v>
      </c>
      <c r="W84" s="709">
        <f t="shared" si="61"/>
        <v>0.364797507788162</v>
      </c>
      <c r="X84" s="709">
        <f t="shared" si="61"/>
        <v>0.40176470588235297</v>
      </c>
      <c r="Y84" s="709">
        <f t="shared" si="61"/>
        <v>0.40428453721505081</v>
      </c>
      <c r="Z84" s="709">
        <f t="shared" si="61"/>
        <v>0.36637005216324026</v>
      </c>
      <c r="AA84" s="709">
        <f t="shared" si="61"/>
        <v>0.40542328042328041</v>
      </c>
      <c r="AB84" s="709">
        <f t="shared" si="61"/>
        <v>0.35262994086523497</v>
      </c>
      <c r="AC84" s="709">
        <f t="shared" si="61"/>
        <v>0.35048010973936899</v>
      </c>
      <c r="AD84" s="709">
        <f t="shared" si="61"/>
        <v>0.49636907304570699</v>
      </c>
      <c r="AE84" s="709">
        <f>AE26/AE14</f>
        <v>0.32299829642248723</v>
      </c>
      <c r="AF84" s="709">
        <f t="shared" si="61"/>
        <v>0.37594268476621417</v>
      </c>
      <c r="AG84" s="709">
        <f>AG26/AG14</f>
        <v>0.33994854832782068</v>
      </c>
      <c r="AH84" s="709">
        <f>AH26/AH14</f>
        <v>0.34232655921513666</v>
      </c>
      <c r="AI84" s="1403">
        <v>0.34</v>
      </c>
      <c r="AJ84" s="1403">
        <v>0.35</v>
      </c>
      <c r="AK84" s="1403">
        <f>AJ84</f>
        <v>0.35</v>
      </c>
      <c r="AL84" s="1403">
        <f>AK84</f>
        <v>0.35</v>
      </c>
      <c r="AM84" s="1403">
        <f>AL84</f>
        <v>0.35</v>
      </c>
      <c r="AN84" s="1403">
        <f>AM84</f>
        <v>0.35</v>
      </c>
      <c r="AO84" s="1118"/>
      <c r="AP84" s="1118"/>
    </row>
    <row r="85" spans="1:42">
      <c r="A85" s="507"/>
      <c r="B85" s="1116" t="s">
        <v>595</v>
      </c>
      <c r="C85" s="1117"/>
      <c r="D85" s="507"/>
      <c r="E85" s="1039"/>
      <c r="F85" s="1039"/>
      <c r="G85" s="1039"/>
      <c r="H85" s="1039"/>
      <c r="I85" s="1039"/>
      <c r="J85" s="1039"/>
      <c r="K85" s="1039"/>
      <c r="L85" s="1039"/>
      <c r="M85" s="1039"/>
      <c r="N85" s="1039"/>
      <c r="O85" s="1039"/>
      <c r="P85" s="1039"/>
      <c r="Q85" s="1039"/>
      <c r="R85" s="1039"/>
      <c r="S85" s="1039"/>
      <c r="T85" s="1039"/>
      <c r="U85" s="1039"/>
      <c r="V85" s="1039"/>
      <c r="W85" s="1039"/>
      <c r="X85" s="709">
        <f t="shared" ref="X85:AD85" si="62">X27/X71</f>
        <v>0.30932358318098718</v>
      </c>
      <c r="Y85" s="709">
        <f t="shared" si="62"/>
        <v>0.30784894483524622</v>
      </c>
      <c r="Z85" s="709">
        <f t="shared" si="62"/>
        <v>0.29657089898053751</v>
      </c>
      <c r="AA85" s="709">
        <f t="shared" si="62"/>
        <v>0.30286138981791155</v>
      </c>
      <c r="AB85" s="709">
        <f t="shared" si="62"/>
        <v>0.28256812243374391</v>
      </c>
      <c r="AC85" s="709">
        <f t="shared" si="62"/>
        <v>0.29418672930123313</v>
      </c>
      <c r="AD85" s="709">
        <f t="shared" si="62"/>
        <v>0.30958721704394143</v>
      </c>
      <c r="AE85" s="709">
        <f t="shared" ref="AE85:AJ85" si="63">AE27/AE71</f>
        <v>0.29120077783179388</v>
      </c>
      <c r="AF85" s="709">
        <f t="shared" si="63"/>
        <v>0.2975206611570248</v>
      </c>
      <c r="AG85" s="709">
        <f t="shared" si="63"/>
        <v>0.36026490066225164</v>
      </c>
      <c r="AH85" s="709">
        <f>AH27/AH71</f>
        <v>0.32899943470887505</v>
      </c>
      <c r="AI85" s="709">
        <f t="shared" si="63"/>
        <v>0.3226643598615917</v>
      </c>
      <c r="AJ85" s="709">
        <f t="shared" si="63"/>
        <v>0.32899943470887505</v>
      </c>
      <c r="AK85" s="709">
        <f>AK27/AK71</f>
        <v>0.3289994347088751</v>
      </c>
      <c r="AL85" s="709">
        <f>AL27/AL71</f>
        <v>0.32899943470887516</v>
      </c>
      <c r="AM85" s="709">
        <f>AM27/AM71</f>
        <v>0.3289994347088751</v>
      </c>
      <c r="AN85" s="709">
        <f>AN27/AN71</f>
        <v>0.3289994347088751</v>
      </c>
      <c r="AO85" s="709"/>
      <c r="AP85" s="709"/>
    </row>
    <row r="86" spans="1:42">
      <c r="V86" s="709"/>
      <c r="W86" s="709"/>
      <c r="X86" s="709"/>
      <c r="Y86" s="709"/>
      <c r="Z86" s="709"/>
      <c r="AA86" s="709"/>
      <c r="AB86" s="709"/>
      <c r="AC86" s="709"/>
      <c r="AD86" s="709"/>
      <c r="AE86" s="709"/>
      <c r="AF86" s="709"/>
      <c r="AG86" s="709"/>
      <c r="AH86" s="709"/>
      <c r="AI86" s="709"/>
      <c r="AJ86" s="709"/>
      <c r="AK86" s="709"/>
      <c r="AL86" s="709"/>
      <c r="AM86" s="709"/>
      <c r="AN86" s="709"/>
      <c r="AO86" s="709"/>
      <c r="AP86" s="709"/>
    </row>
    <row r="87" spans="1:42">
      <c r="B87" s="398" t="s">
        <v>484</v>
      </c>
      <c r="E87" s="678"/>
      <c r="F87" s="678"/>
      <c r="G87" s="678"/>
      <c r="H87" s="678"/>
      <c r="I87" s="678"/>
      <c r="J87" s="678"/>
      <c r="K87" s="678"/>
      <c r="L87" s="678"/>
      <c r="M87" s="678"/>
      <c r="N87" s="678"/>
      <c r="O87" s="678"/>
      <c r="P87" s="678"/>
      <c r="Q87" s="678"/>
      <c r="R87" s="678"/>
      <c r="S87" s="678"/>
      <c r="T87" s="678"/>
      <c r="U87" s="678"/>
      <c r="V87" s="678"/>
      <c r="W87" s="678"/>
      <c r="X87" s="678">
        <f>X69/W69-1</f>
        <v>5.9847663745074664E-2</v>
      </c>
      <c r="Y87" s="678">
        <f t="shared" ref="Y87:AK87" si="64">Y69/X69-1</f>
        <v>-2.4158647276515399E-3</v>
      </c>
      <c r="Z87" s="678">
        <f t="shared" si="64"/>
        <v>-6.9016846517304331E-2</v>
      </c>
      <c r="AA87" s="678">
        <f t="shared" si="64"/>
        <v>-5.0147476173715511E-2</v>
      </c>
      <c r="AB87" s="678">
        <f t="shared" si="64"/>
        <v>1.1362550236440283E-2</v>
      </c>
      <c r="AC87" s="678">
        <f t="shared" si="64"/>
        <v>-2.809842896559489E-2</v>
      </c>
      <c r="AD87" s="678">
        <f t="shared" si="64"/>
        <v>-0.24768250289687133</v>
      </c>
      <c r="AE87" s="678">
        <f t="shared" si="64"/>
        <v>-8.6715440893338491E-2</v>
      </c>
      <c r="AF87" s="678">
        <f>AF69/AE69-1</f>
        <v>3.3561008516738378E-2</v>
      </c>
      <c r="AG87" s="678">
        <f t="shared" si="64"/>
        <v>3.0023659949416581E-2</v>
      </c>
      <c r="AH87" s="678">
        <f t="shared" si="64"/>
        <v>-6.1782178217821837E-3</v>
      </c>
      <c r="AI87" s="678">
        <f t="shared" si="64"/>
        <v>-3.2677133976248829E-3</v>
      </c>
      <c r="AJ87" s="678">
        <f t="shared" si="64"/>
        <v>-3.6138173676635188E-2</v>
      </c>
      <c r="AK87" s="678">
        <f t="shared" si="64"/>
        <v>-2.7259803354540257E-2</v>
      </c>
      <c r="AL87" s="678">
        <f>AL69/AK69-1</f>
        <v>-3.3935065710872125E-2</v>
      </c>
      <c r="AM87" s="678">
        <f>AM69/AL69-1</f>
        <v>-4.1259974905897057E-2</v>
      </c>
      <c r="AN87" s="678">
        <f>AN69/AM69-1</f>
        <v>-5.3219022457067444E-2</v>
      </c>
      <c r="AO87" s="678"/>
      <c r="AP87" s="678"/>
    </row>
    <row r="88" spans="1:42">
      <c r="B88" s="398" t="s">
        <v>494</v>
      </c>
      <c r="E88" s="678"/>
      <c r="F88" s="678"/>
      <c r="G88" s="678"/>
      <c r="H88" s="678"/>
      <c r="I88" s="678"/>
      <c r="J88" s="678"/>
      <c r="K88" s="678"/>
      <c r="L88" s="678"/>
      <c r="M88" s="678"/>
      <c r="N88" s="678"/>
      <c r="O88" s="678"/>
      <c r="P88" s="678"/>
      <c r="Q88" s="678"/>
      <c r="R88" s="678"/>
      <c r="S88" s="678"/>
      <c r="T88" s="678"/>
      <c r="U88" s="678"/>
      <c r="V88" s="678"/>
      <c r="W88" s="678"/>
      <c r="X88" s="678">
        <f>X14/W14-1</f>
        <v>5.9190031152647871E-2</v>
      </c>
      <c r="Y88" s="678">
        <f t="shared" ref="Y88:AF88" si="65">Y14/X14-1</f>
        <v>7.0882352941176396E-2</v>
      </c>
      <c r="Z88" s="678">
        <f t="shared" si="65"/>
        <v>-0.10491623180444931</v>
      </c>
      <c r="AA88" s="678">
        <f t="shared" si="65"/>
        <v>-7.2108008591592498E-2</v>
      </c>
      <c r="AB88" s="678">
        <f t="shared" si="65"/>
        <v>6.25E-2</v>
      </c>
      <c r="AC88" s="678">
        <f t="shared" si="65"/>
        <v>-9.2436974789915971E-2</v>
      </c>
      <c r="AD88" s="678">
        <f t="shared" si="65"/>
        <v>-0.19718792866941015</v>
      </c>
      <c r="AE88" s="678">
        <f t="shared" si="65"/>
        <v>0.25373771892353703</v>
      </c>
      <c r="AF88" s="678">
        <f t="shared" si="65"/>
        <v>-9.6422487223168707E-2</v>
      </c>
      <c r="AG88" s="678">
        <v>2.5000000000000001E-2</v>
      </c>
      <c r="AH88" s="678">
        <v>1.0249999999999999</v>
      </c>
      <c r="AI88" s="1379">
        <v>-5.5E-2</v>
      </c>
      <c r="AJ88" s="1379">
        <v>-0.01</v>
      </c>
      <c r="AK88" s="1379">
        <v>-0.01</v>
      </c>
      <c r="AL88" s="1379">
        <v>-0.01</v>
      </c>
      <c r="AM88" s="1379">
        <v>-0.01</v>
      </c>
      <c r="AN88" s="1379">
        <v>-0.01</v>
      </c>
      <c r="AO88" s="798"/>
      <c r="AP88" s="798"/>
    </row>
    <row r="89" spans="1:42">
      <c r="B89" s="398" t="s">
        <v>508</v>
      </c>
      <c r="D89" s="684"/>
      <c r="E89" s="1119"/>
      <c r="F89" s="1119"/>
      <c r="G89" s="1119"/>
      <c r="H89" s="1119"/>
      <c r="I89" s="1119"/>
      <c r="J89" s="1119"/>
      <c r="K89" s="1119"/>
      <c r="L89" s="1119"/>
      <c r="M89" s="1119"/>
      <c r="N89" s="1119"/>
      <c r="O89" s="1119"/>
      <c r="P89" s="1119"/>
      <c r="Q89" s="1119"/>
      <c r="R89" s="1119"/>
      <c r="S89" s="1119"/>
      <c r="T89" s="1119"/>
      <c r="U89" s="1119"/>
      <c r="V89" s="1119"/>
      <c r="W89" s="1119"/>
      <c r="X89" s="1120">
        <f>X88-X87</f>
        <v>-6.5763259242679339E-4</v>
      </c>
      <c r="Y89" s="1120">
        <f t="shared" ref="Y89:AF89" si="66">Y88-Y87</f>
        <v>7.3298217668827936E-2</v>
      </c>
      <c r="Z89" s="1120">
        <f t="shared" si="66"/>
        <v>-3.589938528714498E-2</v>
      </c>
      <c r="AA89" s="1120">
        <f t="shared" si="66"/>
        <v>-2.1960532417876988E-2</v>
      </c>
      <c r="AB89" s="1120">
        <f t="shared" si="66"/>
        <v>5.1137449763559717E-2</v>
      </c>
      <c r="AC89" s="1120">
        <f t="shared" si="66"/>
        <v>-6.4338545824321081E-2</v>
      </c>
      <c r="AD89" s="1120">
        <f t="shared" si="66"/>
        <v>5.0494574227461175E-2</v>
      </c>
      <c r="AE89" s="1120">
        <f t="shared" si="66"/>
        <v>0.34045315981687552</v>
      </c>
      <c r="AF89" s="1120">
        <f t="shared" si="66"/>
        <v>-0.12998349573990708</v>
      </c>
      <c r="AG89" s="1120">
        <f t="shared" ref="AG89:AN89" si="67">AF89</f>
        <v>-0.12998349573990708</v>
      </c>
      <c r="AH89" s="1120">
        <f t="shared" si="67"/>
        <v>-0.12998349573990708</v>
      </c>
      <c r="AI89" s="1379">
        <f t="shared" si="67"/>
        <v>-0.12998349573990708</v>
      </c>
      <c r="AJ89" s="1379">
        <f t="shared" si="67"/>
        <v>-0.12998349573990708</v>
      </c>
      <c r="AK89" s="1379">
        <f t="shared" si="67"/>
        <v>-0.12998349573990708</v>
      </c>
      <c r="AL89" s="1379">
        <f t="shared" si="67"/>
        <v>-0.12998349573990708</v>
      </c>
      <c r="AM89" s="1379">
        <f t="shared" si="67"/>
        <v>-0.12998349573990708</v>
      </c>
      <c r="AN89" s="1379">
        <f t="shared" si="67"/>
        <v>-0.12998349573990708</v>
      </c>
      <c r="AO89" s="798"/>
      <c r="AP89" s="798"/>
    </row>
    <row r="90" spans="1:42">
      <c r="D90" s="684"/>
      <c r="E90" s="1119"/>
      <c r="F90" s="1119"/>
      <c r="G90" s="1119"/>
      <c r="H90" s="1119"/>
      <c r="I90" s="1119"/>
      <c r="J90" s="1119"/>
      <c r="K90" s="1119"/>
      <c r="L90" s="1119"/>
      <c r="M90" s="1119"/>
      <c r="N90" s="1119"/>
      <c r="O90" s="1119"/>
      <c r="P90" s="1119"/>
      <c r="Q90" s="1119"/>
      <c r="R90" s="1119"/>
      <c r="S90" s="1119"/>
      <c r="T90" s="1119"/>
      <c r="U90" s="1119"/>
      <c r="V90" s="1119"/>
      <c r="W90" s="1119"/>
      <c r="X90" s="1120"/>
      <c r="Y90" s="1119"/>
      <c r="Z90" s="1119"/>
      <c r="AA90" s="1119"/>
      <c r="AB90" s="1119"/>
      <c r="AC90" s="1119"/>
      <c r="AD90" s="1119"/>
      <c r="AE90" s="1119"/>
      <c r="AF90" s="1119"/>
      <c r="AG90" s="1119"/>
      <c r="AH90" s="1119"/>
      <c r="AI90" s="1119"/>
      <c r="AJ90" s="1119"/>
      <c r="AK90" s="1119"/>
      <c r="AL90" s="1119"/>
      <c r="AM90" s="1119"/>
      <c r="AN90" s="1119"/>
      <c r="AO90" s="1119"/>
      <c r="AP90" s="1119"/>
    </row>
    <row r="91" spans="1:42" customFormat="1"/>
  </sheetData>
  <phoneticPr fontId="10" type="noConversion"/>
  <printOptions horizontalCentered="1" verticalCentered="1"/>
  <pageMargins left="0" right="0" top="0" bottom="0" header="0" footer="0"/>
  <pageSetup paperSize="5" orientation="landscape" horizontalDpi="300" verticalDpi="300" r:id="rId1"/>
  <headerFooter alignWithMargins="0"/>
  <rowBreaks count="1" manualBreakCount="1">
    <brk id="52" max="16383" man="1"/>
  </rowBreaks>
  <colBreaks count="1" manualBreakCount="1">
    <brk id="17" max="48" man="1"/>
  </col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M161"/>
  <sheetViews>
    <sheetView zoomScale="85" zoomScaleNormal="85" workbookViewId="0"/>
  </sheetViews>
  <sheetFormatPr defaultRowHeight="12.75" outlineLevelRow="1" outlineLevelCol="1"/>
  <cols>
    <col min="1" max="1" width="2.85546875" style="398" customWidth="1"/>
    <col min="2" max="2" width="6.7109375" style="398" customWidth="1"/>
    <col min="3" max="3" width="2.140625" style="398" customWidth="1"/>
    <col min="4" max="4" width="9.140625" style="398"/>
    <col min="5" max="5" width="2.140625" style="398" customWidth="1"/>
    <col min="6" max="6" width="9.140625" style="398" customWidth="1"/>
    <col min="7" max="7" width="2.140625" style="398" customWidth="1"/>
    <col min="8" max="8" width="7.7109375" style="398" customWidth="1"/>
    <col min="9" max="9" width="2.140625" style="398" customWidth="1"/>
    <col min="10" max="10" width="7.85546875" style="398" customWidth="1"/>
    <col min="11" max="11" width="2.140625" style="398" customWidth="1"/>
    <col min="12" max="12" width="7.28515625" style="398" customWidth="1"/>
    <col min="13" max="13" width="2.140625" style="398" customWidth="1"/>
    <col min="14" max="14" width="7.85546875" style="398" customWidth="1"/>
    <col min="15" max="15" width="2.140625" style="398" customWidth="1"/>
    <col min="16" max="16" width="8.140625" style="398" customWidth="1"/>
    <col min="17" max="17" width="2.140625" style="398" customWidth="1"/>
    <col min="18" max="18" width="9.140625" style="398"/>
    <col min="19" max="19" width="2.140625" style="398" customWidth="1"/>
    <col min="20" max="20" width="7.5703125" style="398" customWidth="1"/>
    <col min="21" max="21" width="2.140625" style="398" customWidth="1"/>
    <col min="22" max="22" width="8.5703125" style="398" customWidth="1"/>
    <col min="23" max="23" width="2.140625" style="398" customWidth="1"/>
    <col min="24" max="24" width="8" style="398" customWidth="1"/>
    <col min="25" max="25" width="2.140625" style="398" customWidth="1"/>
    <col min="26" max="26" width="7.85546875" style="398" customWidth="1"/>
    <col min="27" max="27" width="2.140625" style="398" customWidth="1"/>
    <col min="28" max="28" width="7.28515625" style="398" customWidth="1"/>
    <col min="29" max="29" width="2.140625" style="398" customWidth="1"/>
    <col min="30" max="30" width="7.85546875" style="398" customWidth="1"/>
    <col min="31" max="31" width="2.140625" style="398" customWidth="1"/>
    <col min="32" max="32" width="7" style="398" customWidth="1"/>
    <col min="33" max="33" width="2.140625" style="398" customWidth="1"/>
    <col min="34" max="34" width="9.140625" style="398"/>
    <col min="35" max="35" width="2.140625" style="398" customWidth="1"/>
    <col min="36" max="36" width="9.140625" style="398"/>
    <col min="37" max="37" width="2.140625" style="398" customWidth="1"/>
    <col min="38" max="38" width="10" style="398" hidden="1" customWidth="1" outlineLevel="1"/>
    <col min="39" max="39" width="9.140625" style="398" collapsed="1"/>
    <col min="40" max="16384" width="9.140625" style="398"/>
  </cols>
  <sheetData>
    <row r="1" spans="1:38">
      <c r="A1" s="582" t="s">
        <v>442</v>
      </c>
      <c r="B1" s="582"/>
      <c r="C1" s="582"/>
    </row>
    <row r="2" spans="1:38">
      <c r="A2" s="583" t="s">
        <v>727</v>
      </c>
      <c r="B2" s="583"/>
      <c r="C2" s="583"/>
      <c r="D2" s="584"/>
      <c r="E2" s="584"/>
      <c r="F2" s="584"/>
      <c r="G2" s="584"/>
      <c r="H2" s="584"/>
      <c r="I2" s="584"/>
      <c r="J2" s="584"/>
      <c r="K2" s="584"/>
      <c r="L2" s="584"/>
      <c r="M2" s="584"/>
      <c r="N2" s="584"/>
      <c r="O2" s="584"/>
      <c r="P2" s="584"/>
      <c r="Q2" s="584"/>
      <c r="R2" s="584"/>
      <c r="S2" s="584"/>
      <c r="T2" s="584"/>
      <c r="U2" s="584"/>
      <c r="V2" s="584"/>
      <c r="W2" s="584"/>
      <c r="X2" s="584"/>
      <c r="Y2" s="584"/>
      <c r="Z2" s="584"/>
      <c r="AA2" s="584"/>
      <c r="AB2" s="584"/>
      <c r="AC2" s="584"/>
      <c r="AD2" s="584"/>
      <c r="AE2" s="584"/>
      <c r="AF2" s="584"/>
      <c r="AG2" s="584"/>
      <c r="AH2" s="584"/>
      <c r="AI2" s="584"/>
      <c r="AJ2" s="584"/>
      <c r="AK2" s="584"/>
      <c r="AL2" s="584"/>
    </row>
    <row r="3" spans="1:38">
      <c r="A3" s="1136" t="s">
        <v>166</v>
      </c>
      <c r="B3" s="1136"/>
      <c r="C3" s="1136"/>
    </row>
    <row r="4" spans="1:38">
      <c r="B4" s="1137"/>
      <c r="C4" s="1137"/>
      <c r="D4" s="1137"/>
      <c r="E4" s="1137"/>
      <c r="F4" s="1137"/>
      <c r="G4" s="1137"/>
      <c r="H4" s="1137"/>
      <c r="I4" s="1137"/>
      <c r="J4" s="1137"/>
      <c r="K4" s="1137"/>
      <c r="L4" s="1138"/>
      <c r="M4" s="1139"/>
      <c r="N4" s="1140" t="s">
        <v>177</v>
      </c>
      <c r="O4" s="1140"/>
      <c r="P4" s="1140"/>
      <c r="Q4" s="1137"/>
      <c r="R4" s="1141"/>
      <c r="S4" s="1141" t="s">
        <v>199</v>
      </c>
      <c r="T4" s="1141"/>
      <c r="U4" s="1137"/>
      <c r="V4" s="1140"/>
      <c r="W4" s="1140"/>
      <c r="X4" s="1140" t="s">
        <v>155</v>
      </c>
      <c r="Y4" s="1140"/>
      <c r="Z4" s="1140"/>
      <c r="AA4" s="1141"/>
      <c r="AB4" s="1140"/>
      <c r="AC4" s="1140"/>
      <c r="AD4" s="1140" t="s">
        <v>123</v>
      </c>
      <c r="AE4" s="1140"/>
      <c r="AF4" s="1140"/>
      <c r="AG4" s="1137"/>
      <c r="AH4" s="1142"/>
      <c r="AI4" s="1141" t="s">
        <v>204</v>
      </c>
      <c r="AJ4" s="1142"/>
      <c r="AK4" s="1137"/>
      <c r="AL4" s="1137"/>
    </row>
    <row r="5" spans="1:38">
      <c r="B5" s="1143"/>
      <c r="C5" s="1143"/>
      <c r="D5" s="1143"/>
      <c r="E5" s="1143"/>
      <c r="F5" s="1143"/>
      <c r="G5" s="1143"/>
      <c r="H5" s="1144"/>
      <c r="I5" s="1145" t="s">
        <v>179</v>
      </c>
      <c r="J5" s="1144"/>
      <c r="K5" s="1143"/>
      <c r="L5" s="1141" t="s">
        <v>152</v>
      </c>
      <c r="M5" s="1141"/>
      <c r="N5" s="1140"/>
      <c r="O5" s="1140" t="s">
        <v>198</v>
      </c>
      <c r="P5" s="1140"/>
      <c r="Q5" s="1143"/>
      <c r="R5" s="1140"/>
      <c r="S5" s="1140" t="s">
        <v>200</v>
      </c>
      <c r="T5" s="1140"/>
      <c r="U5" s="1143"/>
      <c r="V5" s="1141" t="s">
        <v>190</v>
      </c>
      <c r="W5" s="1141"/>
      <c r="X5" s="1141" t="s">
        <v>179</v>
      </c>
      <c r="Y5" s="1141"/>
      <c r="Z5" s="1141" t="s">
        <v>191</v>
      </c>
      <c r="AA5" s="1141"/>
      <c r="AB5" s="1141" t="s">
        <v>192</v>
      </c>
      <c r="AC5" s="1141"/>
      <c r="AD5" s="1141" t="s">
        <v>179</v>
      </c>
      <c r="AE5" s="1141"/>
      <c r="AF5" s="1141" t="s">
        <v>191</v>
      </c>
      <c r="AG5" s="1143"/>
      <c r="AH5" s="1146"/>
      <c r="AI5" s="1140" t="s">
        <v>203</v>
      </c>
      <c r="AJ5" s="1146"/>
      <c r="AK5" s="1143"/>
      <c r="AL5" s="1143"/>
    </row>
    <row r="6" spans="1:38">
      <c r="B6" s="1143"/>
      <c r="C6" s="1143"/>
      <c r="D6" s="1143"/>
      <c r="E6" s="1143"/>
      <c r="F6" s="1141" t="s">
        <v>180</v>
      </c>
      <c r="G6" s="1143"/>
      <c r="H6" s="1147" t="s">
        <v>181</v>
      </c>
      <c r="I6" s="1143"/>
      <c r="J6" s="1147"/>
      <c r="K6" s="1143"/>
      <c r="L6" s="1141" t="s">
        <v>197</v>
      </c>
      <c r="M6" s="1141"/>
      <c r="N6" s="1141" t="s">
        <v>182</v>
      </c>
      <c r="O6" s="1141"/>
      <c r="P6" s="1141" t="s">
        <v>182</v>
      </c>
      <c r="Q6" s="1143"/>
      <c r="R6" s="1141"/>
      <c r="S6" s="1141"/>
      <c r="T6" s="1141" t="s">
        <v>183</v>
      </c>
      <c r="U6" s="1143"/>
      <c r="V6" s="1141" t="s">
        <v>193</v>
      </c>
      <c r="W6" s="1141"/>
      <c r="X6" s="1141" t="s">
        <v>194</v>
      </c>
      <c r="Y6" s="1141"/>
      <c r="Z6" s="1141" t="s">
        <v>156</v>
      </c>
      <c r="AA6" s="1141"/>
      <c r="AB6" s="1141" t="s">
        <v>181</v>
      </c>
      <c r="AC6" s="1141"/>
      <c r="AD6" s="1141" t="s">
        <v>194</v>
      </c>
      <c r="AE6" s="1141"/>
      <c r="AF6" s="1141" t="s">
        <v>156</v>
      </c>
      <c r="AG6" s="1143"/>
      <c r="AH6" s="1148"/>
      <c r="AI6" s="1143"/>
      <c r="AJ6" s="1141" t="s">
        <v>207</v>
      </c>
      <c r="AK6" s="1143"/>
      <c r="AL6" s="1141" t="s">
        <v>490</v>
      </c>
    </row>
    <row r="7" spans="1:38">
      <c r="B7" s="1143"/>
      <c r="C7" s="1143"/>
      <c r="D7" s="1140" t="s">
        <v>152</v>
      </c>
      <c r="E7" s="1143"/>
      <c r="F7" s="1140" t="s">
        <v>184</v>
      </c>
      <c r="G7" s="1143"/>
      <c r="H7" s="1145" t="s">
        <v>185</v>
      </c>
      <c r="I7" s="1143"/>
      <c r="J7" s="1145" t="s">
        <v>102</v>
      </c>
      <c r="K7" s="1143"/>
      <c r="L7" s="1140" t="s">
        <v>186</v>
      </c>
      <c r="M7" s="1141"/>
      <c r="N7" s="1140" t="s">
        <v>116</v>
      </c>
      <c r="O7" s="1141"/>
      <c r="P7" s="1140" t="s">
        <v>185</v>
      </c>
      <c r="Q7" s="1143"/>
      <c r="R7" s="1140" t="s">
        <v>201</v>
      </c>
      <c r="S7" s="1141"/>
      <c r="T7" s="1140" t="s">
        <v>202</v>
      </c>
      <c r="U7" s="1143"/>
      <c r="V7" s="1140" t="s">
        <v>195</v>
      </c>
      <c r="W7" s="1141"/>
      <c r="X7" s="1140" t="s">
        <v>117</v>
      </c>
      <c r="Y7" s="1141"/>
      <c r="Z7" s="1140" t="s">
        <v>120</v>
      </c>
      <c r="AA7" s="1141"/>
      <c r="AB7" s="1140" t="s">
        <v>185</v>
      </c>
      <c r="AC7" s="1141"/>
      <c r="AD7" s="1140" t="s">
        <v>196</v>
      </c>
      <c r="AE7" s="1141"/>
      <c r="AF7" s="1140" t="s">
        <v>120</v>
      </c>
      <c r="AG7" s="1143"/>
      <c r="AH7" s="1140" t="s">
        <v>205</v>
      </c>
      <c r="AI7" s="1143"/>
      <c r="AJ7" s="1140" t="s">
        <v>206</v>
      </c>
      <c r="AK7" s="1143"/>
      <c r="AL7" s="1140" t="s">
        <v>491</v>
      </c>
    </row>
    <row r="8" spans="1:38" hidden="1" outlineLevel="1">
      <c r="A8" s="507"/>
      <c r="B8" s="507"/>
      <c r="C8" s="507"/>
      <c r="D8" s="507"/>
      <c r="E8" s="507"/>
      <c r="F8" s="507"/>
      <c r="G8" s="507"/>
      <c r="H8" s="507"/>
      <c r="I8" s="507"/>
      <c r="J8" s="507"/>
      <c r="K8" s="507"/>
      <c r="L8" s="645"/>
      <c r="M8" s="507"/>
      <c r="N8" s="507"/>
      <c r="O8" s="507"/>
      <c r="P8" s="507"/>
      <c r="Q8" s="507"/>
      <c r="R8" s="507"/>
      <c r="S8" s="507"/>
      <c r="T8" s="507"/>
      <c r="U8" s="507"/>
      <c r="V8" s="507"/>
      <c r="W8" s="507"/>
      <c r="X8" s="507"/>
      <c r="Y8" s="507"/>
      <c r="Z8" s="507"/>
      <c r="AA8" s="507"/>
      <c r="AB8" s="1149"/>
      <c r="AC8" s="507"/>
      <c r="AD8" s="507"/>
      <c r="AE8" s="507"/>
      <c r="AF8" s="507"/>
      <c r="AG8" s="507"/>
      <c r="AH8" s="507"/>
      <c r="AI8" s="507"/>
      <c r="AJ8" s="507"/>
      <c r="AK8" s="507"/>
      <c r="AL8" s="507"/>
    </row>
    <row r="9" spans="1:38" hidden="1" outlineLevel="1">
      <c r="B9" s="1150">
        <v>2000</v>
      </c>
      <c r="C9" s="1088"/>
      <c r="D9" s="507"/>
      <c r="E9" s="507"/>
      <c r="F9" s="507"/>
      <c r="G9" s="507"/>
      <c r="H9" s="507"/>
      <c r="I9" s="507"/>
      <c r="J9" s="507"/>
      <c r="K9" s="507"/>
      <c r="L9" s="645"/>
      <c r="M9" s="507"/>
      <c r="N9" s="507"/>
      <c r="O9" s="507"/>
      <c r="P9" s="507"/>
      <c r="Q9" s="507"/>
      <c r="R9" s="507"/>
      <c r="S9" s="507"/>
      <c r="T9" s="507"/>
      <c r="U9" s="507"/>
      <c r="V9" s="507"/>
      <c r="W9" s="507"/>
      <c r="X9" s="507"/>
      <c r="Y9" s="507"/>
      <c r="Z9" s="507"/>
      <c r="AA9" s="507"/>
      <c r="AB9" s="507"/>
      <c r="AC9" s="507"/>
      <c r="AD9" s="507"/>
      <c r="AE9" s="507"/>
      <c r="AF9" s="507"/>
      <c r="AG9" s="507"/>
      <c r="AH9" s="507"/>
      <c r="AI9" s="507"/>
      <c r="AJ9" s="507"/>
      <c r="AK9" s="507"/>
      <c r="AL9" s="507"/>
    </row>
    <row r="10" spans="1:38" hidden="1" outlineLevel="1">
      <c r="A10" s="398" t="s">
        <v>158</v>
      </c>
      <c r="B10" s="398" t="s">
        <v>140</v>
      </c>
      <c r="D10" s="591">
        <f>qtrSales!S95</f>
        <v>7528</v>
      </c>
      <c r="E10" s="507"/>
      <c r="F10" s="911"/>
      <c r="G10" s="507"/>
      <c r="H10" s="911"/>
      <c r="I10" s="507"/>
      <c r="J10" s="911"/>
      <c r="K10" s="507"/>
      <c r="L10" s="645"/>
      <c r="M10" s="507"/>
      <c r="N10" s="507"/>
      <c r="O10" s="507"/>
      <c r="P10" s="507"/>
      <c r="Q10" s="507"/>
      <c r="R10" s="614"/>
      <c r="S10" s="507"/>
      <c r="T10" s="507"/>
      <c r="U10" s="507"/>
      <c r="V10" s="829"/>
      <c r="W10" s="507"/>
      <c r="X10" s="507"/>
      <c r="Y10" s="507"/>
      <c r="Z10" s="507"/>
      <c r="AA10" s="507"/>
      <c r="AB10" s="1149"/>
      <c r="AC10" s="507"/>
      <c r="AD10" s="507"/>
      <c r="AE10" s="507"/>
      <c r="AF10" s="507"/>
      <c r="AG10" s="507"/>
      <c r="AH10" s="674"/>
      <c r="AI10" s="507"/>
      <c r="AJ10" s="507"/>
      <c r="AK10" s="507"/>
      <c r="AL10" s="911"/>
    </row>
    <row r="11" spans="1:38" hidden="1" outlineLevel="1">
      <c r="A11" s="398" t="s">
        <v>159</v>
      </c>
      <c r="B11" s="398" t="s">
        <v>141</v>
      </c>
      <c r="D11" s="706">
        <f>qtrSales!S96</f>
        <v>7207</v>
      </c>
      <c r="E11" s="507"/>
      <c r="F11" s="435"/>
      <c r="G11" s="507"/>
      <c r="H11" s="435"/>
      <c r="I11" s="507"/>
      <c r="J11" s="435"/>
      <c r="K11" s="507"/>
      <c r="L11" s="645"/>
      <c r="M11" s="507"/>
      <c r="N11" s="507"/>
      <c r="O11" s="507"/>
      <c r="P11" s="507"/>
      <c r="Q11" s="507"/>
      <c r="R11" s="614"/>
      <c r="S11" s="507"/>
      <c r="T11" s="507"/>
      <c r="U11" s="507"/>
      <c r="V11" s="829"/>
      <c r="W11" s="507"/>
      <c r="X11" s="507"/>
      <c r="Y11" s="507"/>
      <c r="Z11" s="507"/>
      <c r="AA11" s="507"/>
      <c r="AB11" s="1149"/>
      <c r="AC11" s="507"/>
      <c r="AD11" s="507"/>
      <c r="AE11" s="507"/>
      <c r="AF11" s="507"/>
      <c r="AG11" s="507"/>
      <c r="AH11" s="674"/>
      <c r="AI11" s="507"/>
      <c r="AJ11" s="507"/>
      <c r="AK11" s="507"/>
      <c r="AL11" s="435"/>
    </row>
    <row r="12" spans="1:38" hidden="1" outlineLevel="1">
      <c r="A12" s="398" t="s">
        <v>160</v>
      </c>
      <c r="B12" s="398" t="s">
        <v>142</v>
      </c>
      <c r="D12" s="706">
        <f>qtrSales!S97</f>
        <v>7538</v>
      </c>
      <c r="E12" s="507"/>
      <c r="F12" s="435"/>
      <c r="G12" s="507"/>
      <c r="H12" s="435"/>
      <c r="I12" s="507"/>
      <c r="J12" s="435"/>
      <c r="K12" s="507"/>
      <c r="L12" s="645"/>
      <c r="M12" s="507"/>
      <c r="N12" s="507"/>
      <c r="O12" s="507"/>
      <c r="P12" s="507"/>
      <c r="Q12" s="507"/>
      <c r="R12" s="614"/>
      <c r="S12" s="507"/>
      <c r="T12" s="507"/>
      <c r="U12" s="507"/>
      <c r="V12" s="829"/>
      <c r="W12" s="507"/>
      <c r="X12" s="507"/>
      <c r="Y12" s="507"/>
      <c r="Z12" s="507"/>
      <c r="AA12" s="507"/>
      <c r="AB12" s="1149"/>
      <c r="AC12" s="507"/>
      <c r="AD12" s="507"/>
      <c r="AE12" s="507"/>
      <c r="AF12" s="507"/>
      <c r="AG12" s="507"/>
      <c r="AH12" s="674"/>
      <c r="AI12" s="507"/>
      <c r="AJ12" s="507"/>
      <c r="AK12" s="507"/>
      <c r="AL12" s="435"/>
    </row>
    <row r="13" spans="1:38" hidden="1" outlineLevel="1">
      <c r="A13" s="398" t="s">
        <v>161</v>
      </c>
      <c r="B13" s="398" t="s">
        <v>143</v>
      </c>
      <c r="D13" s="769">
        <f>qtrSales!S98</f>
        <v>9573</v>
      </c>
      <c r="E13" s="507"/>
      <c r="F13" s="435"/>
      <c r="G13" s="507"/>
      <c r="H13" s="435"/>
      <c r="I13" s="507"/>
      <c r="J13" s="435"/>
      <c r="K13" s="507"/>
      <c r="L13" s="645"/>
      <c r="M13" s="507"/>
      <c r="N13" s="507"/>
      <c r="O13" s="507"/>
      <c r="P13" s="507"/>
      <c r="Q13" s="507"/>
      <c r="R13" s="614"/>
      <c r="S13" s="507"/>
      <c r="T13" s="507"/>
      <c r="U13" s="507"/>
      <c r="V13" s="829"/>
      <c r="W13" s="507"/>
      <c r="X13" s="806"/>
      <c r="Y13" s="507"/>
      <c r="Z13" s="653"/>
      <c r="AA13" s="507"/>
      <c r="AB13" s="509"/>
      <c r="AC13" s="507"/>
      <c r="AD13" s="788"/>
      <c r="AE13" s="507"/>
      <c r="AF13" s="1151"/>
      <c r="AG13" s="507"/>
      <c r="AH13" s="674"/>
      <c r="AI13" s="507"/>
      <c r="AJ13" s="507"/>
      <c r="AK13" s="507"/>
      <c r="AL13" s="435"/>
    </row>
    <row r="14" spans="1:38" hidden="1" outlineLevel="1">
      <c r="B14" s="774" t="s">
        <v>116</v>
      </c>
      <c r="C14" s="774"/>
      <c r="D14" s="591">
        <f>qtrSales!S99</f>
        <v>31846</v>
      </c>
      <c r="F14" s="591"/>
      <c r="H14" s="591"/>
      <c r="J14" s="591"/>
      <c r="L14" s="1039"/>
      <c r="R14" s="614"/>
      <c r="S14" s="507"/>
      <c r="V14" s="829"/>
      <c r="AB14" s="810"/>
      <c r="AL14" s="591"/>
    </row>
    <row r="15" spans="1:38" hidden="1" outlineLevel="1">
      <c r="AB15" s="810"/>
    </row>
    <row r="16" spans="1:38" hidden="1" outlineLevel="1">
      <c r="B16" s="1150">
        <v>2001</v>
      </c>
      <c r="C16" s="1088"/>
    </row>
    <row r="17" spans="1:38" hidden="1" outlineLevel="1">
      <c r="A17" s="398" t="s">
        <v>158</v>
      </c>
      <c r="B17" s="398" t="s">
        <v>140</v>
      </c>
      <c r="D17" s="591">
        <f>qtrSales!S102</f>
        <v>7522</v>
      </c>
      <c r="F17" s="591">
        <f>INDEX('qtrP&amp;L'!$20:$20,MATCH($B16,'qtrP&amp;L'!$6:$6,0))</f>
        <v>5273</v>
      </c>
      <c r="H17" s="591">
        <f>INDEX(wc!$10:$10,MATCH(B16,wc!$7:$7,0))</f>
        <v>5372</v>
      </c>
      <c r="J17" s="591">
        <f>AVERAGE(H17,H13)</f>
        <v>5372</v>
      </c>
      <c r="L17" s="1039">
        <f>(D17/D10-1)*100</f>
        <v>-7.9702444208284984E-2</v>
      </c>
      <c r="M17" s="398" t="s">
        <v>156</v>
      </c>
      <c r="N17" s="1152" t="s">
        <v>147</v>
      </c>
      <c r="O17" s="398" t="s">
        <v>156</v>
      </c>
      <c r="P17" s="1152" t="s">
        <v>147</v>
      </c>
      <c r="Q17" s="398" t="s">
        <v>156</v>
      </c>
      <c r="R17" s="792">
        <f>F17/J17</f>
        <v>0.98157110945644077</v>
      </c>
      <c r="S17" s="398" t="s">
        <v>188</v>
      </c>
      <c r="T17" s="792">
        <f>F18/H17</f>
        <v>0.96053611317944898</v>
      </c>
      <c r="V17" s="824" t="str">
        <f>IF(qtrSales!J102=0," ",qtrSales!J102)</f>
        <v xml:space="preserve"> </v>
      </c>
      <c r="AB17" s="810"/>
      <c r="AH17" s="790">
        <f>J17/(F17/(365/4))</f>
        <v>92.963208799544859</v>
      </c>
      <c r="AJ17" s="790">
        <f>H17/(F18/(365/4))</f>
        <v>94.999031007751938</v>
      </c>
      <c r="AL17" s="591">
        <f>INDEX('qtrP&amp;L'!$100:$100,MATCH($B16,'qtrP&amp;L'!$6:$6,0))</f>
        <v>204</v>
      </c>
    </row>
    <row r="18" spans="1:38" hidden="1" outlineLevel="1">
      <c r="A18" s="398" t="s">
        <v>159</v>
      </c>
      <c r="B18" s="398" t="s">
        <v>141</v>
      </c>
      <c r="D18" s="706">
        <f>qtrSales!S103</f>
        <v>7211</v>
      </c>
      <c r="F18" s="706">
        <f>INDEX('qtrP&amp;L'!$21:$21,MATCH($B16,'qtrP&amp;L'!$6:$6,0))</f>
        <v>5160</v>
      </c>
      <c r="H18" s="706">
        <f>INDEX(wc!$11:$11,MATCH(B16,wc!$7:$7,0))</f>
        <v>5413</v>
      </c>
      <c r="J18" s="706">
        <f>AVERAGE(H18,H17)</f>
        <v>5392.5</v>
      </c>
      <c r="L18" s="1039">
        <f>(D18/D11-1)*100</f>
        <v>5.5501595670870429E-2</v>
      </c>
      <c r="N18" s="1152" t="s">
        <v>147</v>
      </c>
      <c r="P18" s="1152" t="s">
        <v>147</v>
      </c>
      <c r="R18" s="792">
        <f>F18/J18</f>
        <v>0.95688456189151594</v>
      </c>
      <c r="T18" s="792">
        <f>F19/H18</f>
        <v>1.0038795492333272</v>
      </c>
      <c r="V18" s="824" t="str">
        <f>IF(qtrSales!J103=0," ",qtrSales!J103)</f>
        <v xml:space="preserve"> </v>
      </c>
      <c r="AB18" s="810"/>
      <c r="AH18" s="790">
        <f>J18/(F18/(365/4))</f>
        <v>95.361555232558146</v>
      </c>
      <c r="AJ18" s="790">
        <f>H18/(F19/(365/4))</f>
        <v>90.897359219727633</v>
      </c>
      <c r="AL18" s="706">
        <f>INDEX('qtrP&amp;L'!$101:$101,MATCH($B16,'qtrP&amp;L'!$6:$6,0))</f>
        <v>55</v>
      </c>
    </row>
    <row r="19" spans="1:38" hidden="1" outlineLevel="1">
      <c r="A19" s="398" t="s">
        <v>160</v>
      </c>
      <c r="B19" s="398" t="s">
        <v>142</v>
      </c>
      <c r="D19" s="706">
        <f>qtrSales!S104</f>
        <v>7729</v>
      </c>
      <c r="F19" s="706">
        <f>INDEX('qtrP&amp;L'!$22:$22,MATCH($B16,'qtrP&amp;L'!$6:$6,0))</f>
        <v>5434</v>
      </c>
      <c r="H19" s="706">
        <f>INDEX(wc!$12:$12,MATCH(B16,wc!$7:$7,0))</f>
        <v>6273</v>
      </c>
      <c r="J19" s="706">
        <f>AVERAGE(H19,H18)</f>
        <v>5843</v>
      </c>
      <c r="L19" s="1039">
        <f>(D19/D12-1)*100</f>
        <v>2.5338286017511313</v>
      </c>
      <c r="N19" s="1152" t="s">
        <v>147</v>
      </c>
      <c r="P19" s="1152" t="s">
        <v>147</v>
      </c>
      <c r="R19" s="792">
        <f>F19/J19</f>
        <v>0.93000171144959776</v>
      </c>
      <c r="T19" s="792">
        <f>F20/H19</f>
        <v>1.0974015622509166</v>
      </c>
      <c r="V19" s="824" t="str">
        <f>IF(qtrSales!J104=0," ",qtrSales!J104)</f>
        <v xml:space="preserve"> </v>
      </c>
      <c r="AB19" s="810"/>
      <c r="AH19" s="790">
        <f>J19/(F19/(365/4))</f>
        <v>98.118099006256898</v>
      </c>
      <c r="AJ19" s="790">
        <f>H19/(F20/(365/4))</f>
        <v>83.150966008134802</v>
      </c>
      <c r="AL19" s="706">
        <f>INDEX('qtrP&amp;L'!$102:$102,MATCH($B16,'qtrP&amp;L'!$6:$6,0))</f>
        <v>190</v>
      </c>
    </row>
    <row r="20" spans="1:38" hidden="1" outlineLevel="1">
      <c r="A20" s="398" t="s">
        <v>161</v>
      </c>
      <c r="B20" s="398" t="s">
        <v>143</v>
      </c>
      <c r="D20" s="769">
        <f>qtrSales!S105</f>
        <v>9542</v>
      </c>
      <c r="F20" s="769">
        <f>INDEX('qtrP&amp;L'!$23:$23,MATCH($B16,'qtrP&amp;L'!$6:$6,0))</f>
        <v>6884</v>
      </c>
      <c r="H20" s="769">
        <f>INDEX(wc!$13:$13,MATCH(B16,wc!$7:$7,0))</f>
        <v>4931</v>
      </c>
      <c r="J20" s="769">
        <f>AVERAGE(H20,H19)</f>
        <v>5602</v>
      </c>
      <c r="L20" s="1153">
        <f>(D20/D13-1)*100</f>
        <v>-0.32382743131724734</v>
      </c>
      <c r="N20" s="1152" t="s">
        <v>147</v>
      </c>
      <c r="P20" s="1152" t="s">
        <v>147</v>
      </c>
      <c r="R20" s="792">
        <f>F20/J20</f>
        <v>1.2288468404141377</v>
      </c>
      <c r="T20" s="792">
        <f>F24/H20</f>
        <v>1.087000608395863</v>
      </c>
      <c r="V20" s="827">
        <f>IF(qtrSales!J105=0," ",qtrSales!J105)</f>
        <v>1123</v>
      </c>
      <c r="X20" s="579">
        <f>H20/V20</f>
        <v>4.3909171861086378</v>
      </c>
      <c r="Z20" s="1152" t="s">
        <v>147</v>
      </c>
      <c r="AB20" s="586">
        <f>qtrSales!AA105</f>
        <v>108.3</v>
      </c>
      <c r="AD20" s="788">
        <f>H20/AB20</f>
        <v>45.530932594644504</v>
      </c>
      <c r="AF20" s="1152" t="s">
        <v>147</v>
      </c>
      <c r="AH20" s="790">
        <f>J20/(F20/(365/4))</f>
        <v>74.256609529343407</v>
      </c>
      <c r="AJ20" s="790">
        <f>H20/(F24/(365/4))</f>
        <v>83.946595149253724</v>
      </c>
      <c r="AL20" s="769">
        <f>INDEX('qtrP&amp;L'!$103:$103,MATCH($B16,'qtrP&amp;L'!$6:$6,0))</f>
        <v>339</v>
      </c>
    </row>
    <row r="21" spans="1:38" hidden="1" outlineLevel="1">
      <c r="B21" s="774" t="s">
        <v>116</v>
      </c>
      <c r="C21" s="774"/>
      <c r="D21" s="591">
        <f>qtrSales!S106</f>
        <v>32004</v>
      </c>
      <c r="F21" s="591">
        <f>INDEX('qtrP&amp;L'!$24:$24,MATCH($B16,'qtrP&amp;L'!$6:$6,0))</f>
        <v>22751</v>
      </c>
      <c r="H21" s="591">
        <f>INDEX(wc!$13:$13,MATCH(B16,wc!$7:$7,0))</f>
        <v>4931</v>
      </c>
      <c r="J21" s="591">
        <f>AVERAGE(J17:J20)</f>
        <v>5552.375</v>
      </c>
      <c r="L21" s="1039">
        <f>(D21/D14-1)*100</f>
        <v>0.49613766250078406</v>
      </c>
      <c r="R21" s="1154">
        <f>F21/J21</f>
        <v>4.0975258335397013</v>
      </c>
      <c r="S21" s="953" t="s">
        <v>188</v>
      </c>
      <c r="V21" s="829">
        <f>V20</f>
        <v>1123</v>
      </c>
      <c r="AB21" s="810"/>
      <c r="AL21" s="591">
        <f>INDEX('qtrP&amp;L'!$104:$104,MATCH($B16,'qtrP&amp;L'!$6:$6,0))</f>
        <v>788</v>
      </c>
    </row>
    <row r="22" spans="1:38" hidden="1" outlineLevel="1">
      <c r="AB22" s="810"/>
    </row>
    <row r="23" spans="1:38" hidden="1" outlineLevel="1">
      <c r="B23" s="1150">
        <v>2002</v>
      </c>
      <c r="C23" s="1088"/>
    </row>
    <row r="24" spans="1:38" hidden="1" outlineLevel="1">
      <c r="A24" s="398" t="s">
        <v>158</v>
      </c>
      <c r="B24" s="398" t="s">
        <v>140</v>
      </c>
      <c r="D24" s="591">
        <f>qtrSales!S109</f>
        <v>7728</v>
      </c>
      <c r="F24" s="591">
        <f>INDEX('qtrP&amp;L'!$20:$20,MATCH($B23,'qtrP&amp;L'!$6:$6,0))</f>
        <v>5360</v>
      </c>
      <c r="H24" s="591">
        <f>INDEX(wc!$10:$10,MATCH(B23,wc!$7:$7,0))</f>
        <v>4902</v>
      </c>
      <c r="J24" s="591">
        <f>AVERAGE(H24,H20)</f>
        <v>4916.5</v>
      </c>
      <c r="L24" s="1039">
        <f>(D24/D17-1)*100</f>
        <v>2.7386333421962172</v>
      </c>
      <c r="M24" s="398" t="s">
        <v>156</v>
      </c>
      <c r="N24" s="760">
        <f>(H24/H17-1)*100</f>
        <v>-8.7490692479523453</v>
      </c>
      <c r="O24" s="398" t="s">
        <v>156</v>
      </c>
      <c r="P24" s="760">
        <f>(H24/H20-1)*100</f>
        <v>-0.58811600081118964</v>
      </c>
      <c r="Q24" s="398" t="s">
        <v>156</v>
      </c>
      <c r="R24" s="792">
        <f>F24/J24</f>
        <v>1.0902064476761923</v>
      </c>
      <c r="S24" s="398" t="s">
        <v>188</v>
      </c>
      <c r="T24" s="792">
        <f>F25/H24</f>
        <v>1.0310077519379846</v>
      </c>
      <c r="V24" s="824" t="str">
        <f>IF(qtrSales!J109=0," ",qtrSales!J109)</f>
        <v xml:space="preserve"> </v>
      </c>
      <c r="AB24" s="810"/>
      <c r="AH24" s="790">
        <f>J24/(F24/(365/4))</f>
        <v>83.699743470149258</v>
      </c>
      <c r="AJ24" s="790">
        <f>H24/(F25/(365/4))</f>
        <v>88.505639097744364</v>
      </c>
      <c r="AL24" s="591">
        <f>INDEX('qtrP&amp;L'!$100:$100,MATCH($B23,'qtrP&amp;L'!$6:$6,0))</f>
        <v>272</v>
      </c>
    </row>
    <row r="25" spans="1:38" hidden="1" outlineLevel="1">
      <c r="A25" s="398" t="s">
        <v>159</v>
      </c>
      <c r="B25" s="398" t="s">
        <v>141</v>
      </c>
      <c r="D25" s="706">
        <f>qtrSales!S110</f>
        <v>7198</v>
      </c>
      <c r="F25" s="706">
        <f>INDEX('qtrP&amp;L'!$21:$21,MATCH($B23,'qtrP&amp;L'!$6:$6,0))</f>
        <v>5054</v>
      </c>
      <c r="H25" s="706">
        <f>INDEX(wc!$11:$11,MATCH(B23,wc!$7:$7,0))</f>
        <v>5002</v>
      </c>
      <c r="J25" s="706">
        <f>AVERAGE(H25,H24)</f>
        <v>4952</v>
      </c>
      <c r="L25" s="1039">
        <f>(D25/D18-1)*100</f>
        <v>-0.18028012758285472</v>
      </c>
      <c r="N25" s="760">
        <f>(H25/H18-1)*100</f>
        <v>-7.5928320709403252</v>
      </c>
      <c r="P25" s="760">
        <f>(H25/H24-1)*100</f>
        <v>2.0399836801305637</v>
      </c>
      <c r="R25" s="792">
        <f>F25/J25</f>
        <v>1.0205977382875606</v>
      </c>
      <c r="T25" s="792">
        <f>F26/H25</f>
        <v>1.0917632946821272</v>
      </c>
      <c r="V25" s="824" t="str">
        <f>IF(qtrSales!J110=0," ",qtrSales!J110)</f>
        <v xml:space="preserve"> </v>
      </c>
      <c r="AB25" s="810"/>
      <c r="AH25" s="790">
        <f>J25/(F25/(365/4))</f>
        <v>89.408389394538986</v>
      </c>
      <c r="AJ25" s="790">
        <f>H25/(F26/(365/4))</f>
        <v>83.580388207288038</v>
      </c>
      <c r="AL25" s="706">
        <f>INDEX('qtrP&amp;L'!$101:$101,MATCH($B23,'qtrP&amp;L'!$6:$6,0))</f>
        <v>104</v>
      </c>
    </row>
    <row r="26" spans="1:38" hidden="1" outlineLevel="1">
      <c r="A26" s="398" t="s">
        <v>160</v>
      </c>
      <c r="B26" s="398" t="s">
        <v>142</v>
      </c>
      <c r="D26" s="706">
        <f>qtrSales!S111</f>
        <v>7872</v>
      </c>
      <c r="F26" s="706">
        <f>INDEX('qtrP&amp;L'!$22:$22,MATCH($B23,'qtrP&amp;L'!$6:$6,0))</f>
        <v>5461</v>
      </c>
      <c r="H26" s="706">
        <f>INDEX(wc!$12:$12,MATCH(B23,wc!$7:$7,0))</f>
        <v>5943</v>
      </c>
      <c r="J26" s="706">
        <f>AVERAGE(H26,H25)</f>
        <v>5472.5</v>
      </c>
      <c r="L26" s="1039">
        <f>(D26/D19-1)*100</f>
        <v>1.8501746668391661</v>
      </c>
      <c r="N26" s="760">
        <f>(H26/H19-1)*100</f>
        <v>-5.2606408417025357</v>
      </c>
      <c r="P26" s="760">
        <f>(H26/H25-1)*100</f>
        <v>18.81247500999601</v>
      </c>
      <c r="R26" s="792">
        <f>F26/J26</f>
        <v>0.99789858382823204</v>
      </c>
      <c r="T26" s="792">
        <f>F27/H26</f>
        <v>1.1226653205451793</v>
      </c>
      <c r="V26" s="824" t="str">
        <f>IF(qtrSales!J111=0," ",qtrSales!J111)</f>
        <v xml:space="preserve"> </v>
      </c>
      <c r="AB26" s="810"/>
      <c r="AH26" s="790">
        <f>J26/(F26/(365/4))</f>
        <v>91.442158029664895</v>
      </c>
      <c r="AJ26" s="790">
        <f>H26/(F27/(365/4))</f>
        <v>81.279788669064743</v>
      </c>
      <c r="AL26" s="706">
        <f>INDEX('qtrP&amp;L'!$102:$102,MATCH($B23,'qtrP&amp;L'!$6:$6,0))</f>
        <v>255</v>
      </c>
    </row>
    <row r="27" spans="1:38" hidden="1" outlineLevel="1">
      <c r="A27" s="398" t="s">
        <v>161</v>
      </c>
      <c r="B27" s="398" t="s">
        <v>143</v>
      </c>
      <c r="D27" s="769">
        <f>qtrSales!S112</f>
        <v>9549</v>
      </c>
      <c r="F27" s="769">
        <f>INDEX('qtrP&amp;L'!$23:$23,MATCH($B23,'qtrP&amp;L'!$6:$6,0))</f>
        <v>6672</v>
      </c>
      <c r="H27" s="769">
        <f>INDEX(wc!$13:$13,MATCH(B23,wc!$7:$7,0))</f>
        <v>4945</v>
      </c>
      <c r="J27" s="769">
        <f>AVERAGE(H27,H26)</f>
        <v>5444</v>
      </c>
      <c r="L27" s="1153">
        <f>(D27/D20-1)*100</f>
        <v>7.3359882624179917E-2</v>
      </c>
      <c r="N27" s="760">
        <f>(H27/H20-1)*100</f>
        <v>0.28391806935712527</v>
      </c>
      <c r="P27" s="760">
        <f>(H27/H26-1)*100</f>
        <v>-16.792865556116443</v>
      </c>
      <c r="R27" s="792">
        <f>F27/J27</f>
        <v>1.2255694342395298</v>
      </c>
      <c r="T27" s="792">
        <f>F31/H27</f>
        <v>0.52436804853387264</v>
      </c>
      <c r="V27" s="827">
        <f>IF(qtrSales!J112=0," ",qtrSales!J112)</f>
        <v>1097</v>
      </c>
      <c r="X27" s="579">
        <f>H27/V27</f>
        <v>4.5077484047402008</v>
      </c>
      <c r="Z27" s="678">
        <f>X27/X20-1</f>
        <v>2.6607474857684998E-2</v>
      </c>
      <c r="AB27" s="586">
        <f>qtrSales!AA112</f>
        <v>105.6</v>
      </c>
      <c r="AD27" s="788">
        <f>H27/AB27</f>
        <v>46.827651515151516</v>
      </c>
      <c r="AF27" s="760">
        <f>(AD27/AD20-1)*100</f>
        <v>2.8479955199941065</v>
      </c>
      <c r="AH27" s="790">
        <f>J27/(F27/(365/4))</f>
        <v>74.455185851318944</v>
      </c>
      <c r="AJ27" s="790">
        <f>H27/(F31/(365/4))</f>
        <v>174.01899344388738</v>
      </c>
      <c r="AL27" s="769">
        <f>INDEX('qtrP&amp;L'!$103:$103,MATCH($B23,'qtrP&amp;L'!$6:$6,0))</f>
        <v>499</v>
      </c>
    </row>
    <row r="28" spans="1:38" hidden="1" outlineLevel="1">
      <c r="B28" s="774" t="s">
        <v>116</v>
      </c>
      <c r="C28" s="774"/>
      <c r="D28" s="591">
        <f>qtrSales!S113</f>
        <v>32347</v>
      </c>
      <c r="F28" s="591">
        <f>INDEX('qtrP&amp;L'!$24:$24,MATCH($B23,'qtrP&amp;L'!$6:$6,0))</f>
        <v>22547</v>
      </c>
      <c r="H28" s="591">
        <f>INDEX(wc!$13:$13,MATCH(B23,wc!$7:$7,0))</f>
        <v>4945</v>
      </c>
      <c r="J28" s="591">
        <f>AVERAGE(J24:J27)</f>
        <v>5196.25</v>
      </c>
      <c r="L28" s="1039">
        <f>(D28/D21-1)*100</f>
        <v>1.0717410323709542</v>
      </c>
      <c r="R28" s="1154">
        <f>F28/J28</f>
        <v>4.3390906904017319</v>
      </c>
      <c r="S28" s="953" t="s">
        <v>188</v>
      </c>
      <c r="V28" s="829">
        <f>V27</f>
        <v>1097</v>
      </c>
      <c r="AB28" s="810"/>
      <c r="AL28" s="591">
        <f>INDEX('qtrP&amp;L'!$104:$104,MATCH($B23,'qtrP&amp;L'!$6:$6,0))</f>
        <v>1130</v>
      </c>
    </row>
    <row r="29" spans="1:38" hidden="1" outlineLevel="1">
      <c r="L29" s="1039"/>
      <c r="AB29" s="810"/>
    </row>
    <row r="30" spans="1:38" hidden="1" outlineLevel="1">
      <c r="B30" s="1150" t="s">
        <v>354</v>
      </c>
      <c r="C30" s="1088"/>
      <c r="L30" s="1039"/>
    </row>
    <row r="31" spans="1:38" hidden="1" outlineLevel="1">
      <c r="A31" s="398" t="s">
        <v>158</v>
      </c>
      <c r="B31" s="398" t="s">
        <v>140</v>
      </c>
      <c r="D31" s="591">
        <f>qtrSales!S116</f>
        <v>4049</v>
      </c>
      <c r="F31" s="591">
        <f>INDEX('qtrP&amp;L'!$20:$20,MATCH($B30,'qtrP&amp;L'!$6:$6,0))</f>
        <v>2593</v>
      </c>
      <c r="H31" s="591">
        <f>INDEX(wc!$10:$10,MATCH(B30,wc!$7:$7,0))</f>
        <v>5372</v>
      </c>
      <c r="J31" s="591">
        <f>AVERAGE(H31,H27)</f>
        <v>5158.5</v>
      </c>
      <c r="L31" s="1039">
        <f>(D31/D10-1)*100</f>
        <v>-46.214133900106269</v>
      </c>
      <c r="M31" s="398" t="s">
        <v>156</v>
      </c>
      <c r="N31" s="1152" t="s">
        <v>147</v>
      </c>
      <c r="O31" s="398" t="s">
        <v>156</v>
      </c>
      <c r="P31" s="1152" t="s">
        <v>147</v>
      </c>
      <c r="Q31" s="398" t="s">
        <v>156</v>
      </c>
      <c r="R31" s="792">
        <f>F31/J31</f>
        <v>0.50266550353785011</v>
      </c>
      <c r="S31" s="398" t="s">
        <v>188</v>
      </c>
      <c r="T31" s="792">
        <f>F32/H31</f>
        <v>0.47803425167535368</v>
      </c>
      <c r="V31" s="824" t="str">
        <f>IF(qtrSales!J116=0," ",qtrSales!J116)</f>
        <v xml:space="preserve"> </v>
      </c>
      <c r="X31" s="579"/>
      <c r="AB31" s="810"/>
      <c r="AH31" s="790">
        <f>J31/(F31/(365/4))</f>
        <v>181.53225028924027</v>
      </c>
      <c r="AJ31" s="790">
        <f>H31/(F32/(365/4))</f>
        <v>190.88590342679126</v>
      </c>
      <c r="AL31" s="591">
        <f>INDEX('qtrP&amp;L'!$100:$100,MATCH($B30,'qtrP&amp;L'!$6:$6,0))</f>
        <v>144</v>
      </c>
    </row>
    <row r="32" spans="1:38" hidden="1" outlineLevel="1">
      <c r="A32" s="398" t="s">
        <v>159</v>
      </c>
      <c r="B32" s="398" t="s">
        <v>141</v>
      </c>
      <c r="D32" s="706">
        <f>qtrSales!S117</f>
        <v>3842</v>
      </c>
      <c r="F32" s="706">
        <f>INDEX('qtrP&amp;L'!$21:$21,MATCH($B30,'qtrP&amp;L'!$6:$6,0))</f>
        <v>2568</v>
      </c>
      <c r="H32" s="706">
        <f>INDEX(wc!$11:$11,MATCH(B30,wc!$7:$7,0))</f>
        <v>5413</v>
      </c>
      <c r="J32" s="706">
        <f>AVERAGE(H32,H31)</f>
        <v>5392.5</v>
      </c>
      <c r="L32" s="1039">
        <f>(D32/D11-1)*100</f>
        <v>-46.690717358124047</v>
      </c>
      <c r="N32" s="1152" t="s">
        <v>147</v>
      </c>
      <c r="P32" s="1152" t="s">
        <v>147</v>
      </c>
      <c r="R32" s="792">
        <f>F32/J32</f>
        <v>0.47621696801112656</v>
      </c>
      <c r="T32" s="792">
        <f>F33/H32</f>
        <v>0.51949011638647702</v>
      </c>
      <c r="V32" s="824" t="str">
        <f>IF(qtrSales!J117=0," ",qtrSales!J117)</f>
        <v xml:space="preserve"> </v>
      </c>
      <c r="X32" s="579"/>
      <c r="AB32" s="810"/>
      <c r="AH32" s="790">
        <f>J32/(F32/(365/4))</f>
        <v>191.61433995327101</v>
      </c>
      <c r="AJ32" s="790">
        <f>H32/(F33/(365/4))</f>
        <v>175.65300497866286</v>
      </c>
      <c r="AL32" s="706">
        <f>INDEX('qtrP&amp;L'!$101:$101,MATCH($B30,'qtrP&amp;L'!$6:$6,0))</f>
        <v>-11</v>
      </c>
    </row>
    <row r="33" spans="1:38" hidden="1" outlineLevel="1">
      <c r="A33" s="398" t="s">
        <v>160</v>
      </c>
      <c r="B33" s="398" t="s">
        <v>142</v>
      </c>
      <c r="D33" s="706">
        <f>qtrSales!S118</f>
        <v>4346</v>
      </c>
      <c r="F33" s="706">
        <f>INDEX('qtrP&amp;L'!$22:$22,MATCH($B30,'qtrP&amp;L'!$6:$6,0))</f>
        <v>2812</v>
      </c>
      <c r="H33" s="706">
        <f>INDEX(wc!$12:$12,MATCH(B30,wc!$7:$7,0))</f>
        <v>6273</v>
      </c>
      <c r="J33" s="706">
        <f>AVERAGE(H33,H32)</f>
        <v>5843</v>
      </c>
      <c r="L33" s="1039">
        <f>(D33/D12-1)*100</f>
        <v>-42.345449721411512</v>
      </c>
      <c r="N33" s="1152" t="s">
        <v>147</v>
      </c>
      <c r="P33" s="1152" t="s">
        <v>147</v>
      </c>
      <c r="R33" s="792">
        <f>F33/J33</f>
        <v>0.48125962690398766</v>
      </c>
      <c r="T33" s="792">
        <f>F34/H33</f>
        <v>0.64355172963494345</v>
      </c>
      <c r="V33" s="824" t="str">
        <f>IF(qtrSales!J118=0," ",qtrSales!J118)</f>
        <v xml:space="preserve"> </v>
      </c>
      <c r="X33" s="579"/>
      <c r="AB33" s="810"/>
      <c r="AH33" s="790">
        <f>J33/(F33/(365/4))</f>
        <v>189.60659672830727</v>
      </c>
      <c r="AJ33" s="790">
        <f>H33/(F34/(365/4))</f>
        <v>141.79124349764678</v>
      </c>
      <c r="AL33" s="706">
        <f>INDEX('qtrP&amp;L'!$102:$102,MATCH($B30,'qtrP&amp;L'!$6:$6,0))</f>
        <v>135</v>
      </c>
    </row>
    <row r="34" spans="1:38" hidden="1" outlineLevel="1">
      <c r="A34" s="398" t="s">
        <v>161</v>
      </c>
      <c r="B34" s="398" t="s">
        <v>143</v>
      </c>
      <c r="D34" s="769">
        <f>qtrSales!S119</f>
        <v>5855</v>
      </c>
      <c r="F34" s="769">
        <f>INDEX('qtrP&amp;L'!$23:$23,MATCH($B30,'qtrP&amp;L'!$6:$6,0))</f>
        <v>4037</v>
      </c>
      <c r="H34" s="769">
        <f>INDEX(wc!$13:$13,MATCH(B30,wc!$7:$7,0))</f>
        <v>2894</v>
      </c>
      <c r="J34" s="769">
        <f>AVERAGE(H34,H33)</f>
        <v>4583.5</v>
      </c>
      <c r="L34" s="1153">
        <f>(D34/D13-1)*100</f>
        <v>-38.83839966572652</v>
      </c>
      <c r="N34" s="1152" t="s">
        <v>147</v>
      </c>
      <c r="P34" s="1152" t="s">
        <v>147</v>
      </c>
      <c r="R34" s="792">
        <f>F34/J34</f>
        <v>0.8807679720737428</v>
      </c>
      <c r="T34" s="792">
        <f>F38/H34</f>
        <v>0.85798203178991017</v>
      </c>
      <c r="V34" s="827">
        <f>IF(qtrSales!J119=0," ",qtrSales!J119)</f>
        <v>1069</v>
      </c>
      <c r="X34" s="579">
        <f>H34/V34</f>
        <v>2.707202993451824</v>
      </c>
      <c r="Z34" s="678">
        <f>X34/X20-1</f>
        <v>-0.38345387109178697</v>
      </c>
      <c r="AB34" s="586">
        <f>qtrSales!AA119</f>
        <v>106</v>
      </c>
      <c r="AD34" s="788">
        <f>H34/AB34</f>
        <v>27.30188679245283</v>
      </c>
      <c r="AF34" s="760">
        <f>(AD34/AD27-1)*100</f>
        <v>-41.697083007421256</v>
      </c>
      <c r="AH34" s="790">
        <f>J34/(F34/(365/4))</f>
        <v>103.60276814466188</v>
      </c>
      <c r="AJ34" s="790">
        <f>H34/(F38/(365/4))</f>
        <v>106.35420861860652</v>
      </c>
      <c r="AL34" s="769">
        <f>INDEX('qtrP&amp;L'!$103:$103,MATCH($B30,'qtrP&amp;L'!$6:$6,0))</f>
        <v>237</v>
      </c>
    </row>
    <row r="35" spans="1:38" hidden="1" outlineLevel="1">
      <c r="B35" s="774" t="s">
        <v>116</v>
      </c>
      <c r="C35" s="774"/>
      <c r="D35" s="591">
        <f>qtrSales!S120</f>
        <v>17840</v>
      </c>
      <c r="F35" s="591">
        <f>INDEX('qtrP&amp;L'!$24:$24,MATCH($B30,'qtrP&amp;L'!$6:$6,0))</f>
        <v>11866</v>
      </c>
      <c r="H35" s="591">
        <f>INDEX(wc!$13:$13,MATCH(B30,wc!$7:$7,0))</f>
        <v>2894</v>
      </c>
      <c r="J35" s="591">
        <f>AVERAGE(J31:J34)</f>
        <v>5244.375</v>
      </c>
      <c r="L35" s="1039">
        <f>(D35/D14-1)*100</f>
        <v>-43.980405702443001</v>
      </c>
      <c r="R35" s="1154">
        <f>F35/J35</f>
        <v>2.2626147062328688</v>
      </c>
      <c r="S35" s="953" t="s">
        <v>188</v>
      </c>
      <c r="V35" s="829">
        <f>V34</f>
        <v>1069</v>
      </c>
      <c r="AB35" s="810"/>
      <c r="AL35" s="591">
        <f>INDEX('qtrP&amp;L'!$104:$104,MATCH($B30,'qtrP&amp;L'!$6:$6,0))</f>
        <v>494</v>
      </c>
    </row>
    <row r="36" spans="1:38" hidden="1" outlineLevel="1">
      <c r="L36" s="1039"/>
      <c r="AB36" s="810"/>
    </row>
    <row r="37" spans="1:38" hidden="1" outlineLevel="1">
      <c r="B37" s="1150" t="s">
        <v>355</v>
      </c>
      <c r="C37" s="1088"/>
      <c r="L37" s="1039"/>
    </row>
    <row r="38" spans="1:38" hidden="1" outlineLevel="1">
      <c r="A38" s="398" t="s">
        <v>158</v>
      </c>
      <c r="B38" s="398" t="s">
        <v>140</v>
      </c>
      <c r="D38" s="591">
        <f>qtrSales!S123</f>
        <v>3990</v>
      </c>
      <c r="F38" s="591">
        <f>INDEX('qtrP&amp;L'!$20:$20,MATCH($B37,'qtrP&amp;L'!$6:$6,0))</f>
        <v>2483</v>
      </c>
      <c r="H38" s="591">
        <f>INDEX(wc!$10:$10,MATCH(B37,wc!$7:$7,0))</f>
        <v>2917</v>
      </c>
      <c r="J38" s="591">
        <f>AVERAGE(H38,H34)</f>
        <v>2905.5</v>
      </c>
      <c r="L38" s="1039">
        <f>(D38/D31-1)*100</f>
        <v>-1.4571499135589083</v>
      </c>
      <c r="M38" s="398" t="s">
        <v>156</v>
      </c>
      <c r="N38" s="760">
        <f>(H38/H31-1)*100</f>
        <v>-45.699925539836187</v>
      </c>
      <c r="O38" s="398" t="s">
        <v>156</v>
      </c>
      <c r="P38" s="760">
        <f>(H38/H34-1)*100</f>
        <v>0.79474775397374575</v>
      </c>
      <c r="Q38" s="398" t="s">
        <v>156</v>
      </c>
      <c r="R38" s="792">
        <f>F38/J38</f>
        <v>0.85458612975391501</v>
      </c>
      <c r="S38" s="398" t="s">
        <v>188</v>
      </c>
      <c r="T38" s="792">
        <f>F39/H38</f>
        <v>0.78984641755227969</v>
      </c>
      <c r="V38" s="824" t="str">
        <f>IF(qtrSales!J123=0," ",qtrSales!J123)</f>
        <v xml:space="preserve"> </v>
      </c>
      <c r="X38" s="579"/>
      <c r="AB38" s="810"/>
      <c r="AH38" s="790">
        <f>J38/(F38/(365/4))</f>
        <v>106.77683246073299</v>
      </c>
      <c r="AJ38" s="790">
        <f>H38/(F39/(365/4))</f>
        <v>115.52878885338514</v>
      </c>
      <c r="AL38" s="591">
        <f>INDEX('qtrP&amp;L'!$100:$100,MATCH($B37,'qtrP&amp;L'!$6:$6,0))</f>
        <v>149</v>
      </c>
    </row>
    <row r="39" spans="1:38" hidden="1" outlineLevel="1">
      <c r="A39" s="398" t="s">
        <v>159</v>
      </c>
      <c r="B39" s="398" t="s">
        <v>141</v>
      </c>
      <c r="D39" s="706">
        <f>qtrSales!S124</f>
        <v>3605.982</v>
      </c>
      <c r="F39" s="706">
        <f>INDEX('qtrP&amp;L'!$21:$21,MATCH($B37,'qtrP&amp;L'!$6:$6,0))</f>
        <v>2303.982</v>
      </c>
      <c r="H39" s="706">
        <f>INDEX(wc!$11:$11,MATCH(B37,wc!$7:$7,0))</f>
        <v>3034</v>
      </c>
      <c r="J39" s="706">
        <f>AVERAGE(H39,H38)</f>
        <v>2975.5</v>
      </c>
      <c r="L39" s="1039">
        <f>(D39/D32-1)*100</f>
        <v>-6.1431025507548203</v>
      </c>
      <c r="N39" s="760">
        <f>(H39/H32-1)*100</f>
        <v>-43.949750600406432</v>
      </c>
      <c r="P39" s="760">
        <f>(H39/H38-1)*100</f>
        <v>4.0109701748371585</v>
      </c>
      <c r="R39" s="792">
        <f>F39/J39</f>
        <v>0.77431759368173414</v>
      </c>
      <c r="T39" s="792">
        <f>F40/H39</f>
        <v>0.89617666446934741</v>
      </c>
      <c r="V39" s="824" t="str">
        <f>IF(qtrSales!J124=0," ",qtrSales!J124)</f>
        <v xml:space="preserve"> </v>
      </c>
      <c r="X39" s="579"/>
      <c r="AB39" s="810"/>
      <c r="AH39" s="790">
        <f>J39/(F39/(365/4))</f>
        <v>117.84570148551508</v>
      </c>
      <c r="AJ39" s="790">
        <f>H39/(F40/(365/4))</f>
        <v>101.82144170650975</v>
      </c>
      <c r="AL39" s="706">
        <f>INDEX('qtrP&amp;L'!$101:$101,MATCH($B37,'qtrP&amp;L'!$6:$6,0))</f>
        <v>20</v>
      </c>
    </row>
    <row r="40" spans="1:38" hidden="1" outlineLevel="1">
      <c r="A40" s="398" t="s">
        <v>160</v>
      </c>
      <c r="B40" s="398" t="s">
        <v>142</v>
      </c>
      <c r="D40" s="706">
        <f>qtrSales!S125</f>
        <v>4294</v>
      </c>
      <c r="F40" s="706">
        <f>INDEX('qtrP&amp;L'!$22:$22,MATCH($B37,'qtrP&amp;L'!$6:$6,0))</f>
        <v>2719</v>
      </c>
      <c r="H40" s="706">
        <f>INDEX(wc!$12:$12,MATCH(B37,wc!$7:$7,0))</f>
        <v>3822</v>
      </c>
      <c r="J40" s="706">
        <f>AVERAGE(H40,H39)</f>
        <v>3428</v>
      </c>
      <c r="L40" s="1039">
        <f>(D40/D33-1)*100</f>
        <v>-1.1965025310630484</v>
      </c>
      <c r="N40" s="760">
        <f>(H40/H33-1)*100</f>
        <v>-39.072214251554286</v>
      </c>
      <c r="P40" s="760">
        <f>(H40/H39-1)*100</f>
        <v>25.972313777191825</v>
      </c>
      <c r="R40" s="792">
        <f>F40/J40</f>
        <v>0.79317386231038511</v>
      </c>
      <c r="T40" s="792">
        <f>F41/H40</f>
        <v>0.99241234955520674</v>
      </c>
      <c r="V40" s="824" t="str">
        <f>IF(qtrSales!J125=0," ",qtrSales!J125)</f>
        <v xml:space="preserve"> </v>
      </c>
      <c r="X40" s="579"/>
      <c r="AB40" s="810"/>
      <c r="AH40" s="790">
        <f>J40/(F40/(365/4))</f>
        <v>115.04413387274732</v>
      </c>
      <c r="AJ40" s="790">
        <f>H40/(F41/(365/4))</f>
        <v>91.947666754547853</v>
      </c>
      <c r="AL40" s="706">
        <f>INDEX('qtrP&amp;L'!$102:$102,MATCH($B37,'qtrP&amp;L'!$6:$6,0))</f>
        <v>166</v>
      </c>
    </row>
    <row r="41" spans="1:38" hidden="1" outlineLevel="1">
      <c r="A41" s="398" t="s">
        <v>161</v>
      </c>
      <c r="B41" s="398" t="s">
        <v>143</v>
      </c>
      <c r="D41" s="769">
        <f>qtrSales!S126</f>
        <v>5743</v>
      </c>
      <c r="F41" s="769">
        <f>INDEX('qtrP&amp;L'!$23:$23,MATCH($B37,'qtrP&amp;L'!$6:$6,0))</f>
        <v>3793</v>
      </c>
      <c r="H41" s="769">
        <f>INDEX(wc!$13:$13,MATCH(B37,wc!$7:$7,0))</f>
        <v>2955</v>
      </c>
      <c r="J41" s="769">
        <f>AVERAGE(H41,H40)</f>
        <v>3388.5</v>
      </c>
      <c r="L41" s="1153">
        <f>(D41/D34-1)*100</f>
        <v>-1.9128949615713098</v>
      </c>
      <c r="N41" s="760">
        <f>(H41/H34-1)*100</f>
        <v>2.1078092605390397</v>
      </c>
      <c r="P41" s="760">
        <f>(H41/H40-1)*100</f>
        <v>-22.684458398744113</v>
      </c>
      <c r="R41" s="792">
        <f>F41/J41</f>
        <v>1.1193743544341155</v>
      </c>
      <c r="T41" s="792">
        <f>F45/H41</f>
        <v>0.75566835871404403</v>
      </c>
      <c r="V41" s="827">
        <f>IF(qtrSales!J126=0," ",qtrSales!J126)</f>
        <v>1043</v>
      </c>
      <c r="X41" s="579">
        <f>H41/V41</f>
        <v>2.8331735378715246</v>
      </c>
      <c r="Z41" s="678">
        <f>X41/X34-1</f>
        <v>4.6531621280117452E-2</v>
      </c>
      <c r="AB41" s="586">
        <f>qtrSales!AA126</f>
        <v>103.3</v>
      </c>
      <c r="AD41" s="788">
        <f>H41/AB41</f>
        <v>28.606001936108424</v>
      </c>
      <c r="AF41" s="760">
        <f>(AD41/AD34-1)*100</f>
        <v>4.7766484183653368</v>
      </c>
      <c r="AH41" s="790">
        <f>J41/(F41/(365/4))</f>
        <v>81.51875164777222</v>
      </c>
      <c r="AJ41" s="790">
        <f>H41/(F45/(365/4))</f>
        <v>120.75403045230632</v>
      </c>
      <c r="AL41" s="769">
        <f>INDEX('qtrP&amp;L'!$103:$103,MATCH($B37,'qtrP&amp;L'!$6:$6,0))</f>
        <v>306</v>
      </c>
    </row>
    <row r="42" spans="1:38" hidden="1" outlineLevel="1">
      <c r="B42" s="774" t="s">
        <v>116</v>
      </c>
      <c r="C42" s="774"/>
      <c r="D42" s="591">
        <f>qtrSales!S127</f>
        <v>17384</v>
      </c>
      <c r="F42" s="591">
        <f>INDEX('qtrP&amp;L'!$24:$24,MATCH($B37,'qtrP&amp;L'!$6:$6,0))</f>
        <v>11287</v>
      </c>
      <c r="H42" s="591">
        <f>INDEX(wc!$13:$13,MATCH(B37,wc!$7:$7,0))</f>
        <v>2955</v>
      </c>
      <c r="J42" s="591">
        <f>AVERAGE(J38:J41)</f>
        <v>3174.375</v>
      </c>
      <c r="L42" s="1039">
        <f>(D42/D35-1)*100</f>
        <v>-2.556053811659198</v>
      </c>
      <c r="R42" s="1154">
        <f>F42/J42</f>
        <v>3.5556605631029732</v>
      </c>
      <c r="S42" s="953" t="s">
        <v>188</v>
      </c>
      <c r="V42" s="829">
        <f>V41</f>
        <v>1043</v>
      </c>
      <c r="AB42" s="810"/>
      <c r="AL42" s="591">
        <f>INDEX('qtrP&amp;L'!$104:$104,MATCH($B37,'qtrP&amp;L'!$6:$6,0))</f>
        <v>624</v>
      </c>
    </row>
    <row r="43" spans="1:38" hidden="1" outlineLevel="1">
      <c r="AB43" s="810"/>
    </row>
    <row r="44" spans="1:38" hidden="1" outlineLevel="1">
      <c r="B44" s="1150">
        <v>2003</v>
      </c>
      <c r="C44" s="1088"/>
      <c r="AB44" s="810"/>
    </row>
    <row r="45" spans="1:38" hidden="1" outlineLevel="1">
      <c r="A45" s="398" t="s">
        <v>158</v>
      </c>
      <c r="B45" s="398" t="s">
        <v>140</v>
      </c>
      <c r="D45" s="591">
        <f>qtrSales!S130</f>
        <v>3669</v>
      </c>
      <c r="F45" s="591">
        <f>INDEX('qtrP&amp;L'!$20:$20,MATCH($B44,'qtrP&amp;L'!$6:$6,0))</f>
        <v>2233</v>
      </c>
      <c r="H45" s="591">
        <f>INDEX(wc!$10:$10,MATCH(B44,wc!$7:$7,0))</f>
        <v>3306</v>
      </c>
      <c r="J45" s="591">
        <f>AVERAGE(H45,H41)</f>
        <v>3130.5</v>
      </c>
      <c r="L45" s="1039">
        <f>(D45/D38-1)*100</f>
        <v>-8.045112781954888</v>
      </c>
      <c r="M45" s="398" t="s">
        <v>156</v>
      </c>
      <c r="N45" s="760">
        <f>(H45/H38-1)*100</f>
        <v>13.335618786424419</v>
      </c>
      <c r="O45" s="398" t="s">
        <v>156</v>
      </c>
      <c r="P45" s="760">
        <f>(H45/H41-1)*100</f>
        <v>11.878172588832481</v>
      </c>
      <c r="Q45" s="398" t="s">
        <v>156</v>
      </c>
      <c r="R45" s="792">
        <f>F45/J45</f>
        <v>0.71330458393227913</v>
      </c>
      <c r="S45" s="398" t="s">
        <v>188</v>
      </c>
      <c r="T45" s="792">
        <f>F46/H45</f>
        <v>0.6950998185117967</v>
      </c>
      <c r="V45" s="824">
        <f>IF(qtrSales!J130=0," ",qtrSales!J130)</f>
        <v>1099</v>
      </c>
      <c r="X45" s="579">
        <f>H45/V45</f>
        <v>3.0081892629663329</v>
      </c>
      <c r="AB45" s="586">
        <f>qtrSales!AA130</f>
        <v>102.75</v>
      </c>
      <c r="AD45" s="788">
        <f>H45/AB45</f>
        <v>32.175182481751825</v>
      </c>
      <c r="AH45" s="790">
        <f>J45/(F45/(365/4))</f>
        <v>127.92571652485447</v>
      </c>
      <c r="AJ45" s="790">
        <f>H45/(F46/(365/4))</f>
        <v>131.27610966057441</v>
      </c>
      <c r="AL45" s="591">
        <f>INDEX('qtrP&amp;L'!$100:$100,MATCH($B44,'qtrP&amp;L'!$6:$6,0))</f>
        <v>92</v>
      </c>
    </row>
    <row r="46" spans="1:38" hidden="1" outlineLevel="1">
      <c r="A46" s="398" t="s">
        <v>159</v>
      </c>
      <c r="B46" s="398" t="s">
        <v>141</v>
      </c>
      <c r="D46" s="706">
        <f>qtrSales!S131</f>
        <v>3578</v>
      </c>
      <c r="F46" s="706">
        <f>INDEX('qtrP&amp;L'!$21:$21,MATCH($B44,'qtrP&amp;L'!$6:$6,0))</f>
        <v>2298</v>
      </c>
      <c r="H46" s="706">
        <f>INDEX(wc!$11:$11,MATCH(B44,wc!$7:$7,0))</f>
        <v>3318</v>
      </c>
      <c r="J46" s="706">
        <f>AVERAGE(H46,H45)</f>
        <v>3312</v>
      </c>
      <c r="L46" s="1039">
        <f>(D46/D39-1)*100</f>
        <v>-0.77598834381313875</v>
      </c>
      <c r="N46" s="760">
        <f>(H46/H39-1)*100</f>
        <v>9.3605800922874174</v>
      </c>
      <c r="P46" s="760">
        <f>(H46/H45-1)*100</f>
        <v>0.36297640653357721</v>
      </c>
      <c r="R46" s="792">
        <f>F46/J46</f>
        <v>0.6938405797101449</v>
      </c>
      <c r="T46" s="792">
        <f>F47/H46</f>
        <v>0.79234478601567204</v>
      </c>
      <c r="V46" s="824">
        <f>IF(qtrSales!J131=0," ",qtrSales!J131)</f>
        <v>1096</v>
      </c>
      <c r="X46" s="579">
        <f>H46/V46</f>
        <v>3.0273722627737225</v>
      </c>
      <c r="AB46" s="586">
        <f>qtrSales!AA131</f>
        <v>102.2</v>
      </c>
      <c r="AD46" s="788">
        <f>H46/AB46</f>
        <v>32.465753424657535</v>
      </c>
      <c r="AH46" s="790">
        <f>J46/(F46/(365/4))</f>
        <v>131.51436031331593</v>
      </c>
      <c r="AJ46" s="790">
        <f>H46/(F47/(365/4))</f>
        <v>115.16451122099657</v>
      </c>
      <c r="AL46" s="706">
        <f>INDEX('qtrP&amp;L'!$101:$101,MATCH($B44,'qtrP&amp;L'!$6:$6,0))</f>
        <v>60</v>
      </c>
    </row>
    <row r="47" spans="1:38" hidden="1" outlineLevel="1">
      <c r="A47" s="398" t="s">
        <v>160</v>
      </c>
      <c r="B47" s="398" t="s">
        <v>142</v>
      </c>
      <c r="D47" s="706">
        <f>qtrSales!S132</f>
        <v>4268</v>
      </c>
      <c r="F47" s="706">
        <f>INDEX('qtrP&amp;L'!$22:$22,MATCH($B44,'qtrP&amp;L'!$6:$6,0))</f>
        <v>2629</v>
      </c>
      <c r="H47" s="706">
        <f>INDEX(wc!$12:$12,MATCH(B44,wc!$7:$7,0))</f>
        <v>4172</v>
      </c>
      <c r="J47" s="706">
        <f>AVERAGE(H47,H46)</f>
        <v>3745</v>
      </c>
      <c r="L47" s="1039">
        <f>(D47/D40-1)*100</f>
        <v>-0.60549604098741883</v>
      </c>
      <c r="N47" s="760">
        <f>(H47/H40-1)*100</f>
        <v>9.1575091575091463</v>
      </c>
      <c r="P47" s="760">
        <f>(H47/H46-1)*100</f>
        <v>25.738396624472571</v>
      </c>
      <c r="R47" s="792">
        <f>F47/J47</f>
        <v>0.70200267022696927</v>
      </c>
      <c r="T47" s="792">
        <f>F48/H47</f>
        <v>0.92401725790987532</v>
      </c>
      <c r="V47" s="824">
        <f>IF(qtrSales!J132=0," ",qtrSales!J132)</f>
        <v>1096</v>
      </c>
      <c r="X47" s="579">
        <f>H47/V47</f>
        <v>3.8065693430656933</v>
      </c>
      <c r="AB47" s="586">
        <f>qtrSales!AA132</f>
        <v>101.65</v>
      </c>
      <c r="AD47" s="788">
        <f>H47/AB47</f>
        <v>41.042793900639445</v>
      </c>
      <c r="AH47" s="790">
        <f>J47/(F47/(365/4))</f>
        <v>129.98526055534424</v>
      </c>
      <c r="AJ47" s="790">
        <f>H47/(F48/(365/4))</f>
        <v>98.753566796368347</v>
      </c>
      <c r="AL47" s="706">
        <f>INDEX('qtrP&amp;L'!$102:$102,MATCH($B44,'qtrP&amp;L'!$6:$6,0))</f>
        <v>202</v>
      </c>
    </row>
    <row r="48" spans="1:38" hidden="1" outlineLevel="1">
      <c r="A48" s="398" t="s">
        <v>161</v>
      </c>
      <c r="B48" s="398" t="s">
        <v>143</v>
      </c>
      <c r="D48" s="769">
        <f>qtrSales!S133</f>
        <v>5998</v>
      </c>
      <c r="F48" s="769">
        <f>INDEX('qtrP&amp;L'!$23:$23,MATCH($B44,'qtrP&amp;L'!$6:$6,0))</f>
        <v>3855</v>
      </c>
      <c r="H48" s="769">
        <f>INDEX(wc!$13:$13,MATCH(B44,wc!$7:$7,0))</f>
        <v>3135</v>
      </c>
      <c r="J48" s="769">
        <f>AVERAGE(H48,H47)</f>
        <v>3653.5</v>
      </c>
      <c r="L48" s="1153">
        <f>(D48/D41-1)*100</f>
        <v>4.4401880550235084</v>
      </c>
      <c r="N48" s="760">
        <f>(H48/H41-1)*100</f>
        <v>6.0913705583756306</v>
      </c>
      <c r="P48" s="760">
        <f>(H48/H47-1)*100</f>
        <v>-24.856184084372003</v>
      </c>
      <c r="R48" s="792">
        <f>F48/J48</f>
        <v>1.0551525934035857</v>
      </c>
      <c r="T48" s="792">
        <f>F52/H48</f>
        <v>0.77767145135566185</v>
      </c>
      <c r="V48" s="827">
        <f>IF(qtrSales!J133=0," ",qtrSales!J133)</f>
        <v>1088</v>
      </c>
      <c r="X48" s="579">
        <f>H48/V48</f>
        <v>2.8814338235294117</v>
      </c>
      <c r="Z48" s="678">
        <f>X48/X41-1</f>
        <v>1.703400268736921E-2</v>
      </c>
      <c r="AB48" s="586">
        <f>qtrSales!AA133</f>
        <v>101.1</v>
      </c>
      <c r="AD48" s="788">
        <f>H48/AB48</f>
        <v>31.008902077151337</v>
      </c>
      <c r="AF48" s="760">
        <f>(AD48/AD41-1)*100</f>
        <v>8.3999859414461309</v>
      </c>
      <c r="AH48" s="790">
        <f>J48/(F48/(365/4))</f>
        <v>86.480382619974066</v>
      </c>
      <c r="AJ48" s="790">
        <f>H48/(F52/(365/4))</f>
        <v>117.33746923707957</v>
      </c>
      <c r="AL48" s="769">
        <f>INDEX('qtrP&amp;L'!$103:$103,MATCH($B44,'qtrP&amp;L'!$6:$6,0))</f>
        <v>432</v>
      </c>
    </row>
    <row r="49" spans="1:38" hidden="1" outlineLevel="1">
      <c r="B49" s="774" t="s">
        <v>116</v>
      </c>
      <c r="C49" s="774"/>
      <c r="D49" s="591">
        <f>qtrSales!S134</f>
        <v>17513</v>
      </c>
      <c r="F49" s="591">
        <f>INDEX('qtrP&amp;L'!$24:$24,MATCH($B44,'qtrP&amp;L'!$6:$6,0))</f>
        <v>11237</v>
      </c>
      <c r="H49" s="591">
        <f>INDEX(wc!$13:$13,MATCH(B44,wc!$7:$7,0))</f>
        <v>3135</v>
      </c>
      <c r="J49" s="591">
        <f>AVERAGE(J45:J48)</f>
        <v>3460.25</v>
      </c>
      <c r="L49" s="1039">
        <f>(D49/D42-1)*100</f>
        <v>0.74206166589967371</v>
      </c>
      <c r="N49" s="1039"/>
      <c r="R49" s="1154">
        <f>F49/J49</f>
        <v>3.2474532186980709</v>
      </c>
      <c r="S49" s="953" t="s">
        <v>188</v>
      </c>
      <c r="V49" s="829">
        <f>V48</f>
        <v>1088</v>
      </c>
      <c r="AB49" s="810"/>
      <c r="AL49" s="591">
        <f>INDEX('qtrP&amp;L'!$104:$104,MATCH($B44,'qtrP&amp;L'!$6:$6,0))</f>
        <v>786</v>
      </c>
    </row>
    <row r="50" spans="1:38" hidden="1" outlineLevel="1">
      <c r="B50" s="1150"/>
      <c r="L50" s="1039"/>
      <c r="AB50" s="810"/>
    </row>
    <row r="51" spans="1:38" hidden="1" outlineLevel="1">
      <c r="B51" s="1150">
        <v>2004</v>
      </c>
      <c r="C51" s="1088"/>
      <c r="L51" s="1039"/>
      <c r="AB51" s="810"/>
    </row>
    <row r="52" spans="1:38" hidden="1" outlineLevel="1">
      <c r="A52" s="398" t="s">
        <v>158</v>
      </c>
      <c r="B52" s="398" t="s">
        <v>140</v>
      </c>
      <c r="D52" s="591">
        <f>qtrSales!S137</f>
        <v>3972</v>
      </c>
      <c r="F52" s="591">
        <f>INDEX('qtrP&amp;L'!$20:$20,MATCH($B51,'qtrP&amp;L'!$6:$6,0))</f>
        <v>2438</v>
      </c>
      <c r="H52" s="591">
        <f>INDEX(wc!$10:$10,MATCH(B51,wc!$7:$7,0))</f>
        <v>3312</v>
      </c>
      <c r="J52" s="591">
        <f>AVERAGE(H52,H48)</f>
        <v>3223.5</v>
      </c>
      <c r="L52" s="1039">
        <f>(D52/D45-1)*100</f>
        <v>8.2583810302534708</v>
      </c>
      <c r="M52" s="398" t="s">
        <v>156</v>
      </c>
      <c r="N52" s="760">
        <f>(H52/H45-1)*100</f>
        <v>0.1814882032667775</v>
      </c>
      <c r="O52" s="398" t="s">
        <v>156</v>
      </c>
      <c r="P52" s="760">
        <f>(H52/H48-1)*100</f>
        <v>5.6459330143540765</v>
      </c>
      <c r="Q52" s="398" t="s">
        <v>156</v>
      </c>
      <c r="R52" s="792">
        <f>F52/J52</f>
        <v>0.7563207693500853</v>
      </c>
      <c r="S52" s="398" t="s">
        <v>188</v>
      </c>
      <c r="T52" s="792">
        <f>F53/H52</f>
        <v>0.72946859903381644</v>
      </c>
      <c r="V52" s="824">
        <f>IF(qtrSales!J137=0," ",qtrSales!J137)</f>
        <v>1021</v>
      </c>
      <c r="X52" s="579">
        <f>H52/V52</f>
        <v>3.2438785504407446</v>
      </c>
      <c r="Z52" s="678">
        <f>X52/X45-1</f>
        <v>7.8349221698239102E-2</v>
      </c>
      <c r="AB52" s="586">
        <f>qtrSales!AA137</f>
        <v>101.14999999999999</v>
      </c>
      <c r="AD52" s="788">
        <f>H52/AB52</f>
        <v>32.743450321304998</v>
      </c>
      <c r="AF52" s="684" t="s">
        <v>147</v>
      </c>
      <c r="AH52" s="790">
        <f>J52/(F52/(365/4))</f>
        <v>120.64986669401149</v>
      </c>
      <c r="AJ52" s="790">
        <f>H52/(F53/(365/4))</f>
        <v>125.091059602649</v>
      </c>
      <c r="AL52" s="591">
        <f>INDEX('qtrP&amp;L'!$100:$100,MATCH($B51,'qtrP&amp;L'!$6:$6,0))</f>
        <v>232</v>
      </c>
    </row>
    <row r="53" spans="1:38" hidden="1" outlineLevel="1">
      <c r="A53" s="398" t="s">
        <v>159</v>
      </c>
      <c r="B53" s="398" t="s">
        <v>141</v>
      </c>
      <c r="D53" s="706">
        <f>qtrSales!S138</f>
        <v>3778</v>
      </c>
      <c r="F53" s="706">
        <f>INDEX('qtrP&amp;L'!$21:$21,MATCH($B51,'qtrP&amp;L'!$6:$6,0))</f>
        <v>2416</v>
      </c>
      <c r="H53" s="706">
        <f>INDEX(wc!$11:$11,MATCH(B51,wc!$7:$7,0))</f>
        <v>3408</v>
      </c>
      <c r="J53" s="706">
        <f>AVERAGE(H53,H52)</f>
        <v>3360</v>
      </c>
      <c r="L53" s="1039">
        <f>(D53/D46-1)*100</f>
        <v>5.5897149245388578</v>
      </c>
      <c r="N53" s="760">
        <f>(H53/H46-1)*100</f>
        <v>2.7124773960216952</v>
      </c>
      <c r="P53" s="760">
        <f>(H53/H52-1)*100</f>
        <v>2.8985507246376718</v>
      </c>
      <c r="R53" s="792">
        <f>F53/J53</f>
        <v>0.71904761904761905</v>
      </c>
      <c r="T53" s="792">
        <f>F54/H53</f>
        <v>0.77934272300469487</v>
      </c>
      <c r="V53" s="824">
        <f>IF(qtrSales!J138=0," ",qtrSales!J138)</f>
        <v>1018</v>
      </c>
      <c r="X53" s="579">
        <f>H53/V53</f>
        <v>3.3477406679764243</v>
      </c>
      <c r="Z53" s="678">
        <f>X53/X46-1</f>
        <v>0.10582392167033183</v>
      </c>
      <c r="AB53" s="586">
        <f>qtrSales!AA138</f>
        <v>101.19999999999999</v>
      </c>
      <c r="AD53" s="788">
        <f>H53/AB53</f>
        <v>33.675889328063242</v>
      </c>
      <c r="AF53" s="684" t="s">
        <v>147</v>
      </c>
      <c r="AH53" s="790">
        <f>J53/(F53/(365/4))</f>
        <v>126.90397350993376</v>
      </c>
      <c r="AJ53" s="790">
        <f>H53/(F54/(365/4))</f>
        <v>117.08584337349397</v>
      </c>
      <c r="AL53" s="706">
        <f>INDEX('qtrP&amp;L'!$101:$101,MATCH($B51,'qtrP&amp;L'!$6:$6,0))</f>
        <v>154</v>
      </c>
    </row>
    <row r="54" spans="1:38" hidden="1" outlineLevel="1">
      <c r="A54" s="398" t="s">
        <v>160</v>
      </c>
      <c r="B54" s="398" t="s">
        <v>142</v>
      </c>
      <c r="D54" s="706">
        <f>qtrSales!S139</f>
        <v>4391</v>
      </c>
      <c r="F54" s="706">
        <f>INDEX('qtrP&amp;L'!$22:$22,MATCH($B51,'qtrP&amp;L'!$6:$6,0))</f>
        <v>2656</v>
      </c>
      <c r="H54" s="706">
        <f>INDEX(wc!$12:$12,MATCH(B51,wc!$7:$7,0))</f>
        <v>4207</v>
      </c>
      <c r="J54" s="706">
        <f>AVERAGE(H54,H53)</f>
        <v>3807.5</v>
      </c>
      <c r="L54" s="1039">
        <f>(D54/D47-1)*100</f>
        <v>2.8819119025304651</v>
      </c>
      <c r="N54" s="760">
        <f>(H54/H47-1)*100</f>
        <v>0.83892617449663476</v>
      </c>
      <c r="P54" s="760">
        <f>(H54/H53-1)*100</f>
        <v>23.444835680751176</v>
      </c>
      <c r="R54" s="792">
        <f>F54/J54</f>
        <v>0.69757058437294817</v>
      </c>
      <c r="T54" s="792">
        <f>F55/H54</f>
        <v>0.90610886617542197</v>
      </c>
      <c r="V54" s="824">
        <f>IF(qtrSales!J139=0," ",qtrSales!J139)</f>
        <v>1018</v>
      </c>
      <c r="X54" s="579">
        <f>H54/V54</f>
        <v>4.1326129666011786</v>
      </c>
      <c r="Z54" s="678">
        <f>X54/X47-1</f>
        <v>8.5652879049590513E-2</v>
      </c>
      <c r="AB54" s="586">
        <f>qtrSales!AA139</f>
        <v>101.24999999999999</v>
      </c>
      <c r="AD54" s="788">
        <f>H54/AB54</f>
        <v>41.550617283950622</v>
      </c>
      <c r="AF54" s="684" t="s">
        <v>147</v>
      </c>
      <c r="AH54" s="790">
        <f>J54/(F54/(365/4))</f>
        <v>130.81113516566265</v>
      </c>
      <c r="AJ54" s="790">
        <f>H54/(F55/(365/4))</f>
        <v>100.70533840503673</v>
      </c>
      <c r="AL54" s="706">
        <f>INDEX('qtrP&amp;L'!$102:$102,MATCH($B51,'qtrP&amp;L'!$6:$6,0))</f>
        <v>342</v>
      </c>
    </row>
    <row r="55" spans="1:38" hidden="1" outlineLevel="1">
      <c r="A55" s="398" t="s">
        <v>161</v>
      </c>
      <c r="B55" s="398" t="s">
        <v>143</v>
      </c>
      <c r="D55" s="769">
        <f>qtrSales!S140</f>
        <v>5955</v>
      </c>
      <c r="F55" s="769">
        <f>INDEX('qtrP&amp;L'!$23:$23,MATCH($B51,'qtrP&amp;L'!$6:$6,0))</f>
        <v>3812</v>
      </c>
      <c r="H55" s="769">
        <f>INDEX(wc!$13:$13,MATCH(B51,wc!$7:$7,0))</f>
        <v>3142</v>
      </c>
      <c r="J55" s="769">
        <f>AVERAGE(H55,H54)</f>
        <v>3674.5</v>
      </c>
      <c r="L55" s="1153">
        <f>(D55/D48-1)*100</f>
        <v>-0.71690563521173978</v>
      </c>
      <c r="N55" s="760">
        <f>(H55/H48-1)*100</f>
        <v>0.22328548644339197</v>
      </c>
      <c r="P55" s="760">
        <f>(H55/H54-1)*100</f>
        <v>-25.314951271690045</v>
      </c>
      <c r="R55" s="792">
        <f>F55/J55</f>
        <v>1.0374200571506327</v>
      </c>
      <c r="T55" s="792">
        <f>F59/H55</f>
        <v>0.78612348822406108</v>
      </c>
      <c r="V55" s="827">
        <f>IF(qtrSales!J140=0," ",qtrSales!J140)</f>
        <v>1017</v>
      </c>
      <c r="X55" s="579">
        <f>H55/V55</f>
        <v>3.0894788593903639</v>
      </c>
      <c r="Z55" s="678">
        <f>X55/X48-1</f>
        <v>7.2201913561950937E-2</v>
      </c>
      <c r="AB55" s="586">
        <f>qtrSales!AA140</f>
        <v>101.3</v>
      </c>
      <c r="AD55" s="788">
        <f>H55/AB55</f>
        <v>31.016781836130306</v>
      </c>
      <c r="AF55" s="684" t="s">
        <v>147</v>
      </c>
      <c r="AH55" s="790">
        <f>J55/(F55/(365/4))</f>
        <v>87.95858473242393</v>
      </c>
      <c r="AJ55" s="790">
        <f>H55/(F59/(365/4))</f>
        <v>116.07591093117408</v>
      </c>
      <c r="AL55" s="769">
        <f>INDEX('qtrP&amp;L'!$103:$103,MATCH($B51,'qtrP&amp;L'!$6:$6,0))</f>
        <v>529</v>
      </c>
    </row>
    <row r="56" spans="1:38" hidden="1" outlineLevel="1">
      <c r="B56" s="774" t="s">
        <v>116</v>
      </c>
      <c r="C56" s="774"/>
      <c r="D56" s="591">
        <f>qtrSales!S141</f>
        <v>18096</v>
      </c>
      <c r="F56" s="591">
        <f>INDEX('qtrP&amp;L'!$24:$24,MATCH($B51,'qtrP&amp;L'!$6:$6,0))</f>
        <v>11322</v>
      </c>
      <c r="H56" s="591">
        <f>INDEX(wc!$13:$13,MATCH(B51,wc!$7:$7,0))</f>
        <v>3142</v>
      </c>
      <c r="J56" s="591">
        <f>AVERAGE(J52:J55)</f>
        <v>3516.375</v>
      </c>
      <c r="L56" s="1039">
        <f>(D56/D49-1)*100</f>
        <v>3.3289556329583636</v>
      </c>
      <c r="R56" s="1154">
        <f>F56/J56</f>
        <v>3.2197931108030287</v>
      </c>
      <c r="S56" s="953" t="s">
        <v>188</v>
      </c>
      <c r="V56" s="829">
        <f>V55</f>
        <v>1017</v>
      </c>
      <c r="AB56" s="810"/>
      <c r="AL56" s="591">
        <f>INDEX('qtrP&amp;L'!$104:$104,MATCH($B51,'qtrP&amp;L'!$6:$6,0))</f>
        <v>1257</v>
      </c>
    </row>
    <row r="57" spans="1:38" hidden="1" outlineLevel="1">
      <c r="L57" s="1039"/>
      <c r="AB57" s="810"/>
    </row>
    <row r="58" spans="1:38" hidden="1" outlineLevel="1">
      <c r="B58" s="1150">
        <v>2005</v>
      </c>
      <c r="C58" s="1088"/>
      <c r="L58" s="1039"/>
      <c r="AB58" s="810"/>
    </row>
    <row r="59" spans="1:38" hidden="1" outlineLevel="1">
      <c r="A59" s="398" t="s">
        <v>158</v>
      </c>
      <c r="B59" s="398" t="s">
        <v>140</v>
      </c>
      <c r="D59" s="591">
        <f>qtrSales!S144</f>
        <v>4118</v>
      </c>
      <c r="F59" s="591">
        <f>INDEX('qtrP&amp;L'!$20:$20,MATCH($B58,'qtrP&amp;L'!$6:$6,0))</f>
        <v>2470</v>
      </c>
      <c r="H59" s="591">
        <f>INDEX(wc!$10:$10,MATCH(B58,wc!$7:$7,0))</f>
        <v>3258</v>
      </c>
      <c r="J59" s="591">
        <f>AVERAGE(H59,H55)</f>
        <v>3200</v>
      </c>
      <c r="L59" s="1039">
        <f>(D59/D52-1)*100</f>
        <v>3.6757301107754214</v>
      </c>
      <c r="M59" s="398" t="s">
        <v>156</v>
      </c>
      <c r="N59" s="760">
        <f>(H59/H52-1)*100</f>
        <v>-1.6304347826086918</v>
      </c>
      <c r="O59" s="398" t="s">
        <v>156</v>
      </c>
      <c r="P59" s="760">
        <f>(H59/H55-1)*100</f>
        <v>3.6919159770846699</v>
      </c>
      <c r="Q59" s="398" t="s">
        <v>156</v>
      </c>
      <c r="R59" s="792">
        <f>F59/J59</f>
        <v>0.77187499999999998</v>
      </c>
      <c r="S59" s="398" t="s">
        <v>188</v>
      </c>
      <c r="T59" s="792">
        <f>F60/H59</f>
        <v>0.76979742173112342</v>
      </c>
      <c r="V59" s="824">
        <f>IF(qtrSales!J144=0," ",qtrSales!J144)</f>
        <v>1015</v>
      </c>
      <c r="X59" s="579">
        <f>H59/V59</f>
        <v>3.2098522167487684</v>
      </c>
      <c r="Z59" s="678">
        <f>X59/X52-1</f>
        <v>-1.0489398158063934E-2</v>
      </c>
      <c r="AB59" s="586">
        <f>qtrSales!AA144</f>
        <v>101.325</v>
      </c>
      <c r="AD59" s="788">
        <f>H59/AB59</f>
        <v>32.153960029607696</v>
      </c>
      <c r="AF59" s="760">
        <f>(AD59/AD52-1)*100</f>
        <v>-1.8003304047458424</v>
      </c>
      <c r="AG59" s="398" t="s">
        <v>156</v>
      </c>
      <c r="AH59" s="790">
        <f>J59/(F59/(365/4))</f>
        <v>118.21862348178136</v>
      </c>
      <c r="AJ59" s="790">
        <f>H59/(F60/(365/4))</f>
        <v>118.53767942583733</v>
      </c>
      <c r="AL59" s="591">
        <f>INDEX('qtrP&amp;L'!$100:$100,MATCH($B58,'qtrP&amp;L'!$6:$6,0))</f>
        <v>330</v>
      </c>
    </row>
    <row r="60" spans="1:38" hidden="1" outlineLevel="1">
      <c r="A60" s="398" t="s">
        <v>159</v>
      </c>
      <c r="B60" s="398" t="s">
        <v>141</v>
      </c>
      <c r="D60" s="706">
        <f>qtrSales!S145</f>
        <v>3981</v>
      </c>
      <c r="F60" s="706">
        <f>INDEX('qtrP&amp;L'!$21:$21,MATCH($B58,'qtrP&amp;L'!$6:$6,0))</f>
        <v>2508</v>
      </c>
      <c r="H60" s="706">
        <f>INDEX(wc!$11:$11,MATCH(B58,wc!$7:$7,0))</f>
        <v>3445</v>
      </c>
      <c r="J60" s="706">
        <f>AVERAGE(H60,H59)</f>
        <v>3351.5</v>
      </c>
      <c r="L60" s="1039">
        <f>(D60/D53-1)*100</f>
        <v>5.3732133403917359</v>
      </c>
      <c r="N60" s="760">
        <f>(H60/H53-1)*100</f>
        <v>1.085680751173701</v>
      </c>
      <c r="P60" s="760">
        <f>(H60/H59-1)*100</f>
        <v>5.7397176181706477</v>
      </c>
      <c r="R60" s="792">
        <f>F60/J60</f>
        <v>0.74832164702372073</v>
      </c>
      <c r="T60" s="792">
        <f>F61/H60</f>
        <v>0.77068214804063861</v>
      </c>
      <c r="V60" s="824">
        <f>IF(qtrSales!J145=0," ",qtrSales!J145)</f>
        <v>1015</v>
      </c>
      <c r="X60" s="579">
        <f>H60/V60</f>
        <v>3.3940886699507389</v>
      </c>
      <c r="Z60" s="678">
        <f>X60/X53-1</f>
        <v>1.3844561622609275E-2</v>
      </c>
      <c r="AB60" s="586">
        <f>qtrSales!AA145</f>
        <v>101.35000000000001</v>
      </c>
      <c r="AD60" s="788">
        <f>H60/AB60</f>
        <v>33.991119881598415</v>
      </c>
      <c r="AF60" s="760">
        <f>(AD60/AD53-1)*100</f>
        <v>0.93607194887792566</v>
      </c>
      <c r="AH60" s="790">
        <f>J60/(F60/(365/4))</f>
        <v>121.93954346092504</v>
      </c>
      <c r="AJ60" s="790">
        <f>H60/(F61/(365/4))</f>
        <v>118.40160075329567</v>
      </c>
      <c r="AL60" s="706">
        <f>INDEX('qtrP&amp;L'!$101:$101,MATCH($B58,'qtrP&amp;L'!$6:$6,0))</f>
        <v>227</v>
      </c>
    </row>
    <row r="61" spans="1:38" hidden="1" outlineLevel="1">
      <c r="A61" s="398" t="s">
        <v>160</v>
      </c>
      <c r="B61" s="398" t="s">
        <v>142</v>
      </c>
      <c r="D61" s="706">
        <f>qtrSales!S146</f>
        <v>4479</v>
      </c>
      <c r="F61" s="706">
        <f>INDEX('qtrP&amp;L'!$22:$22,MATCH($B58,'qtrP&amp;L'!$6:$6,0))</f>
        <v>2655</v>
      </c>
      <c r="H61" s="706">
        <f>INDEX(wc!$12:$12,MATCH(B58,wc!$7:$7,0))</f>
        <v>4229</v>
      </c>
      <c r="J61" s="706">
        <f>AVERAGE(H61,H60)</f>
        <v>3837</v>
      </c>
      <c r="L61" s="1039">
        <f>(D61/D54-1)*100</f>
        <v>2.0040992940104863</v>
      </c>
      <c r="N61" s="760">
        <f>(H61/H54-1)*100</f>
        <v>0.52293796054194708</v>
      </c>
      <c r="P61" s="760">
        <f>(H61/H60-1)*100</f>
        <v>22.75761973875181</v>
      </c>
      <c r="R61" s="792">
        <f>F61/J61</f>
        <v>0.6919468334636435</v>
      </c>
      <c r="T61" s="792">
        <f>F62/H61</f>
        <v>0.93591865689288245</v>
      </c>
      <c r="V61" s="824">
        <f>IF(qtrSales!J146=0," ",qtrSales!J146)</f>
        <v>1017</v>
      </c>
      <c r="X61" s="579">
        <f>H61/V61</f>
        <v>4.1583087512291055</v>
      </c>
      <c r="Z61" s="678">
        <f>X61/X54-1</f>
        <v>6.2178057407249465E-3</v>
      </c>
      <c r="AB61" s="586">
        <f>qtrSales!AA146</f>
        <v>101.37500000000001</v>
      </c>
      <c r="AD61" s="788">
        <f>H61/AB61</f>
        <v>41.716399506781748</v>
      </c>
      <c r="AF61" s="760">
        <f>(AD61/AD54-1)*100</f>
        <v>0.3989885919099434</v>
      </c>
      <c r="AH61" s="790">
        <f>J61/(F61/(365/4))</f>
        <v>131.87429378531073</v>
      </c>
      <c r="AJ61" s="790">
        <f>H61/(F62/(365/4))</f>
        <v>97.497789287518941</v>
      </c>
      <c r="AL61" s="706">
        <f>INDEX('qtrP&amp;L'!$102:$102,MATCH($B58,'qtrP&amp;L'!$6:$6,0))</f>
        <v>406</v>
      </c>
    </row>
    <row r="62" spans="1:38" hidden="1" outlineLevel="1">
      <c r="A62" s="398" t="s">
        <v>161</v>
      </c>
      <c r="B62" s="398" t="s">
        <v>143</v>
      </c>
      <c r="D62" s="769">
        <f>qtrSales!S147</f>
        <v>6203.0839999999998</v>
      </c>
      <c r="F62" s="769">
        <f>INDEX('qtrP&amp;L'!$23:$23,MATCH($B58,'qtrP&amp;L'!$6:$6,0))</f>
        <v>3958</v>
      </c>
      <c r="H62" s="769">
        <f>INDEX(wc!$13:$13,MATCH(B58,wc!$7:$7,0))</f>
        <v>3210</v>
      </c>
      <c r="J62" s="769">
        <f>AVERAGE(H62,H61)</f>
        <v>3719.5</v>
      </c>
      <c r="L62" s="1153">
        <f>(D62/D55-1)*100</f>
        <v>4.1659781696053777</v>
      </c>
      <c r="N62" s="760">
        <f>(H62/H55-1)*100</f>
        <v>2.1642266072565253</v>
      </c>
      <c r="P62" s="760">
        <f>(H62/H61-1)*100</f>
        <v>-24.095530858358948</v>
      </c>
      <c r="R62" s="792">
        <f>F62/J62</f>
        <v>1.0641215217099071</v>
      </c>
      <c r="T62" s="792">
        <f>F66/H62</f>
        <v>0.77819314641744552</v>
      </c>
      <c r="V62" s="827">
        <f>IF(qtrSales!J147=0," ",qtrSales!J147)</f>
        <v>1019</v>
      </c>
      <c r="X62" s="579">
        <f>H62/V62</f>
        <v>3.1501472031403335</v>
      </c>
      <c r="Z62" s="678">
        <f>X62/X55-1</f>
        <v>1.9637080074385471E-2</v>
      </c>
      <c r="AB62" s="586">
        <f>qtrSales!AA147</f>
        <v>101.4</v>
      </c>
      <c r="AD62" s="788">
        <f>H62/AB62</f>
        <v>31.65680473372781</v>
      </c>
      <c r="AF62" s="760">
        <f>(AD62/AD55-1)*100</f>
        <v>2.0634729321014289</v>
      </c>
      <c r="AH62" s="790">
        <f>J62/(F62/(365/4))</f>
        <v>85.751484335522989</v>
      </c>
      <c r="AJ62" s="790">
        <f>H62/(F66/(365/4))</f>
        <v>117.25880704563652</v>
      </c>
      <c r="AL62" s="769">
        <f>INDEX('qtrP&amp;L'!$103:$103,MATCH($B58,'qtrP&amp;L'!$6:$6,0))</f>
        <v>667.08399999999983</v>
      </c>
    </row>
    <row r="63" spans="1:38" hidden="1" outlineLevel="1">
      <c r="B63" s="774" t="s">
        <v>116</v>
      </c>
      <c r="C63" s="774"/>
      <c r="D63" s="591">
        <f>qtrSales!S148</f>
        <v>18781.083999999999</v>
      </c>
      <c r="F63" s="591">
        <f>INDEX('qtrP&amp;L'!$24:$24,MATCH($B58,'qtrP&amp;L'!$6:$6,0))</f>
        <v>11591</v>
      </c>
      <c r="H63" s="591">
        <f>INDEX(wc!$13:$13,MATCH(B58,wc!$7:$7,0))</f>
        <v>3210</v>
      </c>
      <c r="J63" s="591">
        <f>AVERAGE(J59:J62)</f>
        <v>3527</v>
      </c>
      <c r="L63" s="1039">
        <f>(D63/D56-1)*100</f>
        <v>3.7858311229000741</v>
      </c>
      <c r="N63" s="1039"/>
      <c r="R63" s="1154">
        <f>F63/J63</f>
        <v>3.2863623476041961</v>
      </c>
      <c r="S63" s="953" t="s">
        <v>188</v>
      </c>
      <c r="V63" s="829">
        <f>V62</f>
        <v>1019</v>
      </c>
      <c r="AB63" s="810"/>
      <c r="AL63" s="591">
        <f>INDEX('qtrP&amp;L'!$104:$104,MATCH($B58,'qtrP&amp;L'!$6:$6,0))</f>
        <v>1630.0839999999989</v>
      </c>
    </row>
    <row r="64" spans="1:38" hidden="1" outlineLevel="1">
      <c r="L64" s="1039"/>
      <c r="AB64" s="810"/>
    </row>
    <row r="65" spans="1:38" hidden="1" outlineLevel="1">
      <c r="B65" s="1150">
        <v>2006</v>
      </c>
      <c r="C65" s="1088"/>
      <c r="L65" s="1039"/>
      <c r="AB65" s="810"/>
    </row>
    <row r="66" spans="1:38" hidden="1" outlineLevel="1">
      <c r="A66" s="398" t="s">
        <v>158</v>
      </c>
      <c r="B66" s="398" t="s">
        <v>140</v>
      </c>
      <c r="D66" s="591">
        <f>qtrSales!S151</f>
        <v>4219</v>
      </c>
      <c r="F66" s="591">
        <f>INDEX('qtrP&amp;L'!$20:$20,MATCH($B65,'qtrP&amp;L'!$6:$6,0))</f>
        <v>2498</v>
      </c>
      <c r="H66" s="591">
        <f>INDEX(wc!$10:$10,MATCH(B65,wc!$7:$7,0))</f>
        <v>3355</v>
      </c>
      <c r="J66" s="591">
        <f>AVERAGE(H66,H62)</f>
        <v>3282.5</v>
      </c>
      <c r="L66" s="1039">
        <f>(D66/D59-1)*100</f>
        <v>2.4526469159786402</v>
      </c>
      <c r="M66" s="398" t="s">
        <v>156</v>
      </c>
      <c r="N66" s="760">
        <f>(H66/H59-1)*100</f>
        <v>2.9772866789441466</v>
      </c>
      <c r="O66" s="398" t="s">
        <v>156</v>
      </c>
      <c r="P66" s="760">
        <f>(H66/H62-1)*100</f>
        <v>4.5171339563862878</v>
      </c>
      <c r="Q66" s="398" t="s">
        <v>156</v>
      </c>
      <c r="R66" s="792">
        <f>F66/J66</f>
        <v>0.76100533130236103</v>
      </c>
      <c r="S66" s="398" t="s">
        <v>188</v>
      </c>
      <c r="T66" s="792">
        <f>F67/H66</f>
        <v>0.7913824143070044</v>
      </c>
      <c r="V66" s="824">
        <f>IF(qtrSales!J151=0," ",qtrSales!J151)</f>
        <v>1021</v>
      </c>
      <c r="X66" s="579">
        <f>H66/V66</f>
        <v>3.2859941234084231</v>
      </c>
      <c r="Z66" s="678">
        <f>X66/X59-1</f>
        <v>2.3721312234361358E-2</v>
      </c>
      <c r="AB66" s="586">
        <f>qtrSales!AA151</f>
        <v>101.825</v>
      </c>
      <c r="AD66" s="788">
        <f>H66/AB66</f>
        <v>32.948686471888045</v>
      </c>
      <c r="AF66" s="760">
        <f>(AD66/AD59-1)*100</f>
        <v>2.4716285071840538</v>
      </c>
      <c r="AG66" s="398" t="s">
        <v>156</v>
      </c>
      <c r="AH66" s="790">
        <f>J66/(F66/(365/4))</f>
        <v>119.90717574059248</v>
      </c>
      <c r="AJ66" s="790">
        <f>H66/(F67/(365/4))</f>
        <v>115.30455864363066</v>
      </c>
      <c r="AL66" s="591">
        <f>INDEX('qtrP&amp;L'!$100:$100,MATCH($B65,'qtrP&amp;L'!$6:$6,0))</f>
        <v>381</v>
      </c>
    </row>
    <row r="67" spans="1:38" hidden="1" outlineLevel="1">
      <c r="A67" s="398" t="s">
        <v>159</v>
      </c>
      <c r="B67" s="398" t="s">
        <v>141</v>
      </c>
      <c r="D67" s="706">
        <f>qtrSales!S152</f>
        <v>4237.0879999999997</v>
      </c>
      <c r="F67" s="706">
        <f>INDEX('qtrP&amp;L'!$21:$21,MATCH($B65,'qtrP&amp;L'!$6:$6,0))</f>
        <v>2655.0879999999997</v>
      </c>
      <c r="H67" s="706">
        <f>INDEX(wc!$11:$11,MATCH(B65,wc!$7:$7,0))</f>
        <v>3461</v>
      </c>
      <c r="J67" s="706">
        <f>AVERAGE(H67,H66)</f>
        <v>3408</v>
      </c>
      <c r="L67" s="1039">
        <f>(D67/D60-1)*100</f>
        <v>6.4327555890479671</v>
      </c>
      <c r="N67" s="760">
        <f>(H67/H60-1)*100</f>
        <v>0.46444121915820702</v>
      </c>
      <c r="P67" s="760">
        <f>(H67/H66-1)*100</f>
        <v>3.1594634873323368</v>
      </c>
      <c r="R67" s="792">
        <f>F67/J67</f>
        <v>0.77907511737089197</v>
      </c>
      <c r="T67" s="792">
        <f>F68/H67</f>
        <v>0.80785900028893387</v>
      </c>
      <c r="V67" s="824">
        <f>IF(qtrSales!J152=0," ",qtrSales!J152)</f>
        <v>1021</v>
      </c>
      <c r="X67" s="579">
        <f>H67/V67</f>
        <v>3.3898139079333984</v>
      </c>
      <c r="Z67" s="678">
        <f>X67/X60-1</f>
        <v>-1.2594726988680582E-3</v>
      </c>
      <c r="AB67" s="586">
        <f>qtrSales!AA152</f>
        <v>102.25</v>
      </c>
      <c r="AD67" s="788">
        <f>H67/AB67</f>
        <v>33.848410757946212</v>
      </c>
      <c r="AF67" s="760">
        <f>(AD67/AD60-1)*100</f>
        <v>-0.41984237103485089</v>
      </c>
      <c r="AH67" s="790">
        <f>J67/(F67/(365/4))</f>
        <v>117.12606135841826</v>
      </c>
      <c r="AJ67" s="790">
        <f>H67/(F68/(365/4))</f>
        <v>112.9528791130186</v>
      </c>
      <c r="AL67" s="706">
        <f>INDEX('qtrP&amp;L'!$101:$101,MATCH($B65,'qtrP&amp;L'!$6:$6,0))</f>
        <v>279</v>
      </c>
    </row>
    <row r="68" spans="1:38" hidden="1" outlineLevel="1">
      <c r="A68" s="398" t="s">
        <v>160</v>
      </c>
      <c r="B68" s="398" t="s">
        <v>142</v>
      </c>
      <c r="D68" s="706">
        <f>qtrSales!S153</f>
        <v>4781</v>
      </c>
      <c r="F68" s="706">
        <f>INDEX('qtrP&amp;L'!$22:$22,MATCH($B65,'qtrP&amp;L'!$6:$6,0))</f>
        <v>2796</v>
      </c>
      <c r="H68" s="706">
        <f>INDEX(wc!$12:$12,MATCH(B65,wc!$7:$7,0))</f>
        <v>4275</v>
      </c>
      <c r="J68" s="706">
        <f>AVERAGE(H68,H67)</f>
        <v>3868</v>
      </c>
      <c r="L68" s="1039">
        <f>(D68/D61-1)*100</f>
        <v>6.7425764679615918</v>
      </c>
      <c r="N68" s="760">
        <f>(H68/H61-1)*100</f>
        <v>1.0877275951761689</v>
      </c>
      <c r="P68" s="760">
        <f>(H68/H67-1)*100</f>
        <v>23.519214099971109</v>
      </c>
      <c r="R68" s="792">
        <f>F68/J68</f>
        <v>0.7228541882109617</v>
      </c>
      <c r="T68" s="792">
        <f>F69/H68</f>
        <v>0.96959064327485378</v>
      </c>
      <c r="V68" s="824">
        <f>IF(qtrSales!J153=0," ",qtrSales!J153)</f>
        <v>1037</v>
      </c>
      <c r="X68" s="579">
        <f>H68/V68</f>
        <v>4.1224686595949853</v>
      </c>
      <c r="Z68" s="678">
        <f>X68/X61-1</f>
        <v>-8.6189106625443879E-3</v>
      </c>
      <c r="AB68" s="586">
        <f>qtrSales!AA153</f>
        <v>102.675</v>
      </c>
      <c r="AD68" s="788">
        <f>H68/AB68</f>
        <v>41.636230825420014</v>
      </c>
      <c r="AF68" s="760">
        <f>(AD68/AD61-1)*100</f>
        <v>-0.19217545691760929</v>
      </c>
      <c r="AH68" s="790">
        <f>J68/(F68/(365/4))</f>
        <v>126.23569384835479</v>
      </c>
      <c r="AJ68" s="790">
        <f>H68/(F69/(365/4))</f>
        <v>94.111881785283472</v>
      </c>
      <c r="AL68" s="706">
        <f>INDEX('qtrP&amp;L'!$102:$102,MATCH($B65,'qtrP&amp;L'!$6:$6,0))</f>
        <v>504</v>
      </c>
    </row>
    <row r="69" spans="1:38" hidden="1" outlineLevel="1">
      <c r="A69" s="398" t="s">
        <v>161</v>
      </c>
      <c r="B69" s="398" t="s">
        <v>143</v>
      </c>
      <c r="D69" s="769">
        <f>qtrSales!S154</f>
        <v>6668</v>
      </c>
      <c r="F69" s="769">
        <f>INDEX('qtrP&amp;L'!$23:$23,MATCH($B65,'qtrP&amp;L'!$6:$6,0))</f>
        <v>4145</v>
      </c>
      <c r="H69" s="769">
        <f>INDEX(wc!$13:$13,MATCH(B65,wc!$7:$7,0))</f>
        <v>3400</v>
      </c>
      <c r="J69" s="769">
        <f>AVERAGE(H69,H68)</f>
        <v>3837.5</v>
      </c>
      <c r="L69" s="1153">
        <f>(D69/D62-1)*100</f>
        <v>7.4949170444894797</v>
      </c>
      <c r="N69" s="760">
        <f>(H69/H62-1)*100</f>
        <v>5.9190031152647871</v>
      </c>
      <c r="P69" s="760">
        <f>(H69/H68-1)*100</f>
        <v>-20.467836257309948</v>
      </c>
      <c r="R69" s="792">
        <f>F69/J69</f>
        <v>1.0801302931596091</v>
      </c>
      <c r="T69" s="792">
        <f>F73/H69</f>
        <v>0.74794117647058822</v>
      </c>
      <c r="V69" s="827">
        <f>IF(qtrSales!J154=0," ",qtrSales!J154)</f>
        <v>1033</v>
      </c>
      <c r="X69" s="579">
        <f>H69/V69</f>
        <v>3.2913843175217812</v>
      </c>
      <c r="Z69" s="678">
        <f>X69/X62-1</f>
        <v>4.4835083973425283E-2</v>
      </c>
      <c r="AB69" s="586">
        <f>qtrSales!AA154</f>
        <v>103.1</v>
      </c>
      <c r="AD69" s="788">
        <f>H69/AB69</f>
        <v>32.977691561590689</v>
      </c>
      <c r="AF69" s="760">
        <f>(AD69/AD62-1)*100</f>
        <v>4.1725210076416053</v>
      </c>
      <c r="AH69" s="790">
        <f>J69/(F69/(365/4))</f>
        <v>84.480548854041004</v>
      </c>
      <c r="AJ69" s="790">
        <f>H69/(F73/(365/4))</f>
        <v>122.00157294534016</v>
      </c>
      <c r="AL69" s="769">
        <f>INDEX('qtrP&amp;L'!$103:$103,MATCH($B65,'qtrP&amp;L'!$6:$6,0))</f>
        <v>744</v>
      </c>
    </row>
    <row r="70" spans="1:38" hidden="1" outlineLevel="1">
      <c r="B70" s="774" t="s">
        <v>116</v>
      </c>
      <c r="C70" s="774"/>
      <c r="D70" s="591">
        <f>qtrSales!S155</f>
        <v>19905.088</v>
      </c>
      <c r="F70" s="591">
        <f>INDEX('qtrP&amp;L'!$24:$24,MATCH($B65,'qtrP&amp;L'!$6:$6,0))</f>
        <v>12094.088</v>
      </c>
      <c r="H70" s="591">
        <f>INDEX(wc!$13:$13,MATCH(B65,wc!$7:$7,0))</f>
        <v>3400</v>
      </c>
      <c r="J70" s="591">
        <f>AVERAGE(J66:J69)</f>
        <v>3599</v>
      </c>
      <c r="L70" s="1039">
        <f>(D70/D63-1)*100</f>
        <v>5.9847663745074664</v>
      </c>
      <c r="R70" s="1154">
        <f>F70/J70</f>
        <v>3.3604023339816615</v>
      </c>
      <c r="S70" s="953" t="s">
        <v>188</v>
      </c>
      <c r="V70" s="829">
        <f>V69</f>
        <v>1033</v>
      </c>
      <c r="AB70" s="810"/>
      <c r="AL70" s="591">
        <f>INDEX('qtrP&amp;L'!$104:$104,MATCH($B65,'qtrP&amp;L'!$6:$6,0))</f>
        <v>1908</v>
      </c>
    </row>
    <row r="71" spans="1:38" hidden="1" outlineLevel="1">
      <c r="L71" s="1039"/>
      <c r="AB71" s="810"/>
    </row>
    <row r="72" spans="1:38" hidden="1" outlineLevel="1">
      <c r="B72" s="1150">
        <v>2007</v>
      </c>
      <c r="C72" s="1088"/>
      <c r="L72" s="1039"/>
      <c r="AB72" s="810"/>
    </row>
    <row r="73" spans="1:38" hidden="1" outlineLevel="1">
      <c r="A73" s="398" t="s">
        <v>158</v>
      </c>
      <c r="B73" s="398" t="s">
        <v>140</v>
      </c>
      <c r="D73" s="591">
        <f>qtrSales!S158</f>
        <v>4349</v>
      </c>
      <c r="F73" s="591">
        <f>INDEX('qtrP&amp;L'!$20:$20,MATCH($B72,'qtrP&amp;L'!$6:$6,0))</f>
        <v>2543</v>
      </c>
      <c r="H73" s="591">
        <f>INDEX(wc!$10:$10,MATCH(B72,wc!$7:$7,0))</f>
        <v>3497</v>
      </c>
      <c r="J73" s="591">
        <f>AVERAGE(H73,H69)</f>
        <v>3448.5</v>
      </c>
      <c r="L73" s="1039">
        <f>(D73/D66-1)*100</f>
        <v>3.0812988859919344</v>
      </c>
      <c r="M73" s="398" t="s">
        <v>156</v>
      </c>
      <c r="N73" s="760">
        <f>(H73/H66-1)*100</f>
        <v>4.2324888226527468</v>
      </c>
      <c r="O73" s="398" t="s">
        <v>156</v>
      </c>
      <c r="P73" s="760">
        <f>(H73/H69-1)*100</f>
        <v>2.8529411764705914</v>
      </c>
      <c r="Q73" s="398" t="s">
        <v>156</v>
      </c>
      <c r="R73" s="792">
        <f>F73/J73</f>
        <v>0.73742206756560824</v>
      </c>
      <c r="S73" s="398" t="s">
        <v>188</v>
      </c>
      <c r="T73" s="792">
        <f>F74/H73</f>
        <v>0.77693165570488987</v>
      </c>
      <c r="V73" s="824">
        <f>IF(qtrSales!J158=0," ",qtrSales!J158)</f>
        <v>1039</v>
      </c>
      <c r="X73" s="579">
        <f>H73/V73</f>
        <v>3.3657362848893166</v>
      </c>
      <c r="Z73" s="678">
        <f>X73/X66-1</f>
        <v>2.426728669806022E-2</v>
      </c>
      <c r="AB73" s="586">
        <f>qtrSales!AA158</f>
        <v>103.97499999999999</v>
      </c>
      <c r="AD73" s="788">
        <f>H73/AB73</f>
        <v>33.633084876172155</v>
      </c>
      <c r="AF73" s="760">
        <f>(AD73/AD66-1)*100</f>
        <v>2.0771644565195091</v>
      </c>
      <c r="AG73" s="398" t="s">
        <v>156</v>
      </c>
      <c r="AH73" s="790">
        <f>J73/(F73/(365/4))</f>
        <v>123.74188950058986</v>
      </c>
      <c r="AJ73" s="790">
        <f>H73/(F74/(365/4))</f>
        <v>117.44919817588234</v>
      </c>
      <c r="AL73" s="591">
        <f>INDEX('qtrP&amp;L'!$100:$100,MATCH($B72,'qtrP&amp;L'!$6:$6,0))</f>
        <v>418</v>
      </c>
    </row>
    <row r="74" spans="1:38" hidden="1" outlineLevel="1">
      <c r="A74" s="398" t="s">
        <v>159</v>
      </c>
      <c r="B74" s="398" t="s">
        <v>141</v>
      </c>
      <c r="D74" s="706">
        <f>qtrSales!S159</f>
        <v>4390</v>
      </c>
      <c r="F74" s="706">
        <f>INDEX('qtrP&amp;L'!$21:$21,MATCH($B72,'qtrP&amp;L'!$6:$6,0))</f>
        <v>2716.93</v>
      </c>
      <c r="H74" s="706">
        <f>INDEX(wc!$11:$11,MATCH(B72,wc!$7:$7,0))</f>
        <v>3649</v>
      </c>
      <c r="J74" s="706">
        <f>AVERAGE(H74,H73)</f>
        <v>3573</v>
      </c>
      <c r="L74" s="1039">
        <f>(D74/D67-1)*100</f>
        <v>3.6088936552651329</v>
      </c>
      <c r="N74" s="760">
        <f>(H74/H67-1)*100</f>
        <v>5.4319560820571988</v>
      </c>
      <c r="P74" s="760">
        <f>(H74/H73-1)*100</f>
        <v>4.3465827852444905</v>
      </c>
      <c r="R74" s="792">
        <f>F74/J74</f>
        <v>0.76040582143856694</v>
      </c>
      <c r="T74" s="792">
        <f>F75/H74</f>
        <v>0.78103590024664293</v>
      </c>
      <c r="V74" s="824">
        <f>IF(qtrSales!J159=0," ",qtrSales!J159)</f>
        <v>1048</v>
      </c>
      <c r="X74" s="579">
        <f>H74/V74</f>
        <v>3.4818702290076335</v>
      </c>
      <c r="Z74" s="678">
        <f>X74/X67-1</f>
        <v>2.7156747707828499E-2</v>
      </c>
      <c r="AB74" s="586">
        <f>qtrSales!AA159</f>
        <v>104.85</v>
      </c>
      <c r="AD74" s="788">
        <f>H74/AB74</f>
        <v>34.802098235574633</v>
      </c>
      <c r="AF74" s="760">
        <f>(AD74/AD67-1)*100</f>
        <v>2.8175251253252265</v>
      </c>
      <c r="AH74" s="790">
        <f>J74/(F74/(365/4))</f>
        <v>120.00171149054263</v>
      </c>
      <c r="AJ74" s="790">
        <f>H74/(F75/(365/4))</f>
        <v>116.83201754385965</v>
      </c>
      <c r="AL74" s="706">
        <f>INDEX('qtrP&amp;L'!$101:$101,MATCH($B72,'qtrP&amp;L'!$6:$6,0))</f>
        <v>328.07000000000016</v>
      </c>
    </row>
    <row r="75" spans="1:38" hidden="1" outlineLevel="1">
      <c r="A75" s="398" t="s">
        <v>160</v>
      </c>
      <c r="B75" s="398" t="s">
        <v>142</v>
      </c>
      <c r="D75" s="706">
        <f>qtrSales!S160</f>
        <v>4728</v>
      </c>
      <c r="F75" s="706">
        <f>INDEX('qtrP&amp;L'!$22:$22,MATCH($B72,'qtrP&amp;L'!$6:$6,0))</f>
        <v>2850</v>
      </c>
      <c r="H75" s="706">
        <f>INDEX(wc!$12:$12,MATCH(B72,wc!$7:$7,0))</f>
        <v>4734</v>
      </c>
      <c r="J75" s="706">
        <f>AVERAGE(H75,H74)</f>
        <v>4191.5</v>
      </c>
      <c r="L75" s="1039">
        <f>(D75/D68-1)*100</f>
        <v>-1.1085546956703607</v>
      </c>
      <c r="N75" s="760">
        <f>(H75/H68-1)*100</f>
        <v>10.736842105263156</v>
      </c>
      <c r="P75" s="760">
        <f>(H75/H74-1)*100</f>
        <v>29.734173746231839</v>
      </c>
      <c r="R75" s="792">
        <f>F75/J75</f>
        <v>0.67994751282357146</v>
      </c>
      <c r="T75" s="792">
        <f>F76/H75</f>
        <v>0.86311787072243351</v>
      </c>
      <c r="V75" s="824">
        <f>IF(qtrSales!J160=0," ",qtrSales!J160)</f>
        <v>1067</v>
      </c>
      <c r="X75" s="579">
        <f>H75/V75</f>
        <v>4.4367385192127458</v>
      </c>
      <c r="Z75" s="678">
        <f>X75/X68-1</f>
        <v>7.6233413900261393E-2</v>
      </c>
      <c r="AB75" s="586">
        <f>qtrSales!AA160</f>
        <v>105.72499999999999</v>
      </c>
      <c r="AD75" s="788">
        <f>H75/AB75</f>
        <v>44.776542917947509</v>
      </c>
      <c r="AF75" s="760">
        <f>(AD75/AD68-1)*100</f>
        <v>7.5422583415265532</v>
      </c>
      <c r="AH75" s="790">
        <f>J75/(F75/(365/4))</f>
        <v>134.20153508771929</v>
      </c>
      <c r="AJ75" s="790">
        <f>H75/(F76/(365/4))</f>
        <v>105.72136563876651</v>
      </c>
      <c r="AL75" s="706">
        <f>INDEX('qtrP&amp;L'!$102:$102,MATCH($B72,'qtrP&amp;L'!$6:$6,0))</f>
        <v>410</v>
      </c>
    </row>
    <row r="76" spans="1:38" hidden="1" outlineLevel="1">
      <c r="A76" s="398" t="s">
        <v>161</v>
      </c>
      <c r="B76" s="398" t="s">
        <v>143</v>
      </c>
      <c r="D76" s="769">
        <f>qtrSales!S161</f>
        <v>6390</v>
      </c>
      <c r="F76" s="769">
        <f>INDEX('qtrP&amp;L'!$23:$23,MATCH($B72,'qtrP&amp;L'!$6:$6,0))</f>
        <v>4086</v>
      </c>
      <c r="H76" s="769">
        <f>INDEX(wc!$13:$13,MATCH(B72,wc!$7:$7,0))</f>
        <v>3641</v>
      </c>
      <c r="J76" s="769">
        <f>AVERAGE(H76,H75)</f>
        <v>4187.5</v>
      </c>
      <c r="L76" s="1153">
        <f>(D76/D69-1)*100</f>
        <v>-4.1691661667666473</v>
      </c>
      <c r="N76" s="760">
        <f>(H76/H69-1)*100</f>
        <v>7.0882352941176396</v>
      </c>
      <c r="P76" s="760">
        <f>(H76/H75-1)*100</f>
        <v>-23.088297422898187</v>
      </c>
      <c r="R76" s="792">
        <f>F76/J76</f>
        <v>0.97576119402985073</v>
      </c>
      <c r="T76" s="792">
        <f>F80/H76</f>
        <v>0.68030760780005495</v>
      </c>
      <c r="V76" s="827">
        <f>IF(qtrSales!J161=0," ",qtrSales!J161)</f>
        <v>1067</v>
      </c>
      <c r="X76" s="579">
        <f>H76/V76</f>
        <v>3.4123711340206184</v>
      </c>
      <c r="Z76" s="678">
        <f>X76/X69-1</f>
        <v>3.6758641600970199E-2</v>
      </c>
      <c r="AB76" s="586">
        <f>qtrSales!AA161</f>
        <v>106.6</v>
      </c>
      <c r="AD76" s="788">
        <f>H76/AB76</f>
        <v>34.155722326454033</v>
      </c>
      <c r="AF76" s="760">
        <f>(AD76/AD69-1)*100</f>
        <v>3.5722050546297179</v>
      </c>
      <c r="AH76" s="790">
        <f>J76/(F76/(365/4))</f>
        <v>93.516733969652464</v>
      </c>
      <c r="AJ76" s="790">
        <f>H76/(F80/(365/4))</f>
        <v>134.13050060557126</v>
      </c>
      <c r="AL76" s="769">
        <f>INDEX('qtrP&amp;L'!$103:$103,MATCH($B72,'qtrP&amp;L'!$6:$6,0))</f>
        <v>722</v>
      </c>
    </row>
    <row r="77" spans="1:38" hidden="1" outlineLevel="1">
      <c r="B77" s="774" t="s">
        <v>116</v>
      </c>
      <c r="C77" s="774"/>
      <c r="D77" s="591">
        <f>qtrSales!S162</f>
        <v>19857</v>
      </c>
      <c r="F77" s="591">
        <f>INDEX('qtrP&amp;L'!$24:$24,MATCH($B72,'qtrP&amp;L'!$6:$6,0))</f>
        <v>12195.93</v>
      </c>
      <c r="H77" s="591">
        <f>INDEX(wc!$13:$13,MATCH(B72,wc!$7:$7,0))</f>
        <v>3641</v>
      </c>
      <c r="J77" s="591">
        <f>AVERAGE(J73:J76)</f>
        <v>3850.125</v>
      </c>
      <c r="L77" s="1039">
        <f>(D77/D70-1)*100</f>
        <v>-0.24158647276515399</v>
      </c>
      <c r="R77" s="1154">
        <f>F77/J77</f>
        <v>3.1676711795071588</v>
      </c>
      <c r="S77" s="953" t="s">
        <v>188</v>
      </c>
      <c r="V77" s="829">
        <f>V76</f>
        <v>1067</v>
      </c>
      <c r="AB77" s="810"/>
      <c r="AL77" s="591">
        <f>INDEX('qtrP&amp;L'!$104:$104,MATCH($B72,'qtrP&amp;L'!$6:$6,0))</f>
        <v>1878.0699999999997</v>
      </c>
    </row>
    <row r="78" spans="1:38" hidden="1" outlineLevel="1">
      <c r="L78" s="1039"/>
      <c r="AB78" s="810"/>
    </row>
    <row r="79" spans="1:38" hidden="1" outlineLevel="1">
      <c r="B79" s="1150">
        <v>2008</v>
      </c>
      <c r="C79" s="1155"/>
      <c r="L79" s="1039"/>
      <c r="AB79" s="810"/>
      <c r="AH79" s="790"/>
    </row>
    <row r="80" spans="1:38" hidden="1" outlineLevel="1">
      <c r="A80" s="398" t="s">
        <v>158</v>
      </c>
      <c r="B80" s="398" t="s">
        <v>140</v>
      </c>
      <c r="D80" s="591">
        <f>qtrSales!S165</f>
        <v>4127</v>
      </c>
      <c r="F80" s="591">
        <f>INDEX('qtrP&amp;L'!$20:$20,MATCH($B79,'qtrP&amp;L'!$6:$6,0))</f>
        <v>2477</v>
      </c>
      <c r="H80" s="591">
        <f>INDEX(wc!$10:$10,MATCH(B79,wc!$7:$7,0))</f>
        <v>3694</v>
      </c>
      <c r="J80" s="591">
        <f>AVERAGE(H80,H76)</f>
        <v>3667.5</v>
      </c>
      <c r="L80" s="1039">
        <f>(D80/D73-1)*100</f>
        <v>-5.1046217521269259</v>
      </c>
      <c r="M80" s="398" t="s">
        <v>156</v>
      </c>
      <c r="N80" s="760">
        <f>(H80/H73-1)*100</f>
        <v>5.6334000571918841</v>
      </c>
      <c r="O80" s="398" t="s">
        <v>156</v>
      </c>
      <c r="P80" s="760">
        <f>(H80/H76-1)*100</f>
        <v>1.455644053831362</v>
      </c>
      <c r="Q80" s="398" t="s">
        <v>156</v>
      </c>
      <c r="R80" s="792">
        <f>F80/J80</f>
        <v>0.67539195637355143</v>
      </c>
      <c r="S80" s="398" t="s">
        <v>188</v>
      </c>
      <c r="T80" s="792">
        <f>F81/H80</f>
        <v>0.72453625124425858</v>
      </c>
      <c r="V80" s="824">
        <f>IF(qtrSales!J165=0," ",qtrSales!J165)</f>
        <v>1078</v>
      </c>
      <c r="X80" s="579">
        <f>H80/V80</f>
        <v>3.4267161410018554</v>
      </c>
      <c r="Z80" s="678">
        <f>X80/X73-1</f>
        <v>1.8117835430634166E-2</v>
      </c>
      <c r="AB80" s="586">
        <f>qtrSales!AA165</f>
        <v>107.425</v>
      </c>
      <c r="AD80" s="788">
        <f>H80/AB80</f>
        <v>34.386781475447989</v>
      </c>
      <c r="AF80" s="760">
        <f>(AD80/AD73-1)*100</f>
        <v>2.2409380586132288</v>
      </c>
      <c r="AG80" s="398" t="s">
        <v>156</v>
      </c>
      <c r="AH80" s="790">
        <f>J80/(F80/(365/4))</f>
        <v>135.10673193379088</v>
      </c>
      <c r="AJ80" s="790">
        <f>H80/(F81/(365/4))</f>
        <v>125.94262860318557</v>
      </c>
      <c r="AL80" s="591">
        <f>INDEX('qtrP&amp;L'!$100:$100,MATCH($B79,'qtrP&amp;L'!$6:$6,0))</f>
        <v>248</v>
      </c>
    </row>
    <row r="81" spans="1:38" hidden="1" outlineLevel="1">
      <c r="A81" s="398" t="s">
        <v>159</v>
      </c>
      <c r="B81" s="398" t="s">
        <v>141</v>
      </c>
      <c r="D81" s="706">
        <f>qtrSales!S166</f>
        <v>4282.4964120962914</v>
      </c>
      <c r="F81" s="706">
        <f>INDEX('qtrP&amp;L'!$21:$21,MATCH($B79,'qtrP&amp;L'!$6:$6,0))</f>
        <v>2676.4369120962911</v>
      </c>
      <c r="H81" s="706">
        <f>INDEX(wc!$11:$11,MATCH(B79,wc!$7:$7,0))</f>
        <v>3693</v>
      </c>
      <c r="J81" s="706">
        <f>AVERAGE(H81,H80)</f>
        <v>3693.5</v>
      </c>
      <c r="L81" s="1039">
        <f>(D81/D74-1)*100</f>
        <v>-2.448828881633458</v>
      </c>
      <c r="N81" s="760">
        <f>(H81/H74-1)*100</f>
        <v>1.2058098109070992</v>
      </c>
      <c r="P81" s="760">
        <f>(H81/H80-1)*100</f>
        <v>-2.7070925825667391E-2</v>
      </c>
      <c r="R81" s="792">
        <f>F81/J81</f>
        <v>0.72463433385577125</v>
      </c>
      <c r="T81" s="792">
        <f>F82/H81</f>
        <v>0.71860665014849257</v>
      </c>
      <c r="V81" s="824">
        <f>IF(qtrSales!J166=0," ",qtrSales!J166)</f>
        <v>1083</v>
      </c>
      <c r="X81" s="579">
        <f>H81/V81</f>
        <v>3.4099722991689752</v>
      </c>
      <c r="Z81" s="678">
        <f>X81/X74-1</f>
        <v>-2.0649227314583185E-2</v>
      </c>
      <c r="AB81" s="586">
        <f>qtrSales!AA166</f>
        <v>108.25</v>
      </c>
      <c r="AD81" s="788">
        <f>H81/AB81</f>
        <v>34.115473441108549</v>
      </c>
      <c r="AF81" s="760">
        <f>(AD81/AD74-1)*100</f>
        <v>-1.9729407974724333</v>
      </c>
      <c r="AH81" s="790">
        <f>J81/(F81/(365/4))</f>
        <v>125.92558168539954</v>
      </c>
      <c r="AJ81" s="790">
        <f>H81/(F82/(365/4))</f>
        <v>126.98184741422048</v>
      </c>
      <c r="AL81" s="706">
        <f>INDEX('qtrP&amp;L'!$101:$101,MATCH($B79,'qtrP&amp;L'!$6:$6,0))</f>
        <v>243.0595000000003</v>
      </c>
    </row>
    <row r="82" spans="1:38" hidden="1" outlineLevel="1">
      <c r="A82" s="398" t="s">
        <v>160</v>
      </c>
      <c r="B82" s="398" t="s">
        <v>142</v>
      </c>
      <c r="D82" s="706">
        <f>qtrSales!S167</f>
        <v>4317.814358998382</v>
      </c>
      <c r="F82" s="706">
        <f>INDEX('qtrP&amp;L'!$22:$22,MATCH($B79,'qtrP&amp;L'!$6:$6,0))</f>
        <v>2653.8143589983829</v>
      </c>
      <c r="H82" s="706">
        <f>INDEX(wc!$12:$12,MATCH(B79,wc!$7:$7,0))</f>
        <v>4471</v>
      </c>
      <c r="J82" s="706">
        <f>AVERAGE(H82,H81)</f>
        <v>4082</v>
      </c>
      <c r="L82" s="1039">
        <f>(D82/D75-1)*100</f>
        <v>-8.6756692259225439</v>
      </c>
      <c r="N82" s="760">
        <f>(H82/H75-1)*100</f>
        <v>-5.555555555555558</v>
      </c>
      <c r="P82" s="760">
        <f>(H82/H81-1)*100</f>
        <v>21.066883292715954</v>
      </c>
      <c r="R82" s="792">
        <f>F82/J82</f>
        <v>0.65012600661400854</v>
      </c>
      <c r="T82" s="792">
        <f>F83/H82</f>
        <v>0.84169575209376368</v>
      </c>
      <c r="V82" s="824">
        <f>IF(qtrSales!J167=0," ",qtrSales!J167)</f>
        <v>1093</v>
      </c>
      <c r="X82" s="579">
        <f>H82/V82</f>
        <v>4.0905763952424516</v>
      </c>
      <c r="Z82" s="678">
        <f>X82/X75-1</f>
        <v>-7.8021754599979731E-2</v>
      </c>
      <c r="AB82" s="586">
        <f>qtrSales!AA167</f>
        <v>109.075</v>
      </c>
      <c r="AD82" s="788">
        <f>H82/AB82</f>
        <v>40.990144396057758</v>
      </c>
      <c r="AF82" s="760">
        <f>(AD82/AD75-1)*100</f>
        <v>-8.4562100491506911</v>
      </c>
      <c r="AH82" s="790">
        <f>J82/(F82/(365/4))</f>
        <v>140.35740621306473</v>
      </c>
      <c r="AJ82" s="790">
        <f>H82/(F83/(365/4))</f>
        <v>108.41209519355503</v>
      </c>
      <c r="AL82" s="706">
        <f>INDEX('qtrP&amp;L'!$102:$102,MATCH($B79,'qtrP&amp;L'!$6:$6,0))</f>
        <v>247.80967741935393</v>
      </c>
    </row>
    <row r="83" spans="1:38" hidden="1" outlineLevel="1">
      <c r="A83" s="398" t="s">
        <v>161</v>
      </c>
      <c r="B83" s="398" t="s">
        <v>143</v>
      </c>
      <c r="D83" s="769">
        <f>qtrSales!S168</f>
        <v>5759.2217076112174</v>
      </c>
      <c r="F83" s="769">
        <f>INDEX('qtrP&amp;L'!$23:$23,MATCH($B79,'qtrP&amp;L'!$6:$6,0))</f>
        <v>3763.2217076112174</v>
      </c>
      <c r="H83" s="769">
        <f>INDEX(wc!$13:$13,MATCH(B79,wc!$7:$7,0))</f>
        <v>3259</v>
      </c>
      <c r="J83" s="769">
        <f>AVERAGE(H83,H82)</f>
        <v>3865</v>
      </c>
      <c r="L83" s="1153">
        <f>(D83/D76-1)*100</f>
        <v>-9.8713347791671744</v>
      </c>
      <c r="N83" s="760">
        <f>(H83/H76-1)*100</f>
        <v>-10.491623180444931</v>
      </c>
      <c r="P83" s="760">
        <f>(H83/H82-1)*100</f>
        <v>-27.10802952359651</v>
      </c>
      <c r="R83" s="792">
        <f>F83/J83</f>
        <v>0.97366667726034084</v>
      </c>
      <c r="T83" s="792">
        <f>F87/H83</f>
        <v>0.70955358105204902</v>
      </c>
      <c r="V83" s="827">
        <f>IF(qtrSales!J168=0," ",qtrSales!J168)</f>
        <v>1093</v>
      </c>
      <c r="X83" s="579">
        <f>H83/V83</f>
        <v>2.9817017383348583</v>
      </c>
      <c r="Z83" s="678">
        <f>X83/X76-1</f>
        <v>-0.12620825190791163</v>
      </c>
      <c r="AB83" s="586">
        <f>qtrSales!AA168</f>
        <v>109.9</v>
      </c>
      <c r="AD83" s="788">
        <f>H83/AB83</f>
        <v>29.65423111919927</v>
      </c>
      <c r="AF83" s="760">
        <f>(AD83/AD76-1)*100</f>
        <v>-13.179317843816474</v>
      </c>
      <c r="AH83" s="790">
        <f>J83/(F83/(365/4))</f>
        <v>93.717903807445808</v>
      </c>
      <c r="AJ83" s="790">
        <f>H83/(F87/(365/4))</f>
        <v>128.60198642744416</v>
      </c>
      <c r="AL83" s="769">
        <f>INDEX('qtrP&amp;L'!$103:$103,MATCH($B79,'qtrP&amp;L'!$6:$6,0))</f>
        <v>390</v>
      </c>
    </row>
    <row r="84" spans="1:38" hidden="1" outlineLevel="1">
      <c r="B84" s="774" t="s">
        <v>116</v>
      </c>
      <c r="C84" s="774"/>
      <c r="D84" s="591">
        <f>qtrSales!S169</f>
        <v>18486.532478705889</v>
      </c>
      <c r="F84" s="591">
        <f>INDEX('qtrP&amp;L'!$24:$24,MATCH($B79,'qtrP&amp;L'!$6:$6,0))</f>
        <v>11570.472978705891</v>
      </c>
      <c r="H84" s="591">
        <f>INDEX(wc!$13:$13,MATCH(B79,wc!$7:$7,0))</f>
        <v>3259</v>
      </c>
      <c r="J84" s="591">
        <f>AVERAGE(J80:J83)</f>
        <v>3827</v>
      </c>
      <c r="L84" s="1039">
        <f>(D84/D77-1)*100</f>
        <v>-6.9016846517304327</v>
      </c>
      <c r="R84" s="1154">
        <f>F84/J84</f>
        <v>3.0233794038949284</v>
      </c>
      <c r="S84" s="953" t="s">
        <v>188</v>
      </c>
      <c r="V84" s="829">
        <f>V83</f>
        <v>1093</v>
      </c>
      <c r="AL84" s="591">
        <f>INDEX('qtrP&amp;L'!$104:$104,MATCH($B79,'qtrP&amp;L'!$6:$6,0))</f>
        <v>1128.8691774193524</v>
      </c>
    </row>
    <row r="85" spans="1:38" hidden="1" outlineLevel="1">
      <c r="L85" s="1039"/>
      <c r="AB85" s="810"/>
    </row>
    <row r="86" spans="1:38" collapsed="1">
      <c r="B86" s="1150">
        <v>2009</v>
      </c>
      <c r="C86" s="1155"/>
      <c r="L86" s="1039"/>
      <c r="AB86" s="810"/>
      <c r="AH86" s="790"/>
    </row>
    <row r="87" spans="1:38">
      <c r="A87" s="398" t="s">
        <v>158</v>
      </c>
      <c r="B87" s="398" t="s">
        <v>140</v>
      </c>
      <c r="D87" s="591">
        <f>qtrSales!S172</f>
        <v>3886.4351206486276</v>
      </c>
      <c r="F87" s="591">
        <f>INDEX('qtrP&amp;L'!$20:$20,MATCH($B86,'qtrP&amp;L'!$6:$6,0))</f>
        <v>2312.4351206486276</v>
      </c>
      <c r="H87" s="591">
        <f>INDEX(wc!$10:$10,MATCH(B86,wc!$7:$7,0))</f>
        <v>3237</v>
      </c>
      <c r="J87" s="591">
        <f>AVERAGE(H87,H83)</f>
        <v>3248</v>
      </c>
      <c r="L87" s="1039">
        <f>(D87/D80-1)*100</f>
        <v>-5.8290496571691826</v>
      </c>
      <c r="M87" s="398" t="s">
        <v>156</v>
      </c>
      <c r="N87" s="760">
        <f>(H87/H80-1)*100</f>
        <v>-12.371413102328098</v>
      </c>
      <c r="O87" s="398" t="s">
        <v>156</v>
      </c>
      <c r="P87" s="760">
        <f>(H87/H83-1)*100</f>
        <v>-0.67505369745320953</v>
      </c>
      <c r="Q87" s="398" t="s">
        <v>156</v>
      </c>
      <c r="R87" s="792">
        <f>F87/J87</f>
        <v>0.71195662581546415</v>
      </c>
      <c r="S87" s="398" t="s">
        <v>188</v>
      </c>
      <c r="T87" s="792">
        <f>F88/H87</f>
        <v>0.74842453509024198</v>
      </c>
      <c r="V87" s="824">
        <f>IF(qtrSales!J172=0," ",qtrSales!J172)</f>
        <v>1101</v>
      </c>
      <c r="X87" s="579">
        <f>H87/V87</f>
        <v>2.9400544959128063</v>
      </c>
      <c r="Z87" s="678">
        <f>X87/X80-1</f>
        <v>-0.14201983037520161</v>
      </c>
      <c r="AB87" s="586">
        <f>qtrSales!AA172</f>
        <v>110.35000000000001</v>
      </c>
      <c r="AD87" s="788">
        <f>H87/AB87</f>
        <v>29.333937471681011</v>
      </c>
      <c r="AF87" s="760">
        <f>(AD87/AD80-1)*100</f>
        <v>-14.694146375329387</v>
      </c>
      <c r="AG87" s="398" t="s">
        <v>156</v>
      </c>
      <c r="AH87" s="790">
        <f>J87/(F87/(365/4))</f>
        <v>128.16792019525579</v>
      </c>
      <c r="AJ87" s="790">
        <f>H87/(F88/(365/4))</f>
        <v>121.92278008229307</v>
      </c>
      <c r="AL87" s="591">
        <f>INDEX('qtrP&amp;L'!$100:$100,MATCH($B86,'qtrP&amp;L'!$6:$6,0))</f>
        <v>106</v>
      </c>
    </row>
    <row r="88" spans="1:38">
      <c r="A88" s="398" t="s">
        <v>159</v>
      </c>
      <c r="B88" s="398" t="s">
        <v>141</v>
      </c>
      <c r="D88" s="706">
        <f>qtrSales!S173</f>
        <v>3942.6502200871132</v>
      </c>
      <c r="F88" s="706">
        <f>INDEX('qtrP&amp;L'!$21:$21,MATCH($B86,'qtrP&amp;L'!$6:$6,0))</f>
        <v>2422.6502200871132</v>
      </c>
      <c r="H88" s="706">
        <f>INDEX(wc!$11:$11,MATCH(B86,wc!$7:$7,0))</f>
        <v>3258</v>
      </c>
      <c r="J88" s="706">
        <f>AVERAGE(H88,H87)</f>
        <v>3247.5</v>
      </c>
      <c r="L88" s="1039">
        <f>(D88/D81-1)*100</f>
        <v>-7.9357029009820668</v>
      </c>
      <c r="N88" s="760">
        <f>(H88/H81-1)*100</f>
        <v>-11.779041429731929</v>
      </c>
      <c r="P88" s="760">
        <f>(H88/H87-1)*100</f>
        <v>0.64874884151993051</v>
      </c>
      <c r="R88" s="792">
        <f>F88/J88</f>
        <v>0.74600468670888787</v>
      </c>
      <c r="T88" s="792">
        <f>F89/H88</f>
        <v>0.7625519309268346</v>
      </c>
      <c r="V88" s="824">
        <f>IF(qtrSales!J173=0," ",qtrSales!J173)</f>
        <v>1106</v>
      </c>
      <c r="X88" s="579">
        <f>H88/V88</f>
        <v>2.9457504520795661</v>
      </c>
      <c r="Z88" s="678">
        <f>X88/X81-1</f>
        <v>-0.13613654492223937</v>
      </c>
      <c r="AB88" s="586">
        <f>qtrSales!AA173</f>
        <v>110.80000000000001</v>
      </c>
      <c r="AD88" s="788">
        <f>H88/AB88</f>
        <v>29.404332129963898</v>
      </c>
      <c r="AF88" s="760">
        <f>(AD88/AD81-1)*100</f>
        <v>-13.809397425708326</v>
      </c>
      <c r="AH88" s="790">
        <f>J88/(F88/(365/4))</f>
        <v>122.31826639395945</v>
      </c>
      <c r="AJ88" s="790">
        <f>H88/(F89/(365/4))</f>
        <v>119.66398129644926</v>
      </c>
      <c r="AL88" s="706">
        <f>INDEX('qtrP&amp;L'!$101:$101,MATCH($B86,'qtrP&amp;L'!$6:$6,0))</f>
        <v>67</v>
      </c>
    </row>
    <row r="89" spans="1:38">
      <c r="A89" s="398" t="s">
        <v>160</v>
      </c>
      <c r="B89" s="398" t="s">
        <v>142</v>
      </c>
      <c r="D89" s="706">
        <f>qtrSales!S174</f>
        <v>4180.3941909596269</v>
      </c>
      <c r="F89" s="706">
        <f>INDEX('qtrP&amp;L'!$22:$22,MATCH($B86,'qtrP&amp;L'!$6:$6,0))</f>
        <v>2484.3941909596269</v>
      </c>
      <c r="H89" s="706">
        <f>INDEX(wc!$12:$12,MATCH(B86,wc!$7:$7,0))</f>
        <v>4018</v>
      </c>
      <c r="J89" s="706">
        <f>AVERAGE(H89,H88)</f>
        <v>3638</v>
      </c>
      <c r="L89" s="1039">
        <f>(D89/D82-1)*100</f>
        <v>-3.1826326148638007</v>
      </c>
      <c r="N89" s="760">
        <f>(H89/H82-1)*100</f>
        <v>-10.13196152985909</v>
      </c>
      <c r="P89" s="760">
        <f>(H89/H88-1)*100</f>
        <v>23.327194597912836</v>
      </c>
      <c r="R89" s="792">
        <f>F89/J89</f>
        <v>0.68290109702023827</v>
      </c>
      <c r="T89" s="792">
        <f>F90/H89</f>
        <v>0.85365853658536583</v>
      </c>
      <c r="V89" s="824">
        <f>IF(qtrSales!J174=0," ",qtrSales!J174)</f>
        <v>1109</v>
      </c>
      <c r="X89" s="579">
        <f>H89/V89</f>
        <v>3.6230838593327324</v>
      </c>
      <c r="Z89" s="678">
        <f>X89/X82-1</f>
        <v>-0.11428524753954894</v>
      </c>
      <c r="AB89" s="586">
        <f>qtrSales!AA174</f>
        <v>111.25000000000001</v>
      </c>
      <c r="AD89" s="788">
        <f>H89/AB89</f>
        <v>36.116853932584263</v>
      </c>
      <c r="AF89" s="760">
        <f>(AD89/AD82-1)*100</f>
        <v>-11.888932169612421</v>
      </c>
      <c r="AH89" s="790">
        <f>J89/(F89/(365/4))</f>
        <v>133.62110618676564</v>
      </c>
      <c r="AJ89" s="790">
        <f>H89/(F90/(365/4))</f>
        <v>106.89285714285715</v>
      </c>
      <c r="AL89" s="706">
        <f>INDEX('qtrP&amp;L'!$102:$102,MATCH($B86,'qtrP&amp;L'!$6:$6,0))</f>
        <v>107</v>
      </c>
    </row>
    <row r="90" spans="1:38">
      <c r="A90" s="398" t="s">
        <v>161</v>
      </c>
      <c r="B90" s="398" t="s">
        <v>143</v>
      </c>
      <c r="D90" s="769">
        <f>qtrSales!S175</f>
        <v>5550</v>
      </c>
      <c r="F90" s="769">
        <f>INDEX('qtrP&amp;L'!$23:$23,MATCH($B86,'qtrP&amp;L'!$6:$6,0))</f>
        <v>3430</v>
      </c>
      <c r="H90" s="769">
        <f>INDEX(wc!$13:$13,MATCH(B86,wc!$7:$7,0))</f>
        <v>3024</v>
      </c>
      <c r="J90" s="769">
        <f>AVERAGE(H90,H89)</f>
        <v>3521</v>
      </c>
      <c r="L90" s="1153">
        <f>(D90/D83-1)*100</f>
        <v>-3.6328121790261347</v>
      </c>
      <c r="N90" s="760">
        <f>(H90/H83-1)*100</f>
        <v>-7.2108008591592494</v>
      </c>
      <c r="P90" s="760">
        <f>(H90/H89-1)*100</f>
        <v>-24.73867595818815</v>
      </c>
      <c r="R90" s="792">
        <f>F90/J90</f>
        <v>0.97415506958250497</v>
      </c>
      <c r="T90" s="1156" t="s">
        <v>147</v>
      </c>
      <c r="V90" s="827">
        <f>IF(qtrSales!J175=0," ",qtrSales!J175)</f>
        <v>1108</v>
      </c>
      <c r="X90" s="579">
        <f>H90/V90</f>
        <v>2.7292418772563178</v>
      </c>
      <c r="Z90" s="678">
        <f>X90/X83-1</f>
        <v>-8.4669723276724396E-2</v>
      </c>
      <c r="AB90" s="586">
        <f>qtrSales!AA175</f>
        <v>111.7</v>
      </c>
      <c r="AD90" s="788">
        <f>H90/AB90</f>
        <v>27.072515666965085</v>
      </c>
      <c r="AF90" s="760">
        <f>(AD90/AD83-1)*100</f>
        <v>-8.7060610064601747</v>
      </c>
      <c r="AH90" s="790">
        <f>J90/(F90/(365/4))</f>
        <v>93.670918367346943</v>
      </c>
      <c r="AJ90" s="790">
        <f>H90/(F94/(365/4))</f>
        <v>120.02609830361025</v>
      </c>
      <c r="AL90" s="769">
        <f>INDEX('qtrP&amp;L'!$103:$103,MATCH($B86,'qtrP&amp;L'!$6:$6,0))</f>
        <v>383</v>
      </c>
    </row>
    <row r="91" spans="1:38">
      <c r="B91" s="774" t="s">
        <v>116</v>
      </c>
      <c r="C91" s="774"/>
      <c r="D91" s="591">
        <f>qtrSales!S176</f>
        <v>17559.479531695368</v>
      </c>
      <c r="F91" s="591">
        <f>INDEX('qtrP&amp;L'!$24:$24,MATCH($B86,'qtrP&amp;L'!$6:$6,0))</f>
        <v>10649.479531695368</v>
      </c>
      <c r="H91" s="591">
        <f>INDEX(wc!$13:$13,MATCH(B86,wc!$7:$7,0))</f>
        <v>3024</v>
      </c>
      <c r="J91" s="591">
        <f>AVERAGE(J87:J90)</f>
        <v>3413.625</v>
      </c>
      <c r="L91" s="1039">
        <f>(D91/D84-1)*100</f>
        <v>-5.0147476173715511</v>
      </c>
      <c r="R91" s="1154">
        <f>F91/J91</f>
        <v>3.119698130783366</v>
      </c>
      <c r="S91" s="953" t="s">
        <v>188</v>
      </c>
      <c r="V91" s="829">
        <f>V90</f>
        <v>1108</v>
      </c>
      <c r="AL91" s="591">
        <f>INDEX('qtrP&amp;L'!$104:$104,MATCH($B86,'qtrP&amp;L'!$6:$6,0))</f>
        <v>663</v>
      </c>
    </row>
    <row r="92" spans="1:38">
      <c r="L92" s="1039"/>
      <c r="AB92" s="810"/>
    </row>
    <row r="93" spans="1:38">
      <c r="B93" s="1150">
        <v>2010</v>
      </c>
      <c r="C93" s="1155"/>
      <c r="L93" s="1039"/>
      <c r="AB93" s="810"/>
      <c r="AH93" s="790"/>
    </row>
    <row r="94" spans="1:38">
      <c r="A94" s="398" t="s">
        <v>158</v>
      </c>
      <c r="B94" s="398" t="s">
        <v>140</v>
      </c>
      <c r="D94" s="591">
        <f>qtrSales!S179</f>
        <v>3929</v>
      </c>
      <c r="F94" s="591">
        <f>INDEX('qtrP&amp;L'!$20:$20,MATCH($B93,'qtrP&amp;L'!$6:$6,0))</f>
        <v>2299</v>
      </c>
      <c r="H94" s="591">
        <f>INDEX(wc!$10:$10,MATCH(B93,wc!$7:$7,0))</f>
        <v>3214</v>
      </c>
      <c r="J94" s="591">
        <f>AVERAGE(H94,H76)</f>
        <v>3427.5</v>
      </c>
      <c r="L94" s="1039">
        <f>(D94/D87-1)*100</f>
        <v>1.095216516679387</v>
      </c>
      <c r="M94" s="398" t="s">
        <v>156</v>
      </c>
      <c r="N94" s="760">
        <f>(H94/H87-1)*100</f>
        <v>-0.71053444547420908</v>
      </c>
      <c r="O94" s="398" t="s">
        <v>156</v>
      </c>
      <c r="P94" s="760">
        <f>(H94/H90-1)*100</f>
        <v>6.2830687830687904</v>
      </c>
      <c r="Q94" s="398" t="s">
        <v>156</v>
      </c>
      <c r="R94" s="792">
        <f>F94/J94</f>
        <v>0.67075127644055432</v>
      </c>
      <c r="S94" s="398" t="s">
        <v>188</v>
      </c>
      <c r="T94" s="792">
        <f>F95/H94</f>
        <v>0.74237710018668324</v>
      </c>
      <c r="V94" s="824">
        <f>IF(qtrSales!J179=0," ",qtrSales!J179)</f>
        <v>1109</v>
      </c>
      <c r="X94" s="579">
        <f>H94/V94</f>
        <v>2.8981064021641116</v>
      </c>
      <c r="Z94" s="678">
        <f>X94/X87-1</f>
        <v>-1.426779463000083E-2</v>
      </c>
      <c r="AB94" s="586">
        <f>qtrSales!AA179</f>
        <v>111.675</v>
      </c>
      <c r="AD94" s="788">
        <f>H94/AB94</f>
        <v>28.779941795388403</v>
      </c>
      <c r="AF94" s="760">
        <f>(AD94/AD87-1)*100</f>
        <v>-1.888582727182242</v>
      </c>
      <c r="AG94" s="398" t="s">
        <v>156</v>
      </c>
      <c r="AH94" s="790">
        <f>J94/(F94/(365/4))</f>
        <v>136.04148542844715</v>
      </c>
      <c r="AJ94" s="790">
        <f>H94/(F95/(365/4))</f>
        <v>122.91596814752724</v>
      </c>
      <c r="AL94" s="591">
        <f>INDEX('qtrP&amp;L'!$100:$100,MATCH($B93,'qtrP&amp;L'!$6:$6,0))</f>
        <v>155</v>
      </c>
    </row>
    <row r="95" spans="1:38">
      <c r="A95" s="398" t="s">
        <v>159</v>
      </c>
      <c r="B95" s="398" t="s">
        <v>141</v>
      </c>
      <c r="D95" s="706">
        <f>qtrSales!S180</f>
        <v>3938</v>
      </c>
      <c r="F95" s="706">
        <f>INDEX('qtrP&amp;L'!$21:$21,MATCH($B93,'qtrP&amp;L'!$6:$6,0))</f>
        <v>2386</v>
      </c>
      <c r="H95" s="706">
        <f>INDEX(wc!$11:$11,MATCH(B93,wc!$7:$7,0))</f>
        <v>3490</v>
      </c>
      <c r="J95" s="706">
        <f>AVERAGE(H95,H94)</f>
        <v>3352</v>
      </c>
      <c r="L95" s="1039">
        <f>(D95/D88-1)*100</f>
        <v>-0.11794655441208501</v>
      </c>
      <c r="N95" s="760">
        <f>(H95/H88-1)*100</f>
        <v>7.1209330877839205</v>
      </c>
      <c r="P95" s="760">
        <f>(H95/H94-1)*100</f>
        <v>8.5874299937772172</v>
      </c>
      <c r="R95" s="792">
        <f>F95/J95</f>
        <v>0.71181384248210022</v>
      </c>
      <c r="T95" s="792">
        <f>F96/H95</f>
        <v>0.73180515759312326</v>
      </c>
      <c r="V95" s="824">
        <f>IF(qtrSales!J180=0," ",qtrSales!J180)</f>
        <v>1107</v>
      </c>
      <c r="X95" s="579">
        <f>H95/V95</f>
        <v>3.1526648599819334</v>
      </c>
      <c r="Z95" s="678">
        <f>X95/X88-1</f>
        <v>7.0241662105591907E-2</v>
      </c>
      <c r="AB95" s="586">
        <f>qtrSales!AA180</f>
        <v>111.64999999999999</v>
      </c>
      <c r="AD95" s="788">
        <f>H95/AB95</f>
        <v>31.258396775638158</v>
      </c>
      <c r="AF95" s="760">
        <f>(AD95/AD88-1)*100</f>
        <v>6.3054132210162095</v>
      </c>
      <c r="AH95" s="790">
        <f>J95/(F95/(365/4))</f>
        <v>128.19362950544846</v>
      </c>
      <c r="AJ95" s="790">
        <f>H95/(F96/(365/4))</f>
        <v>124.69166014095536</v>
      </c>
      <c r="AL95" s="706">
        <f>INDEX('qtrP&amp;L'!$101:$101,MATCH($B93,'qtrP&amp;L'!$6:$6,0))</f>
        <v>95</v>
      </c>
    </row>
    <row r="96" spans="1:38">
      <c r="A96" s="398" t="s">
        <v>160</v>
      </c>
      <c r="B96" s="398" t="s">
        <v>142</v>
      </c>
      <c r="D96" s="706">
        <f>qtrSales!S181</f>
        <v>4189</v>
      </c>
      <c r="F96" s="706">
        <f>INDEX('qtrP&amp;L'!$22:$22,MATCH($B93,'qtrP&amp;L'!$6:$6,0))</f>
        <v>2554</v>
      </c>
      <c r="H96" s="706">
        <f>INDEX(wc!$12:$12,MATCH(B93,wc!$7:$7,0))</f>
        <v>4267</v>
      </c>
      <c r="J96" s="706">
        <f>AVERAGE(H96,H95)</f>
        <v>3878.5</v>
      </c>
      <c r="L96" s="1039">
        <f>(D96/D89-1)*100</f>
        <v>0.20586118550693921</v>
      </c>
      <c r="N96" s="760">
        <f>(H96/H89-1)*100</f>
        <v>6.1971129915380896</v>
      </c>
      <c r="P96" s="760">
        <f>(H96/H95-1)*100</f>
        <v>22.263610315186245</v>
      </c>
      <c r="R96" s="792">
        <f>F96/J96</f>
        <v>0.65850199819517852</v>
      </c>
      <c r="T96" s="792">
        <f>F97/H96</f>
        <v>0.834309819545348</v>
      </c>
      <c r="V96" s="824">
        <f>IF(qtrSales!J181=0," ",qtrSales!J181)</f>
        <v>1107</v>
      </c>
      <c r="X96" s="579">
        <f>H96/V96</f>
        <v>3.854561878952123</v>
      </c>
      <c r="Z96" s="678">
        <f>X96/X89-1</f>
        <v>6.3889776943231613E-2</v>
      </c>
      <c r="AB96" s="586">
        <f>qtrSales!AA181</f>
        <v>111.62499999999999</v>
      </c>
      <c r="AD96" s="788">
        <f>H96/AB96</f>
        <v>38.226203807390824</v>
      </c>
      <c r="AF96" s="760">
        <f>(AD96/AD89-1)*100</f>
        <v>5.8403477743212973</v>
      </c>
      <c r="AH96" s="790">
        <f>J96/(F96/(365/4))</f>
        <v>138.57209279561474</v>
      </c>
      <c r="AJ96" s="790">
        <f>H96/(F97/(365/4))</f>
        <v>109.37183988764045</v>
      </c>
      <c r="AL96" s="706">
        <f>INDEX('qtrP&amp;L'!$102:$102,MATCH($B93,'qtrP&amp;L'!$6:$6,0))</f>
        <v>124</v>
      </c>
    </row>
    <row r="97" spans="1:38">
      <c r="A97" s="398" t="s">
        <v>161</v>
      </c>
      <c r="B97" s="398" t="s">
        <v>143</v>
      </c>
      <c r="D97" s="769">
        <f>qtrSales!S182</f>
        <v>5703</v>
      </c>
      <c r="F97" s="769">
        <f>INDEX('qtrP&amp;L'!$23:$23,MATCH($B93,'qtrP&amp;L'!$6:$6,0))</f>
        <v>3560</v>
      </c>
      <c r="H97" s="769">
        <f>INDEX(wc!$13:$13,MATCH(B93,wc!$7:$7,0))</f>
        <v>3213</v>
      </c>
      <c r="J97" s="769">
        <f>AVERAGE(H97,H96)</f>
        <v>3740</v>
      </c>
      <c r="L97" s="1153">
        <f>(D97/D90-1)*100</f>
        <v>2.7567567567567508</v>
      </c>
      <c r="N97" s="760">
        <f>(H97/H90-1)*100</f>
        <v>6.25</v>
      </c>
      <c r="P97" s="760">
        <f>(H97/H96-1)*100</f>
        <v>-24.701195219123505</v>
      </c>
      <c r="R97" s="792">
        <f>F97/J97</f>
        <v>0.95187165775401072</v>
      </c>
      <c r="T97" s="1156" t="s">
        <v>147</v>
      </c>
      <c r="V97" s="827">
        <f>IF(qtrSales!J182=0," ",qtrSales!J182)</f>
        <v>1106</v>
      </c>
      <c r="X97" s="579">
        <f>H97/V97</f>
        <v>2.9050632911392404</v>
      </c>
      <c r="Z97" s="678">
        <f>X97/X90-1</f>
        <v>6.4421338155515206E-2</v>
      </c>
      <c r="AB97" s="586">
        <f>qtrSales!AA182</f>
        <v>111.6</v>
      </c>
      <c r="AD97" s="788">
        <f>H97/AB97</f>
        <v>28.790322580645164</v>
      </c>
      <c r="AF97" s="760">
        <f>(AD97/AD90-1)*100</f>
        <v>6.3452060931899812</v>
      </c>
      <c r="AH97" s="790">
        <f>J97/(F97/(365/4))</f>
        <v>95.863764044943821</v>
      </c>
      <c r="AJ97" s="790">
        <f>H97/(F101/(365/4))</f>
        <v>124.86637563884157</v>
      </c>
      <c r="AL97" s="769">
        <f>INDEX('qtrP&amp;L'!$103:$103,MATCH($B93,'qtrP&amp;L'!$6:$6,0))</f>
        <v>490</v>
      </c>
    </row>
    <row r="98" spans="1:38">
      <c r="B98" s="774" t="s">
        <v>116</v>
      </c>
      <c r="C98" s="774"/>
      <c r="D98" s="591">
        <f>qtrSales!S183</f>
        <v>17759</v>
      </c>
      <c r="F98" s="591">
        <f>INDEX('qtrP&amp;L'!$24:$24,MATCH($B93,'qtrP&amp;L'!$6:$6,0))</f>
        <v>10799</v>
      </c>
      <c r="H98" s="591">
        <f>INDEX(wc!$13:$13,MATCH(B93,wc!$7:$7,0))</f>
        <v>3213</v>
      </c>
      <c r="J98" s="591">
        <f>AVERAGE(J94:J97)</f>
        <v>3599.5</v>
      </c>
      <c r="L98" s="1039">
        <f>(D98/D91-1)*100</f>
        <v>1.1362550236440283</v>
      </c>
      <c r="R98" s="1154">
        <f>F98/J98</f>
        <v>3.0001389081816918</v>
      </c>
      <c r="S98" s="953" t="s">
        <v>188</v>
      </c>
      <c r="V98" s="829">
        <f>V97</f>
        <v>1106</v>
      </c>
      <c r="AL98" s="591">
        <f>INDEX('qtrP&amp;L'!$104:$104,MATCH($B93,'qtrP&amp;L'!$6:$6,0))</f>
        <v>864</v>
      </c>
    </row>
    <row r="99" spans="1:38">
      <c r="L99" s="1039"/>
      <c r="AB99" s="810"/>
    </row>
    <row r="100" spans="1:38">
      <c r="B100" s="1150">
        <v>2011</v>
      </c>
      <c r="C100" s="1155"/>
      <c r="H100" s="678"/>
      <c r="L100" s="1039"/>
      <c r="AB100" s="810"/>
      <c r="AH100" s="790"/>
    </row>
    <row r="101" spans="1:38">
      <c r="A101" s="398" t="s">
        <v>158</v>
      </c>
      <c r="B101" s="398" t="s">
        <v>140</v>
      </c>
      <c r="D101" s="591">
        <f>qtrSales!S186</f>
        <v>3943</v>
      </c>
      <c r="F101" s="591">
        <f>INDEX('qtrP&amp;L'!$20:$20,MATCH($B100,'qtrP&amp;L'!$6:$6,0))</f>
        <v>2348</v>
      </c>
      <c r="H101" s="591">
        <f>INDEX(wc!$10:$10,MATCH(B100,wc!$7:$7,0))</f>
        <v>3408</v>
      </c>
      <c r="J101" s="591">
        <f>AVERAGE(H101,H83)</f>
        <v>3333.5</v>
      </c>
      <c r="L101" s="1039">
        <f>(D101/D94-1)*100</f>
        <v>0.35632476457114759</v>
      </c>
      <c r="M101" s="398" t="s">
        <v>156</v>
      </c>
      <c r="N101" s="760">
        <f>(H101/H94-1)*100</f>
        <v>6.0360920970752963</v>
      </c>
      <c r="O101" s="398" t="s">
        <v>156</v>
      </c>
      <c r="P101" s="760">
        <f>(H101/H97-1)*100</f>
        <v>6.0690943043884227</v>
      </c>
      <c r="Q101" s="398" t="s">
        <v>156</v>
      </c>
      <c r="R101" s="792">
        <f>F101/J101</f>
        <v>0.704364781760912</v>
      </c>
      <c r="S101" s="398" t="s">
        <v>188</v>
      </c>
      <c r="T101" s="792">
        <f>F102/H101</f>
        <v>0.70686619718309862</v>
      </c>
      <c r="V101" s="824">
        <f>IF(qtrSales!J186=0," ",qtrSales!J186)</f>
        <v>1108</v>
      </c>
      <c r="X101" s="579">
        <f>H101/V101</f>
        <v>3.0758122743682312</v>
      </c>
      <c r="Z101" s="678">
        <f>X101/X94-1</f>
        <v>6.131792541206238E-2</v>
      </c>
      <c r="AB101" s="586">
        <f>qtrSales!AA186</f>
        <v>111.5</v>
      </c>
      <c r="AD101" s="788">
        <f>H101/AB101</f>
        <v>30.565022421524663</v>
      </c>
      <c r="AF101" s="760">
        <f>(AD101/AD94-1)*100</f>
        <v>6.2025164568689117</v>
      </c>
      <c r="AG101" s="398" t="s">
        <v>156</v>
      </c>
      <c r="AH101" s="790">
        <f>J101/(F101/(365/4))</f>
        <v>129.54935051107327</v>
      </c>
      <c r="AJ101" s="790">
        <f>H101/(F102/(365/4))</f>
        <v>129.09090909090909</v>
      </c>
      <c r="AL101" s="591">
        <f>INDEX('qtrP&amp;L'!$100:$100,MATCH($B100,'qtrP&amp;L'!$6:$6,0))</f>
        <v>170</v>
      </c>
    </row>
    <row r="102" spans="1:38">
      <c r="A102" s="398" t="s">
        <v>159</v>
      </c>
      <c r="B102" s="398" t="s">
        <v>141</v>
      </c>
      <c r="D102" s="706">
        <f>qtrSales!S187</f>
        <v>3906</v>
      </c>
      <c r="F102" s="706">
        <f>INDEX('qtrP&amp;L'!$21:$21,MATCH($B100,'qtrP&amp;L'!$6:$6,0))</f>
        <v>2409</v>
      </c>
      <c r="H102" s="706">
        <f>INDEX(wc!$11:$11,MATCH(B100,wc!$7:$7,0))</f>
        <v>3572</v>
      </c>
      <c r="J102" s="706">
        <f>AVERAGE(H102,H101)</f>
        <v>3490</v>
      </c>
      <c r="L102" s="1039">
        <f>(D102/D95-1)*100</f>
        <v>-0.81259522600304335</v>
      </c>
      <c r="N102" s="760">
        <f>(H102/H95-1)*100</f>
        <v>2.3495702005730701</v>
      </c>
      <c r="P102" s="760">
        <f>(H102/H101-1)*100</f>
        <v>4.8122065727699503</v>
      </c>
      <c r="R102" s="792">
        <f>F102/J102</f>
        <v>0.69025787965616048</v>
      </c>
      <c r="T102" s="792">
        <f>F103/H102</f>
        <v>0.69904815229563266</v>
      </c>
      <c r="V102" s="824">
        <f>IF(qtrSales!J187=0," ",qtrSales!J187)</f>
        <v>1103</v>
      </c>
      <c r="X102" s="579">
        <f>H102/V102</f>
        <v>3.2384406165004531</v>
      </c>
      <c r="Z102" s="678">
        <f>X102/X95-1</f>
        <v>2.720738179541593E-2</v>
      </c>
      <c r="AB102" s="586">
        <f>qtrSales!AA187</f>
        <v>111.4</v>
      </c>
      <c r="AD102" s="788">
        <f>H102/AB102</f>
        <v>32.064631956912024</v>
      </c>
      <c r="AF102" s="760">
        <f>(AD102/AD95-1)*100</f>
        <v>2.5792595412386099</v>
      </c>
      <c r="AH102" s="790">
        <f>J102/(F102/(365/4))</f>
        <v>132.19696969696972</v>
      </c>
      <c r="AJ102" s="790">
        <f>H102/(F103/(365/4))</f>
        <v>130.53464156988386</v>
      </c>
      <c r="AL102" s="706">
        <f>INDEX('qtrP&amp;L'!$101:$101,MATCH($B100,'qtrP&amp;L'!$6:$6,0))</f>
        <v>104</v>
      </c>
    </row>
    <row r="103" spans="1:38">
      <c r="A103" s="398" t="s">
        <v>160</v>
      </c>
      <c r="B103" s="398" t="s">
        <v>142</v>
      </c>
      <c r="D103" s="706">
        <f>qtrSales!S188</f>
        <v>3986</v>
      </c>
      <c r="F103" s="706">
        <f>INDEX('qtrP&amp;L'!$22:$22,MATCH($B100,'qtrP&amp;L'!$6:$6,0))</f>
        <v>2497</v>
      </c>
      <c r="H103" s="706">
        <f>INDEX(wc!$12:$12,MATCH(B100,wc!$7:$7,0))</f>
        <v>4376</v>
      </c>
      <c r="J103" s="706">
        <f>AVERAGE(H103,H102)</f>
        <v>3974</v>
      </c>
      <c r="L103" s="1039">
        <f>(D103/D96-1)*100</f>
        <v>-4.8460253043685846</v>
      </c>
      <c r="N103" s="760">
        <f>(H103/H96-1)*100</f>
        <v>2.5544879306304225</v>
      </c>
      <c r="P103" s="760">
        <f>(H103/H102-1)*100</f>
        <v>22.508398656215011</v>
      </c>
      <c r="R103" s="792">
        <f>F103/J103</f>
        <v>0.62833417211877207</v>
      </c>
      <c r="T103" s="792">
        <f>F104/H103</f>
        <v>0.81832723948811703</v>
      </c>
      <c r="V103" s="824">
        <f>IF(qtrSales!J188=0," ",qtrSales!J188)</f>
        <v>1104</v>
      </c>
      <c r="X103" s="579">
        <f>H103/V103</f>
        <v>3.9637681159420288</v>
      </c>
      <c r="Z103" s="678">
        <f>X103/X96-1</f>
        <v>2.8331686043549409E-2</v>
      </c>
      <c r="AB103" s="586">
        <f>qtrSales!AA188</f>
        <v>111.30000000000001</v>
      </c>
      <c r="AD103" s="788">
        <f>H103/AB103</f>
        <v>39.317160826594787</v>
      </c>
      <c r="AF103" s="760">
        <f>(AD103/AD96-1)*100</f>
        <v>2.8539507210837201</v>
      </c>
      <c r="AH103" s="790">
        <f>J103/(F103/(365/4))</f>
        <v>145.22527032438927</v>
      </c>
      <c r="AJ103" s="790">
        <f>H103/(F104/(365/4))</f>
        <v>111.50795867076236</v>
      </c>
      <c r="AL103" s="706">
        <f>INDEX('qtrP&amp;L'!$102:$102,MATCH($B100,'qtrP&amp;L'!$6:$6,0))</f>
        <v>94</v>
      </c>
    </row>
    <row r="104" spans="1:38">
      <c r="A104" s="398" t="s">
        <v>161</v>
      </c>
      <c r="B104" s="398" t="s">
        <v>143</v>
      </c>
      <c r="D104" s="769">
        <f>qtrSales!S189</f>
        <v>5425</v>
      </c>
      <c r="F104" s="769">
        <f>INDEX('qtrP&amp;L'!$23:$23,MATCH($B100,'qtrP&amp;L'!$6:$6,0))</f>
        <v>3581</v>
      </c>
      <c r="H104" s="769">
        <f>INDEX(wc!$13:$13,MATCH(B100,wc!$7:$7,0))</f>
        <v>2916</v>
      </c>
      <c r="J104" s="769">
        <f>AVERAGE(H104,H103)</f>
        <v>3646</v>
      </c>
      <c r="L104" s="1153">
        <f>(D104/D97-1)*100</f>
        <v>-4.8746273890934555</v>
      </c>
      <c r="N104" s="760">
        <f>(H104/H97-1)*100</f>
        <v>-9.2436974789915975</v>
      </c>
      <c r="P104" s="760">
        <f>(H104/H103-1)*100</f>
        <v>-33.363802559414992</v>
      </c>
      <c r="R104" s="792">
        <f>F104/J104</f>
        <v>0.98217224355458033</v>
      </c>
      <c r="T104" s="1156" t="s">
        <v>147</v>
      </c>
      <c r="V104" s="827">
        <f>IF(qtrSales!J189=0," ",qtrSales!J189)</f>
        <v>1102</v>
      </c>
      <c r="X104" s="579">
        <f>H104/V104</f>
        <v>2.6460980036297639</v>
      </c>
      <c r="Z104" s="678">
        <f>X104/X97-1</f>
        <v>-8.9142735133981077E-2</v>
      </c>
      <c r="AB104" s="586">
        <f>qtrSales!AA189</f>
        <v>111.2</v>
      </c>
      <c r="AD104" s="788">
        <f>H104/AB104</f>
        <v>26.223021582733811</v>
      </c>
      <c r="AF104" s="760">
        <f>(AD104/AD97-1)*100</f>
        <v>-8.9172359591318759</v>
      </c>
      <c r="AH104" s="790">
        <f>J104/(F104/(365/4))</f>
        <v>92.906311086288753</v>
      </c>
      <c r="AJ104" s="790">
        <f>H104/(F108/(365/4))</f>
        <v>139.09304756926295</v>
      </c>
      <c r="AL104" s="769">
        <f>INDEX('qtrP&amp;L'!$103:$103,MATCH($B100,'qtrP&amp;L'!$6:$6,0))</f>
        <v>288</v>
      </c>
    </row>
    <row r="105" spans="1:38">
      <c r="B105" s="774" t="s">
        <v>116</v>
      </c>
      <c r="C105" s="774"/>
      <c r="D105" s="591">
        <f>qtrSales!S190</f>
        <v>17260</v>
      </c>
      <c r="F105" s="591">
        <f>INDEX('qtrP&amp;L'!$24:$24,MATCH($B100,'qtrP&amp;L'!$6:$6,0))</f>
        <v>10835</v>
      </c>
      <c r="H105" s="591">
        <f>INDEX(wc!$13:$13,MATCH(B100,wc!$7:$7,0))</f>
        <v>2916</v>
      </c>
      <c r="J105" s="591">
        <f>AVERAGE(J101:J104)</f>
        <v>3610.875</v>
      </c>
      <c r="L105" s="1039">
        <f>(D105/D98-1)*100</f>
        <v>-2.809842896559489</v>
      </c>
      <c r="R105" s="1154">
        <f>F105/J105</f>
        <v>3.0006577353134629</v>
      </c>
      <c r="S105" s="953" t="s">
        <v>188</v>
      </c>
      <c r="V105" s="829">
        <f>V104</f>
        <v>1102</v>
      </c>
      <c r="AL105" s="591">
        <f>INDEX('qtrP&amp;L'!$104:$104,MATCH($B100,'qtrP&amp;L'!$6:$6,0))</f>
        <v>656</v>
      </c>
    </row>
    <row r="106" spans="1:38">
      <c r="L106" s="1039"/>
      <c r="AB106" s="810"/>
    </row>
    <row r="107" spans="1:38">
      <c r="B107" s="1150">
        <v>2012</v>
      </c>
      <c r="C107" s="1155"/>
      <c r="L107" s="1039"/>
      <c r="AB107" s="810"/>
      <c r="AH107" s="790"/>
    </row>
    <row r="108" spans="1:38">
      <c r="A108" s="398" t="s">
        <v>158</v>
      </c>
      <c r="B108" s="398" t="s">
        <v>140</v>
      </c>
      <c r="D108" s="591">
        <f>qtrSales!S193</f>
        <v>3152</v>
      </c>
      <c r="F108" s="591">
        <f>INDEX('qtrP&amp;L'!$20:$20,MATCH($B107,'qtrP&amp;L'!$6:$6,0))</f>
        <v>1913</v>
      </c>
      <c r="H108" s="591">
        <f>INDEX(wc!$10:$10,MATCH(B107,wc!$7:$7,0))</f>
        <v>3084</v>
      </c>
      <c r="J108" s="591">
        <f>AVERAGE(H108,H90)</f>
        <v>3054</v>
      </c>
      <c r="L108" s="1039">
        <f>(D108/D101-1)*100</f>
        <v>-20.060867359878266</v>
      </c>
      <c r="M108" s="398" t="s">
        <v>156</v>
      </c>
      <c r="N108" s="760">
        <f>(H108/H101-1)*100</f>
        <v>-9.5070422535211243</v>
      </c>
      <c r="O108" s="398" t="s">
        <v>156</v>
      </c>
      <c r="P108" s="760">
        <f>(H108/H104-1)*100</f>
        <v>5.7613168724279795</v>
      </c>
      <c r="Q108" s="398" t="s">
        <v>156</v>
      </c>
      <c r="R108" s="792">
        <f>F108/J108</f>
        <v>0.62639161755075312</v>
      </c>
      <c r="S108" s="398" t="s">
        <v>188</v>
      </c>
      <c r="T108" s="792">
        <f>F109/H108</f>
        <v>0.65434500648508431</v>
      </c>
      <c r="V108" s="824">
        <f>IF(qtrSales!J193=0," ",qtrSales!J193)</f>
        <v>1103</v>
      </c>
      <c r="X108" s="579">
        <f>H108/V108</f>
        <v>2.7960108794197644</v>
      </c>
      <c r="Z108" s="678">
        <f>X108/X101-1</f>
        <v>-9.0968293897564889E-2</v>
      </c>
      <c r="AB108" s="586">
        <f>qtrSales!AA193</f>
        <v>111.30090744101634</v>
      </c>
      <c r="AD108" s="788">
        <f>H108/AB108</f>
        <v>27.708668966911691</v>
      </c>
      <c r="AF108" s="760">
        <f>(AD108/AD101-1)*100</f>
        <v>-9.345170486776599</v>
      </c>
      <c r="AG108" s="398" t="s">
        <v>156</v>
      </c>
      <c r="AH108" s="790">
        <f>J108/(F108/(365/4))</f>
        <v>145.67564035546263</v>
      </c>
      <c r="AJ108" s="790">
        <f>H108/(F109/(365/4))</f>
        <v>139.45242814667989</v>
      </c>
      <c r="AL108" s="591">
        <f>INDEX('qtrP&amp;L'!$100:$100,MATCH($B107,'qtrP&amp;L'!$6:$6,0))</f>
        <v>-97</v>
      </c>
    </row>
    <row r="109" spans="1:38">
      <c r="A109" s="398" t="s">
        <v>159</v>
      </c>
      <c r="B109" s="398" t="s">
        <v>141</v>
      </c>
      <c r="D109" s="706">
        <f>qtrSales!S194</f>
        <v>3022</v>
      </c>
      <c r="F109" s="706">
        <f>INDEX('qtrP&amp;L'!$21:$21,MATCH($B107,'qtrP&amp;L'!$6:$6,0))</f>
        <v>2018</v>
      </c>
      <c r="H109" s="706">
        <f>INDEX(wc!$11:$11,MATCH(B107,wc!$7:$7,0))</f>
        <v>2993</v>
      </c>
      <c r="J109" s="706">
        <f>AVERAGE(H109,H108)</f>
        <v>3038.5</v>
      </c>
      <c r="L109" s="1039">
        <f>(D109/D102-1)*100</f>
        <v>-22.63184843830005</v>
      </c>
      <c r="N109" s="760">
        <f>(H109/H102-1)*100</f>
        <v>-16.20940649496081</v>
      </c>
      <c r="P109" s="760">
        <f>(H109/H108-1)*100</f>
        <v>-2.9507133592736712</v>
      </c>
      <c r="R109" s="792">
        <f>F109/J109</f>
        <v>0.66414349185453347</v>
      </c>
      <c r="T109" s="792">
        <f>F110/H109</f>
        <v>0.65987303708653522</v>
      </c>
      <c r="V109" s="824">
        <f>IF(qtrSales!J194=0," ",qtrSales!J194)</f>
        <v>1101</v>
      </c>
      <c r="X109" s="579">
        <f>H109/V109</f>
        <v>2.7184377838328793</v>
      </c>
      <c r="Z109" s="678">
        <f>X109/X102-1</f>
        <v>-0.16057198332372169</v>
      </c>
      <c r="AB109" s="586">
        <f>qtrSales!AA194</f>
        <v>111.09909255898366</v>
      </c>
      <c r="AD109" s="788">
        <f>H109/AB109</f>
        <v>26.93991400884742</v>
      </c>
      <c r="AF109" s="760">
        <f>(AD109/AD102-1)*100</f>
        <v>-15.98246302951839</v>
      </c>
      <c r="AH109" s="790">
        <f>J109/(F109/(365/4))</f>
        <v>137.39500743310208</v>
      </c>
      <c r="AJ109" s="790">
        <f>H109/(F110/(365/4))</f>
        <v>138.28417721518989</v>
      </c>
      <c r="AL109" s="706">
        <f>INDEX('qtrP&amp;L'!$101:$101,MATCH($B107,'qtrP&amp;L'!$6:$6,0))</f>
        <v>-224</v>
      </c>
    </row>
    <row r="110" spans="1:38">
      <c r="A110" s="398" t="s">
        <v>160</v>
      </c>
      <c r="B110" s="398" t="s">
        <v>142</v>
      </c>
      <c r="D110" s="706">
        <f>qtrSales!S195</f>
        <v>2927</v>
      </c>
      <c r="F110" s="706">
        <f>INDEX('qtrP&amp;L'!$22:$22,MATCH($B107,'qtrP&amp;L'!$6:$6,0))</f>
        <v>1975</v>
      </c>
      <c r="H110" s="706">
        <f>INDEX(wc!$12:$12,MATCH(B107,wc!$7:$7,0))</f>
        <v>3362</v>
      </c>
      <c r="J110" s="706">
        <f>AVERAGE(H110,H109)</f>
        <v>3177.5</v>
      </c>
      <c r="L110" s="1039">
        <f>(D110/D103-1)*100</f>
        <v>-26.56798795785248</v>
      </c>
      <c r="N110" s="760">
        <f>(H110/H103-1)*100</f>
        <v>-23.171846435100552</v>
      </c>
      <c r="P110" s="760">
        <f>(H110/H109-1)*100</f>
        <v>12.328767123287676</v>
      </c>
      <c r="R110" s="792">
        <f>F110/J110</f>
        <v>0.62155782848151064</v>
      </c>
      <c r="T110" s="792">
        <f>F111/H110</f>
        <v>0.88042831647828679</v>
      </c>
      <c r="V110" s="824">
        <f>IF(qtrSales!J195=0," ",qtrSales!J195)</f>
        <v>1105</v>
      </c>
      <c r="X110" s="579">
        <f>H110/V110</f>
        <v>3.0425339366515836</v>
      </c>
      <c r="Z110" s="678">
        <f>X110/X103-1</f>
        <v>-0.23241374175883267</v>
      </c>
      <c r="AB110" s="586">
        <f>qtrSales!AA195</f>
        <v>111.502722323049</v>
      </c>
      <c r="AD110" s="788">
        <f>H110/AB110</f>
        <v>30.151730199550766</v>
      </c>
      <c r="AF110" s="760">
        <f>(AD110/AD103-1)*100</f>
        <v>-23.311527166133452</v>
      </c>
      <c r="AH110" s="790">
        <f>J110/(F110/(365/4))</f>
        <v>146.80854430379748</v>
      </c>
      <c r="AJ110" s="790">
        <f>H110/(F111/(365/4))</f>
        <v>103.64273648648648</v>
      </c>
      <c r="AL110" s="706">
        <f>INDEX('qtrP&amp;L'!$102:$102,MATCH($B107,'qtrP&amp;L'!$6:$6,0))</f>
        <v>-319</v>
      </c>
    </row>
    <row r="111" spans="1:38">
      <c r="A111" s="398" t="s">
        <v>161</v>
      </c>
      <c r="B111" s="398" t="s">
        <v>143</v>
      </c>
      <c r="D111" s="769">
        <f>qtrSales!S196</f>
        <v>3884</v>
      </c>
      <c r="F111" s="769">
        <f>INDEX('qtrP&amp;L'!$23:$23,MATCH($B107,'qtrP&amp;L'!$6:$6,0))</f>
        <v>2960</v>
      </c>
      <c r="H111" s="769">
        <f>INDEX(wc!$13:$13,MATCH(B107,wc!$7:$7,0))</f>
        <v>2341</v>
      </c>
      <c r="J111" s="769">
        <f>AVERAGE(H111,H110)</f>
        <v>2851.5</v>
      </c>
      <c r="L111" s="1153">
        <f>(D111/D104-1)*100</f>
        <v>-28.405529953917053</v>
      </c>
      <c r="N111" s="760">
        <f>(H111/H104-1)*100</f>
        <v>-19.718792866941016</v>
      </c>
      <c r="P111" s="760">
        <f>(H111/H110-1)*100</f>
        <v>-30.36882807852469</v>
      </c>
      <c r="R111" s="792">
        <f>F111/J111</f>
        <v>1.0380501490443625</v>
      </c>
      <c r="T111" s="1156">
        <f>F112/H111</f>
        <v>3.7872703972661257</v>
      </c>
      <c r="V111" s="827">
        <f>IF(qtrSales!J196=0," ",qtrSales!J196)</f>
        <v>1104</v>
      </c>
      <c r="X111" s="579">
        <f>H111/V111</f>
        <v>2.1204710144927534</v>
      </c>
      <c r="Z111" s="678">
        <f>X111/X104-1</f>
        <v>-0.19864229836384961</v>
      </c>
      <c r="AB111" s="586">
        <f>qtrSales!AA196</f>
        <v>111.6</v>
      </c>
      <c r="AD111" s="788">
        <f>H111/AB111</f>
        <v>20.976702508960575</v>
      </c>
      <c r="AF111" s="760">
        <f>(AD111/AD104-1)*100</f>
        <v>-20.00653912906666</v>
      </c>
      <c r="AH111" s="790">
        <f>J111/(F111/(365/4))</f>
        <v>87.905194256756758</v>
      </c>
      <c r="AJ111" s="790">
        <f>H111/(F112/(365/4))</f>
        <v>24.093869839837581</v>
      </c>
      <c r="AL111" s="769">
        <f>INDEX('qtrP&amp;L'!$103:$103,MATCH($B107,'qtrP&amp;L'!$6:$6,0))</f>
        <v>-716</v>
      </c>
    </row>
    <row r="112" spans="1:38">
      <c r="B112" s="774" t="s">
        <v>116</v>
      </c>
      <c r="C112" s="774"/>
      <c r="D112" s="591">
        <f>qtrSales!S197</f>
        <v>12985</v>
      </c>
      <c r="F112" s="591">
        <f>INDEX('qtrP&amp;L'!$24:$24,MATCH($B107,'qtrP&amp;L'!$6:$6,0))</f>
        <v>8866</v>
      </c>
      <c r="H112" s="591">
        <f>INDEX(wc!$13:$13,MATCH(B107,wc!$7:$7,0))</f>
        <v>2341</v>
      </c>
      <c r="J112" s="591">
        <f>AVERAGE(J108:J111)</f>
        <v>3030.375</v>
      </c>
      <c r="L112" s="1039">
        <f>(D112/D105-1)*100</f>
        <v>-24.768250289687131</v>
      </c>
      <c r="R112" s="1154">
        <f>F112/J112</f>
        <v>2.9257105143752837</v>
      </c>
      <c r="S112" s="953" t="s">
        <v>188</v>
      </c>
      <c r="V112" s="829"/>
      <c r="AL112" s="591">
        <f>INDEX('qtrP&amp;L'!$104:$104,MATCH($B107,'qtrP&amp;L'!$6:$6,0))</f>
        <v>-1356</v>
      </c>
    </row>
    <row r="113" spans="1:38">
      <c r="L113" s="1039"/>
      <c r="AB113" s="810"/>
    </row>
    <row r="114" spans="1:38">
      <c r="B114" s="1150">
        <v>2013</v>
      </c>
      <c r="C114" s="1155"/>
      <c r="H114" s="678"/>
      <c r="L114" s="1039"/>
      <c r="AB114" s="810"/>
      <c r="AH114" s="790"/>
    </row>
    <row r="115" spans="1:38">
      <c r="A115" s="398" t="s">
        <v>158</v>
      </c>
      <c r="B115" s="398" t="s">
        <v>140</v>
      </c>
      <c r="D115" s="591">
        <f>qtrSales!S200</f>
        <v>2635</v>
      </c>
      <c r="F115" s="591">
        <f>INDEX('qtrP&amp;L'!$20:$20,MATCH($B114,'qtrP&amp;L'!$6:$6,0))</f>
        <v>1823</v>
      </c>
      <c r="H115" s="591">
        <f>INDEX(wc!$10:$10,MATCH(B114,wc!$7:$7,0))</f>
        <v>2798</v>
      </c>
      <c r="J115" s="591">
        <f>AVERAGE(H115,H97)</f>
        <v>3005.5</v>
      </c>
      <c r="L115" s="1039">
        <f>(D115/D108-1)*100</f>
        <v>-16.402284263959388</v>
      </c>
      <c r="M115" s="398" t="s">
        <v>156</v>
      </c>
      <c r="N115" s="760">
        <f>(H115/H108-1)*100</f>
        <v>-9.2736705577172511</v>
      </c>
      <c r="O115" s="398" t="s">
        <v>156</v>
      </c>
      <c r="P115" s="760">
        <f>(H115/H111-1)*100</f>
        <v>19.521571977787278</v>
      </c>
      <c r="Q115" s="398" t="s">
        <v>156</v>
      </c>
      <c r="R115" s="792">
        <f>F115/J115</f>
        <v>0.60655464980868412</v>
      </c>
      <c r="S115" s="398" t="s">
        <v>188</v>
      </c>
      <c r="T115" s="792">
        <f>F116/H115</f>
        <v>0.67047891350964972</v>
      </c>
      <c r="V115" s="824">
        <f>IF(qtrSales!J200=0," ",qtrSales!J200)</f>
        <v>1102</v>
      </c>
      <c r="X115" s="579">
        <f>H115/V115</f>
        <v>2.5390199637023594</v>
      </c>
      <c r="Z115" s="678">
        <f>X115/X108-1</f>
        <v>-9.1913417651198981E-2</v>
      </c>
      <c r="AB115" s="586">
        <f>qtrSales!AA200</f>
        <v>111.39782608695653</v>
      </c>
      <c r="AD115" s="788">
        <f>H115/AB115</f>
        <v>25.117186737700759</v>
      </c>
      <c r="AF115" s="760">
        <f>(AD115/AD108-1)*100</f>
        <v>-9.352604530753716</v>
      </c>
      <c r="AG115" s="398" t="s">
        <v>156</v>
      </c>
      <c r="AH115" s="790">
        <f>J115/(F115/(365/4))</f>
        <v>150.43986560614371</v>
      </c>
      <c r="AJ115" s="790">
        <f>H115/(F116/(365/4))</f>
        <v>136.09674840085287</v>
      </c>
      <c r="AL115" s="591">
        <f>INDEX('qtrP&amp;L'!$100:$100,MATCH($B114,'qtrP&amp;L'!$6:$6,0))</f>
        <v>-414</v>
      </c>
    </row>
    <row r="116" spans="1:38">
      <c r="A116" s="398" t="s">
        <v>159</v>
      </c>
      <c r="B116" s="398" t="s">
        <v>141</v>
      </c>
      <c r="D116" s="706">
        <f>qtrSales!S201</f>
        <v>2663</v>
      </c>
      <c r="F116" s="706">
        <f>INDEX('qtrP&amp;L'!$21:$21,MATCH($B114,'qtrP&amp;L'!$6:$6,0))</f>
        <v>1876</v>
      </c>
      <c r="H116" s="706">
        <f>INDEX(wc!$11:$11,MATCH(B114,wc!$7:$7,0))</f>
        <v>3155</v>
      </c>
      <c r="J116" s="706">
        <f>AVERAGE(H116,H115)</f>
        <v>2976.5</v>
      </c>
      <c r="L116" s="1039">
        <f>(D116/D109-1)*100</f>
        <v>-11.87954996690933</v>
      </c>
      <c r="N116" s="760">
        <f>(H116/H109-1)*100</f>
        <v>5.4126294687604437</v>
      </c>
      <c r="P116" s="760">
        <f>(H116/H115-1)*100</f>
        <v>12.759113652608999</v>
      </c>
      <c r="R116" s="792">
        <f>F116/J116</f>
        <v>0.63027045187300523</v>
      </c>
      <c r="T116" s="792">
        <f>F117/H116</f>
        <v>0.62123613312202852</v>
      </c>
      <c r="V116" s="824">
        <f>IF(qtrSales!J201=0," ",qtrSales!J201)</f>
        <v>1095</v>
      </c>
      <c r="X116" s="579">
        <f>H116/V116</f>
        <v>2.8812785388127855</v>
      </c>
      <c r="Z116" s="678">
        <f>X116/X109-1</f>
        <v>5.9902329179043257E-2</v>
      </c>
      <c r="AB116" s="586">
        <f>qtrSales!AA201</f>
        <v>110.69021739130434</v>
      </c>
      <c r="AD116" s="788">
        <f>H116/AB116</f>
        <v>28.502970491481317</v>
      </c>
      <c r="AF116" s="760">
        <f>(AD116/AD109-1)*100</f>
        <v>5.8020099177769069</v>
      </c>
      <c r="AH116" s="790">
        <f>J116/(F116/(365/4))</f>
        <v>144.77911780383795</v>
      </c>
      <c r="AJ116" s="790">
        <f>H116/(F117/(365/4))</f>
        <v>146.8845663265306</v>
      </c>
      <c r="AL116" s="706">
        <f>INDEX('qtrP&amp;L'!$101:$101,MATCH($B114,'qtrP&amp;L'!$6:$6,0))</f>
        <v>-348</v>
      </c>
    </row>
    <row r="117" spans="1:38">
      <c r="A117" s="398" t="s">
        <v>160</v>
      </c>
      <c r="B117" s="398" t="s">
        <v>142</v>
      </c>
      <c r="D117" s="706">
        <f>qtrSales!S202</f>
        <v>2779</v>
      </c>
      <c r="F117" s="706">
        <f>INDEX('qtrP&amp;L'!$22:$22,MATCH($B114,'qtrP&amp;L'!$6:$6,0))</f>
        <v>1960</v>
      </c>
      <c r="H117" s="706">
        <f>INDEX(wc!$12:$12,MATCH(B114,wc!$7:$7,0))</f>
        <v>3747</v>
      </c>
      <c r="J117" s="706">
        <f>AVERAGE(H117,H116)</f>
        <v>3451</v>
      </c>
      <c r="L117" s="1039">
        <f>(D117/D110-1)*100</f>
        <v>-5.0563717116501543</v>
      </c>
      <c r="N117" s="760">
        <f>(H117/H110-1)*100</f>
        <v>11.451516954193931</v>
      </c>
      <c r="P117" s="760">
        <f>(H117/H116-1)*100</f>
        <v>18.76386687797147</v>
      </c>
      <c r="R117" s="792">
        <f>F117/J117</f>
        <v>0.56795131845841784</v>
      </c>
      <c r="T117" s="792">
        <f>F118/H117</f>
        <v>0.72271150253536165</v>
      </c>
      <c r="V117" s="824">
        <f>IF(qtrSales!J202=0," ",qtrSales!J202)</f>
        <v>1095</v>
      </c>
      <c r="X117" s="579">
        <f>H117/V117</f>
        <v>3.4219178082191779</v>
      </c>
      <c r="Z117" s="678">
        <f>X117/X110-1</f>
        <v>0.1246933902683498</v>
      </c>
      <c r="AB117" s="586">
        <f>qtrSales!AA202</f>
        <v>110.69021739130434</v>
      </c>
      <c r="AD117" s="788">
        <f>H117/AB117</f>
        <v>33.851229930770366</v>
      </c>
      <c r="AF117" s="760">
        <f>(AD117/AD110-1)*100</f>
        <v>12.269610091147332</v>
      </c>
      <c r="AH117" s="790">
        <f>J117/(F117/(365/4))</f>
        <v>160.66517857142856</v>
      </c>
      <c r="AJ117" s="790">
        <f>H117/(F118/(365/4))</f>
        <v>126.26061669128508</v>
      </c>
      <c r="AL117" s="706">
        <f>INDEX('qtrP&amp;L'!$102:$102,MATCH($B114,'qtrP&amp;L'!$6:$6,0))</f>
        <v>-355</v>
      </c>
    </row>
    <row r="118" spans="1:38">
      <c r="A118" s="398" t="s">
        <v>161</v>
      </c>
      <c r="B118" s="398" t="s">
        <v>143</v>
      </c>
      <c r="D118" s="769">
        <f>qtrSales!S203</f>
        <v>3782</v>
      </c>
      <c r="F118" s="769">
        <f>INDEX('qtrP&amp;L'!$23:$23,MATCH($B114,'qtrP&amp;L'!$6:$6,0))</f>
        <v>2708</v>
      </c>
      <c r="H118" s="769">
        <f>INDEX(wc!$13:$13,MATCH(B114,wc!$7:$7,0))</f>
        <v>2935</v>
      </c>
      <c r="J118" s="769">
        <f>AVERAGE(H118,H117)</f>
        <v>3341</v>
      </c>
      <c r="L118" s="1153">
        <f>(D118/D111-1)*100</f>
        <v>-2.626158599382078</v>
      </c>
      <c r="N118" s="760">
        <f>(H118/H111-1)*100</f>
        <v>25.373771892353702</v>
      </c>
      <c r="P118" s="760">
        <f>(H118/H117-1)*100</f>
        <v>-21.670669869228721</v>
      </c>
      <c r="R118" s="792">
        <f>F118/J118</f>
        <v>0.81053576773421132</v>
      </c>
      <c r="T118" s="1156">
        <f>F119/H118</f>
        <v>2.8507666098807496</v>
      </c>
      <c r="V118" s="827">
        <f>IF(qtrSales!J203=0," ",qtrSales!J203)</f>
        <v>1095</v>
      </c>
      <c r="X118" s="579">
        <f>H118/V118</f>
        <v>2.6803652968036529</v>
      </c>
      <c r="Z118" s="678">
        <f>X118/X111-1</f>
        <v>0.26404241250373039</v>
      </c>
      <c r="AB118" s="586">
        <f>qtrSales!AA203</f>
        <v>110.69021739130434</v>
      </c>
      <c r="AD118" s="788">
        <f>H118/AB118</f>
        <v>26.51544164579958</v>
      </c>
      <c r="AF118" s="760">
        <f>(AD118/AD111-1)*100</f>
        <v>26.40424125037304</v>
      </c>
      <c r="AH118" s="790">
        <f>J118/(F118/(365/4))</f>
        <v>112.57985598227474</v>
      </c>
      <c r="AJ118" s="790">
        <f>H118/(F119/(365/4))</f>
        <v>32.008933907015653</v>
      </c>
      <c r="AL118" s="769">
        <f>INDEX('qtrP&amp;L'!$103:$103,MATCH($B114,'qtrP&amp;L'!$6:$6,0))</f>
        <v>-88</v>
      </c>
    </row>
    <row r="119" spans="1:38">
      <c r="B119" s="774" t="s">
        <v>116</v>
      </c>
      <c r="C119" s="774"/>
      <c r="D119" s="591">
        <f>qtrSales!S204</f>
        <v>11859</v>
      </c>
      <c r="F119" s="591">
        <f>INDEX('qtrP&amp;L'!$24:$24,MATCH($B114,'qtrP&amp;L'!$6:$6,0))</f>
        <v>8367</v>
      </c>
      <c r="H119" s="591">
        <f>INDEX(wc!$13:$13,MATCH(B114,wc!$7:$7,0))</f>
        <v>2935</v>
      </c>
      <c r="J119" s="591">
        <f>AVERAGE(J115:J118)</f>
        <v>3193.5</v>
      </c>
      <c r="L119" s="1039">
        <f>(D119/D112-1)*100</f>
        <v>-8.6715440893338496</v>
      </c>
      <c r="R119" s="1154">
        <f>F119/J119</f>
        <v>2.6200093940817286</v>
      </c>
      <c r="S119" s="953" t="s">
        <v>188</v>
      </c>
      <c r="V119" s="829"/>
      <c r="AL119" s="591">
        <f>INDEX('qtrP&amp;L'!$104:$104,MATCH($B114,'qtrP&amp;L'!$6:$6,0))</f>
        <v>-1205</v>
      </c>
    </row>
    <row r="120" spans="1:38">
      <c r="L120" s="1039"/>
      <c r="AB120" s="810"/>
    </row>
    <row r="121" spans="1:38">
      <c r="B121" s="1150">
        <v>2014</v>
      </c>
      <c r="C121" s="1155"/>
      <c r="H121" s="678"/>
      <c r="L121" s="1039"/>
      <c r="AB121" s="810"/>
      <c r="AH121" s="790"/>
    </row>
    <row r="122" spans="1:38">
      <c r="A122" s="398" t="s">
        <v>158</v>
      </c>
      <c r="B122" s="398" t="s">
        <v>140</v>
      </c>
      <c r="D122" s="591">
        <f>qtrSales!S207</f>
        <v>2801</v>
      </c>
      <c r="F122" s="591">
        <f>INDEX('qtrP&amp;L'!$20:$20,MATCH($B121,'qtrP&amp;L'!$6:$6,0))</f>
        <v>1875</v>
      </c>
      <c r="H122" s="591">
        <f>INDEX(wc!$10:$10,MATCH(B121,wc!$7:$7,0))</f>
        <v>2835</v>
      </c>
      <c r="J122" s="591">
        <f>AVERAGE(H122,H104)</f>
        <v>2875.5</v>
      </c>
      <c r="L122" s="1039">
        <f>(D122/D115-1)*100</f>
        <v>6.299810246679316</v>
      </c>
      <c r="M122" s="398" t="s">
        <v>156</v>
      </c>
      <c r="N122" s="760">
        <f>(H122/H115-1)*100</f>
        <v>1.322373123659748</v>
      </c>
      <c r="O122" s="398" t="s">
        <v>156</v>
      </c>
      <c r="P122" s="760">
        <f>(H122/H118-1)*100</f>
        <v>-3.4071550255536653</v>
      </c>
      <c r="Q122" s="398" t="s">
        <v>156</v>
      </c>
      <c r="R122" s="792">
        <f>F122/J122</f>
        <v>0.65206051121544084</v>
      </c>
      <c r="S122" s="398" t="s">
        <v>188</v>
      </c>
      <c r="T122" s="792">
        <f>F123/H122</f>
        <v>0.63174603174603172</v>
      </c>
      <c r="V122" s="824">
        <f>IF(qtrSales!J207=0," ",qtrSales!J207)</f>
        <v>1092</v>
      </c>
      <c r="X122" s="579">
        <f>H122/V122</f>
        <v>2.5961538461538463</v>
      </c>
      <c r="Z122" s="678">
        <f>X122/X115-1</f>
        <v>2.2502336834002268E-2</v>
      </c>
      <c r="AB122" s="586">
        <f>qtrSales!AA207</f>
        <v>110.38695652173912</v>
      </c>
      <c r="AD122" s="788">
        <f>H122/AB122</f>
        <v>25.682382133995038</v>
      </c>
      <c r="AF122" s="760">
        <f>(AD122/AD115-1)*100</f>
        <v>2.2502336834002268</v>
      </c>
      <c r="AG122" s="398" t="s">
        <v>156</v>
      </c>
      <c r="AH122" s="790">
        <f>J122/(F122/(365/4))</f>
        <v>139.941</v>
      </c>
      <c r="AJ122" s="790">
        <f>H122/(F123/(365/4))</f>
        <v>144.44095477386935</v>
      </c>
      <c r="AL122" s="591">
        <f>INDEX('qtrP&amp;L'!$100:$100,MATCH($B121,'qtrP&amp;L'!$6:$6,0))</f>
        <v>-225</v>
      </c>
    </row>
    <row r="123" spans="1:38">
      <c r="A123" s="398" t="s">
        <v>159</v>
      </c>
      <c r="B123" s="398" t="s">
        <v>141</v>
      </c>
      <c r="D123" s="706">
        <f>qtrSales!S208</f>
        <v>2799</v>
      </c>
      <c r="F123" s="706">
        <f>INDEX('qtrP&amp;L'!$21:$21,MATCH($B121,'qtrP&amp;L'!$6:$6,0))</f>
        <v>1791</v>
      </c>
      <c r="H123" s="706">
        <f>INDEX(wc!$11:$11,MATCH(B121,wc!$7:$7,0))</f>
        <v>2848</v>
      </c>
      <c r="J123" s="706">
        <f>AVERAGE(H123,H122)</f>
        <v>2841.5</v>
      </c>
      <c r="L123" s="1039">
        <f>(D123/D116-1)*100</f>
        <v>5.1070221554637696</v>
      </c>
      <c r="N123" s="760">
        <f>(H123/H116-1)*100</f>
        <v>-9.7305863708399336</v>
      </c>
      <c r="P123" s="760">
        <f>(H123/H122-1)*100</f>
        <v>0.45855379188712853</v>
      </c>
      <c r="R123" s="792">
        <f>F123/J123</f>
        <v>0.63030089741333806</v>
      </c>
      <c r="T123" s="792">
        <f>F124/H123</f>
        <v>0.6148174157303371</v>
      </c>
      <c r="V123" s="824">
        <f>IF(qtrSales!J208=0," ",qtrSales!J208)</f>
        <v>1062</v>
      </c>
      <c r="X123" s="579">
        <f>H123/V123</f>
        <v>2.6817325800376648</v>
      </c>
      <c r="Z123" s="678">
        <f>X123/X116-1</f>
        <v>-6.9256045914027675E-2</v>
      </c>
      <c r="AB123" s="586">
        <f>qtrSales!AA208</f>
        <v>107.35434782608695</v>
      </c>
      <c r="AD123" s="788">
        <f>H123/AB123</f>
        <v>26.528967458437116</v>
      </c>
      <c r="AF123" s="760">
        <f>(AD123/AD116-1)*100</f>
        <v>-6.925604591402756</v>
      </c>
      <c r="AH123" s="790">
        <f>J123/(F123/(365/4))</f>
        <v>144.77212451144612</v>
      </c>
      <c r="AJ123" s="790">
        <f>H123/(F124/(365/4))</f>
        <v>148.41804683038265</v>
      </c>
      <c r="AL123" s="706">
        <f>INDEX('qtrP&amp;L'!$101:$101,MATCH($B121,'qtrP&amp;L'!$6:$6,0))</f>
        <v>-65</v>
      </c>
    </row>
    <row r="124" spans="1:38">
      <c r="A124" s="398" t="s">
        <v>160</v>
      </c>
      <c r="B124" s="398" t="s">
        <v>142</v>
      </c>
      <c r="D124" s="706">
        <f>qtrSales!S209</f>
        <v>2764</v>
      </c>
      <c r="F124" s="706">
        <f>INDEX('qtrP&amp;L'!$22:$22,MATCH($B121,'qtrP&amp;L'!$6:$6,0))</f>
        <v>1751</v>
      </c>
      <c r="H124" s="706">
        <f>INDEX(wc!$12:$12,MATCH(B121,wc!$7:$7,0))</f>
        <v>3358</v>
      </c>
      <c r="J124" s="706">
        <f>AVERAGE(H124,H123)</f>
        <v>3103</v>
      </c>
      <c r="L124" s="1039">
        <f>(D124/D117-1)*100</f>
        <v>-0.53976250449802032</v>
      </c>
      <c r="N124" s="760">
        <f>(H124/H117-1)*100</f>
        <v>-10.381638644248737</v>
      </c>
      <c r="P124" s="760">
        <f>(H124/H123-1)*100</f>
        <v>17.907303370786522</v>
      </c>
      <c r="R124" s="792">
        <f>F124/J124</f>
        <v>0.5642926200451176</v>
      </c>
      <c r="T124" s="792">
        <f>F125/H124</f>
        <v>0.76801667659321027</v>
      </c>
      <c r="V124" s="824">
        <f>IF(qtrSales!J209=0," ",qtrSales!J209)</f>
        <v>1063</v>
      </c>
      <c r="X124" s="579">
        <f>H124/V124</f>
        <v>3.1589840075258704</v>
      </c>
      <c r="Z124" s="678">
        <f>X124/X117-1</f>
        <v>-7.6838140314697601E-2</v>
      </c>
      <c r="AB124" s="586">
        <f>qtrSales!AA209</f>
        <v>107.45543478260869</v>
      </c>
      <c r="AD124" s="788">
        <f>H124/AB124</f>
        <v>31.25016437552474</v>
      </c>
      <c r="AF124" s="760">
        <f>(AD124/AD117-1)*100</f>
        <v>-7.6838140314697601</v>
      </c>
      <c r="AH124" s="790">
        <f>J124/(F124/(365/4))</f>
        <v>161.70688178183894</v>
      </c>
      <c r="AJ124" s="790">
        <f>H124/(F125/(365/4))</f>
        <v>118.8125242341993</v>
      </c>
      <c r="AL124" s="706">
        <f>INDEX('qtrP&amp;L'!$102:$102,MATCH($B121,'qtrP&amp;L'!$6:$6,0))</f>
        <v>-42</v>
      </c>
    </row>
    <row r="125" spans="1:38">
      <c r="A125" s="398" t="s">
        <v>161</v>
      </c>
      <c r="B125" s="398" t="s">
        <v>143</v>
      </c>
      <c r="D125" s="769">
        <f>qtrSales!S210</f>
        <v>3893</v>
      </c>
      <c r="F125" s="769">
        <f>INDEX('qtrP&amp;L'!$23:$23,MATCH($B121,'qtrP&amp;L'!$6:$6,0))</f>
        <v>2579</v>
      </c>
      <c r="H125" s="769">
        <f>INDEX(wc!$13:$13,MATCH(B121,wc!$7:$7,0))</f>
        <v>2652</v>
      </c>
      <c r="J125" s="769">
        <f>AVERAGE(H125,H124)</f>
        <v>3005</v>
      </c>
      <c r="L125" s="1153">
        <f>(D125/D118-1)*100</f>
        <v>2.9349550502379751</v>
      </c>
      <c r="N125" s="760">
        <f>(H125/H118-1)*100</f>
        <v>-9.6422487223168716</v>
      </c>
      <c r="P125" s="760">
        <f>(H125/H124-1)*100</f>
        <v>-21.024419297200716</v>
      </c>
      <c r="R125" s="792">
        <f>F125/J125</f>
        <v>0.85823627287853577</v>
      </c>
      <c r="T125" s="1156">
        <f>F126/H125</f>
        <v>3.0150829562594268</v>
      </c>
      <c r="V125" s="827">
        <f>IF(qtrSales!J210=0," ",qtrSales!J210)</f>
        <v>1063</v>
      </c>
      <c r="X125" s="579">
        <f>H125/V125</f>
        <v>2.4948259642521164</v>
      </c>
      <c r="Z125" s="678">
        <f>X125/X118-1</f>
        <v>-6.9221658992821955E-2</v>
      </c>
      <c r="AB125" s="586">
        <f>qtrSales!AA210</f>
        <v>107.45543478260869</v>
      </c>
      <c r="AD125" s="788">
        <f>H125/AB125</f>
        <v>24.679998786149973</v>
      </c>
      <c r="AF125" s="760">
        <f>(AD125/AD118-1)*100</f>
        <v>-6.9221658992821951</v>
      </c>
      <c r="AH125" s="790">
        <f>J125/(F125/(365/4))</f>
        <v>106.32270259790617</v>
      </c>
      <c r="AJ125" s="790">
        <f>H125/(F126/(365/4))</f>
        <v>30.264507253626817</v>
      </c>
      <c r="AL125" s="769">
        <f>INDEX('qtrP&amp;L'!$103:$103,MATCH($B121,'qtrP&amp;L'!$6:$6,0))</f>
        <v>111</v>
      </c>
    </row>
    <row r="126" spans="1:38">
      <c r="B126" s="774" t="s">
        <v>116</v>
      </c>
      <c r="C126" s="774"/>
      <c r="D126" s="591">
        <f>qtrSales!S211</f>
        <v>12257</v>
      </c>
      <c r="F126" s="591">
        <f>INDEX('qtrP&amp;L'!$24:$24,MATCH($B121,'qtrP&amp;L'!$6:$6,0))</f>
        <v>7996</v>
      </c>
      <c r="H126" s="591">
        <f>INDEX(wc!$13:$13,MATCH(B121,wc!$7:$7,0))</f>
        <v>2652</v>
      </c>
      <c r="J126" s="591">
        <f>AVERAGE(J122:J125)</f>
        <v>2956.25</v>
      </c>
      <c r="L126" s="1039">
        <f>(D126/D119-1)*100</f>
        <v>3.3561008516738378</v>
      </c>
      <c r="R126" s="1154">
        <f>F126/J126</f>
        <v>2.7047780126849896</v>
      </c>
      <c r="S126" s="953" t="s">
        <v>188</v>
      </c>
      <c r="V126" s="829"/>
      <c r="AL126" s="591">
        <f>INDEX('qtrP&amp;L'!$104:$104,MATCH($B121,'qtrP&amp;L'!$6:$6,0))</f>
        <v>-221</v>
      </c>
    </row>
    <row r="127" spans="1:38">
      <c r="L127" s="1039"/>
      <c r="AB127" s="810"/>
    </row>
    <row r="128" spans="1:38">
      <c r="B128" s="1150">
        <v>2015</v>
      </c>
      <c r="C128" s="1155"/>
      <c r="H128" s="678"/>
      <c r="L128" s="1039"/>
      <c r="AB128" s="810"/>
      <c r="AH128" s="790"/>
    </row>
    <row r="129" spans="1:38">
      <c r="A129" s="398" t="s">
        <v>158</v>
      </c>
      <c r="B129" s="398" t="s">
        <v>140</v>
      </c>
      <c r="D129" s="591">
        <f>qtrSales!S214</f>
        <v>2857</v>
      </c>
      <c r="F129" s="591">
        <f>INDEX('qtrP&amp;L'!$20:$20,MATCH($B128,'qtrP&amp;L'!$6:$6,0))</f>
        <v>1816</v>
      </c>
      <c r="H129" s="591">
        <f>INDEX(wc!$10:$10,MATCH(B128,wc!$7:$7,0))</f>
        <v>2811</v>
      </c>
      <c r="J129" s="591">
        <f>AVERAGE(H129,H125)</f>
        <v>2731.5</v>
      </c>
      <c r="L129" s="1039">
        <f>(D129/D122-1)*100</f>
        <v>1.9992859692966825</v>
      </c>
      <c r="M129" s="398" t="s">
        <v>156</v>
      </c>
      <c r="N129" s="760">
        <f>(H129/H122-1)*100</f>
        <v>-0.84656084656085095</v>
      </c>
      <c r="O129" s="398" t="s">
        <v>156</v>
      </c>
      <c r="P129" s="760">
        <f>(H129/H125-1)*100</f>
        <v>5.9954751131221728</v>
      </c>
      <c r="Q129" s="398" t="s">
        <v>156</v>
      </c>
      <c r="R129" s="792">
        <f>F129/J129</f>
        <v>0.66483617060223321</v>
      </c>
      <c r="S129" s="398" t="s">
        <v>188</v>
      </c>
      <c r="T129" s="792">
        <f>F130/H129</f>
        <v>0.64389896833866955</v>
      </c>
      <c r="V129" s="824">
        <f>IF(qtrSales!J214=0," ",qtrSales!J214)</f>
        <v>1023</v>
      </c>
      <c r="X129" s="579">
        <f>H129/V129</f>
        <v>2.7478005865102637</v>
      </c>
      <c r="Z129" s="678">
        <f>X129/X122-1</f>
        <v>5.841207776691637E-2</v>
      </c>
      <c r="AB129" s="586">
        <f>qtrSales!AA214</f>
        <v>103.41195652173913</v>
      </c>
      <c r="AD129" s="788">
        <f>H129/AB129</f>
        <v>27.182543436445624</v>
      </c>
      <c r="AF129" s="760">
        <f>(AD129/AD122-1)*100</f>
        <v>5.8412077766916592</v>
      </c>
      <c r="AG129" s="398" t="s">
        <v>156</v>
      </c>
      <c r="AH129" s="790">
        <f>J129/(F129/(365/4))</f>
        <v>137.25185848017622</v>
      </c>
      <c r="AJ129" s="790">
        <f>H129/(F130/(365/4))</f>
        <v>141.71477900552486</v>
      </c>
      <c r="AL129" s="591">
        <f>INDEX('qtrP&amp;L'!$100:$100,MATCH($B128,'qtrP&amp;L'!$6:$6,0))</f>
        <v>-48.75</v>
      </c>
    </row>
    <row r="130" spans="1:38">
      <c r="A130" s="398" t="s">
        <v>159</v>
      </c>
      <c r="B130" s="398" t="s">
        <v>141</v>
      </c>
      <c r="D130" s="706">
        <f>qtrSales!S215</f>
        <v>2875</v>
      </c>
      <c r="F130" s="706">
        <f>INDEX('qtrP&amp;L'!$21:$21,MATCH($B128,'qtrP&amp;L'!$6:$6,0))</f>
        <v>1810</v>
      </c>
      <c r="H130" s="706">
        <f>INDEX(wc!$11:$11,MATCH(B128,wc!$7:$7,0))</f>
        <v>3005</v>
      </c>
      <c r="J130" s="706">
        <f>AVERAGE(H130,H129)</f>
        <v>2908</v>
      </c>
      <c r="L130" s="1039">
        <f>(D130/D123-1)*100</f>
        <v>2.7152554483744096</v>
      </c>
      <c r="N130" s="760">
        <f>(H130/H123-1)*100</f>
        <v>5.5126404494381998</v>
      </c>
      <c r="P130" s="760">
        <f>(H130/H129-1)*100</f>
        <v>6.9014585556741448</v>
      </c>
      <c r="R130" s="792">
        <f>F130/J130</f>
        <v>0.62242090784044013</v>
      </c>
      <c r="T130" s="792">
        <f>F131/H130</f>
        <v>0.60399334442595676</v>
      </c>
      <c r="V130" s="824">
        <f>IF(qtrSales!J215=0," ",qtrSales!J215)</f>
        <v>1023</v>
      </c>
      <c r="X130" s="579">
        <f>H130/V130</f>
        <v>2.9374389051808407</v>
      </c>
      <c r="Z130" s="678">
        <f>X130/X123-1</f>
        <v>9.5351164783024078E-2</v>
      </c>
      <c r="AB130" s="586">
        <f>qtrSales!AA215</f>
        <v>103.41195652173913</v>
      </c>
      <c r="AD130" s="788">
        <f>H130/AB130</f>
        <v>29.058535406090037</v>
      </c>
      <c r="AF130" s="760">
        <f>(AD130/AD123-1)*100</f>
        <v>9.5351164783024078</v>
      </c>
      <c r="AH130" s="790">
        <f>J130/(F130/(365/4))</f>
        <v>146.60497237569061</v>
      </c>
      <c r="AJ130" s="790">
        <f>H130/(F131/(365/4))</f>
        <v>151.07782369146005</v>
      </c>
      <c r="AL130" s="706">
        <f>INDEX('qtrP&amp;L'!$101:$101,MATCH($B128,'qtrP&amp;L'!$6:$6,0))</f>
        <v>-38</v>
      </c>
    </row>
    <row r="131" spans="1:38">
      <c r="A131" s="398" t="s">
        <v>160</v>
      </c>
      <c r="B131" s="398" t="s">
        <v>142</v>
      </c>
      <c r="D131" s="706">
        <f>qtrSales!S216</f>
        <v>2897</v>
      </c>
      <c r="F131" s="706">
        <f>INDEX('qtrP&amp;L'!$22:$22,MATCH($B128,'qtrP&amp;L'!$6:$6,0))</f>
        <v>1815</v>
      </c>
      <c r="H131" s="706">
        <f>INDEX(wc!$12:$12,MATCH(B128,wc!$7:$7,0))</f>
        <v>3669</v>
      </c>
      <c r="J131" s="706">
        <f>AVERAGE(H131,H130)</f>
        <v>3337</v>
      </c>
      <c r="L131" s="1039">
        <f>(D131/D124-1)*100</f>
        <v>4.8118668596237368</v>
      </c>
      <c r="N131" s="760">
        <f>(H131/H124-1)*100</f>
        <v>9.2614651578320384</v>
      </c>
      <c r="P131" s="760">
        <f>(H131/H130-1)*100</f>
        <v>22.096505823627275</v>
      </c>
      <c r="R131" s="792">
        <f>F131/J131</f>
        <v>0.54390170812106686</v>
      </c>
      <c r="T131" s="792">
        <f>F132/H131</f>
        <v>0.71763423276097027</v>
      </c>
      <c r="V131" s="824">
        <f>IF(qtrSales!J216=0," ",qtrSales!J216)</f>
        <v>1023</v>
      </c>
      <c r="X131" s="579">
        <f>H131/V131</f>
        <v>3.5865102639296187</v>
      </c>
      <c r="Z131" s="678">
        <f>X131/X124-1</f>
        <v>0.1353366320896916</v>
      </c>
      <c r="AB131" s="586">
        <f>qtrSales!AA216</f>
        <v>103.41195652173913</v>
      </c>
      <c r="AD131" s="788">
        <f>H131/AB131</f>
        <v>35.479456374357518</v>
      </c>
      <c r="AF131" s="760">
        <f>(AD131/AD124-1)*100</f>
        <v>13.533663208969159</v>
      </c>
      <c r="AH131" s="790">
        <f>J131/(F131/(365/4))</f>
        <v>167.76928374655648</v>
      </c>
      <c r="AJ131" s="790">
        <f>H131/(F132/(365/4))</f>
        <v>127.1539118875807</v>
      </c>
      <c r="AL131" s="706">
        <f>INDEX('qtrP&amp;L'!$102:$102,MATCH($B128,'qtrP&amp;L'!$6:$6,0))</f>
        <v>-45</v>
      </c>
    </row>
    <row r="132" spans="1:38">
      <c r="A132" s="398" t="s">
        <v>161</v>
      </c>
      <c r="B132" s="398" t="s">
        <v>143</v>
      </c>
      <c r="D132" s="769">
        <f>qtrSales!S217</f>
        <v>3996</v>
      </c>
      <c r="F132" s="769">
        <f>INDEX('qtrP&amp;L'!$23:$23,MATCH($B128,'qtrP&amp;L'!$6:$6,0))</f>
        <v>2633</v>
      </c>
      <c r="H132" s="769">
        <f>INDEX(wc!$13:$13,MATCH(B128,wc!$7:$7,0))</f>
        <v>2721</v>
      </c>
      <c r="J132" s="769">
        <f>AVERAGE(H132,H131)</f>
        <v>3195</v>
      </c>
      <c r="L132" s="1153">
        <f>(D132/D125-1)*100</f>
        <v>2.6457744669920347</v>
      </c>
      <c r="N132" s="760">
        <f>(H132/H125-1)*100</f>
        <v>2.601809954751122</v>
      </c>
      <c r="P132" s="760">
        <f>(H132/H131-1)*100</f>
        <v>-25.838103025347504</v>
      </c>
      <c r="R132" s="792">
        <f>F132/J132</f>
        <v>0.82410015649452273</v>
      </c>
      <c r="T132" s="1156">
        <f>F133/H132</f>
        <v>2.9672914369717014</v>
      </c>
      <c r="V132" s="827">
        <f>IF(qtrSales!J217=0," ",qtrSales!J217)</f>
        <v>1021</v>
      </c>
      <c r="X132" s="579">
        <f>H132/V132</f>
        <v>2.6650342801175317</v>
      </c>
      <c r="Z132" s="678">
        <f>X132/X125-1</f>
        <v>6.8224524798241593E-2</v>
      </c>
      <c r="AB132" s="586">
        <f>qtrSales!AA217</f>
        <v>103.20978260869565</v>
      </c>
      <c r="AD132" s="788">
        <f>H132/AB132</f>
        <v>26.363779975356231</v>
      </c>
      <c r="AF132" s="760">
        <f>(AD132/AD125-1)*100</f>
        <v>6.8224524798241371</v>
      </c>
      <c r="AH132" s="790">
        <f>J132/(F132/(365/4))</f>
        <v>110.72683251044437</v>
      </c>
      <c r="AJ132" s="790">
        <f>H132/(F133/(365/4))</f>
        <v>30.751950705969779</v>
      </c>
      <c r="AL132" s="769">
        <f>INDEX('qtrP&amp;L'!$103:$103,MATCH($B128,'qtrP&amp;L'!$6:$6,0))</f>
        <v>13</v>
      </c>
    </row>
    <row r="133" spans="1:38">
      <c r="B133" s="774" t="s">
        <v>116</v>
      </c>
      <c r="C133" s="774"/>
      <c r="D133" s="591">
        <f>qtrSales!S218</f>
        <v>12625</v>
      </c>
      <c r="F133" s="591">
        <f>INDEX('qtrP&amp;L'!$24:$24,MATCH($B128,'qtrP&amp;L'!$6:$6,0))</f>
        <v>8074</v>
      </c>
      <c r="H133" s="591">
        <f>INDEX(wc!$13:$13,MATCH(B128,wc!$7:$7,0))</f>
        <v>2721</v>
      </c>
      <c r="J133" s="591">
        <f>AVERAGE(J129:J132)</f>
        <v>3042.875</v>
      </c>
      <c r="L133" s="1039">
        <f>(D133/D126-1)*100</f>
        <v>3.0023659949416581</v>
      </c>
      <c r="R133" s="1154">
        <f>F133/J133</f>
        <v>2.6534116583822867</v>
      </c>
      <c r="S133" s="953" t="s">
        <v>188</v>
      </c>
      <c r="V133" s="829"/>
      <c r="AL133" s="591">
        <f>INDEX('qtrP&amp;L'!$104:$104,MATCH($B128,'qtrP&amp;L'!$6:$6,0))</f>
        <v>-118.75</v>
      </c>
    </row>
    <row r="134" spans="1:38">
      <c r="B134" s="774"/>
      <c r="C134" s="774"/>
      <c r="D134" s="759"/>
      <c r="F134" s="759"/>
      <c r="L134" s="1039"/>
      <c r="R134" s="614"/>
      <c r="S134" s="507"/>
      <c r="AL134" s="759"/>
    </row>
    <row r="135" spans="1:38">
      <c r="B135" s="1150">
        <v>2016</v>
      </c>
      <c r="C135" s="1155"/>
      <c r="H135" s="678"/>
      <c r="L135" s="1039"/>
      <c r="AB135" s="810"/>
      <c r="AH135" s="790"/>
    </row>
    <row r="136" spans="1:38">
      <c r="A136" s="398" t="s">
        <v>158</v>
      </c>
      <c r="B136" s="398" t="s">
        <v>140</v>
      </c>
      <c r="D136" s="591">
        <f>qtrSales!S221</f>
        <v>2811</v>
      </c>
      <c r="F136" s="591">
        <f>INDEX('qtrP&amp;L'!$20:$20,MATCH($B135,'qtrP&amp;L'!$6:$6,0))</f>
        <v>1793</v>
      </c>
      <c r="H136" s="591">
        <f>INDEX(wc!$10:$10,MATCH(B135,wc!$7:$7,0))</f>
        <v>2925</v>
      </c>
      <c r="J136" s="591">
        <f>AVERAGE(H136,H132)</f>
        <v>2823</v>
      </c>
      <c r="L136" s="1039">
        <f>(D136/D129-1)*100</f>
        <v>-1.610080504025202</v>
      </c>
      <c r="M136" s="398" t="s">
        <v>156</v>
      </c>
      <c r="N136" s="760">
        <f>(H136/H129-1)*100</f>
        <v>4.0554962646744963</v>
      </c>
      <c r="O136" s="398" t="s">
        <v>156</v>
      </c>
      <c r="P136" s="760">
        <f>(H136/H132-1)*100</f>
        <v>7.4972436604189729</v>
      </c>
      <c r="Q136" s="398" t="s">
        <v>156</v>
      </c>
      <c r="R136" s="792">
        <f>F136/J136</f>
        <v>0.63513992206872116</v>
      </c>
      <c r="S136" s="398" t="s">
        <v>188</v>
      </c>
      <c r="T136" s="792">
        <f>F137/H136</f>
        <v>0.62700854700854702</v>
      </c>
      <c r="V136" s="824">
        <f>IF(qtrSales!J221=0," ",qtrSales!J221)</f>
        <v>1014</v>
      </c>
      <c r="X136" s="579">
        <f>H136/V136</f>
        <v>2.8846153846153846</v>
      </c>
      <c r="Z136" s="678">
        <f>X136/X129-1</f>
        <v>4.9790657581479492E-2</v>
      </c>
      <c r="AB136" s="586">
        <f>qtrSales!AA221</f>
        <v>102.50217391304348</v>
      </c>
      <c r="AD136" s="788">
        <f>H136/AB136</f>
        <v>28.535980148883375</v>
      </c>
      <c r="AF136" s="760">
        <f>(AD136/AD129-1)*100</f>
        <v>4.979065758147927</v>
      </c>
      <c r="AG136" s="398" t="s">
        <v>156</v>
      </c>
      <c r="AH136" s="790">
        <f>J136/(F136/(365/4))</f>
        <v>143.66912994980478</v>
      </c>
      <c r="AJ136" s="790">
        <f>H136/(F137/(365/4))</f>
        <v>145.53230643402398</v>
      </c>
      <c r="AL136" s="591">
        <f>INDEX('qtrP&amp;L'!$100:$100,MATCH($B135,'qtrP&amp;L'!$6:$6,0))</f>
        <v>22</v>
      </c>
    </row>
    <row r="137" spans="1:38">
      <c r="A137" s="398" t="s">
        <v>159</v>
      </c>
      <c r="B137" s="398" t="s">
        <v>141</v>
      </c>
      <c r="D137" s="706">
        <f>qtrSales!S222</f>
        <v>2918</v>
      </c>
      <c r="F137" s="706">
        <f>INDEX('qtrP&amp;L'!$21:$21,MATCH($B135,'qtrP&amp;L'!$6:$6,0))</f>
        <v>1834</v>
      </c>
      <c r="H137" s="706">
        <f>INDEX(wc!$11:$11,MATCH(B135,wc!$7:$7,0))</f>
        <v>2981</v>
      </c>
      <c r="J137" s="706">
        <f>AVERAGE(H137,H136)</f>
        <v>2953</v>
      </c>
      <c r="L137" s="1039">
        <f>(D137/D130-1)*100</f>
        <v>1.4956521739130535</v>
      </c>
      <c r="N137" s="760">
        <f>(H137/H130-1)*100</f>
        <v>-0.79866888519134482</v>
      </c>
      <c r="P137" s="760">
        <f>(H137/H136-1)*100</f>
        <v>1.9145299145299166</v>
      </c>
      <c r="R137" s="792">
        <f>F137/J137</f>
        <v>0.62106332543176435</v>
      </c>
      <c r="T137" s="792">
        <f>F138/H137</f>
        <v>0.60214693056021473</v>
      </c>
      <c r="V137" s="824">
        <f>IF(qtrSales!J222=0," ",qtrSales!J222)</f>
        <v>1014</v>
      </c>
      <c r="X137" s="579">
        <f>H137/V137</f>
        <v>2.9398422090729781</v>
      </c>
      <c r="Z137" s="678">
        <f>X137/X130-1</f>
        <v>8.1816302218196135E-4</v>
      </c>
      <c r="AB137" s="586">
        <f>qtrSales!AA222</f>
        <v>102.50217391304348</v>
      </c>
      <c r="AD137" s="788">
        <f>H137/AB137</f>
        <v>29.082310025238066</v>
      </c>
      <c r="AF137" s="760">
        <f>(AD137/AD130-1)*100</f>
        <v>8.1816302218196135E-2</v>
      </c>
      <c r="AH137" s="790">
        <f>J137/(F137/(365/4))</f>
        <v>146.92543620501635</v>
      </c>
      <c r="AJ137" s="790">
        <f>H137/(F138/(365/4))</f>
        <v>151.54108635097495</v>
      </c>
      <c r="AL137" s="706">
        <f>INDEX('qtrP&amp;L'!$101:$101,MATCH($B135,'qtrP&amp;L'!$6:$6,0))</f>
        <v>76</v>
      </c>
    </row>
    <row r="138" spans="1:38">
      <c r="A138" s="398" t="s">
        <v>160</v>
      </c>
      <c r="B138" s="398" t="s">
        <v>142</v>
      </c>
      <c r="D138" s="706">
        <f>qtrSales!S223</f>
        <v>2857</v>
      </c>
      <c r="F138" s="706">
        <f>INDEX('qtrP&amp;L'!$22:$22,MATCH($B135,'qtrP&amp;L'!$6:$6,0))</f>
        <v>1795</v>
      </c>
      <c r="H138" s="706">
        <f>INDEX(wc!$12:$12,MATCH(B135,wc!$7:$7,0))</f>
        <v>3691</v>
      </c>
      <c r="J138" s="706">
        <f>AVERAGE(H138,H137)</f>
        <v>3336</v>
      </c>
      <c r="L138" s="1039">
        <f>(D138/D131-1)*100</f>
        <v>-1.3807386952019329</v>
      </c>
      <c r="N138" s="760">
        <f>(H138/H131-1)*100</f>
        <v>0.59961842463887027</v>
      </c>
      <c r="P138" s="760">
        <f>(H138/H137-1)*100</f>
        <v>23.817510902381755</v>
      </c>
      <c r="R138" s="792">
        <f>F138/J138</f>
        <v>0.53806954436450838</v>
      </c>
      <c r="T138" s="792">
        <f>F139/H138</f>
        <v>0.71769168247087511</v>
      </c>
      <c r="V138" s="824">
        <f>IF(qtrSales!J223=0," ",qtrSales!J223)</f>
        <v>1014</v>
      </c>
      <c r="X138" s="579">
        <f>H138/V138</f>
        <v>3.6400394477317555</v>
      </c>
      <c r="Z138" s="678">
        <f>X138/X131-1</f>
        <v>1.4925144461593431E-2</v>
      </c>
      <c r="AB138" s="586">
        <f>qtrSales!AA223</f>
        <v>102.50217391304348</v>
      </c>
      <c r="AD138" s="788">
        <f>H138/AB138</f>
        <v>36.008992386163605</v>
      </c>
      <c r="AF138" s="760">
        <f>(AD138/AD131-1)*100</f>
        <v>1.4925144461593431</v>
      </c>
      <c r="AH138" s="790">
        <f>J138/(F138/(365/4))</f>
        <v>169.58774373259055</v>
      </c>
      <c r="AJ138" s="790">
        <f>H138/(F139/(365/4))</f>
        <v>127.14373348433372</v>
      </c>
      <c r="AL138" s="706">
        <f>INDEX('qtrP&amp;L'!$102:$102,MATCH($B135,'qtrP&amp;L'!$6:$6,0))</f>
        <v>23</v>
      </c>
    </row>
    <row r="139" spans="1:38">
      <c r="A139" s="398" t="s">
        <v>161</v>
      </c>
      <c r="B139" s="398" t="s">
        <v>143</v>
      </c>
      <c r="D139" s="769">
        <f>qtrSales!S224</f>
        <v>3961</v>
      </c>
      <c r="F139" s="769">
        <f>INDEX('qtrP&amp;L'!$23:$23,MATCH($B135,'qtrP&amp;L'!$6:$6,0))</f>
        <v>2649</v>
      </c>
      <c r="H139" s="769">
        <f>INDEX(wc!$13:$13,MATCH(B135,wc!$7:$7,0))</f>
        <v>2854</v>
      </c>
      <c r="J139" s="769">
        <f>AVERAGE(H139,H138)</f>
        <v>3272.5</v>
      </c>
      <c r="L139" s="1153">
        <f>(D139/D132-1)*100</f>
        <v>-0.87587587587587556</v>
      </c>
      <c r="N139" s="760">
        <f>(H139/H132-1)*100</f>
        <v>4.8879088570378482</v>
      </c>
      <c r="P139" s="760">
        <f>(H139/H138-1)*100</f>
        <v>-22.676781360065025</v>
      </c>
      <c r="R139" s="792">
        <f>F139/J139</f>
        <v>0.8094728800611154</v>
      </c>
      <c r="T139" s="1156">
        <f>F140/H139</f>
        <v>2.8279607568325158</v>
      </c>
      <c r="V139" s="827">
        <f>IF(qtrSales!J224=0," ",qtrSales!J224)</f>
        <v>1014</v>
      </c>
      <c r="X139" s="579">
        <f>H139/V139</f>
        <v>2.8145956607495068</v>
      </c>
      <c r="Z139" s="678">
        <f>X139/X132-1</f>
        <v>5.6119871233093255E-2</v>
      </c>
      <c r="AB139" s="586">
        <f>qtrSales!AA224</f>
        <v>103.3</v>
      </c>
      <c r="AD139" s="788">
        <f>H139/AB139</f>
        <v>27.628267182962247</v>
      </c>
      <c r="AF139" s="760">
        <f>(AD139/AD132-1)*100</f>
        <v>4.7963046603636039</v>
      </c>
      <c r="AH139" s="790">
        <f>J139/(F139/(365/4))</f>
        <v>112.72768025670065</v>
      </c>
      <c r="AJ139" s="790">
        <f>H139/(F140/(365/4))</f>
        <v>32.267067277908559</v>
      </c>
      <c r="AL139" s="769">
        <f>INDEX('qtrP&amp;L'!$103:$103,MATCH($B135,'qtrP&amp;L'!$6:$6,0))</f>
        <v>283</v>
      </c>
    </row>
    <row r="140" spans="1:38">
      <c r="B140" s="774" t="s">
        <v>116</v>
      </c>
      <c r="C140" s="774"/>
      <c r="D140" s="591">
        <f>qtrSales!S225</f>
        <v>12547</v>
      </c>
      <c r="F140" s="591">
        <f>INDEX('qtrP&amp;L'!$24:$24,MATCH($B135,'qtrP&amp;L'!$6:$6,0))</f>
        <v>8071</v>
      </c>
      <c r="H140" s="591">
        <f>INDEX(wc!$13:$13,MATCH(B135,wc!$7:$7,0))</f>
        <v>2854</v>
      </c>
      <c r="J140" s="591">
        <f>AVERAGE(J136:J139)</f>
        <v>3096.125</v>
      </c>
      <c r="L140" s="1039">
        <f>(D140/D133-1)*100</f>
        <v>-0.61782178217821837</v>
      </c>
      <c r="R140" s="1154">
        <f>F140/J140</f>
        <v>2.6068068957164199</v>
      </c>
      <c r="S140" s="953" t="s">
        <v>188</v>
      </c>
      <c r="V140" s="829"/>
      <c r="AL140" s="591">
        <f>INDEX('qtrP&amp;L'!$104:$104,MATCH($B135,'qtrP&amp;L'!$6:$6,0))</f>
        <v>404</v>
      </c>
    </row>
    <row r="142" spans="1:38">
      <c r="B142" s="1150">
        <v>2017</v>
      </c>
      <c r="C142" s="1155"/>
      <c r="H142" s="678"/>
      <c r="L142" s="1039"/>
      <c r="AB142" s="810"/>
      <c r="AH142" s="790"/>
    </row>
    <row r="143" spans="1:38">
      <c r="A143" s="398" t="s">
        <v>158</v>
      </c>
      <c r="B143" s="398" t="s">
        <v>140</v>
      </c>
      <c r="D143" s="591">
        <f>qtrSales!S228</f>
        <v>2706</v>
      </c>
      <c r="F143" s="591">
        <f>INDEX('qtrP&amp;L'!$20:$20,MATCH($B142,'qtrP&amp;L'!$6:$6,0))</f>
        <v>1723</v>
      </c>
      <c r="H143" s="591">
        <f>INDEX(wc!$10:$10,MATCH(B142,wc!$7:$7,0))</f>
        <v>2949</v>
      </c>
      <c r="J143" s="591">
        <f>AVERAGE(H143,H139)</f>
        <v>2901.5</v>
      </c>
      <c r="L143" s="1039">
        <f>(D143/D136-1)*100</f>
        <v>-3.7353255069370372</v>
      </c>
      <c r="M143" s="398" t="s">
        <v>156</v>
      </c>
      <c r="N143" s="760">
        <f>(H143/H136-1)*100</f>
        <v>0.82051282051283092</v>
      </c>
      <c r="O143" s="398" t="s">
        <v>156</v>
      </c>
      <c r="P143" s="760">
        <f>(H143/H139-1)*100</f>
        <v>3.3286615276804543</v>
      </c>
      <c r="Q143" s="398" t="s">
        <v>156</v>
      </c>
      <c r="R143" s="792">
        <f>F143/J143</f>
        <v>0.59383077718421506</v>
      </c>
      <c r="S143" s="398" t="s">
        <v>188</v>
      </c>
      <c r="T143" s="792">
        <f>F144/H143</f>
        <v>0.65208545269582907</v>
      </c>
      <c r="V143" s="824">
        <f>IF(qtrSales!J228=0," ",qtrSales!J228)</f>
        <v>1014</v>
      </c>
      <c r="X143" s="579">
        <f>H143/V143</f>
        <v>2.9082840236686391</v>
      </c>
      <c r="Z143" s="678">
        <f>X143/X136-1</f>
        <v>8.2051282051283092E-3</v>
      </c>
      <c r="AB143" s="586">
        <f>qtrSales!AA228</f>
        <v>103.3</v>
      </c>
      <c r="AD143" s="788">
        <f>H143/AB143</f>
        <v>28.547918683446273</v>
      </c>
      <c r="AF143" s="760">
        <f>(AD143/AD136-1)*100</f>
        <v>4.1836777642156875E-2</v>
      </c>
      <c r="AG143" s="398" t="s">
        <v>156</v>
      </c>
      <c r="AH143" s="790">
        <f>J143/(F143/(365/4))</f>
        <v>153.6633052814858</v>
      </c>
      <c r="AJ143" s="790">
        <f>H143/(F144/(365/4))</f>
        <v>139.93564742589703</v>
      </c>
      <c r="AL143" s="591">
        <f>INDEX('qtrP&amp;L'!$100:$100,MATCH($B142,'qtrP&amp;L'!$6:$6,0))</f>
        <v>114</v>
      </c>
    </row>
    <row r="144" spans="1:38">
      <c r="A144" s="398" t="s">
        <v>159</v>
      </c>
      <c r="B144" s="398" t="s">
        <v>141</v>
      </c>
      <c r="D144" s="706">
        <f>qtrSales!S229</f>
        <v>2962.0000000000005</v>
      </c>
      <c r="F144" s="706">
        <f>INDEX('qtrP&amp;L'!$21:$21,MATCH($B142,'qtrP&amp;L'!$6:$6,0))</f>
        <v>1923</v>
      </c>
      <c r="H144" s="706">
        <f>INDEX(wc!$11:$11,MATCH(B142,wc!$7:$7,0))</f>
        <v>2777</v>
      </c>
      <c r="J144" s="706">
        <f>AVERAGE(H144,H143)</f>
        <v>2863</v>
      </c>
      <c r="L144" s="1039">
        <f>(D144/D137-1)*100</f>
        <v>1.5078821110349638</v>
      </c>
      <c r="N144" s="760">
        <f>(H144/H137-1)*100</f>
        <v>-6.8433411606843357</v>
      </c>
      <c r="P144" s="760">
        <f>(H144/H143-1)*100</f>
        <v>-5.8324855883350235</v>
      </c>
      <c r="R144" s="792">
        <f>F144/J144</f>
        <v>0.67167307020607758</v>
      </c>
      <c r="T144" s="792">
        <f>F145/H144</f>
        <v>0.66690673388548793</v>
      </c>
      <c r="V144" s="824">
        <f>IF(qtrSales!J229=0," ",qtrSales!J229)</f>
        <v>887</v>
      </c>
      <c r="X144" s="579">
        <f>H144/V144</f>
        <v>3.1307779030439686</v>
      </c>
      <c r="Z144" s="678">
        <f>X144/X137-1</f>
        <v>6.494759935812966E-2</v>
      </c>
      <c r="AB144" s="586">
        <f>qtrSales!AA229</f>
        <v>96</v>
      </c>
      <c r="AD144" s="788">
        <f>H144/AB144</f>
        <v>28.927083333333332</v>
      </c>
      <c r="AF144" s="760">
        <f>(AD144/AD137-1)*100</f>
        <v>-0.53374952598340686</v>
      </c>
      <c r="AH144" s="790">
        <f>J144/(F144/(365/4))</f>
        <v>135.85478419136766</v>
      </c>
      <c r="AJ144" s="790">
        <f>H144/(F145/(365/4))</f>
        <v>136.82572894168467</v>
      </c>
      <c r="AL144" s="706">
        <f>INDEX('qtrP&amp;L'!$101:$101,MATCH($B142,'qtrP&amp;L'!$6:$6,0))</f>
        <v>61.000000000000455</v>
      </c>
    </row>
    <row r="145" spans="1:38">
      <c r="A145" s="398" t="s">
        <v>160</v>
      </c>
      <c r="B145" s="398" t="s">
        <v>142</v>
      </c>
      <c r="D145" s="706">
        <f>qtrSales!S230</f>
        <v>2807</v>
      </c>
      <c r="F145" s="706">
        <f>INDEX('qtrP&amp;L'!$22:$22,MATCH($B142,'qtrP&amp;L'!$6:$6,0))</f>
        <v>1852</v>
      </c>
      <c r="H145" s="706">
        <f>INDEX(wc!$12:$12,MATCH(B142,wc!$7:$7,0))</f>
        <v>3365</v>
      </c>
      <c r="J145" s="706">
        <f>AVERAGE(H145,H144)</f>
        <v>3071</v>
      </c>
      <c r="L145" s="1039">
        <f>(D145/D138-1)*100</f>
        <v>-1.7500875043752195</v>
      </c>
      <c r="N145" s="760">
        <f>(H145/H138-1)*100</f>
        <v>-8.8322947710647526</v>
      </c>
      <c r="P145" s="760">
        <f>(H145/H144-1)*100</f>
        <v>21.173928700036004</v>
      </c>
      <c r="R145" s="792">
        <f>F145/J145</f>
        <v>0.60306089221751868</v>
      </c>
      <c r="T145" s="792">
        <f>F146/H145</f>
        <v>0.79524517087667157</v>
      </c>
      <c r="V145" s="824">
        <f>IF(qtrSales!J230=0," ",qtrSales!J230)</f>
        <v>874</v>
      </c>
      <c r="X145" s="579">
        <f>H145/V145</f>
        <v>3.8501144164759724</v>
      </c>
      <c r="Z145" s="678">
        <f>X145/X138-1</f>
        <v>5.7712278056525568E-2</v>
      </c>
      <c r="AB145" s="586">
        <f>qtrSales!AA230</f>
        <v>96</v>
      </c>
      <c r="AD145" s="788">
        <f>H145/AB145</f>
        <v>35.052083333333336</v>
      </c>
      <c r="AF145" s="760">
        <f>(AD145/AD138-1)*100</f>
        <v>-2.6574169101103773</v>
      </c>
      <c r="AH145" s="790">
        <f>J145/(F145/(365/4))</f>
        <v>151.3114200863931</v>
      </c>
      <c r="AJ145" s="790">
        <f>H145/(F146/(365/4))</f>
        <v>114.74448804185351</v>
      </c>
      <c r="AL145" s="706">
        <f>INDEX('qtrP&amp;L'!$102:$102,MATCH($B142,'qtrP&amp;L'!$6:$6,0))</f>
        <v>-77</v>
      </c>
    </row>
    <row r="146" spans="1:38">
      <c r="A146" s="398" t="s">
        <v>161</v>
      </c>
      <c r="B146" s="398" t="s">
        <v>143</v>
      </c>
      <c r="D146" s="769">
        <f>qtrSales!S231</f>
        <v>4031</v>
      </c>
      <c r="F146" s="769">
        <f>INDEX('qtrP&amp;L'!$23:$23,MATCH($B142,'qtrP&amp;L'!$6:$6,0))</f>
        <v>2676</v>
      </c>
      <c r="H146" s="769">
        <f>INDEX(wc!$13:$13,MATCH(B142,wc!$7:$7,0))</f>
        <v>2762</v>
      </c>
      <c r="J146" s="769">
        <f>AVERAGE(H146,H145)</f>
        <v>3063.5</v>
      </c>
      <c r="L146" s="1153">
        <f>(D146/D139-1)*100</f>
        <v>1.7672304973491482</v>
      </c>
      <c r="N146" s="760">
        <f>(H146/H139-1)*100</f>
        <v>-3.2235459004905431</v>
      </c>
      <c r="P146" s="760">
        <f>(H146/H145-1)*100</f>
        <v>-17.919762258543837</v>
      </c>
      <c r="R146" s="792">
        <f>F146/J146</f>
        <v>0.87351069038681251</v>
      </c>
      <c r="T146" s="1156">
        <f>F147/H146</f>
        <v>2.9594496741491674</v>
      </c>
      <c r="V146" s="827">
        <f>IF(qtrSales!J231=0," ",qtrSales!J231)</f>
        <v>872</v>
      </c>
      <c r="X146" s="579">
        <f>H146/V146</f>
        <v>3.1674311926605503</v>
      </c>
      <c r="Z146" s="678">
        <f>X146/X139-1</f>
        <v>0.12535922542319478</v>
      </c>
      <c r="AB146" s="586">
        <f>qtrSales!AA231</f>
        <v>95.6</v>
      </c>
      <c r="AD146" s="788">
        <f>H146/AB146</f>
        <v>28.89121338912134</v>
      </c>
      <c r="AF146" s="760">
        <f>(AD146/AD139-1)*100</f>
        <v>4.5712103397419268</v>
      </c>
      <c r="AH146" s="790">
        <f>J146/(F146/(365/4))</f>
        <v>104.46351831091181</v>
      </c>
      <c r="AJ146" s="790">
        <f>H146/(F147/(365/4))</f>
        <v>30.833435282603375</v>
      </c>
      <c r="AL146" s="769">
        <f>INDEX('qtrP&amp;L'!$103:$103,MATCH($B142,'qtrP&amp;L'!$6:$6,0))</f>
        <v>255</v>
      </c>
    </row>
    <row r="147" spans="1:38">
      <c r="B147" s="774" t="s">
        <v>116</v>
      </c>
      <c r="C147" s="774"/>
      <c r="D147" s="591">
        <f>qtrSales!S232</f>
        <v>12506</v>
      </c>
      <c r="F147" s="591">
        <f>INDEX('qtrP&amp;L'!$24:$24,MATCH($B142,'qtrP&amp;L'!$6:$6,0))</f>
        <v>8174</v>
      </c>
      <c r="H147" s="591">
        <f>INDEX(wc!$13:$13,MATCH(B142,wc!$7:$7,0))</f>
        <v>2762</v>
      </c>
      <c r="J147" s="591">
        <f>AVERAGE(J143:J146)</f>
        <v>2974.75</v>
      </c>
      <c r="L147" s="1039">
        <f>(D147/D140-1)*100</f>
        <v>-0.32677133976248829</v>
      </c>
      <c r="R147" s="1154">
        <f>F147/J147</f>
        <v>2.7477939322632152</v>
      </c>
      <c r="S147" s="953" t="s">
        <v>188</v>
      </c>
      <c r="V147" s="829"/>
      <c r="AL147" s="591">
        <f>INDEX('qtrP&amp;L'!$104:$104,MATCH($B142,'qtrP&amp;L'!$6:$6,0))</f>
        <v>353.00000000000045</v>
      </c>
    </row>
    <row r="149" spans="1:38">
      <c r="B149" s="1434">
        <v>2018</v>
      </c>
      <c r="C149" s="1155"/>
      <c r="H149" s="678"/>
      <c r="L149" s="1039"/>
      <c r="AB149" s="810"/>
      <c r="AH149" s="790"/>
    </row>
    <row r="150" spans="1:38">
      <c r="A150" s="398" t="s">
        <v>158</v>
      </c>
      <c r="B150" s="398" t="s">
        <v>140</v>
      </c>
      <c r="D150" s="591">
        <f>qtrSales!S235</f>
        <v>2662.7040000000002</v>
      </c>
      <c r="F150" s="591">
        <f>INDEX('qtrP&amp;L'!$20:$20,MATCH($B149,'qtrP&amp;L'!$6:$6,0))</f>
        <v>1706.7932640000001</v>
      </c>
      <c r="H150" s="591">
        <f>INDEX(wc!$10:$10,MATCH(B149,wc!$7:$7,0))</f>
        <v>2949</v>
      </c>
      <c r="J150" s="591">
        <f>AVERAGE(H150,H146)</f>
        <v>2855.5</v>
      </c>
      <c r="L150" s="1039">
        <f>(D150/D143-1)*100</f>
        <v>-1.5999999999999903</v>
      </c>
      <c r="M150" s="398" t="s">
        <v>156</v>
      </c>
      <c r="N150" s="760">
        <f>(H150/H143-1)*100</f>
        <v>0</v>
      </c>
      <c r="O150" s="398" t="s">
        <v>156</v>
      </c>
      <c r="P150" s="760">
        <f>(H150/H146-1)*100</f>
        <v>6.7704561911658301</v>
      </c>
      <c r="Q150" s="398" t="s">
        <v>156</v>
      </c>
      <c r="R150" s="792">
        <f>F150/J150</f>
        <v>0.59772133216599554</v>
      </c>
      <c r="S150" s="398" t="s">
        <v>188</v>
      </c>
      <c r="T150" s="792">
        <f>F151/H150</f>
        <v>0.63170048694472714</v>
      </c>
      <c r="V150" s="824">
        <f>IF(qtrSales!J235=0," ",qtrSales!J235)</f>
        <v>864</v>
      </c>
      <c r="X150" s="579">
        <f>H150/V150</f>
        <v>3.4131944444444446</v>
      </c>
      <c r="Z150" s="678">
        <f>X150/X143-1</f>
        <v>0.17361111111111116</v>
      </c>
      <c r="AB150" s="586">
        <f>qtrSales!AA235</f>
        <v>94.72293577981651</v>
      </c>
      <c r="AD150" s="788">
        <f>H150/AB150</f>
        <v>31.132903300790332</v>
      </c>
      <c r="AF150" s="760">
        <f>(AD150/AD143-1)*100</f>
        <v>9.0548969471563758</v>
      </c>
      <c r="AG150" s="398" t="s">
        <v>156</v>
      </c>
      <c r="AH150" s="790">
        <f>J150/(F150/(365/4))</f>
        <v>152.66311421299352</v>
      </c>
      <c r="AJ150" s="790">
        <f>H150/(F151/(365/4))</f>
        <v>144.45136878291538</v>
      </c>
      <c r="AL150" s="591">
        <f>INDEX('qtrP&amp;L'!$100:$100,MATCH($B149,'qtrP&amp;L'!$6:$6,0))</f>
        <v>21.770736000000056</v>
      </c>
    </row>
    <row r="151" spans="1:38">
      <c r="A151" s="398" t="s">
        <v>159</v>
      </c>
      <c r="B151" s="398" t="s">
        <v>141</v>
      </c>
      <c r="D151" s="706">
        <f>qtrSales!S236</f>
        <v>2938.3040000000005</v>
      </c>
      <c r="F151" s="706">
        <f>INDEX('qtrP&amp;L'!$21:$21,MATCH($B149,'qtrP&amp;L'!$6:$6,0))</f>
        <v>1862.8847360000004</v>
      </c>
      <c r="H151" s="706">
        <f>INDEX(wc!$11:$11,MATCH(B149,wc!$7:$7,0))</f>
        <v>2777</v>
      </c>
      <c r="J151" s="706">
        <f>AVERAGE(H151,H150)</f>
        <v>2863</v>
      </c>
      <c r="L151" s="1039">
        <f>(D151/D144-1)*100</f>
        <v>-0.80000000000000071</v>
      </c>
      <c r="N151" s="760">
        <f>(H151/H144-1)*100</f>
        <v>0</v>
      </c>
      <c r="P151" s="760">
        <f>(H151/H150-1)*100</f>
        <v>-5.8324855883350235</v>
      </c>
      <c r="R151" s="792">
        <f>F151/J151</f>
        <v>0.65067577226685314</v>
      </c>
      <c r="T151" s="792">
        <f>F152/H151</f>
        <v>0.62388784299603894</v>
      </c>
      <c r="V151" s="824">
        <f>IF(qtrSales!J236=0," ",qtrSales!J236)</f>
        <v>857</v>
      </c>
      <c r="X151" s="579">
        <f>H151/V151</f>
        <v>3.2403733955659275</v>
      </c>
      <c r="Z151" s="678">
        <f>X151/X144-1</f>
        <v>3.5005834305717576E-2</v>
      </c>
      <c r="AB151" s="586">
        <f>qtrSales!AA236</f>
        <v>93.955504587155957</v>
      </c>
      <c r="AD151" s="788">
        <f>H151/AB151</f>
        <v>29.556543942818923</v>
      </c>
      <c r="AF151" s="760">
        <f>(AD151/AD144-1)*100</f>
        <v>2.1760251534251651</v>
      </c>
      <c r="AH151" s="790">
        <f>J151/(F151/(365/4))</f>
        <v>140.23881614970725</v>
      </c>
      <c r="AJ151" s="790">
        <f>H151/(F152/(365/4))</f>
        <v>146.26026300143721</v>
      </c>
      <c r="AL151" s="706">
        <f>INDEX('qtrP&amp;L'!$101:$101,MATCH($B149,'qtrP&amp;L'!$6:$6,0))</f>
        <v>111.46926400000018</v>
      </c>
    </row>
    <row r="152" spans="1:38">
      <c r="A152" s="398" t="s">
        <v>160</v>
      </c>
      <c r="B152" s="398" t="s">
        <v>142</v>
      </c>
      <c r="D152" s="706">
        <f>qtrSales!S237</f>
        <v>2728.404</v>
      </c>
      <c r="F152" s="706">
        <f>INDEX('qtrP&amp;L'!$22:$22,MATCH($B149,'qtrP&amp;L'!$6:$6,0))</f>
        <v>1732.5365400000001</v>
      </c>
      <c r="H152" s="706">
        <f>INDEX(wc!$12:$12,MATCH(B149,wc!$7:$7,0))</f>
        <v>3331.35</v>
      </c>
      <c r="J152" s="706">
        <f>AVERAGE(H152,H151)</f>
        <v>3054.1750000000002</v>
      </c>
      <c r="L152" s="1039">
        <f>(D152/D145-1)*100</f>
        <v>-2.8000000000000025</v>
      </c>
      <c r="N152" s="760">
        <f>(H152/H145-1)*100</f>
        <v>-1.0000000000000009</v>
      </c>
      <c r="P152" s="760">
        <f>(H152/H151-1)*100</f>
        <v>19.962189413035645</v>
      </c>
      <c r="R152" s="792">
        <f>F152/J152</f>
        <v>0.56726826065958891</v>
      </c>
      <c r="T152" s="792">
        <f>F153/H152</f>
        <v>0.75021721644378425</v>
      </c>
      <c r="V152" s="824">
        <f>IF(qtrSales!J237=0," ",qtrSales!J237)</f>
        <v>857</v>
      </c>
      <c r="X152" s="579">
        <f>H152/V152</f>
        <v>3.8872228704784129</v>
      </c>
      <c r="Z152" s="678">
        <f>X152/X145-1</f>
        <v>9.6382730455075727E-3</v>
      </c>
      <c r="AB152" s="586">
        <f>qtrSales!AA237</f>
        <v>93.955504587155957</v>
      </c>
      <c r="AD152" s="788">
        <f>H152/AB152</f>
        <v>35.456677228631548</v>
      </c>
      <c r="AF152" s="760">
        <f>(AD152/AD145-1)*100</f>
        <v>1.1542649018908779</v>
      </c>
      <c r="AH152" s="790">
        <f>J152/(F152/(365/4))</f>
        <v>160.85863836961269</v>
      </c>
      <c r="AJ152" s="790">
        <f>H152/(F153/(365/4))</f>
        <v>121.63143953500247</v>
      </c>
      <c r="AL152" s="706">
        <f>INDEX('qtrP&amp;L'!$102:$102,MATCH($B149,'qtrP&amp;L'!$6:$6,0))</f>
        <v>31.667460000000005</v>
      </c>
    </row>
    <row r="153" spans="1:38">
      <c r="A153" s="398" t="s">
        <v>161</v>
      </c>
      <c r="B153" s="398" t="s">
        <v>143</v>
      </c>
      <c r="D153" s="769">
        <f>qtrSales!S238</f>
        <v>3724.6440000000002</v>
      </c>
      <c r="F153" s="769">
        <f>INDEX('qtrP&amp;L'!$23:$23,MATCH($B149,'qtrP&amp;L'!$6:$6,0))</f>
        <v>2499.2361240000005</v>
      </c>
      <c r="H153" s="769">
        <f>INDEX(wc!$13:$13,MATCH(B149,wc!$7:$7,0))</f>
        <v>2734.38</v>
      </c>
      <c r="J153" s="769">
        <f>AVERAGE(H153,H152)</f>
        <v>3032.8649999999998</v>
      </c>
      <c r="L153" s="1153">
        <f>(D153/D146-1)*100</f>
        <v>-7.5999999999999961</v>
      </c>
      <c r="N153" s="760">
        <f>(H153/H146-1)*100</f>
        <v>-1.0000000000000009</v>
      </c>
      <c r="P153" s="760">
        <f>(H153/H152-1)*100</f>
        <v>-17.919762258543827</v>
      </c>
      <c r="R153" s="792">
        <f>F153/J153</f>
        <v>0.82405122681029341</v>
      </c>
      <c r="T153" s="1156">
        <f>F154/H153</f>
        <v>2.853096740028819</v>
      </c>
      <c r="V153" s="827">
        <f>IF(qtrSales!J238=0," ",qtrSales!J238)</f>
        <v>857</v>
      </c>
      <c r="X153" s="579">
        <f>H153/V153</f>
        <v>3.1906417736289381</v>
      </c>
      <c r="Z153" s="678">
        <f>X153/X146-1</f>
        <v>7.3278879813303277E-3</v>
      </c>
      <c r="AB153" s="586">
        <f>qtrSales!AA238</f>
        <v>93.955504587155957</v>
      </c>
      <c r="AD153" s="788">
        <f>H153/AB153</f>
        <v>29.102924964481531</v>
      </c>
      <c r="AF153" s="760">
        <f>(AD153/AD146-1)*100</f>
        <v>0.73278879813303277</v>
      </c>
      <c r="AH153" s="790">
        <f>J153/(F153/(365/4))</f>
        <v>110.73340713684399</v>
      </c>
      <c r="AJ153" s="790">
        <f>H153/(F154/(365/4))</f>
        <v>31.982792142925476</v>
      </c>
      <c r="AL153" s="769">
        <f>INDEX('qtrP&amp;L'!$103:$103,MATCH($B149,'qtrP&amp;L'!$6:$6,0))</f>
        <v>174.41287599999987</v>
      </c>
    </row>
    <row r="154" spans="1:38">
      <c r="B154" s="774" t="s">
        <v>116</v>
      </c>
      <c r="C154" s="774"/>
      <c r="D154" s="591">
        <f>qtrSales!S239</f>
        <v>12054.056</v>
      </c>
      <c r="F154" s="591">
        <f>INDEX('qtrP&amp;L'!$24:$24,MATCH($B149,'qtrP&amp;L'!$6:$6,0))</f>
        <v>7801.4506640000018</v>
      </c>
      <c r="H154" s="591">
        <f>INDEX(wc!$13:$13,MATCH(B149,wc!$7:$7,0))</f>
        <v>2734.38</v>
      </c>
      <c r="J154" s="591">
        <f>AVERAGE(J150:J153)</f>
        <v>2951.3849999999998</v>
      </c>
      <c r="L154" s="1039">
        <f>(D154/D147-1)*100</f>
        <v>-3.6138173676635188</v>
      </c>
      <c r="R154" s="1154">
        <f>F154/J154</f>
        <v>2.6433185314691245</v>
      </c>
      <c r="S154" s="953" t="s">
        <v>188</v>
      </c>
      <c r="V154" s="829"/>
      <c r="AL154" s="591">
        <f>INDEX('qtrP&amp;L'!$104:$104,MATCH($B149,'qtrP&amp;L'!$6:$6,0))</f>
        <v>339.32033600000011</v>
      </c>
    </row>
    <row r="161" spans="1:1">
      <c r="A161" s="679" t="s">
        <v>139</v>
      </c>
    </row>
  </sheetData>
  <phoneticPr fontId="10" type="noConversion"/>
  <printOptions horizontalCentered="1" verticalCentered="1"/>
  <pageMargins left="0.25" right="0.25" top="0" bottom="0" header="0.5" footer="0.5"/>
  <pageSetup scale="56" orientation="landscape" horizontalDpi="300" verticalDpi="3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H184"/>
  <sheetViews>
    <sheetView zoomScaleNormal="100" workbookViewId="0"/>
  </sheetViews>
  <sheetFormatPr defaultRowHeight="12.75" outlineLevelRow="1" outlineLevelCol="1"/>
  <cols>
    <col min="1" max="1" width="3.140625" customWidth="1"/>
    <col min="2" max="2" width="55" customWidth="1"/>
    <col min="3" max="15" width="7.7109375" customWidth="1" outlineLevel="1"/>
    <col min="16" max="28" width="7.7109375" customWidth="1"/>
    <col min="29" max="29" width="16.140625" customWidth="1" outlineLevel="1"/>
    <col min="30" max="34" width="6.7109375" customWidth="1" outlineLevel="1"/>
  </cols>
  <sheetData>
    <row r="1" spans="1:28" ht="15.95" customHeight="1">
      <c r="A1" s="5"/>
      <c r="B1" s="135" t="s">
        <v>442</v>
      </c>
      <c r="C1" s="10"/>
      <c r="D1" s="10"/>
      <c r="E1" s="10"/>
      <c r="F1" s="10"/>
      <c r="G1" s="11"/>
      <c r="H1" s="11"/>
      <c r="I1" s="11"/>
      <c r="J1" s="11"/>
      <c r="K1" s="11"/>
      <c r="L1" s="11"/>
      <c r="M1" s="11"/>
      <c r="N1" s="11"/>
      <c r="O1" s="11"/>
      <c r="P1" s="11"/>
      <c r="Q1" s="11"/>
      <c r="R1" s="11"/>
      <c r="S1" s="5"/>
      <c r="T1" s="5"/>
      <c r="U1" s="5"/>
      <c r="V1" s="5"/>
      <c r="W1" s="5"/>
      <c r="X1" s="5"/>
      <c r="Y1" s="5"/>
      <c r="Z1" s="5"/>
      <c r="AA1" s="5"/>
      <c r="AB1" s="5"/>
    </row>
    <row r="2" spans="1:28">
      <c r="A2" s="5"/>
      <c r="B2" s="134" t="s">
        <v>0</v>
      </c>
      <c r="C2" s="12" t="s">
        <v>1</v>
      </c>
      <c r="D2" s="13"/>
      <c r="E2" s="13"/>
      <c r="F2" s="13"/>
      <c r="G2" s="14"/>
      <c r="H2" s="14"/>
      <c r="I2" s="15"/>
      <c r="J2" s="160" t="s">
        <v>2</v>
      </c>
      <c r="K2" s="16"/>
      <c r="L2" s="11"/>
      <c r="M2" s="17"/>
      <c r="N2" s="17"/>
      <c r="O2" s="17"/>
      <c r="P2" s="17"/>
      <c r="Q2" s="17"/>
      <c r="R2" s="17"/>
      <c r="S2" s="17"/>
      <c r="T2" s="17"/>
      <c r="U2" s="17"/>
      <c r="V2" s="17"/>
      <c r="W2" s="17"/>
      <c r="X2" s="17"/>
      <c r="Y2" s="17"/>
      <c r="Z2" s="17"/>
      <c r="AA2" s="17"/>
      <c r="AB2" s="17"/>
    </row>
    <row r="3" spans="1:28">
      <c r="A3" s="137"/>
      <c r="B3" s="140"/>
      <c r="C3" s="138">
        <f t="shared" ref="C3:I3" si="0">D3-1</f>
        <v>1996</v>
      </c>
      <c r="D3" s="138">
        <f t="shared" si="0"/>
        <v>1997</v>
      </c>
      <c r="E3" s="138">
        <f t="shared" si="0"/>
        <v>1998</v>
      </c>
      <c r="F3" s="138">
        <f t="shared" si="0"/>
        <v>1999</v>
      </c>
      <c r="G3" s="138">
        <f t="shared" si="0"/>
        <v>2000</v>
      </c>
      <c r="H3" s="138">
        <f t="shared" si="0"/>
        <v>2001</v>
      </c>
      <c r="I3" s="138">
        <f t="shared" si="0"/>
        <v>2002</v>
      </c>
      <c r="J3" s="138">
        <v>2003</v>
      </c>
      <c r="K3" s="138">
        <v>2004</v>
      </c>
      <c r="L3" s="138">
        <v>2005</v>
      </c>
      <c r="M3" s="138">
        <v>2006</v>
      </c>
      <c r="N3" s="138">
        <f t="shared" ref="N3:V3" si="1">M3+1</f>
        <v>2007</v>
      </c>
      <c r="O3" s="138">
        <f t="shared" si="1"/>
        <v>2008</v>
      </c>
      <c r="P3" s="138">
        <f t="shared" si="1"/>
        <v>2009</v>
      </c>
      <c r="Q3" s="138">
        <f t="shared" si="1"/>
        <v>2010</v>
      </c>
      <c r="R3" s="138">
        <f t="shared" si="1"/>
        <v>2011</v>
      </c>
      <c r="S3" s="138">
        <f>R3+1</f>
        <v>2012</v>
      </c>
      <c r="T3" s="139">
        <f t="shared" si="1"/>
        <v>2013</v>
      </c>
      <c r="U3" s="139">
        <f t="shared" si="1"/>
        <v>2014</v>
      </c>
      <c r="V3" s="139">
        <f t="shared" si="1"/>
        <v>2015</v>
      </c>
      <c r="W3" s="139">
        <f>V3+1</f>
        <v>2016</v>
      </c>
      <c r="X3" s="139">
        <f>W3+1</f>
        <v>2017</v>
      </c>
      <c r="Y3" s="139">
        <f>X3+1</f>
        <v>2018</v>
      </c>
      <c r="Z3" s="139">
        <f>Y3+1</f>
        <v>2019</v>
      </c>
      <c r="AA3" s="139">
        <f t="shared" ref="AA3:AB3" si="2">Z3+1</f>
        <v>2020</v>
      </c>
      <c r="AB3" s="139">
        <f t="shared" si="2"/>
        <v>2021</v>
      </c>
    </row>
    <row r="4" spans="1:28">
      <c r="A4" s="5"/>
      <c r="B4" s="141"/>
      <c r="C4" s="18"/>
      <c r="D4" s="18"/>
      <c r="E4" s="18"/>
      <c r="F4" s="18"/>
      <c r="G4" s="18"/>
      <c r="H4" s="18"/>
      <c r="I4" s="18"/>
      <c r="J4" s="161"/>
      <c r="K4" s="19"/>
      <c r="L4" s="19"/>
      <c r="M4" s="19"/>
      <c r="N4" s="19"/>
      <c r="O4" s="11"/>
      <c r="P4" s="20"/>
      <c r="Q4" s="20"/>
      <c r="R4" s="20"/>
      <c r="S4" s="20"/>
      <c r="T4" s="21"/>
      <c r="U4" s="21"/>
      <c r="V4" s="21"/>
      <c r="W4" s="21"/>
      <c r="X4" s="21"/>
      <c r="Y4" s="21"/>
      <c r="Z4" s="21"/>
      <c r="AA4" s="21"/>
      <c r="AB4" s="21"/>
    </row>
    <row r="5" spans="1:28">
      <c r="A5" s="5"/>
      <c r="B5" s="142" t="s">
        <v>3</v>
      </c>
      <c r="C5" s="11"/>
      <c r="D5" s="11"/>
      <c r="E5" s="11"/>
      <c r="F5" s="11"/>
      <c r="G5" s="11"/>
      <c r="H5" s="11"/>
      <c r="I5" s="11"/>
      <c r="J5" s="22"/>
      <c r="K5" s="11"/>
      <c r="L5" s="11"/>
      <c r="M5" s="11"/>
      <c r="N5" s="11"/>
      <c r="O5" s="11"/>
      <c r="P5" s="23"/>
      <c r="Q5" s="24"/>
      <c r="R5" s="24"/>
      <c r="S5" s="24"/>
      <c r="T5" s="25"/>
      <c r="U5" s="25"/>
      <c r="V5" s="25"/>
      <c r="W5" s="25"/>
      <c r="X5" s="25"/>
      <c r="Y5" s="25"/>
      <c r="Z5" s="25"/>
      <c r="AA5" s="25"/>
      <c r="AB5" s="25"/>
    </row>
    <row r="6" spans="1:28">
      <c r="A6" s="5"/>
      <c r="B6" s="143" t="s">
        <v>263</v>
      </c>
      <c r="C6" s="26">
        <f t="shared" ref="C6:V6" si="3">C68</f>
        <v>285</v>
      </c>
      <c r="D6" s="26">
        <f t="shared" si="3"/>
        <v>469</v>
      </c>
      <c r="E6" s="26">
        <f t="shared" si="3"/>
        <v>519</v>
      </c>
      <c r="F6" s="26">
        <f t="shared" si="3"/>
        <v>603</v>
      </c>
      <c r="G6" s="26">
        <f t="shared" si="3"/>
        <v>652</v>
      </c>
      <c r="H6" s="26">
        <f t="shared" si="3"/>
        <v>653</v>
      </c>
      <c r="I6" s="26">
        <f t="shared" si="3"/>
        <v>675</v>
      </c>
      <c r="J6" s="56">
        <f t="shared" si="3"/>
        <v>196</v>
      </c>
      <c r="K6" s="26">
        <f t="shared" si="3"/>
        <v>200</v>
      </c>
      <c r="L6" s="26">
        <f t="shared" si="3"/>
        <v>195</v>
      </c>
      <c r="M6" s="26">
        <f t="shared" si="3"/>
        <v>205</v>
      </c>
      <c r="N6" s="26">
        <f t="shared" si="3"/>
        <v>210</v>
      </c>
      <c r="O6" s="26">
        <f t="shared" si="3"/>
        <v>217</v>
      </c>
      <c r="P6" s="26">
        <f t="shared" si="3"/>
        <v>231</v>
      </c>
      <c r="Q6" s="26">
        <f t="shared" si="3"/>
        <v>227</v>
      </c>
      <c r="R6" s="26">
        <f t="shared" si="3"/>
        <v>243</v>
      </c>
      <c r="S6" s="26">
        <f>S68</f>
        <v>233</v>
      </c>
      <c r="T6" s="26">
        <f t="shared" si="3"/>
        <v>249.31</v>
      </c>
      <c r="U6" s="26">
        <f t="shared" si="3"/>
        <v>266.76170000000002</v>
      </c>
      <c r="V6" s="26">
        <f t="shared" si="3"/>
        <v>285.43501900000001</v>
      </c>
      <c r="W6" s="26">
        <f>W68</f>
        <v>305.41547033000001</v>
      </c>
      <c r="X6" s="26">
        <f>X68</f>
        <v>326.79455325310005</v>
      </c>
      <c r="Y6" s="26">
        <f>Y68</f>
        <v>349.67017198081709</v>
      </c>
      <c r="Z6" s="26">
        <f>Z68</f>
        <v>374.14708401947428</v>
      </c>
      <c r="AA6" s="26">
        <f t="shared" ref="AA6:AB6" si="4">AA68</f>
        <v>400.3373799008375</v>
      </c>
      <c r="AB6" s="26">
        <f t="shared" si="4"/>
        <v>428.36099649389615</v>
      </c>
    </row>
    <row r="7" spans="1:28">
      <c r="A7" s="5"/>
      <c r="B7" s="144" t="s">
        <v>264</v>
      </c>
      <c r="C7" s="27">
        <f t="shared" ref="C7:V7" si="5">C18</f>
        <v>-249.48464260783396</v>
      </c>
      <c r="D7" s="27">
        <f t="shared" si="5"/>
        <v>-256.62649595343885</v>
      </c>
      <c r="E7" s="27">
        <f t="shared" si="5"/>
        <v>-295.50860749835476</v>
      </c>
      <c r="F7" s="27">
        <f t="shared" si="5"/>
        <v>-327.47388029955647</v>
      </c>
      <c r="G7" s="27">
        <f t="shared" si="5"/>
        <v>-350.86907526004433</v>
      </c>
      <c r="H7" s="27">
        <f t="shared" si="5"/>
        <v>-347.03897828422856</v>
      </c>
      <c r="I7" s="27">
        <f t="shared" si="5"/>
        <v>-346.97897085098157</v>
      </c>
      <c r="J7" s="162">
        <f t="shared" si="5"/>
        <v>-94.031694421769259</v>
      </c>
      <c r="K7" s="27">
        <f t="shared" si="5"/>
        <v>-93.677705764012785</v>
      </c>
      <c r="L7" s="27">
        <f t="shared" si="5"/>
        <v>-86.242437401300649</v>
      </c>
      <c r="M7" s="27">
        <f t="shared" si="5"/>
        <v>-95.150800972178573</v>
      </c>
      <c r="N7" s="27">
        <f t="shared" si="5"/>
        <v>-107.53668230773812</v>
      </c>
      <c r="O7" s="27">
        <f t="shared" si="5"/>
        <v>-113.00018004164582</v>
      </c>
      <c r="P7" s="27">
        <f t="shared" si="5"/>
        <v>-113.00427227998952</v>
      </c>
      <c r="Q7" s="27">
        <f t="shared" si="5"/>
        <v>-113.49593705117329</v>
      </c>
      <c r="R7" s="27">
        <f t="shared" si="5"/>
        <v>-113.71830771138286</v>
      </c>
      <c r="S7" s="27">
        <f>S18</f>
        <v>-113.3290152649593</v>
      </c>
      <c r="T7" s="27">
        <f t="shared" si="5"/>
        <v>-118.2408115142232</v>
      </c>
      <c r="U7" s="27">
        <f t="shared" si="5"/>
        <v>-124.24968099734946</v>
      </c>
      <c r="V7" s="27">
        <f t="shared" si="5"/>
        <v>-131.34787253334233</v>
      </c>
      <c r="W7" s="27">
        <f>W18</f>
        <v>-129.6726890788874</v>
      </c>
      <c r="X7" s="27">
        <f>X18</f>
        <v>-128.33841393467128</v>
      </c>
      <c r="Y7" s="27">
        <f>Y18</f>
        <v>-127.31286631831964</v>
      </c>
      <c r="Z7" s="27">
        <f>Z18</f>
        <v>-126.56825833935518</v>
      </c>
      <c r="AA7" s="27">
        <f t="shared" ref="AA7:AB7" si="6">AA18</f>
        <v>-126.08070175846953</v>
      </c>
      <c r="AB7" s="27">
        <f t="shared" si="6"/>
        <v>-125.82977604045492</v>
      </c>
    </row>
    <row r="8" spans="1:28">
      <c r="A8" s="5"/>
      <c r="B8" s="143" t="s">
        <v>4</v>
      </c>
      <c r="C8" s="26">
        <f t="shared" ref="C8:X8" si="7">SUM(C6:C7)</f>
        <v>35.515357392166038</v>
      </c>
      <c r="D8" s="26">
        <f t="shared" si="7"/>
        <v>212.37350404656115</v>
      </c>
      <c r="E8" s="26">
        <f t="shared" si="7"/>
        <v>223.49139250164524</v>
      </c>
      <c r="F8" s="26">
        <f t="shared" si="7"/>
        <v>275.52611970044353</v>
      </c>
      <c r="G8" s="26">
        <f t="shared" si="7"/>
        <v>301.13092473995567</v>
      </c>
      <c r="H8" s="26">
        <f t="shared" si="7"/>
        <v>305.96102171577144</v>
      </c>
      <c r="I8" s="26">
        <f t="shared" si="7"/>
        <v>328.02102914901843</v>
      </c>
      <c r="J8" s="56">
        <f t="shared" si="7"/>
        <v>101.96830557823074</v>
      </c>
      <c r="K8" s="26">
        <f t="shared" si="7"/>
        <v>106.32229423598721</v>
      </c>
      <c r="L8" s="26">
        <f t="shared" si="7"/>
        <v>108.75756259869935</v>
      </c>
      <c r="M8" s="26">
        <f t="shared" si="7"/>
        <v>109.84919902782143</v>
      </c>
      <c r="N8" s="26">
        <f t="shared" si="7"/>
        <v>102.46331769226188</v>
      </c>
      <c r="O8" s="26">
        <f t="shared" si="7"/>
        <v>103.99981995835418</v>
      </c>
      <c r="P8" s="26">
        <f t="shared" si="7"/>
        <v>117.99572772001048</v>
      </c>
      <c r="Q8" s="26">
        <f t="shared" si="7"/>
        <v>113.50406294882671</v>
      </c>
      <c r="R8" s="26">
        <f t="shared" si="7"/>
        <v>129.28169228861714</v>
      </c>
      <c r="S8" s="26">
        <f t="shared" si="7"/>
        <v>119.6709847350407</v>
      </c>
      <c r="T8" s="26">
        <f t="shared" si="7"/>
        <v>131.06918848577681</v>
      </c>
      <c r="U8" s="26">
        <f t="shared" si="7"/>
        <v>142.51201900265056</v>
      </c>
      <c r="V8" s="26">
        <f t="shared" si="7"/>
        <v>154.08714646665769</v>
      </c>
      <c r="W8" s="26">
        <f t="shared" si="7"/>
        <v>175.7427812511126</v>
      </c>
      <c r="X8" s="26">
        <f t="shared" si="7"/>
        <v>198.45613931842877</v>
      </c>
      <c r="Y8" s="26">
        <f>SUM(Y6:Y7)</f>
        <v>222.35730566249745</v>
      </c>
      <c r="Z8" s="26">
        <f>SUM(Z6:Z7)</f>
        <v>247.57882568011911</v>
      </c>
      <c r="AA8" s="26">
        <f t="shared" ref="AA8:AB8" si="8">SUM(AA6:AA7)</f>
        <v>274.25667814236795</v>
      </c>
      <c r="AB8" s="26">
        <f t="shared" si="8"/>
        <v>302.53122045344122</v>
      </c>
    </row>
    <row r="9" spans="1:28">
      <c r="A9" s="5"/>
      <c r="B9" s="143"/>
      <c r="C9" s="28"/>
      <c r="D9" s="28"/>
      <c r="E9" s="28"/>
      <c r="F9" s="28"/>
      <c r="G9" s="28"/>
      <c r="H9" s="28"/>
      <c r="I9" s="28"/>
      <c r="J9" s="87"/>
      <c r="K9" s="28"/>
      <c r="L9" s="28"/>
      <c r="M9" s="28"/>
      <c r="N9" s="28"/>
      <c r="O9" s="28"/>
      <c r="P9" s="28"/>
      <c r="Q9" s="28"/>
      <c r="R9" s="28"/>
      <c r="S9" s="28"/>
      <c r="T9" s="28"/>
      <c r="U9" s="28"/>
      <c r="V9" s="28"/>
      <c r="W9" s="28"/>
      <c r="X9" s="28"/>
      <c r="Y9" s="28"/>
      <c r="Z9" s="28"/>
      <c r="AA9" s="28"/>
      <c r="AB9" s="28"/>
    </row>
    <row r="10" spans="1:28">
      <c r="A10" s="5"/>
      <c r="B10" s="143" t="s">
        <v>265</v>
      </c>
      <c r="C10" s="27">
        <f t="shared" ref="C10:V10" si="9">-C24</f>
        <v>0</v>
      </c>
      <c r="D10" s="27">
        <f t="shared" si="9"/>
        <v>-235.66646893190304</v>
      </c>
      <c r="E10" s="27">
        <f t="shared" si="9"/>
        <v>-308.68448689955522</v>
      </c>
      <c r="F10" s="27">
        <f t="shared" si="9"/>
        <v>-358.33387886260687</v>
      </c>
      <c r="G10" s="27">
        <f t="shared" si="9"/>
        <v>-398.73849881504168</v>
      </c>
      <c r="H10" s="27">
        <f t="shared" si="9"/>
        <v>-396.0647971279239</v>
      </c>
      <c r="I10" s="27">
        <f t="shared" si="9"/>
        <v>-395.56439097976596</v>
      </c>
      <c r="J10" s="162">
        <f t="shared" si="9"/>
        <v>0</v>
      </c>
      <c r="K10" s="27">
        <f t="shared" si="9"/>
        <v>-104.3044071636413</v>
      </c>
      <c r="L10" s="27">
        <f t="shared" si="9"/>
        <v>-98.194449476381166</v>
      </c>
      <c r="M10" s="27">
        <f t="shared" si="9"/>
        <v>-105.2034314276321</v>
      </c>
      <c r="N10" s="27">
        <f t="shared" si="9"/>
        <v>-115.69370398317345</v>
      </c>
      <c r="O10" s="27">
        <f t="shared" si="9"/>
        <v>-126.1834412769783</v>
      </c>
      <c r="P10" s="27">
        <f t="shared" si="9"/>
        <v>-129.5671848192051</v>
      </c>
      <c r="Q10" s="27">
        <f t="shared" si="9"/>
        <v>-131.72146646778029</v>
      </c>
      <c r="R10" s="27">
        <f t="shared" si="9"/>
        <v>-131.96654630378055</v>
      </c>
      <c r="S10" s="27">
        <f>-S24</f>
        <v>-129.12256841188034</v>
      </c>
      <c r="T10" s="27">
        <f t="shared" si="9"/>
        <v>-133.97386366616496</v>
      </c>
      <c r="U10" s="27">
        <f t="shared" si="9"/>
        <v>-139.37510125192566</v>
      </c>
      <c r="V10" s="27">
        <f t="shared" si="9"/>
        <v>-145.4274415720233</v>
      </c>
      <c r="W10" s="27">
        <f>-W24</f>
        <v>-152.19773680845231</v>
      </c>
      <c r="X10" s="27">
        <f>-X24</f>
        <v>-159.75399156003601</v>
      </c>
      <c r="Y10" s="27">
        <f>-Y24</f>
        <v>-168.16561229864581</v>
      </c>
      <c r="Z10" s="27">
        <f>-Z24</f>
        <v>-177.50379284048421</v>
      </c>
      <c r="AA10" s="27">
        <f t="shared" ref="AA10:AB10" si="10">-AA24</f>
        <v>-187.84203031251221</v>
      </c>
      <c r="AB10" s="27">
        <f t="shared" si="10"/>
        <v>-199.25676267450763</v>
      </c>
    </row>
    <row r="11" spans="1:28">
      <c r="A11" s="5"/>
      <c r="B11" s="29" t="s">
        <v>266</v>
      </c>
      <c r="C11" s="26">
        <f t="shared" ref="C11:X11" si="11">C8+C10</f>
        <v>35.515357392166038</v>
      </c>
      <c r="D11" s="26">
        <f t="shared" si="11"/>
        <v>-23.292964885341888</v>
      </c>
      <c r="E11" s="26">
        <f t="shared" si="11"/>
        <v>-85.193094397909988</v>
      </c>
      <c r="F11" s="26">
        <f t="shared" si="11"/>
        <v>-82.807759162163336</v>
      </c>
      <c r="G11" s="26">
        <f t="shared" si="11"/>
        <v>-97.607574075086006</v>
      </c>
      <c r="H11" s="26">
        <f t="shared" si="11"/>
        <v>-90.103775412152459</v>
      </c>
      <c r="I11" s="26">
        <f t="shared" si="11"/>
        <v>-67.543361830747529</v>
      </c>
      <c r="J11" s="56">
        <f t="shared" si="11"/>
        <v>101.96830557823074</v>
      </c>
      <c r="K11" s="26">
        <f t="shared" si="11"/>
        <v>2.0178870723459141</v>
      </c>
      <c r="L11" s="26">
        <f t="shared" si="11"/>
        <v>10.563113122318185</v>
      </c>
      <c r="M11" s="26">
        <f t="shared" si="11"/>
        <v>4.6457676001893304</v>
      </c>
      <c r="N11" s="26">
        <f t="shared" si="11"/>
        <v>-13.230386290911568</v>
      </c>
      <c r="O11" s="26">
        <f t="shared" si="11"/>
        <v>-22.18362131862412</v>
      </c>
      <c r="P11" s="26">
        <f t="shared" si="11"/>
        <v>-11.571457099194618</v>
      </c>
      <c r="Q11" s="26">
        <f t="shared" si="11"/>
        <v>-18.217403518953574</v>
      </c>
      <c r="R11" s="26">
        <f t="shared" si="11"/>
        <v>-2.6848540151634097</v>
      </c>
      <c r="S11" s="26">
        <f t="shared" si="11"/>
        <v>-9.4515836768396326</v>
      </c>
      <c r="T11" s="26">
        <f t="shared" si="11"/>
        <v>-2.9046751803881534</v>
      </c>
      <c r="U11" s="26">
        <f t="shared" si="11"/>
        <v>3.1369177507249049</v>
      </c>
      <c r="V11" s="26">
        <f t="shared" si="11"/>
        <v>8.6597048946343875</v>
      </c>
      <c r="W11" s="26">
        <f t="shared" si="11"/>
        <v>23.545044442660299</v>
      </c>
      <c r="X11" s="26">
        <f t="shared" si="11"/>
        <v>38.702147758392755</v>
      </c>
      <c r="Y11" s="26">
        <f>Y8+Y10</f>
        <v>54.191693363851641</v>
      </c>
      <c r="Z11" s="26">
        <f>Z8+Z10</f>
        <v>70.0750328396349</v>
      </c>
      <c r="AA11" s="26">
        <f t="shared" ref="AA11:AB11" si="12">AA8+AA10</f>
        <v>86.414647829855738</v>
      </c>
      <c r="AB11" s="26">
        <f t="shared" si="12"/>
        <v>103.27445777893359</v>
      </c>
    </row>
    <row r="12" spans="1:28">
      <c r="A12" s="5"/>
      <c r="B12" s="143"/>
      <c r="C12" s="26"/>
      <c r="D12" s="26"/>
      <c r="E12" s="26"/>
      <c r="F12" s="26"/>
      <c r="G12" s="26"/>
      <c r="H12" s="26"/>
      <c r="I12" s="26"/>
      <c r="J12" s="56"/>
      <c r="K12" s="26"/>
      <c r="L12" s="26"/>
      <c r="M12" s="26"/>
      <c r="N12" s="26"/>
      <c r="O12" s="26"/>
      <c r="P12" s="26"/>
      <c r="Q12" s="26"/>
      <c r="R12" s="26"/>
      <c r="S12" s="26"/>
      <c r="T12" s="26"/>
      <c r="U12" s="26"/>
      <c r="V12" s="26"/>
      <c r="W12" s="26"/>
      <c r="X12" s="26"/>
      <c r="Y12" s="26"/>
      <c r="Z12" s="26"/>
      <c r="AA12" s="26"/>
      <c r="AB12" s="26"/>
    </row>
    <row r="13" spans="1:28">
      <c r="A13" s="5"/>
      <c r="B13" s="143" t="s">
        <v>273</v>
      </c>
      <c r="C13" s="26">
        <f t="shared" ref="C13:V13" si="13">C6+C10</f>
        <v>285</v>
      </c>
      <c r="D13" s="26">
        <f t="shared" si="13"/>
        <v>233.33353106809696</v>
      </c>
      <c r="E13" s="26">
        <f t="shared" si="13"/>
        <v>210.31551310044478</v>
      </c>
      <c r="F13" s="26">
        <f t="shared" si="13"/>
        <v>244.66612113739313</v>
      </c>
      <c r="G13" s="26">
        <f t="shared" si="13"/>
        <v>253.26150118495832</v>
      </c>
      <c r="H13" s="26">
        <f t="shared" si="13"/>
        <v>256.9352028720761</v>
      </c>
      <c r="I13" s="26">
        <f t="shared" si="13"/>
        <v>279.43560902023404</v>
      </c>
      <c r="J13" s="56">
        <f t="shared" si="13"/>
        <v>196</v>
      </c>
      <c r="K13" s="26">
        <f t="shared" si="13"/>
        <v>95.695592836358699</v>
      </c>
      <c r="L13" s="26">
        <f t="shared" si="13"/>
        <v>96.805550523618834</v>
      </c>
      <c r="M13" s="26">
        <f t="shared" si="13"/>
        <v>99.796568572367903</v>
      </c>
      <c r="N13" s="26">
        <f t="shared" si="13"/>
        <v>94.30629601682655</v>
      </c>
      <c r="O13" s="26">
        <f t="shared" si="13"/>
        <v>90.8165587230217</v>
      </c>
      <c r="P13" s="26">
        <f t="shared" si="13"/>
        <v>101.4328151807949</v>
      </c>
      <c r="Q13" s="26">
        <f t="shared" si="13"/>
        <v>95.278533532219711</v>
      </c>
      <c r="R13" s="26">
        <f t="shared" si="13"/>
        <v>111.03345369621945</v>
      </c>
      <c r="S13" s="26">
        <f>S6+S10</f>
        <v>103.87743158811966</v>
      </c>
      <c r="T13" s="26">
        <f t="shared" si="13"/>
        <v>115.33613633383504</v>
      </c>
      <c r="U13" s="26">
        <f t="shared" si="13"/>
        <v>127.38659874807436</v>
      </c>
      <c r="V13" s="26">
        <f t="shared" si="13"/>
        <v>140.00757742797671</v>
      </c>
      <c r="W13" s="26">
        <f>W6+W10</f>
        <v>153.2177335215477</v>
      </c>
      <c r="X13" s="26">
        <f>X6+X10</f>
        <v>167.04056169306403</v>
      </c>
      <c r="Y13" s="26">
        <f>Y6+Y10</f>
        <v>181.50455968217128</v>
      </c>
      <c r="Z13" s="26">
        <f>Z6+Z10</f>
        <v>196.64329117899007</v>
      </c>
      <c r="AA13" s="26">
        <f t="shared" ref="AA13:AB13" si="14">AA6+AA10</f>
        <v>212.4953495883253</v>
      </c>
      <c r="AB13" s="26">
        <f t="shared" si="14"/>
        <v>229.10423381938853</v>
      </c>
    </row>
    <row r="14" spans="1:28">
      <c r="A14" s="5"/>
      <c r="B14" s="143"/>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row>
    <row r="15" spans="1:28">
      <c r="A15" s="137"/>
      <c r="B15" s="140" t="s">
        <v>5</v>
      </c>
      <c r="C15" s="138">
        <f t="shared" ref="C15:AB15" si="15">C$3</f>
        <v>1996</v>
      </c>
      <c r="D15" s="138">
        <f t="shared" si="15"/>
        <v>1997</v>
      </c>
      <c r="E15" s="138">
        <f t="shared" si="15"/>
        <v>1998</v>
      </c>
      <c r="F15" s="138">
        <f t="shared" si="15"/>
        <v>1999</v>
      </c>
      <c r="G15" s="138">
        <f t="shared" si="15"/>
        <v>2000</v>
      </c>
      <c r="H15" s="138">
        <f t="shared" si="15"/>
        <v>2001</v>
      </c>
      <c r="I15" s="138">
        <f t="shared" si="15"/>
        <v>2002</v>
      </c>
      <c r="J15" s="138">
        <f t="shared" si="15"/>
        <v>2003</v>
      </c>
      <c r="K15" s="138">
        <f t="shared" si="15"/>
        <v>2004</v>
      </c>
      <c r="L15" s="138">
        <f t="shared" si="15"/>
        <v>2005</v>
      </c>
      <c r="M15" s="138">
        <f t="shared" si="15"/>
        <v>2006</v>
      </c>
      <c r="N15" s="138">
        <f t="shared" si="15"/>
        <v>2007</v>
      </c>
      <c r="O15" s="138">
        <f t="shared" si="15"/>
        <v>2008</v>
      </c>
      <c r="P15" s="138">
        <f t="shared" si="15"/>
        <v>2009</v>
      </c>
      <c r="Q15" s="138">
        <f t="shared" si="15"/>
        <v>2010</v>
      </c>
      <c r="R15" s="138">
        <f t="shared" si="15"/>
        <v>2011</v>
      </c>
      <c r="S15" s="138">
        <f t="shared" si="15"/>
        <v>2012</v>
      </c>
      <c r="T15" s="139">
        <f t="shared" si="15"/>
        <v>2013</v>
      </c>
      <c r="U15" s="139">
        <f t="shared" si="15"/>
        <v>2014</v>
      </c>
      <c r="V15" s="139">
        <f t="shared" si="15"/>
        <v>2015</v>
      </c>
      <c r="W15" s="139">
        <f t="shared" si="15"/>
        <v>2016</v>
      </c>
      <c r="X15" s="139">
        <f t="shared" si="15"/>
        <v>2017</v>
      </c>
      <c r="Y15" s="139">
        <f t="shared" si="15"/>
        <v>2018</v>
      </c>
      <c r="Z15" s="139">
        <f t="shared" si="15"/>
        <v>2019</v>
      </c>
      <c r="AA15" s="139">
        <f t="shared" si="15"/>
        <v>2020</v>
      </c>
      <c r="AB15" s="139">
        <f t="shared" si="15"/>
        <v>2021</v>
      </c>
    </row>
    <row r="16" spans="1:28">
      <c r="A16" s="5"/>
      <c r="B16" s="145" t="s">
        <v>6</v>
      </c>
      <c r="C16" s="30"/>
      <c r="D16" s="30">
        <f t="shared" ref="D16:I16" si="16">C19</f>
        <v>1621.6501769509207</v>
      </c>
      <c r="E16" s="30">
        <f t="shared" si="16"/>
        <v>1884.1438274171114</v>
      </c>
      <c r="F16" s="30">
        <f t="shared" si="16"/>
        <v>2567.0505669833046</v>
      </c>
      <c r="G16" s="30">
        <f t="shared" si="16"/>
        <v>2956.518648386761</v>
      </c>
      <c r="H16" s="30">
        <f t="shared" si="16"/>
        <v>3262.6077345950771</v>
      </c>
      <c r="I16" s="30">
        <f t="shared" si="16"/>
        <v>3141.5475872190946</v>
      </c>
      <c r="J16" s="30"/>
      <c r="K16" s="30">
        <f t="shared" ref="K16:Z16" si="17">J19</f>
        <v>846.28524979592328</v>
      </c>
      <c r="L16" s="30">
        <f t="shared" si="17"/>
        <v>949.34420814331554</v>
      </c>
      <c r="M16" s="30">
        <f t="shared" si="17"/>
        <v>908.00238497009559</v>
      </c>
      <c r="N16" s="30">
        <f t="shared" si="17"/>
        <v>1095.1962379195822</v>
      </c>
      <c r="O16" s="30">
        <f t="shared" si="17"/>
        <v>1349.0181480716585</v>
      </c>
      <c r="P16" s="30">
        <f t="shared" si="17"/>
        <v>1492.8551549530102</v>
      </c>
      <c r="Q16" s="30">
        <f t="shared" si="17"/>
        <v>1504.9881060478622</v>
      </c>
      <c r="R16" s="30">
        <f t="shared" si="17"/>
        <v>1511.8622611968165</v>
      </c>
      <c r="S16" s="30">
        <f t="shared" si="17"/>
        <v>1499.653453514471</v>
      </c>
      <c r="T16" s="30">
        <f t="shared" si="17"/>
        <v>1463.368247099497</v>
      </c>
      <c r="U16" s="30">
        <f t="shared" si="17"/>
        <v>1523.26783301771</v>
      </c>
      <c r="V16" s="30">
        <f t="shared" si="17"/>
        <v>1591.1979662201593</v>
      </c>
      <c r="W16" s="30">
        <f t="shared" si="17"/>
        <v>1666.986444390317</v>
      </c>
      <c r="X16" s="30">
        <f t="shared" si="17"/>
        <v>1760.3766625053081</v>
      </c>
      <c r="Y16" s="30">
        <f t="shared" si="17"/>
        <v>1872.0541376858355</v>
      </c>
      <c r="Z16" s="30">
        <f t="shared" si="17"/>
        <v>2002.7966892952072</v>
      </c>
      <c r="AA16" s="30">
        <f t="shared" ref="AA16" si="18">Z19</f>
        <v>2153.4739866304612</v>
      </c>
      <c r="AB16" s="30">
        <f t="shared" ref="AB16" si="19">AA19</f>
        <v>2325.0478290165529</v>
      </c>
    </row>
    <row r="17" spans="1:28">
      <c r="A17" s="31"/>
      <c r="B17" s="146" t="s">
        <v>267</v>
      </c>
      <c r="C17" s="30"/>
      <c r="D17" s="30">
        <f t="shared" ref="D17:I17" si="20">D134</f>
        <v>519.12014641962946</v>
      </c>
      <c r="E17" s="30">
        <f t="shared" si="20"/>
        <v>978.41534706454775</v>
      </c>
      <c r="F17" s="30">
        <f t="shared" si="20"/>
        <v>716.94196170301291</v>
      </c>
      <c r="G17" s="30">
        <f t="shared" si="20"/>
        <v>656.95816146836012</v>
      </c>
      <c r="H17" s="30">
        <f t="shared" si="20"/>
        <v>225.97883090824593</v>
      </c>
      <c r="I17" s="30">
        <f t="shared" si="20"/>
        <v>251.82901768679096</v>
      </c>
      <c r="J17" s="30"/>
      <c r="K17" s="30">
        <f t="shared" ref="K17:V17" si="21">K134</f>
        <v>196.73666411140499</v>
      </c>
      <c r="L17" s="30">
        <f t="shared" si="21"/>
        <v>44.900614228080755</v>
      </c>
      <c r="M17" s="30">
        <f t="shared" si="21"/>
        <v>282.34465392166521</v>
      </c>
      <c r="N17" s="30">
        <f t="shared" si="21"/>
        <v>361.35859245981453</v>
      </c>
      <c r="O17" s="30">
        <f t="shared" si="21"/>
        <v>256.83718692299755</v>
      </c>
      <c r="P17" s="30">
        <f t="shared" si="21"/>
        <v>125.13722337484137</v>
      </c>
      <c r="Q17" s="30">
        <f t="shared" si="21"/>
        <v>120.37009220012767</v>
      </c>
      <c r="R17" s="30">
        <f t="shared" si="21"/>
        <v>101.5095000290375</v>
      </c>
      <c r="S17" s="30">
        <f>S134</f>
        <v>77.04380884998514</v>
      </c>
      <c r="T17" s="30">
        <f t="shared" si="21"/>
        <v>178.1403974324362</v>
      </c>
      <c r="U17" s="30">
        <f t="shared" si="21"/>
        <v>192.1798141997987</v>
      </c>
      <c r="V17" s="30">
        <f t="shared" si="21"/>
        <v>207.13635070349997</v>
      </c>
      <c r="W17" s="30">
        <f>W134</f>
        <v>223.06290719387849</v>
      </c>
      <c r="X17" s="30">
        <f>X134</f>
        <v>240.01588911519866</v>
      </c>
      <c r="Y17" s="30">
        <f>Y134</f>
        <v>258.05541792769128</v>
      </c>
      <c r="Z17" s="30">
        <f>Z134</f>
        <v>277.24555567460925</v>
      </c>
      <c r="AA17" s="30">
        <f t="shared" ref="AA17:AB17" si="22">AA134</f>
        <v>297.65454414456116</v>
      </c>
      <c r="AB17" s="30">
        <f t="shared" si="22"/>
        <v>319.35505953457903</v>
      </c>
    </row>
    <row r="18" spans="1:28">
      <c r="A18" s="5"/>
      <c r="B18" s="35" t="s">
        <v>268</v>
      </c>
      <c r="C18" s="32">
        <f t="shared" ref="C18:V18" si="23">-C175</f>
        <v>-249.48464260783396</v>
      </c>
      <c r="D18" s="32">
        <f t="shared" si="23"/>
        <v>-256.62649595343885</v>
      </c>
      <c r="E18" s="32">
        <f t="shared" si="23"/>
        <v>-295.50860749835476</v>
      </c>
      <c r="F18" s="32">
        <f t="shared" si="23"/>
        <v>-327.47388029955647</v>
      </c>
      <c r="G18" s="32">
        <f t="shared" si="23"/>
        <v>-350.86907526004433</v>
      </c>
      <c r="H18" s="32">
        <f t="shared" si="23"/>
        <v>-347.03897828422856</v>
      </c>
      <c r="I18" s="32">
        <f t="shared" si="23"/>
        <v>-346.97897085098157</v>
      </c>
      <c r="J18" s="32">
        <f t="shared" si="23"/>
        <v>-94.031694421769259</v>
      </c>
      <c r="K18" s="32">
        <f t="shared" si="23"/>
        <v>-93.677705764012785</v>
      </c>
      <c r="L18" s="32">
        <f t="shared" si="23"/>
        <v>-86.242437401300649</v>
      </c>
      <c r="M18" s="32">
        <f t="shared" si="23"/>
        <v>-95.150800972178573</v>
      </c>
      <c r="N18" s="32">
        <f t="shared" si="23"/>
        <v>-107.53668230773812</v>
      </c>
      <c r="O18" s="32">
        <f t="shared" si="23"/>
        <v>-113.00018004164582</v>
      </c>
      <c r="P18" s="32">
        <f t="shared" si="23"/>
        <v>-113.00427227998952</v>
      </c>
      <c r="Q18" s="32">
        <f t="shared" si="23"/>
        <v>-113.49593705117329</v>
      </c>
      <c r="R18" s="32">
        <f t="shared" si="23"/>
        <v>-113.71830771138286</v>
      </c>
      <c r="S18" s="32">
        <f>-S175</f>
        <v>-113.3290152649593</v>
      </c>
      <c r="T18" s="32">
        <f t="shared" si="23"/>
        <v>-118.2408115142232</v>
      </c>
      <c r="U18" s="32">
        <f t="shared" si="23"/>
        <v>-124.24968099734946</v>
      </c>
      <c r="V18" s="32">
        <f t="shared" si="23"/>
        <v>-131.34787253334233</v>
      </c>
      <c r="W18" s="32">
        <f>-W175</f>
        <v>-129.6726890788874</v>
      </c>
      <c r="X18" s="32">
        <f>-X175</f>
        <v>-128.33841393467128</v>
      </c>
      <c r="Y18" s="32">
        <f>-Y175</f>
        <v>-127.31286631831964</v>
      </c>
      <c r="Z18" s="32">
        <f>-Z175</f>
        <v>-126.56825833935518</v>
      </c>
      <c r="AA18" s="32">
        <f t="shared" ref="AA18:AB18" si="24">-AA175</f>
        <v>-126.08070175846953</v>
      </c>
      <c r="AB18" s="32">
        <f t="shared" si="24"/>
        <v>-125.82977604045492</v>
      </c>
    </row>
    <row r="19" spans="1:28">
      <c r="A19" s="5"/>
      <c r="B19" s="33" t="s">
        <v>7</v>
      </c>
      <c r="C19" s="34">
        <f>C27*C20</f>
        <v>1621.6501769509207</v>
      </c>
      <c r="D19" s="34">
        <f t="shared" ref="D19:I19" si="25">SUM(D16:D18)</f>
        <v>1884.1438274171114</v>
      </c>
      <c r="E19" s="34">
        <f t="shared" si="25"/>
        <v>2567.0505669833046</v>
      </c>
      <c r="F19" s="34">
        <f t="shared" si="25"/>
        <v>2956.518648386761</v>
      </c>
      <c r="G19" s="34">
        <f t="shared" si="25"/>
        <v>3262.6077345950771</v>
      </c>
      <c r="H19" s="34">
        <f t="shared" si="25"/>
        <v>3141.5475872190946</v>
      </c>
      <c r="I19" s="34">
        <f t="shared" si="25"/>
        <v>3046.3976340549038</v>
      </c>
      <c r="J19" s="163">
        <f>J27*J20</f>
        <v>846.28524979592328</v>
      </c>
      <c r="K19" s="34">
        <f t="shared" ref="K19:X19" si="26">SUM(K16:K18)</f>
        <v>949.34420814331554</v>
      </c>
      <c r="L19" s="34">
        <f t="shared" si="26"/>
        <v>908.00238497009559</v>
      </c>
      <c r="M19" s="34">
        <f t="shared" si="26"/>
        <v>1095.1962379195822</v>
      </c>
      <c r="N19" s="34">
        <f t="shared" si="26"/>
        <v>1349.0181480716585</v>
      </c>
      <c r="O19" s="34">
        <f t="shared" si="26"/>
        <v>1492.8551549530102</v>
      </c>
      <c r="P19" s="34">
        <f t="shared" si="26"/>
        <v>1504.9881060478622</v>
      </c>
      <c r="Q19" s="34">
        <f t="shared" si="26"/>
        <v>1511.8622611968165</v>
      </c>
      <c r="R19" s="34">
        <f t="shared" si="26"/>
        <v>1499.653453514471</v>
      </c>
      <c r="S19" s="34">
        <f t="shared" si="26"/>
        <v>1463.368247099497</v>
      </c>
      <c r="T19" s="34">
        <f t="shared" si="26"/>
        <v>1523.26783301771</v>
      </c>
      <c r="U19" s="34">
        <f t="shared" si="26"/>
        <v>1591.1979662201593</v>
      </c>
      <c r="V19" s="34">
        <f t="shared" si="26"/>
        <v>1666.986444390317</v>
      </c>
      <c r="W19" s="34">
        <f t="shared" si="26"/>
        <v>1760.3766625053081</v>
      </c>
      <c r="X19" s="34">
        <f t="shared" si="26"/>
        <v>1872.0541376858355</v>
      </c>
      <c r="Y19" s="34">
        <f>SUM(Y16:Y18)</f>
        <v>2002.7966892952072</v>
      </c>
      <c r="Z19" s="34">
        <f>SUM(Z16:Z18)</f>
        <v>2153.4739866304612</v>
      </c>
      <c r="AA19" s="34">
        <f t="shared" ref="AA19:AB19" si="27">SUM(AA16:AA18)</f>
        <v>2325.0478290165529</v>
      </c>
      <c r="AB19" s="34">
        <f t="shared" si="27"/>
        <v>2518.5731125106772</v>
      </c>
    </row>
    <row r="20" spans="1:28">
      <c r="A20" s="5"/>
      <c r="B20" s="35" t="s">
        <v>8</v>
      </c>
      <c r="C20" s="36">
        <v>0.86</v>
      </c>
      <c r="D20" s="37"/>
      <c r="E20" s="37"/>
      <c r="F20" s="37"/>
      <c r="G20" s="37"/>
      <c r="H20" s="37"/>
      <c r="I20" s="37"/>
      <c r="J20" s="164">
        <v>0.86</v>
      </c>
      <c r="K20" s="37"/>
      <c r="L20" s="37"/>
      <c r="M20" s="37"/>
      <c r="N20" s="37"/>
      <c r="O20" s="37"/>
      <c r="P20" s="37"/>
      <c r="Q20" s="37"/>
      <c r="R20" s="37"/>
      <c r="S20" s="37"/>
      <c r="T20" s="37"/>
      <c r="U20" s="37"/>
      <c r="V20" s="37"/>
      <c r="W20" s="37"/>
      <c r="X20" s="37"/>
      <c r="Y20" s="37"/>
      <c r="Z20" s="37"/>
      <c r="AA20" s="37"/>
      <c r="AB20" s="37"/>
    </row>
    <row r="21" spans="1:28">
      <c r="A21" s="5"/>
      <c r="B21" s="35"/>
      <c r="C21" s="37"/>
      <c r="D21" s="37"/>
      <c r="E21" s="37"/>
      <c r="F21" s="37"/>
      <c r="G21" s="37"/>
      <c r="H21" s="37"/>
      <c r="I21" s="37"/>
      <c r="J21" s="104"/>
      <c r="K21" s="37"/>
      <c r="L21" s="37"/>
      <c r="M21" s="37"/>
      <c r="N21" s="37"/>
      <c r="O21" s="37"/>
      <c r="P21" s="37"/>
      <c r="Q21" s="37"/>
      <c r="R21" s="37"/>
      <c r="S21" s="37"/>
      <c r="T21" s="37"/>
      <c r="U21" s="132"/>
      <c r="V21" s="37"/>
      <c r="W21" s="37"/>
      <c r="X21" s="37"/>
      <c r="Y21" s="37"/>
      <c r="Z21" s="37"/>
      <c r="AA21" s="37"/>
      <c r="AB21" s="37"/>
    </row>
    <row r="22" spans="1:28">
      <c r="A22" s="137"/>
      <c r="B22" s="140" t="s">
        <v>9</v>
      </c>
      <c r="C22" s="138">
        <f t="shared" ref="C22:AB22" si="28">C$3</f>
        <v>1996</v>
      </c>
      <c r="D22" s="138">
        <f t="shared" si="28"/>
        <v>1997</v>
      </c>
      <c r="E22" s="138">
        <f t="shared" si="28"/>
        <v>1998</v>
      </c>
      <c r="F22" s="138">
        <f t="shared" si="28"/>
        <v>1999</v>
      </c>
      <c r="G22" s="138">
        <f t="shared" si="28"/>
        <v>2000</v>
      </c>
      <c r="H22" s="138">
        <f t="shared" si="28"/>
        <v>2001</v>
      </c>
      <c r="I22" s="138">
        <f t="shared" si="28"/>
        <v>2002</v>
      </c>
      <c r="J22" s="138">
        <f t="shared" si="28"/>
        <v>2003</v>
      </c>
      <c r="K22" s="138">
        <f t="shared" si="28"/>
        <v>2004</v>
      </c>
      <c r="L22" s="138">
        <f t="shared" si="28"/>
        <v>2005</v>
      </c>
      <c r="M22" s="138">
        <f t="shared" si="28"/>
        <v>2006</v>
      </c>
      <c r="N22" s="138">
        <f t="shared" si="28"/>
        <v>2007</v>
      </c>
      <c r="O22" s="138">
        <f t="shared" si="28"/>
        <v>2008</v>
      </c>
      <c r="P22" s="138">
        <f t="shared" si="28"/>
        <v>2009</v>
      </c>
      <c r="Q22" s="138">
        <f t="shared" si="28"/>
        <v>2010</v>
      </c>
      <c r="R22" s="138">
        <f t="shared" si="28"/>
        <v>2011</v>
      </c>
      <c r="S22" s="138">
        <f t="shared" si="28"/>
        <v>2012</v>
      </c>
      <c r="T22" s="139">
        <f t="shared" si="28"/>
        <v>2013</v>
      </c>
      <c r="U22" s="139">
        <f t="shared" si="28"/>
        <v>2014</v>
      </c>
      <c r="V22" s="139">
        <f t="shared" si="28"/>
        <v>2015</v>
      </c>
      <c r="W22" s="139">
        <f t="shared" si="28"/>
        <v>2016</v>
      </c>
      <c r="X22" s="139">
        <f t="shared" si="28"/>
        <v>2017</v>
      </c>
      <c r="Y22" s="139">
        <f t="shared" si="28"/>
        <v>2018</v>
      </c>
      <c r="Z22" s="139">
        <f t="shared" si="28"/>
        <v>2019</v>
      </c>
      <c r="AA22" s="139">
        <f t="shared" si="28"/>
        <v>2020</v>
      </c>
      <c r="AB22" s="139">
        <f t="shared" si="28"/>
        <v>2021</v>
      </c>
    </row>
    <row r="23" spans="1:28">
      <c r="A23" s="5"/>
      <c r="B23" s="147" t="s">
        <v>10</v>
      </c>
      <c r="C23" s="38"/>
      <c r="D23" s="38">
        <f t="shared" ref="D23:I23" si="29">C27</f>
        <v>1885.6397406406054</v>
      </c>
      <c r="E23" s="38">
        <f t="shared" si="29"/>
        <v>2171.4263559921383</v>
      </c>
      <c r="F23" s="38">
        <f t="shared" si="29"/>
        <v>2939.5261899562415</v>
      </c>
      <c r="G23" s="38">
        <f t="shared" si="29"/>
        <v>3411.8020305218615</v>
      </c>
      <c r="H23" s="38">
        <f t="shared" si="29"/>
        <v>3815.4986908052633</v>
      </c>
      <c r="I23" s="38">
        <f t="shared" si="29"/>
        <v>3784.5423188414334</v>
      </c>
      <c r="J23" s="30"/>
      <c r="K23" s="38">
        <f t="shared" ref="K23:Z23" si="30">J27</f>
        <v>984.05261604177122</v>
      </c>
      <c r="L23" s="38">
        <f t="shared" si="30"/>
        <v>1085.0936873168175</v>
      </c>
      <c r="M23" s="38">
        <f t="shared" si="30"/>
        <v>1033.1887510212794</v>
      </c>
      <c r="N23" s="38">
        <f t="shared" si="30"/>
        <v>1215.7368363705766</v>
      </c>
      <c r="O23" s="38">
        <f t="shared" si="30"/>
        <v>1482.7891328135647</v>
      </c>
      <c r="P23" s="38">
        <f t="shared" si="30"/>
        <v>1648.8097610135405</v>
      </c>
      <c r="Q23" s="38">
        <f t="shared" si="30"/>
        <v>1672.514169207587</v>
      </c>
      <c r="R23" s="38">
        <f t="shared" si="30"/>
        <v>1697.6057278754949</v>
      </c>
      <c r="S23" s="38">
        <f t="shared" si="30"/>
        <v>1688.0817742083132</v>
      </c>
      <c r="T23" s="38">
        <f t="shared" si="30"/>
        <v>1661.2481514701788</v>
      </c>
      <c r="U23" s="38">
        <f t="shared" si="30"/>
        <v>1724.05241256878</v>
      </c>
      <c r="V23" s="38">
        <f t="shared" si="30"/>
        <v>1788.8456280205044</v>
      </c>
      <c r="W23" s="38">
        <f t="shared" si="30"/>
        <v>1855.9744012960277</v>
      </c>
      <c r="X23" s="38">
        <f t="shared" si="30"/>
        <v>1925.8195749683584</v>
      </c>
      <c r="Y23" s="38">
        <f t="shared" si="30"/>
        <v>1998.7949023904932</v>
      </c>
      <c r="Z23" s="38">
        <f t="shared" si="30"/>
        <v>2075.3457606360134</v>
      </c>
      <c r="AA23" s="38">
        <f t="shared" ref="AA23" si="31">Z27</f>
        <v>2155.9480251316327</v>
      </c>
      <c r="AB23" s="38">
        <f t="shared" ref="AB23" si="32">AA27</f>
        <v>2241.1072196878686</v>
      </c>
    </row>
    <row r="24" spans="1:28">
      <c r="A24" s="5"/>
      <c r="B24" s="148" t="s">
        <v>269</v>
      </c>
      <c r="C24" s="38"/>
      <c r="D24" s="38">
        <f t="shared" ref="D24:I24" si="33">D23*C37+D39*D26</f>
        <v>235.66646893190304</v>
      </c>
      <c r="E24" s="38">
        <f t="shared" si="33"/>
        <v>308.68448689955522</v>
      </c>
      <c r="F24" s="38">
        <f t="shared" si="33"/>
        <v>358.33387886260687</v>
      </c>
      <c r="G24" s="38">
        <f t="shared" si="33"/>
        <v>398.73849881504168</v>
      </c>
      <c r="H24" s="38">
        <f t="shared" si="33"/>
        <v>396.0647971279239</v>
      </c>
      <c r="I24" s="38">
        <f t="shared" si="33"/>
        <v>395.56439097976596</v>
      </c>
      <c r="J24" s="30"/>
      <c r="K24" s="38">
        <f t="shared" ref="K24:Z24" si="34">K23*J37+K39*K26</f>
        <v>104.3044071636413</v>
      </c>
      <c r="L24" s="38">
        <f t="shared" si="34"/>
        <v>98.194449476381166</v>
      </c>
      <c r="M24" s="38">
        <f t="shared" si="34"/>
        <v>105.2034314276321</v>
      </c>
      <c r="N24" s="38">
        <f t="shared" si="34"/>
        <v>115.69370398317345</v>
      </c>
      <c r="O24" s="38">
        <f t="shared" si="34"/>
        <v>126.1834412769783</v>
      </c>
      <c r="P24" s="38">
        <f t="shared" si="34"/>
        <v>129.5671848192051</v>
      </c>
      <c r="Q24" s="38">
        <f t="shared" si="34"/>
        <v>131.72146646778029</v>
      </c>
      <c r="R24" s="38">
        <f t="shared" si="34"/>
        <v>131.96654630378055</v>
      </c>
      <c r="S24" s="38">
        <f t="shared" si="34"/>
        <v>129.12256841188034</v>
      </c>
      <c r="T24" s="38">
        <f t="shared" si="34"/>
        <v>133.97386366616496</v>
      </c>
      <c r="U24" s="38">
        <f t="shared" si="34"/>
        <v>139.37510125192566</v>
      </c>
      <c r="V24" s="38">
        <f t="shared" si="34"/>
        <v>145.4274415720233</v>
      </c>
      <c r="W24" s="38">
        <f t="shared" si="34"/>
        <v>152.19773680845231</v>
      </c>
      <c r="X24" s="38">
        <f t="shared" si="34"/>
        <v>159.75399156003601</v>
      </c>
      <c r="Y24" s="38">
        <f t="shared" si="34"/>
        <v>168.16561229864581</v>
      </c>
      <c r="Z24" s="38">
        <f t="shared" si="34"/>
        <v>177.50379284048421</v>
      </c>
      <c r="AA24" s="38">
        <f t="shared" ref="AA24" si="35">AA23*Z37+AA39*AA26</f>
        <v>187.84203031251221</v>
      </c>
      <c r="AB24" s="38">
        <f t="shared" ref="AB24" si="36">AB23*AA37+AB39*AB26</f>
        <v>199.25676267450763</v>
      </c>
    </row>
    <row r="25" spans="1:28">
      <c r="A25" s="5"/>
      <c r="B25" s="148" t="s">
        <v>270</v>
      </c>
      <c r="C25" s="38"/>
      <c r="D25" s="38">
        <f t="shared" ref="D25:I25" si="37">-D6</f>
        <v>-469</v>
      </c>
      <c r="E25" s="38">
        <f t="shared" si="37"/>
        <v>-519</v>
      </c>
      <c r="F25" s="38">
        <f t="shared" si="37"/>
        <v>-603</v>
      </c>
      <c r="G25" s="38">
        <f t="shared" si="37"/>
        <v>-652</v>
      </c>
      <c r="H25" s="38">
        <f t="shared" si="37"/>
        <v>-653</v>
      </c>
      <c r="I25" s="38">
        <f t="shared" si="37"/>
        <v>-675</v>
      </c>
      <c r="J25" s="30"/>
      <c r="K25" s="38">
        <f t="shared" ref="K25:V25" si="38">-K6</f>
        <v>-200</v>
      </c>
      <c r="L25" s="38">
        <f t="shared" si="38"/>
        <v>-195</v>
      </c>
      <c r="M25" s="38">
        <f t="shared" si="38"/>
        <v>-205</v>
      </c>
      <c r="N25" s="38">
        <f t="shared" si="38"/>
        <v>-210</v>
      </c>
      <c r="O25" s="38">
        <f t="shared" si="38"/>
        <v>-217</v>
      </c>
      <c r="P25" s="38">
        <f t="shared" si="38"/>
        <v>-231</v>
      </c>
      <c r="Q25" s="38">
        <f t="shared" si="38"/>
        <v>-227</v>
      </c>
      <c r="R25" s="38">
        <f t="shared" si="38"/>
        <v>-243</v>
      </c>
      <c r="S25" s="38">
        <f>-S6</f>
        <v>-233</v>
      </c>
      <c r="T25" s="38">
        <f t="shared" si="38"/>
        <v>-249.31</v>
      </c>
      <c r="U25" s="38">
        <f t="shared" si="38"/>
        <v>-266.76170000000002</v>
      </c>
      <c r="V25" s="38">
        <f t="shared" si="38"/>
        <v>-285.43501900000001</v>
      </c>
      <c r="W25" s="38">
        <f>-W6</f>
        <v>-305.41547033000001</v>
      </c>
      <c r="X25" s="38">
        <f>-X6</f>
        <v>-326.79455325310005</v>
      </c>
      <c r="Y25" s="38">
        <f>-Y6</f>
        <v>-349.67017198081709</v>
      </c>
      <c r="Z25" s="38">
        <f>-Z6</f>
        <v>-374.14708401947428</v>
      </c>
      <c r="AA25" s="38">
        <f t="shared" ref="AA25:AB25" si="39">-AA6</f>
        <v>-400.3373799008375</v>
      </c>
      <c r="AB25" s="38">
        <f t="shared" si="39"/>
        <v>-428.36099649389615</v>
      </c>
    </row>
    <row r="26" spans="1:28">
      <c r="A26" s="5"/>
      <c r="B26" s="148" t="s">
        <v>271</v>
      </c>
      <c r="C26" s="39"/>
      <c r="D26" s="39">
        <f t="shared" ref="D26:I26" si="40">D17</f>
        <v>519.12014641962946</v>
      </c>
      <c r="E26" s="39">
        <f t="shared" si="40"/>
        <v>978.41534706454775</v>
      </c>
      <c r="F26" s="39">
        <f t="shared" si="40"/>
        <v>716.94196170301291</v>
      </c>
      <c r="G26" s="39">
        <f t="shared" si="40"/>
        <v>656.95816146836012</v>
      </c>
      <c r="H26" s="39">
        <f t="shared" si="40"/>
        <v>225.97883090824593</v>
      </c>
      <c r="I26" s="39">
        <f t="shared" si="40"/>
        <v>251.82901768679096</v>
      </c>
      <c r="J26" s="32"/>
      <c r="K26" s="39">
        <f t="shared" ref="K26:V26" si="41">K17</f>
        <v>196.73666411140499</v>
      </c>
      <c r="L26" s="39">
        <f t="shared" si="41"/>
        <v>44.900614228080755</v>
      </c>
      <c r="M26" s="39">
        <f t="shared" si="41"/>
        <v>282.34465392166521</v>
      </c>
      <c r="N26" s="39">
        <f t="shared" si="41"/>
        <v>361.35859245981453</v>
      </c>
      <c r="O26" s="39">
        <f t="shared" si="41"/>
        <v>256.83718692299755</v>
      </c>
      <c r="P26" s="39">
        <f t="shared" si="41"/>
        <v>125.13722337484137</v>
      </c>
      <c r="Q26" s="39">
        <f t="shared" si="41"/>
        <v>120.37009220012767</v>
      </c>
      <c r="R26" s="39">
        <f t="shared" si="41"/>
        <v>101.5095000290375</v>
      </c>
      <c r="S26" s="39">
        <f>S17</f>
        <v>77.04380884998514</v>
      </c>
      <c r="T26" s="39">
        <f t="shared" si="41"/>
        <v>178.1403974324362</v>
      </c>
      <c r="U26" s="39">
        <f t="shared" si="41"/>
        <v>192.1798141997987</v>
      </c>
      <c r="V26" s="39">
        <f t="shared" si="41"/>
        <v>207.13635070349997</v>
      </c>
      <c r="W26" s="39">
        <f>W17</f>
        <v>223.06290719387849</v>
      </c>
      <c r="X26" s="39">
        <f>X17</f>
        <v>240.01588911519866</v>
      </c>
      <c r="Y26" s="39">
        <f>Y17</f>
        <v>258.05541792769128</v>
      </c>
      <c r="Z26" s="39">
        <f>Z17</f>
        <v>277.24555567460925</v>
      </c>
      <c r="AA26" s="39">
        <f t="shared" ref="AA26:AB26" si="42">AA17</f>
        <v>297.65454414456116</v>
      </c>
      <c r="AB26" s="39">
        <f t="shared" si="42"/>
        <v>319.35505953457903</v>
      </c>
    </row>
    <row r="27" spans="1:28">
      <c r="A27" s="5"/>
      <c r="B27" s="147" t="s">
        <v>11</v>
      </c>
      <c r="C27" s="40">
        <f>NPV($C$37,C69:C87)</f>
        <v>1885.6397406406054</v>
      </c>
      <c r="D27" s="40">
        <f t="shared" ref="D27:I27" si="43">SUM(D23:D26)</f>
        <v>2171.4263559921383</v>
      </c>
      <c r="E27" s="40">
        <f t="shared" si="43"/>
        <v>2939.5261899562415</v>
      </c>
      <c r="F27" s="40">
        <f t="shared" si="43"/>
        <v>3411.8020305218615</v>
      </c>
      <c r="G27" s="40">
        <f t="shared" si="43"/>
        <v>3815.4986908052633</v>
      </c>
      <c r="H27" s="40">
        <f t="shared" si="43"/>
        <v>3784.5423188414334</v>
      </c>
      <c r="I27" s="40">
        <f t="shared" si="43"/>
        <v>3756.9357275079906</v>
      </c>
      <c r="J27" s="45">
        <f>NPV($J$37,J69:J87)</f>
        <v>984.05261604177122</v>
      </c>
      <c r="K27" s="40">
        <f t="shared" ref="K27:X27" si="44">SUM(K23:K26)</f>
        <v>1085.0936873168175</v>
      </c>
      <c r="L27" s="40">
        <f t="shared" si="44"/>
        <v>1033.1887510212794</v>
      </c>
      <c r="M27" s="40">
        <f t="shared" si="44"/>
        <v>1215.7368363705766</v>
      </c>
      <c r="N27" s="40">
        <f t="shared" si="44"/>
        <v>1482.7891328135647</v>
      </c>
      <c r="O27" s="40">
        <f t="shared" si="44"/>
        <v>1648.8097610135405</v>
      </c>
      <c r="P27" s="40">
        <f t="shared" si="44"/>
        <v>1672.514169207587</v>
      </c>
      <c r="Q27" s="40">
        <f t="shared" si="44"/>
        <v>1697.6057278754949</v>
      </c>
      <c r="R27" s="40">
        <f t="shared" si="44"/>
        <v>1688.0817742083132</v>
      </c>
      <c r="S27" s="40">
        <f t="shared" si="44"/>
        <v>1661.2481514701788</v>
      </c>
      <c r="T27" s="40">
        <f t="shared" si="44"/>
        <v>1724.05241256878</v>
      </c>
      <c r="U27" s="40">
        <f t="shared" si="44"/>
        <v>1788.8456280205044</v>
      </c>
      <c r="V27" s="40">
        <f t="shared" si="44"/>
        <v>1855.9744012960277</v>
      </c>
      <c r="W27" s="40">
        <f t="shared" si="44"/>
        <v>1925.8195749683584</v>
      </c>
      <c r="X27" s="40">
        <f t="shared" si="44"/>
        <v>1998.7949023904932</v>
      </c>
      <c r="Y27" s="40">
        <f>SUM(Y23:Y26)</f>
        <v>2075.3457606360134</v>
      </c>
      <c r="Z27" s="40">
        <f>SUM(Z23:Z26)</f>
        <v>2155.9480251316327</v>
      </c>
      <c r="AA27" s="40">
        <f t="shared" ref="AA27:AB27" si="45">SUM(AA23:AA26)</f>
        <v>2241.1072196878686</v>
      </c>
      <c r="AB27" s="40">
        <f t="shared" si="45"/>
        <v>2331.3580454030589</v>
      </c>
    </row>
    <row r="28" spans="1:28">
      <c r="A28" s="5"/>
      <c r="B28" s="147"/>
      <c r="C28" s="133"/>
      <c r="D28" s="41"/>
      <c r="E28" s="41"/>
      <c r="F28" s="41"/>
      <c r="G28" s="41"/>
      <c r="H28" s="41"/>
      <c r="I28" s="41"/>
      <c r="J28" s="163"/>
      <c r="K28" s="41"/>
      <c r="L28" s="41"/>
      <c r="M28" s="41"/>
      <c r="N28" s="41"/>
      <c r="O28" s="41"/>
      <c r="P28" s="41"/>
      <c r="Q28" s="41"/>
      <c r="R28" s="41"/>
      <c r="S28" s="41"/>
      <c r="T28" s="41"/>
      <c r="U28" s="41"/>
      <c r="V28" s="41"/>
      <c r="W28" s="41"/>
      <c r="X28" s="41"/>
      <c r="Y28" s="41"/>
      <c r="Z28" s="41"/>
      <c r="AA28" s="41"/>
      <c r="AB28" s="41"/>
    </row>
    <row r="29" spans="1:28">
      <c r="A29" s="5"/>
      <c r="B29" s="42" t="s">
        <v>12</v>
      </c>
      <c r="C29" s="43">
        <f t="shared" ref="C29:V29" si="46">C19/C27</f>
        <v>0.86</v>
      </c>
      <c r="D29" s="43">
        <f t="shared" si="46"/>
        <v>0.86769870054203813</v>
      </c>
      <c r="E29" s="43">
        <f t="shared" si="46"/>
        <v>0.87328719021262347</v>
      </c>
      <c r="F29" s="43">
        <f t="shared" si="46"/>
        <v>0.86655633062465187</v>
      </c>
      <c r="G29" s="43">
        <f t="shared" si="46"/>
        <v>0.85509339643004878</v>
      </c>
      <c r="H29" s="43">
        <f t="shared" si="46"/>
        <v>0.83009973797328829</v>
      </c>
      <c r="I29" s="43">
        <f t="shared" si="46"/>
        <v>0.81087297068976127</v>
      </c>
      <c r="J29" s="165">
        <f t="shared" si="46"/>
        <v>0.86</v>
      </c>
      <c r="K29" s="43">
        <f t="shared" si="46"/>
        <v>0.87489607509451217</v>
      </c>
      <c r="L29" s="43">
        <f t="shared" si="46"/>
        <v>0.87883495060564643</v>
      </c>
      <c r="M29" s="43">
        <f t="shared" si="46"/>
        <v>0.90084976053629129</v>
      </c>
      <c r="N29" s="43">
        <f t="shared" si="46"/>
        <v>0.90978421558291422</v>
      </c>
      <c r="O29" s="43">
        <f t="shared" si="46"/>
        <v>0.90541382653832458</v>
      </c>
      <c r="P29" s="43">
        <f t="shared" si="46"/>
        <v>0.89983578839329281</v>
      </c>
      <c r="Q29" s="43">
        <f t="shared" si="46"/>
        <v>0.89058503772184416</v>
      </c>
      <c r="R29" s="43">
        <f t="shared" si="46"/>
        <v>0.88837725543111656</v>
      </c>
      <c r="S29" s="43">
        <f>S19/S27</f>
        <v>0.88088480086761201</v>
      </c>
      <c r="T29" s="43">
        <f t="shared" si="46"/>
        <v>0.88353916732037874</v>
      </c>
      <c r="U29" s="43">
        <f t="shared" si="46"/>
        <v>0.88951105746388104</v>
      </c>
      <c r="V29" s="43">
        <f t="shared" si="46"/>
        <v>0.89817318774777266</v>
      </c>
      <c r="W29" s="43">
        <f>W19/W27</f>
        <v>0.91409220541038039</v>
      </c>
      <c r="X29" s="43">
        <f>X19/X27</f>
        <v>0.93659141087808462</v>
      </c>
      <c r="Y29" s="43">
        <f>Y19/Y27</f>
        <v>0.96504241716398487</v>
      </c>
      <c r="Z29" s="43">
        <f>Z19/Z27</f>
        <v>0.99885245911667075</v>
      </c>
      <c r="AA29" s="43">
        <f t="shared" ref="AA29:AB29" si="47">AA19/AA27</f>
        <v>1.0374549725204023</v>
      </c>
      <c r="AB29" s="43">
        <f t="shared" si="47"/>
        <v>1.0803030094312482</v>
      </c>
    </row>
    <row r="30" spans="1:28">
      <c r="A30" s="5"/>
      <c r="B30" s="44"/>
      <c r="C30" s="37"/>
      <c r="D30" s="37"/>
      <c r="E30" s="37"/>
      <c r="F30" s="37"/>
      <c r="G30" s="37"/>
      <c r="H30" s="37"/>
      <c r="I30" s="37"/>
      <c r="J30" s="104"/>
      <c r="K30" s="37"/>
      <c r="L30" s="37"/>
      <c r="M30" s="37"/>
      <c r="N30" s="37"/>
      <c r="O30" s="37"/>
      <c r="P30" s="37"/>
      <c r="Q30" s="37"/>
      <c r="R30" s="37"/>
      <c r="S30" s="37"/>
      <c r="T30" s="37"/>
      <c r="U30" s="37"/>
      <c r="V30" s="37"/>
      <c r="W30" s="37"/>
      <c r="X30" s="37"/>
      <c r="Y30" s="37"/>
      <c r="Z30" s="37"/>
      <c r="AA30" s="37"/>
      <c r="AB30" s="37"/>
    </row>
    <row r="31" spans="1:28">
      <c r="A31" s="5"/>
      <c r="B31" s="149" t="s">
        <v>272</v>
      </c>
      <c r="C31" s="45">
        <f t="shared" ref="C31:V31" si="48">(C19-C27)*(1-C$33)</f>
        <v>-171.59321639829506</v>
      </c>
      <c r="D31" s="45">
        <f t="shared" si="48"/>
        <v>-186.73364357376747</v>
      </c>
      <c r="E31" s="45">
        <f t="shared" si="48"/>
        <v>-242.10915493240898</v>
      </c>
      <c r="F31" s="45">
        <f t="shared" si="48"/>
        <v>-295.93419838781534</v>
      </c>
      <c r="G31" s="45">
        <f t="shared" si="48"/>
        <v>-359.37912153662108</v>
      </c>
      <c r="H31" s="45">
        <f t="shared" si="48"/>
        <v>-417.94657555452022</v>
      </c>
      <c r="I31" s="45">
        <f t="shared" si="48"/>
        <v>-461.8497607445064</v>
      </c>
      <c r="J31" s="45">
        <f t="shared" si="48"/>
        <v>-89.548788059801169</v>
      </c>
      <c r="K31" s="45">
        <f t="shared" si="48"/>
        <v>-88.237161462776285</v>
      </c>
      <c r="L31" s="45">
        <f t="shared" si="48"/>
        <v>-81.371137933269452</v>
      </c>
      <c r="M31" s="45">
        <f t="shared" si="48"/>
        <v>-78.351388993146344</v>
      </c>
      <c r="N31" s="45">
        <f t="shared" si="48"/>
        <v>-86.951140082239036</v>
      </c>
      <c r="O31" s="45">
        <f t="shared" si="48"/>
        <v>-101.3704939393447</v>
      </c>
      <c r="P31" s="45">
        <f t="shared" si="48"/>
        <v>-108.89194105382113</v>
      </c>
      <c r="Q31" s="45">
        <f t="shared" si="48"/>
        <v>-120.73325334114102</v>
      </c>
      <c r="R31" s="45">
        <f t="shared" si="48"/>
        <v>-122.47840845099738</v>
      </c>
      <c r="S31" s="45">
        <f>(S19-S27)*(1-S$33)</f>
        <v>-128.62193784094313</v>
      </c>
      <c r="T31" s="45">
        <f t="shared" si="48"/>
        <v>-130.50997670819552</v>
      </c>
      <c r="U31" s="45">
        <f t="shared" si="48"/>
        <v>-128.47098017022429</v>
      </c>
      <c r="V31" s="45">
        <f t="shared" si="48"/>
        <v>-122.84217198871195</v>
      </c>
      <c r="W31" s="45">
        <f>(W19-W27)*(1-W$33)</f>
        <v>-107.53789310098271</v>
      </c>
      <c r="X31" s="45">
        <f>(X19-X27)*(1-X$33)</f>
        <v>-82.381497058027534</v>
      </c>
      <c r="Y31" s="45">
        <f>(Y19-Y27)*(1-Y$33)</f>
        <v>-47.156896371524049</v>
      </c>
      <c r="Z31" s="45">
        <f>(Z19-Z27)*(1-Z$33)</f>
        <v>-1.608125025761433</v>
      </c>
      <c r="AA31" s="45">
        <f t="shared" ref="AA31:AB31" si="49">(AA19-AA27)*(1-AA$33)</f>
        <v>54.561396063644814</v>
      </c>
      <c r="AB31" s="45">
        <f t="shared" si="49"/>
        <v>121.68979361995191</v>
      </c>
    </row>
    <row r="32" spans="1:28">
      <c r="A32" s="5"/>
      <c r="B32" s="150" t="s">
        <v>274</v>
      </c>
      <c r="C32" s="45"/>
      <c r="D32" s="45">
        <f t="shared" ref="D32:Z32" si="50">D31-C31</f>
        <v>-15.140427175472411</v>
      </c>
      <c r="E32" s="45">
        <f t="shared" si="50"/>
        <v>-55.375511358641518</v>
      </c>
      <c r="F32" s="45">
        <f t="shared" si="50"/>
        <v>-53.825043455406359</v>
      </c>
      <c r="G32" s="45">
        <f t="shared" si="50"/>
        <v>-63.444923148805742</v>
      </c>
      <c r="H32" s="45">
        <f t="shared" si="50"/>
        <v>-58.567454017899138</v>
      </c>
      <c r="I32" s="45">
        <f t="shared" si="50"/>
        <v>-43.903185189986175</v>
      </c>
      <c r="J32" s="45">
        <f t="shared" si="50"/>
        <v>372.30097268470524</v>
      </c>
      <c r="K32" s="45">
        <f t="shared" si="50"/>
        <v>1.3116265970248833</v>
      </c>
      <c r="L32" s="45">
        <f t="shared" si="50"/>
        <v>6.8660235295068333</v>
      </c>
      <c r="M32" s="45">
        <f t="shared" si="50"/>
        <v>3.0197489401231081</v>
      </c>
      <c r="N32" s="45">
        <f t="shared" si="50"/>
        <v>-8.5997510890926918</v>
      </c>
      <c r="O32" s="45">
        <f t="shared" si="50"/>
        <v>-14.419353857105662</v>
      </c>
      <c r="P32" s="45">
        <f t="shared" si="50"/>
        <v>-7.5214471144764303</v>
      </c>
      <c r="Q32" s="45">
        <f t="shared" si="50"/>
        <v>-11.841312287319894</v>
      </c>
      <c r="R32" s="45">
        <f t="shared" si="50"/>
        <v>-1.7451551098563556</v>
      </c>
      <c r="S32" s="45">
        <f t="shared" si="50"/>
        <v>-6.1435293899457548</v>
      </c>
      <c r="T32" s="45">
        <f t="shared" si="50"/>
        <v>-1.8880388672523907</v>
      </c>
      <c r="U32" s="45">
        <f t="shared" si="50"/>
        <v>2.0389965379712294</v>
      </c>
      <c r="V32" s="45">
        <f t="shared" si="50"/>
        <v>5.6288081815123405</v>
      </c>
      <c r="W32" s="45">
        <f t="shared" si="50"/>
        <v>15.30427888772924</v>
      </c>
      <c r="X32" s="45">
        <f t="shared" si="50"/>
        <v>25.15639604295518</v>
      </c>
      <c r="Y32" s="45">
        <f t="shared" si="50"/>
        <v>35.224600686503486</v>
      </c>
      <c r="Z32" s="45">
        <f t="shared" si="50"/>
        <v>45.548771345762617</v>
      </c>
      <c r="AA32" s="45">
        <f t="shared" ref="AA32" si="51">AA31-Z31</f>
        <v>56.169521089406246</v>
      </c>
      <c r="AB32" s="45">
        <f t="shared" ref="AB32" si="52">AB31-AA31</f>
        <v>67.128397556307107</v>
      </c>
    </row>
    <row r="33" spans="1:28">
      <c r="A33" s="5"/>
      <c r="B33" s="46" t="s">
        <v>52</v>
      </c>
      <c r="C33" s="9">
        <v>0.35</v>
      </c>
      <c r="D33" s="9">
        <v>0.35</v>
      </c>
      <c r="E33" s="9">
        <v>0.35</v>
      </c>
      <c r="F33" s="9">
        <v>0.35</v>
      </c>
      <c r="G33" s="9">
        <v>0.35</v>
      </c>
      <c r="H33" s="9">
        <v>0.35</v>
      </c>
      <c r="I33" s="9">
        <v>0.35</v>
      </c>
      <c r="J33" s="17">
        <v>0.35</v>
      </c>
      <c r="K33" s="9">
        <v>0.35</v>
      </c>
      <c r="L33" s="9">
        <v>0.35</v>
      </c>
      <c r="M33" s="9">
        <v>0.35</v>
      </c>
      <c r="N33" s="9">
        <v>0.35</v>
      </c>
      <c r="O33" s="9">
        <v>0.35</v>
      </c>
      <c r="P33" s="9">
        <v>0.35</v>
      </c>
      <c r="Q33" s="9">
        <v>0.35</v>
      </c>
      <c r="R33" s="9">
        <v>0.35</v>
      </c>
      <c r="S33" s="9">
        <v>0.35</v>
      </c>
      <c r="T33" s="9">
        <v>0.35</v>
      </c>
      <c r="U33" s="9">
        <v>0.35</v>
      </c>
      <c r="V33" s="9">
        <v>0.35</v>
      </c>
      <c r="W33" s="9">
        <v>0.35</v>
      </c>
      <c r="X33" s="9">
        <v>0.35</v>
      </c>
      <c r="Y33" s="9">
        <v>0.35</v>
      </c>
      <c r="Z33" s="9">
        <v>0.35</v>
      </c>
      <c r="AA33" s="9">
        <v>0.35</v>
      </c>
      <c r="AB33" s="9">
        <v>0.35</v>
      </c>
    </row>
    <row r="34" spans="1:28">
      <c r="A34" s="5"/>
      <c r="B34" s="44"/>
      <c r="C34" s="37"/>
      <c r="D34" s="37"/>
      <c r="E34" s="37"/>
      <c r="F34" s="37"/>
      <c r="G34" s="37"/>
      <c r="H34" s="37"/>
      <c r="I34" s="37"/>
      <c r="J34" s="104"/>
      <c r="K34" s="37"/>
      <c r="L34" s="37"/>
      <c r="M34" s="37"/>
      <c r="N34" s="37"/>
      <c r="O34" s="37"/>
      <c r="P34" s="37"/>
      <c r="Q34" s="37"/>
      <c r="R34" s="37"/>
      <c r="S34" s="37"/>
      <c r="T34" s="37"/>
      <c r="U34" s="37"/>
      <c r="V34" s="37"/>
      <c r="W34" s="37"/>
      <c r="X34" s="37"/>
      <c r="Y34" s="37"/>
      <c r="Z34" s="37"/>
      <c r="AA34" s="37"/>
      <c r="AB34" s="37"/>
    </row>
    <row r="35" spans="1:28">
      <c r="A35" s="137"/>
      <c r="B35" s="140" t="s">
        <v>13</v>
      </c>
      <c r="C35" s="138">
        <f t="shared" ref="C35:AB35" si="53">C$3</f>
        <v>1996</v>
      </c>
      <c r="D35" s="138">
        <f t="shared" si="53"/>
        <v>1997</v>
      </c>
      <c r="E35" s="138">
        <f t="shared" si="53"/>
        <v>1998</v>
      </c>
      <c r="F35" s="138">
        <f t="shared" si="53"/>
        <v>1999</v>
      </c>
      <c r="G35" s="138">
        <f t="shared" si="53"/>
        <v>2000</v>
      </c>
      <c r="H35" s="138">
        <f t="shared" si="53"/>
        <v>2001</v>
      </c>
      <c r="I35" s="138">
        <f t="shared" si="53"/>
        <v>2002</v>
      </c>
      <c r="J35" s="138">
        <f t="shared" si="53"/>
        <v>2003</v>
      </c>
      <c r="K35" s="138">
        <f t="shared" si="53"/>
        <v>2004</v>
      </c>
      <c r="L35" s="138">
        <f t="shared" si="53"/>
        <v>2005</v>
      </c>
      <c r="M35" s="138">
        <f t="shared" si="53"/>
        <v>2006</v>
      </c>
      <c r="N35" s="138">
        <f t="shared" si="53"/>
        <v>2007</v>
      </c>
      <c r="O35" s="138">
        <f t="shared" si="53"/>
        <v>2008</v>
      </c>
      <c r="P35" s="138">
        <f t="shared" si="53"/>
        <v>2009</v>
      </c>
      <c r="Q35" s="138">
        <f t="shared" si="53"/>
        <v>2010</v>
      </c>
      <c r="R35" s="138">
        <f t="shared" si="53"/>
        <v>2011</v>
      </c>
      <c r="S35" s="138">
        <f t="shared" si="53"/>
        <v>2012</v>
      </c>
      <c r="T35" s="139">
        <f t="shared" si="53"/>
        <v>2013</v>
      </c>
      <c r="U35" s="139">
        <f t="shared" si="53"/>
        <v>2014</v>
      </c>
      <c r="V35" s="139">
        <f t="shared" si="53"/>
        <v>2015</v>
      </c>
      <c r="W35" s="139">
        <f t="shared" si="53"/>
        <v>2016</v>
      </c>
      <c r="X35" s="139">
        <f t="shared" si="53"/>
        <v>2017</v>
      </c>
      <c r="Y35" s="139">
        <f t="shared" si="53"/>
        <v>2018</v>
      </c>
      <c r="Z35" s="139">
        <f t="shared" si="53"/>
        <v>2019</v>
      </c>
      <c r="AA35" s="139">
        <f t="shared" si="53"/>
        <v>2020</v>
      </c>
      <c r="AB35" s="139">
        <f t="shared" si="53"/>
        <v>2021</v>
      </c>
    </row>
    <row r="36" spans="1:28">
      <c r="A36" s="47"/>
      <c r="B36" s="47"/>
      <c r="C36" s="47"/>
      <c r="D36" s="47"/>
      <c r="E36" s="47"/>
      <c r="F36" s="47"/>
      <c r="G36" s="47"/>
      <c r="H36" s="47"/>
      <c r="I36" s="47"/>
      <c r="J36" s="166"/>
      <c r="K36" s="47"/>
      <c r="L36" s="47"/>
      <c r="M36" s="47"/>
      <c r="N36" s="47"/>
      <c r="O36" s="47"/>
      <c r="P36" s="47"/>
      <c r="Q36" s="47"/>
      <c r="R36" s="47"/>
      <c r="S36" s="47"/>
      <c r="T36" s="47"/>
      <c r="U36" s="47"/>
      <c r="V36" s="47"/>
      <c r="W36" s="47"/>
      <c r="X36" s="47"/>
      <c r="Y36" s="47"/>
      <c r="Z36" s="47"/>
      <c r="AA36" s="47"/>
      <c r="AB36" s="47"/>
    </row>
    <row r="37" spans="1:28">
      <c r="A37" s="5"/>
      <c r="B37" s="42" t="s">
        <v>275</v>
      </c>
      <c r="C37" s="123">
        <v>9.8000000000000004E-2</v>
      </c>
      <c r="D37" s="48">
        <f t="shared" ref="D37:I37" si="54">(C37*(D23+D24+D25)+D39*D26)/D27</f>
        <v>9.799999999999999E-2</v>
      </c>
      <c r="E37" s="48">
        <f t="shared" si="54"/>
        <v>9.799999999999999E-2</v>
      </c>
      <c r="F37" s="48">
        <f t="shared" si="54"/>
        <v>9.799999999999999E-2</v>
      </c>
      <c r="G37" s="48">
        <f t="shared" si="54"/>
        <v>9.799999999999999E-2</v>
      </c>
      <c r="H37" s="48">
        <f t="shared" si="54"/>
        <v>9.8000000000000004E-2</v>
      </c>
      <c r="I37" s="48">
        <f t="shared" si="54"/>
        <v>9.8000000000000004E-2</v>
      </c>
      <c r="J37" s="167">
        <v>9.1999999999999998E-2</v>
      </c>
      <c r="K37" s="48">
        <f t="shared" ref="K37:V37" si="55">(J37*(K23+K24+K25)+K39*K26)/K27</f>
        <v>8.8011213906189489E-2</v>
      </c>
      <c r="L37" s="48">
        <f t="shared" si="55"/>
        <v>8.6793894506981134E-2</v>
      </c>
      <c r="M37" s="48">
        <f t="shared" si="55"/>
        <v>7.9410029946132013E-2</v>
      </c>
      <c r="N37" s="48">
        <f t="shared" si="55"/>
        <v>7.2973854338311619E-2</v>
      </c>
      <c r="O37" s="48">
        <f t="shared" si="55"/>
        <v>7.2510613277619942E-2</v>
      </c>
      <c r="P37" s="48">
        <f t="shared" si="55"/>
        <v>7.3070967908076129E-2</v>
      </c>
      <c r="Q37" s="48">
        <f t="shared" si="55"/>
        <v>7.3491370671711673E-2</v>
      </c>
      <c r="R37" s="48">
        <f t="shared" si="55"/>
        <v>7.3341556962958687E-2</v>
      </c>
      <c r="S37" s="48">
        <f t="shared" si="55"/>
        <v>7.3140208305643703E-2</v>
      </c>
      <c r="T37" s="48">
        <f t="shared" si="55"/>
        <v>7.2815741397613612E-2</v>
      </c>
      <c r="U37" s="48">
        <f t="shared" si="55"/>
        <v>7.272810441666186E-2</v>
      </c>
      <c r="V37" s="48">
        <f t="shared" si="55"/>
        <v>7.287005454777605E-2</v>
      </c>
      <c r="W37" s="48">
        <f>(V37*(W23+W24+W25)+W39*W26)/W27</f>
        <v>7.3232588370261892E-2</v>
      </c>
      <c r="X37" s="129">
        <f>(W37*(X23+X24+X25)+X39*X26)/X27</f>
        <v>7.380506058325445E-2</v>
      </c>
      <c r="Y37" s="129">
        <f>(X37*(Y23+Y24+Y25)+Y39*Y26)/Y27</f>
        <v>7.4575360024700332E-2</v>
      </c>
      <c r="Z37" s="129">
        <f>(Y37*(Z23+Z24+Z25)+Z39*Z26)/Z27</f>
        <v>7.5530136490385397E-2</v>
      </c>
      <c r="AA37" s="129">
        <f t="shared" ref="AA37:AB37" si="56">(Z37*(AA23+AA24+AA25)+AA39*AA26)/AA27</f>
        <v>7.6655068550651628E-2</v>
      </c>
      <c r="AB37" s="129">
        <f t="shared" si="56"/>
        <v>7.7935159845610683E-2</v>
      </c>
    </row>
    <row r="38" spans="1:28">
      <c r="A38" s="5"/>
      <c r="B38" s="122" t="s">
        <v>21</v>
      </c>
      <c r="C38" s="124"/>
      <c r="D38" s="49"/>
      <c r="E38" s="49"/>
      <c r="F38" s="49"/>
      <c r="G38" s="49"/>
      <c r="H38" s="126">
        <v>5.0175000000000001</v>
      </c>
      <c r="I38" s="126">
        <v>4.6108333333333329</v>
      </c>
      <c r="J38" s="168">
        <v>4.0149999999999997</v>
      </c>
      <c r="K38" s="127">
        <v>4.2741666666666669</v>
      </c>
      <c r="L38" s="127">
        <v>4.29</v>
      </c>
      <c r="M38" s="127">
        <v>4.7916666666666696</v>
      </c>
      <c r="N38" s="127">
        <v>4.6283633333333327</v>
      </c>
      <c r="O38" s="127">
        <v>4.2125000000000004</v>
      </c>
      <c r="P38" s="127">
        <v>3.3</v>
      </c>
      <c r="Q38" s="127">
        <v>4.8624999999999998</v>
      </c>
      <c r="R38" s="128">
        <v>3</v>
      </c>
      <c r="S38" s="128">
        <v>3</v>
      </c>
      <c r="T38" s="128">
        <v>3</v>
      </c>
      <c r="U38" s="128">
        <f t="shared" ref="U38:Z38" si="57">T38+0.2</f>
        <v>3.2</v>
      </c>
      <c r="V38" s="128">
        <f t="shared" si="57"/>
        <v>3.4000000000000004</v>
      </c>
      <c r="W38" s="128">
        <f t="shared" si="57"/>
        <v>3.6000000000000005</v>
      </c>
      <c r="X38" s="128">
        <f t="shared" si="57"/>
        <v>3.8000000000000007</v>
      </c>
      <c r="Y38" s="128">
        <f t="shared" si="57"/>
        <v>4.0000000000000009</v>
      </c>
      <c r="Z38" s="128">
        <f t="shared" si="57"/>
        <v>4.2000000000000011</v>
      </c>
      <c r="AA38" s="128">
        <f t="shared" ref="AA38" si="58">Z38+0.2</f>
        <v>4.4000000000000012</v>
      </c>
      <c r="AB38" s="128">
        <f t="shared" ref="AB38" si="59">AA38+0.2</f>
        <v>4.6000000000000014</v>
      </c>
    </row>
    <row r="39" spans="1:28">
      <c r="A39" s="5"/>
      <c r="B39" s="42" t="s">
        <v>276</v>
      </c>
      <c r="C39" s="125"/>
      <c r="D39" s="50">
        <v>9.8000000000000004E-2</v>
      </c>
      <c r="E39" s="50">
        <f>D39</f>
        <v>9.8000000000000004E-2</v>
      </c>
      <c r="F39" s="50">
        <f>E39</f>
        <v>9.8000000000000004E-2</v>
      </c>
      <c r="G39" s="50">
        <f>F39</f>
        <v>9.8000000000000004E-2</v>
      </c>
      <c r="H39" s="50">
        <f>G39</f>
        <v>9.8000000000000004E-2</v>
      </c>
      <c r="I39" s="50">
        <v>9.8000000000000004E-2</v>
      </c>
      <c r="J39" s="169">
        <v>0.08</v>
      </c>
      <c r="K39" s="50">
        <v>7.0000000000000007E-2</v>
      </c>
      <c r="L39" s="50">
        <v>0.06</v>
      </c>
      <c r="M39" s="50">
        <v>5.5E-2</v>
      </c>
      <c r="N39" s="50">
        <v>5.2999999999999999E-2</v>
      </c>
      <c r="O39" s="50">
        <v>7.0000000000000007E-2</v>
      </c>
      <c r="P39" s="50">
        <v>0.08</v>
      </c>
      <c r="Q39" s="50">
        <v>7.9000000000000001E-2</v>
      </c>
      <c r="R39" s="50">
        <v>7.0999999999999994E-2</v>
      </c>
      <c r="S39" s="50">
        <v>6.9000000000000006E-2</v>
      </c>
      <c r="T39" s="51">
        <f t="shared" ref="T39:Y39" si="60">T38/100+4%</f>
        <v>7.0000000000000007E-2</v>
      </c>
      <c r="U39" s="51">
        <f t="shared" si="60"/>
        <v>7.2000000000000008E-2</v>
      </c>
      <c r="V39" s="51">
        <f t="shared" si="60"/>
        <v>7.400000000000001E-2</v>
      </c>
      <c r="W39" s="51">
        <f t="shared" si="60"/>
        <v>7.6000000000000012E-2</v>
      </c>
      <c r="X39" s="130">
        <f t="shared" si="60"/>
        <v>7.8000000000000014E-2</v>
      </c>
      <c r="Y39" s="130">
        <f t="shared" si="60"/>
        <v>8.0000000000000016E-2</v>
      </c>
      <c r="Z39" s="130">
        <f>Z38/100+4%</f>
        <v>8.2000000000000017E-2</v>
      </c>
      <c r="AA39" s="130">
        <f t="shared" ref="AA39:AB39" si="61">AA38/100+4%</f>
        <v>8.4000000000000019E-2</v>
      </c>
      <c r="AB39" s="130">
        <f t="shared" si="61"/>
        <v>8.6000000000000021E-2</v>
      </c>
    </row>
    <row r="40" spans="1:28">
      <c r="A40" s="5"/>
      <c r="B40" s="44"/>
      <c r="C40" s="11"/>
      <c r="D40" s="11"/>
      <c r="E40" s="11"/>
      <c r="F40" s="11"/>
      <c r="G40" s="11"/>
      <c r="H40" s="52"/>
      <c r="I40" s="52"/>
      <c r="J40" s="53"/>
      <c r="K40" s="53"/>
      <c r="L40" s="53"/>
      <c r="M40" s="53"/>
      <c r="N40" s="11"/>
      <c r="O40" s="11"/>
      <c r="P40" s="11"/>
      <c r="Q40" s="11"/>
      <c r="R40" s="11"/>
      <c r="S40" s="11"/>
      <c r="T40" s="11"/>
      <c r="U40" s="11"/>
      <c r="V40" s="11"/>
      <c r="W40" s="11"/>
      <c r="X40" s="11"/>
      <c r="Y40" s="11"/>
      <c r="Z40" s="11"/>
      <c r="AA40" s="11"/>
      <c r="AB40" s="11"/>
    </row>
    <row r="41" spans="1:28">
      <c r="A41" s="5"/>
      <c r="B41" s="54" t="s">
        <v>277</v>
      </c>
      <c r="C41" s="55">
        <v>994.68</v>
      </c>
      <c r="D41" s="55">
        <v>974.43</v>
      </c>
      <c r="E41" s="55">
        <v>946.89</v>
      </c>
      <c r="F41" s="55">
        <v>952.56</v>
      </c>
      <c r="G41" s="55">
        <v>937.17</v>
      </c>
      <c r="H41" s="55">
        <v>910</v>
      </c>
      <c r="I41" s="55">
        <v>881</v>
      </c>
      <c r="J41" s="170">
        <f>1020-213</f>
        <v>807</v>
      </c>
      <c r="K41" s="55">
        <f>1017-217</f>
        <v>800</v>
      </c>
      <c r="L41" s="55">
        <f>1019-236</f>
        <v>783</v>
      </c>
      <c r="M41" s="55">
        <f>1033-314</f>
        <v>719</v>
      </c>
      <c r="N41" s="55">
        <f>1067-358</f>
        <v>709</v>
      </c>
      <c r="O41" s="55">
        <f>1093-389</f>
        <v>704</v>
      </c>
      <c r="P41" s="55">
        <f>1108-416</f>
        <v>692</v>
      </c>
      <c r="Q41" s="55">
        <f>1106-426</f>
        <v>680</v>
      </c>
      <c r="R41" s="55">
        <f>1102-462</f>
        <v>640</v>
      </c>
      <c r="S41" s="55">
        <f>1104-429</f>
        <v>675</v>
      </c>
      <c r="T41" s="131">
        <f t="shared" ref="T41:Z41" si="62">S41</f>
        <v>675</v>
      </c>
      <c r="U41" s="131">
        <f t="shared" si="62"/>
        <v>675</v>
      </c>
      <c r="V41" s="131">
        <f t="shared" si="62"/>
        <v>675</v>
      </c>
      <c r="W41" s="131">
        <f t="shared" si="62"/>
        <v>675</v>
      </c>
      <c r="X41" s="131">
        <f t="shared" si="62"/>
        <v>675</v>
      </c>
      <c r="Y41" s="131">
        <f t="shared" si="62"/>
        <v>675</v>
      </c>
      <c r="Z41" s="131">
        <f t="shared" si="62"/>
        <v>675</v>
      </c>
      <c r="AA41" s="131">
        <f t="shared" ref="AA41" si="63">Z41</f>
        <v>675</v>
      </c>
      <c r="AB41" s="131">
        <f t="shared" ref="AB41" si="64">AA41</f>
        <v>675</v>
      </c>
    </row>
    <row r="42" spans="1:28">
      <c r="A42" s="5"/>
      <c r="B42" s="151" t="s">
        <v>22</v>
      </c>
      <c r="C42" s="56">
        <f>yrSales!I17</f>
        <v>1228</v>
      </c>
      <c r="D42" s="56">
        <f>yrSales!J17</f>
        <v>1203</v>
      </c>
      <c r="E42" s="56">
        <f>yrSales!K17</f>
        <v>1169</v>
      </c>
      <c r="F42" s="56">
        <f>yrSales!L17</f>
        <v>1176</v>
      </c>
      <c r="G42" s="56">
        <f>yrSales!M17</f>
        <v>1157</v>
      </c>
      <c r="H42" s="56">
        <f>yrSales!N17</f>
        <v>1123</v>
      </c>
      <c r="I42" s="56">
        <f>yrSales!O17</f>
        <v>1097</v>
      </c>
      <c r="J42" s="56">
        <f>yrSales!P17</f>
        <v>1069</v>
      </c>
      <c r="K42" s="56">
        <f>yrSales!Q17</f>
        <v>1043</v>
      </c>
      <c r="L42" s="56">
        <f>yrSales!R17</f>
        <v>1020</v>
      </c>
      <c r="M42" s="56">
        <f>yrSales!S17</f>
        <v>1017</v>
      </c>
      <c r="N42" s="56">
        <f>yrSales!T17</f>
        <v>1019</v>
      </c>
      <c r="O42" s="56">
        <f>yrSales!U17</f>
        <v>1033</v>
      </c>
      <c r="P42" s="56">
        <f>yrSales!V17</f>
        <v>1067</v>
      </c>
      <c r="Q42" s="56">
        <f>yrSales!W17</f>
        <v>1093</v>
      </c>
      <c r="R42" s="56">
        <f>yrSales!X17</f>
        <v>1108</v>
      </c>
      <c r="S42" s="56">
        <f>yrSales!Y17</f>
        <v>1106</v>
      </c>
      <c r="T42" s="56">
        <f>yrSales!Z17</f>
        <v>1102</v>
      </c>
      <c r="U42" s="56">
        <f>yrSales!AA17</f>
        <v>1104</v>
      </c>
      <c r="V42" s="56">
        <f>yrSales!AB17</f>
        <v>1094</v>
      </c>
      <c r="W42" s="56">
        <f>yrSales!AC17</f>
        <v>1062</v>
      </c>
      <c r="X42" s="56">
        <f>yrSales!AD17</f>
        <v>1021</v>
      </c>
      <c r="Y42" s="56">
        <f>yrSales!AE17</f>
        <v>1014</v>
      </c>
      <c r="Z42" s="56">
        <f>yrSales!AF17</f>
        <v>872</v>
      </c>
      <c r="AA42" s="56">
        <f>yrSales!AG17</f>
        <v>857</v>
      </c>
      <c r="AB42" s="56">
        <f>yrSales!AH17</f>
        <v>817</v>
      </c>
    </row>
    <row r="43" spans="1:28">
      <c r="A43" s="57"/>
      <c r="B43" s="151" t="s">
        <v>278</v>
      </c>
      <c r="C43" s="58"/>
      <c r="D43" s="58">
        <f t="shared" ref="D43:Z43" si="65">D41/C41-1</f>
        <v>-2.035830618892509E-2</v>
      </c>
      <c r="E43" s="58">
        <f t="shared" si="65"/>
        <v>-2.826267664172899E-2</v>
      </c>
      <c r="F43" s="58">
        <f t="shared" si="65"/>
        <v>5.9880239520957446E-3</v>
      </c>
      <c r="G43" s="58">
        <f t="shared" si="65"/>
        <v>-1.6156462585034004E-2</v>
      </c>
      <c r="H43" s="58">
        <f t="shared" si="65"/>
        <v>-2.8991538354834145E-2</v>
      </c>
      <c r="I43" s="58">
        <f t="shared" si="65"/>
        <v>-3.1868131868131866E-2</v>
      </c>
      <c r="J43" s="171">
        <f t="shared" si="65"/>
        <v>-8.399545970488087E-2</v>
      </c>
      <c r="K43" s="58">
        <f t="shared" si="65"/>
        <v>-8.6741016109045388E-3</v>
      </c>
      <c r="L43" s="58">
        <f t="shared" si="65"/>
        <v>-2.1249999999999991E-2</v>
      </c>
      <c r="M43" s="58">
        <f t="shared" si="65"/>
        <v>-8.1736909323116169E-2</v>
      </c>
      <c r="N43" s="58">
        <f t="shared" si="65"/>
        <v>-1.3908205841446475E-2</v>
      </c>
      <c r="O43" s="58">
        <f t="shared" si="65"/>
        <v>-7.0521861777150807E-3</v>
      </c>
      <c r="P43" s="58">
        <f t="shared" si="65"/>
        <v>-1.7045454545454586E-2</v>
      </c>
      <c r="Q43" s="58">
        <f t="shared" si="65"/>
        <v>-1.7341040462427793E-2</v>
      </c>
      <c r="R43" s="58">
        <f t="shared" si="65"/>
        <v>-5.8823529411764719E-2</v>
      </c>
      <c r="S43" s="58">
        <f t="shared" si="65"/>
        <v>5.46875E-2</v>
      </c>
      <c r="T43" s="58">
        <f t="shared" si="65"/>
        <v>0</v>
      </c>
      <c r="U43" s="58">
        <f t="shared" si="65"/>
        <v>0</v>
      </c>
      <c r="V43" s="58">
        <f t="shared" si="65"/>
        <v>0</v>
      </c>
      <c r="W43" s="58">
        <f t="shared" si="65"/>
        <v>0</v>
      </c>
      <c r="X43" s="58">
        <f t="shared" si="65"/>
        <v>0</v>
      </c>
      <c r="Y43" s="58">
        <f t="shared" si="65"/>
        <v>0</v>
      </c>
      <c r="Z43" s="58">
        <f t="shared" si="65"/>
        <v>0</v>
      </c>
      <c r="AA43" s="58">
        <f t="shared" ref="AA43" si="66">AA41/Z41-1</f>
        <v>0</v>
      </c>
      <c r="AB43" s="58">
        <f t="shared" ref="AB43" si="67">AB41/AA41-1</f>
        <v>0</v>
      </c>
    </row>
    <row r="44" spans="1:28">
      <c r="A44" s="57"/>
      <c r="B44" s="151" t="s">
        <v>279</v>
      </c>
      <c r="C44" s="59">
        <f t="shared" ref="C44:Q44" si="68">C41/C42</f>
        <v>0.80999999999999994</v>
      </c>
      <c r="D44" s="59">
        <f t="shared" si="68"/>
        <v>0.80999999999999994</v>
      </c>
      <c r="E44" s="59">
        <f t="shared" si="68"/>
        <v>0.80999999999999994</v>
      </c>
      <c r="F44" s="59">
        <f t="shared" si="68"/>
        <v>0.80999999999999994</v>
      </c>
      <c r="G44" s="59">
        <f t="shared" si="68"/>
        <v>0.80999999999999994</v>
      </c>
      <c r="H44" s="59">
        <f t="shared" si="68"/>
        <v>0.81032947462154947</v>
      </c>
      <c r="I44" s="59">
        <f t="shared" si="68"/>
        <v>0.80309936189608022</v>
      </c>
      <c r="J44" s="172">
        <f t="shared" si="68"/>
        <v>0.75491113189897097</v>
      </c>
      <c r="K44" s="59">
        <f t="shared" si="68"/>
        <v>0.76701821668264625</v>
      </c>
      <c r="L44" s="59">
        <f t="shared" si="68"/>
        <v>0.76764705882352946</v>
      </c>
      <c r="M44" s="59">
        <f t="shared" si="68"/>
        <v>0.70698131760078664</v>
      </c>
      <c r="N44" s="59">
        <f t="shared" si="68"/>
        <v>0.69578017664376846</v>
      </c>
      <c r="O44" s="59">
        <f t="shared" si="68"/>
        <v>0.68151016456921587</v>
      </c>
      <c r="P44" s="59">
        <f t="shared" si="68"/>
        <v>0.64854732895970013</v>
      </c>
      <c r="Q44" s="59">
        <f t="shared" si="68"/>
        <v>0.62214089661482164</v>
      </c>
      <c r="R44" s="59">
        <f>R41/R42</f>
        <v>0.57761732851985559</v>
      </c>
      <c r="S44" s="59">
        <f>S41/S42</f>
        <v>0.61030741410488243</v>
      </c>
      <c r="T44" s="60">
        <f t="shared" ref="T44:Z44" si="69">S44</f>
        <v>0.61030741410488243</v>
      </c>
      <c r="U44" s="60">
        <f t="shared" si="69"/>
        <v>0.61030741410488243</v>
      </c>
      <c r="V44" s="60">
        <f t="shared" si="69"/>
        <v>0.61030741410488243</v>
      </c>
      <c r="W44" s="60">
        <f t="shared" si="69"/>
        <v>0.61030741410488243</v>
      </c>
      <c r="X44" s="60">
        <f t="shared" si="69"/>
        <v>0.61030741410488243</v>
      </c>
      <c r="Y44" s="60">
        <f t="shared" si="69"/>
        <v>0.61030741410488243</v>
      </c>
      <c r="Z44" s="60">
        <f t="shared" si="69"/>
        <v>0.61030741410488243</v>
      </c>
      <c r="AA44" s="60">
        <f t="shared" ref="AA44" si="70">Z44</f>
        <v>0.61030741410488243</v>
      </c>
      <c r="AB44" s="60">
        <f t="shared" ref="AB44" si="71">AA44</f>
        <v>0.61030741410488243</v>
      </c>
    </row>
    <row r="45" spans="1:28">
      <c r="A45" s="57"/>
      <c r="B45" s="54" t="s">
        <v>14</v>
      </c>
      <c r="C45" s="56">
        <f>yrSales!I30*C44*1000</f>
        <v>94932</v>
      </c>
      <c r="D45" s="56">
        <f>yrSales!J30*D44*1000</f>
        <v>95904</v>
      </c>
      <c r="E45" s="56">
        <f>yrSales!K30*E44*1000</f>
        <v>93960</v>
      </c>
      <c r="F45" s="56">
        <f>yrSales!L30*F44*1000</f>
        <v>92907</v>
      </c>
      <c r="G45" s="56">
        <f>yrSales!M30*G44*1000</f>
        <v>90963</v>
      </c>
      <c r="H45" s="56">
        <f>yrSales!N30*H44*1000</f>
        <v>87758.682101513798</v>
      </c>
      <c r="I45" s="56">
        <f>yrSales!O30*I44*1000</f>
        <v>84807.29261622607</v>
      </c>
      <c r="J45" s="56">
        <f>yrSales!P30*J44*1000</f>
        <v>80020.579981290924</v>
      </c>
      <c r="K45" s="56">
        <f>yrSales!Q30*K44*1000</f>
        <v>79232.981783317358</v>
      </c>
      <c r="L45" s="56">
        <f>yrSales!R30*L44*1000</f>
        <v>77609.117647058825</v>
      </c>
      <c r="M45" s="56">
        <f>yrSales!S30*M44*1000</f>
        <v>71617.207472959693</v>
      </c>
      <c r="N45" s="56">
        <f>yrSales!T30*N44*1000</f>
        <v>70552.109911678126</v>
      </c>
      <c r="O45" s="56">
        <f>yrSales!U30*O44*1000</f>
        <v>70263.697967086162</v>
      </c>
      <c r="P45" s="56">
        <f>yrSales!V30*P44*1000</f>
        <v>69135.145267104032</v>
      </c>
      <c r="Q45" s="56">
        <f>yrSales!W30*Q44*1000</f>
        <v>68373.284537968895</v>
      </c>
      <c r="R45" s="56">
        <f>yrSales!X30*R44*1000</f>
        <v>64519.855595667876</v>
      </c>
      <c r="S45" s="56">
        <f>yrSales!Y30*S44*1000</f>
        <v>68110.307414104886</v>
      </c>
      <c r="T45" s="56">
        <f>yrSales!Z30*T44*1000</f>
        <v>67866.184448462926</v>
      </c>
      <c r="U45" s="56">
        <f>yrSales!AA30*U44*1000</f>
        <v>68110.307414104886</v>
      </c>
      <c r="V45" s="56">
        <f>yrSales!AB30*V44*1000</f>
        <v>67555.060342794241</v>
      </c>
      <c r="W45" s="56">
        <f>yrSales!AC30*W44*1000</f>
        <v>65580.848533689743</v>
      </c>
      <c r="X45" s="56">
        <f>yrSales!AD30*X44*1000</f>
        <v>62989.695534240105</v>
      </c>
      <c r="Y45" s="56">
        <f>yrSales!AE30*Y44*1000</f>
        <v>63044.755877034353</v>
      </c>
      <c r="Z45" s="56">
        <f>yrSales!AF30*Z44*1000</f>
        <v>58345.388788426761</v>
      </c>
      <c r="AA45" s="56">
        <f>yrSales!AG30*AA44*1000</f>
        <v>57341.741045506576</v>
      </c>
      <c r="AB45" s="56">
        <f>yrSales!AH30*AB44*1000</f>
        <v>54665.347064386078</v>
      </c>
    </row>
    <row r="46" spans="1:28">
      <c r="A46" s="57"/>
      <c r="B46" s="151" t="s">
        <v>15</v>
      </c>
      <c r="C46" s="58"/>
      <c r="D46" s="58">
        <f t="shared" ref="D46:Z46" si="72">D45/C45-1</f>
        <v>1.0238907849829282E-2</v>
      </c>
      <c r="E46" s="58">
        <f t="shared" si="72"/>
        <v>-2.0270270270270285E-2</v>
      </c>
      <c r="F46" s="58">
        <f t="shared" si="72"/>
        <v>-1.1206896551724133E-2</v>
      </c>
      <c r="G46" s="58">
        <f t="shared" si="72"/>
        <v>-2.0924149956408011E-2</v>
      </c>
      <c r="H46" s="58">
        <f t="shared" si="72"/>
        <v>-3.5226607505097651E-2</v>
      </c>
      <c r="I46" s="58">
        <f t="shared" si="72"/>
        <v>-3.3630740738263887E-2</v>
      </c>
      <c r="J46" s="171">
        <f t="shared" si="72"/>
        <v>-5.644222904976115E-2</v>
      </c>
      <c r="K46" s="58">
        <f t="shared" si="72"/>
        <v>-9.8424455078645057E-3</v>
      </c>
      <c r="L46" s="58">
        <f t="shared" si="72"/>
        <v>-2.0494800267638502E-2</v>
      </c>
      <c r="M46" s="58">
        <f t="shared" si="72"/>
        <v>-7.7206265909997907E-2</v>
      </c>
      <c r="N46" s="58">
        <f t="shared" si="72"/>
        <v>-1.4872090086502143E-2</v>
      </c>
      <c r="O46" s="58">
        <f t="shared" si="72"/>
        <v>-4.0879279861795181E-3</v>
      </c>
      <c r="P46" s="58">
        <f t="shared" si="72"/>
        <v>-1.606167526950808E-2</v>
      </c>
      <c r="Q46" s="58">
        <f t="shared" si="72"/>
        <v>-1.1019876015182728E-2</v>
      </c>
      <c r="R46" s="58">
        <f t="shared" si="72"/>
        <v>-5.6358692848244574E-2</v>
      </c>
      <c r="S46" s="58">
        <f t="shared" si="72"/>
        <v>5.5648788815300554E-2</v>
      </c>
      <c r="T46" s="58">
        <f t="shared" si="72"/>
        <v>-3.5842293906811484E-3</v>
      </c>
      <c r="U46" s="58">
        <f t="shared" si="72"/>
        <v>3.5971223021584731E-3</v>
      </c>
      <c r="V46" s="58">
        <f t="shared" si="72"/>
        <v>-8.15217391304357E-3</v>
      </c>
      <c r="W46" s="58">
        <f t="shared" si="72"/>
        <v>-2.9223744292237619E-2</v>
      </c>
      <c r="X46" s="58">
        <f t="shared" si="72"/>
        <v>-3.9510818438381889E-2</v>
      </c>
      <c r="Y46" s="58">
        <f t="shared" si="72"/>
        <v>8.7411666824643852E-4</v>
      </c>
      <c r="Z46" s="58">
        <f t="shared" si="72"/>
        <v>-7.4540174249758007E-2</v>
      </c>
      <c r="AA46" s="58">
        <f t="shared" ref="AA46" si="73">AA45/Z45-1</f>
        <v>-1.7201834862385357E-2</v>
      </c>
      <c r="AB46" s="58">
        <f t="shared" ref="AB46" si="74">AB45/AA45-1</f>
        <v>-4.6674445740956916E-2</v>
      </c>
    </row>
    <row r="47" spans="1:28">
      <c r="A47" s="57"/>
      <c r="B47" s="151" t="s">
        <v>16</v>
      </c>
      <c r="C47" s="59">
        <f>C45/(yrSales!I30*1000)</f>
        <v>0.81</v>
      </c>
      <c r="D47" s="59">
        <f>D45/(yrSales!J30*1000)</f>
        <v>0.81</v>
      </c>
      <c r="E47" s="59">
        <f>E45/(yrSales!K30*1000)</f>
        <v>0.81</v>
      </c>
      <c r="F47" s="59">
        <f>F45/(yrSales!L30*1000)</f>
        <v>0.81</v>
      </c>
      <c r="G47" s="59">
        <f>G45/(yrSales!M30*1000)</f>
        <v>0.81</v>
      </c>
      <c r="H47" s="59">
        <f>H45/(yrSales!N30*1000)</f>
        <v>0.81032947462154936</v>
      </c>
      <c r="I47" s="59">
        <f>I45/(yrSales!O30*1000)</f>
        <v>0.80309936189608022</v>
      </c>
      <c r="J47" s="172">
        <f>J45/(yrSales!P30*1000)</f>
        <v>0.75491113189897097</v>
      </c>
      <c r="K47" s="59">
        <f>K45/(yrSales!Q30*1000)</f>
        <v>0.76701821668264625</v>
      </c>
      <c r="L47" s="59">
        <f>L45/(yrSales!R30*1000)</f>
        <v>0.76764705882352946</v>
      </c>
      <c r="M47" s="59">
        <f>M45/(yrSales!S30*1000)</f>
        <v>0.70698131760078675</v>
      </c>
      <c r="N47" s="59">
        <f>N45/(yrSales!T30*1000)</f>
        <v>0.69578017664376846</v>
      </c>
      <c r="O47" s="59">
        <f>O45/(yrSales!U30*1000)</f>
        <v>0.68151016456921587</v>
      </c>
      <c r="P47" s="59">
        <f>P45/(yrSales!V30*1000)</f>
        <v>0.64854732895970013</v>
      </c>
      <c r="Q47" s="59">
        <f>Q45/(yrSales!W30*1000)</f>
        <v>0.62214089661482164</v>
      </c>
      <c r="R47" s="59">
        <f>R45/(yrSales!X30*1000)</f>
        <v>0.5776173285198557</v>
      </c>
      <c r="S47" s="59">
        <f>S45/(yrSales!Y30*1000)</f>
        <v>0.61030741410488254</v>
      </c>
      <c r="T47" s="59">
        <f>T45/(yrSales!Z30*1000)</f>
        <v>0.61030741410488243</v>
      </c>
      <c r="U47" s="59">
        <f>U45/(yrSales!AA30*1000)</f>
        <v>0.61030741410488254</v>
      </c>
      <c r="V47" s="59">
        <f>V45/(yrSales!AB30*1000)</f>
        <v>0.61030741410488243</v>
      </c>
      <c r="W47" s="59">
        <f>W45/(yrSales!AC30*1000)</f>
        <v>0.61030741410488243</v>
      </c>
      <c r="X47" s="59">
        <f>X45/(yrSales!AD30*1000)</f>
        <v>0.61030741410488243</v>
      </c>
      <c r="Y47" s="59">
        <f>Y45/(yrSales!AE30*1000)</f>
        <v>0.61030741410488243</v>
      </c>
      <c r="Z47" s="59">
        <f>Z45/(yrSales!AF30*1000)</f>
        <v>0.61030741410488243</v>
      </c>
      <c r="AA47" s="59">
        <f>AA45/(yrSales!AG30*1000)</f>
        <v>0.61030741410488254</v>
      </c>
      <c r="AB47" s="59">
        <f>AB45/(yrSales!AH30*1000)</f>
        <v>0.61030741410488254</v>
      </c>
    </row>
    <row r="48" spans="1:28">
      <c r="A48" s="57"/>
      <c r="B48" s="151"/>
      <c r="C48" s="59"/>
      <c r="D48" s="61"/>
      <c r="E48" s="61"/>
      <c r="F48" s="61"/>
      <c r="G48" s="61"/>
      <c r="H48" s="61"/>
      <c r="I48" s="61"/>
      <c r="J48" s="173"/>
      <c r="K48" s="62"/>
      <c r="L48" s="62"/>
      <c r="M48" s="62"/>
      <c r="N48" s="62"/>
      <c r="O48" s="62"/>
      <c r="P48" s="62"/>
      <c r="Q48" s="24"/>
      <c r="R48" s="24"/>
      <c r="S48" s="25"/>
      <c r="T48" s="25"/>
      <c r="U48" s="25"/>
      <c r="V48" s="25"/>
      <c r="W48" s="25"/>
      <c r="X48" s="25"/>
      <c r="Y48" s="25"/>
      <c r="Z48" s="25"/>
      <c r="AA48" s="25"/>
      <c r="AB48" s="25"/>
    </row>
    <row r="49" spans="1:28">
      <c r="A49" s="57"/>
      <c r="B49" s="151" t="s">
        <v>280</v>
      </c>
      <c r="C49" s="63">
        <f t="shared" ref="C49:V49" si="75">C52/C41</f>
        <v>1.9874766001398891</v>
      </c>
      <c r="D49" s="63">
        <f t="shared" si="75"/>
        <v>0.53274236878957903</v>
      </c>
      <c r="E49" s="63">
        <f t="shared" si="75"/>
        <v>1.0332935684868862</v>
      </c>
      <c r="F49" s="63">
        <f t="shared" si="75"/>
        <v>0.75264756204649885</v>
      </c>
      <c r="G49" s="63">
        <f t="shared" si="75"/>
        <v>0.70100212498091075</v>
      </c>
      <c r="H49" s="63">
        <f t="shared" si="75"/>
        <v>0.24832838561345705</v>
      </c>
      <c r="I49" s="63">
        <f t="shared" si="75"/>
        <v>0.28584451496798063</v>
      </c>
      <c r="J49" s="174">
        <f t="shared" si="75"/>
        <v>1.339075915457888</v>
      </c>
      <c r="K49" s="63">
        <f t="shared" si="75"/>
        <v>0.24592083013925625</v>
      </c>
      <c r="L49" s="63">
        <f t="shared" si="75"/>
        <v>5.7344334901763418E-2</v>
      </c>
      <c r="M49" s="63">
        <f t="shared" si="75"/>
        <v>0.39269075649744811</v>
      </c>
      <c r="N49" s="63">
        <f t="shared" si="75"/>
        <v>0.50967361418873702</v>
      </c>
      <c r="O49" s="63">
        <f t="shared" si="75"/>
        <v>0.36482554960653063</v>
      </c>
      <c r="P49" s="63">
        <f t="shared" si="75"/>
        <v>0.18083413782491528</v>
      </c>
      <c r="Q49" s="63">
        <f t="shared" si="75"/>
        <v>0.17701484147077598</v>
      </c>
      <c r="R49" s="63">
        <f t="shared" si="75"/>
        <v>0.15860859379537109</v>
      </c>
      <c r="S49" s="63">
        <f t="shared" si="75"/>
        <v>0.11413897607405206</v>
      </c>
      <c r="T49" s="63">
        <f t="shared" si="75"/>
        <v>0.26391169989990548</v>
      </c>
      <c r="U49" s="63">
        <f t="shared" si="75"/>
        <v>0.2847108358515536</v>
      </c>
      <c r="V49" s="63">
        <f t="shared" si="75"/>
        <v>0.30686866770888882</v>
      </c>
      <c r="W49" s="63">
        <f>W52/W41</f>
        <v>0.33046356621315331</v>
      </c>
      <c r="X49" s="63">
        <f>X52/X41</f>
        <v>0.35557909498547952</v>
      </c>
      <c r="Y49" s="63">
        <f>Y52/Y41</f>
        <v>0.38230432285583893</v>
      </c>
      <c r="Z49" s="63">
        <f>Z52/Z41</f>
        <v>0.41073415655497669</v>
      </c>
      <c r="AA49" s="63">
        <f t="shared" ref="AA49:AB49" si="76">AA52/AA41</f>
        <v>0.44096969502897948</v>
      </c>
      <c r="AB49" s="63">
        <f t="shared" si="76"/>
        <v>0.47311860671789485</v>
      </c>
    </row>
    <row r="50" spans="1:28">
      <c r="A50" s="57"/>
      <c r="B50" s="151" t="s">
        <v>281</v>
      </c>
      <c r="C50" s="64"/>
      <c r="D50" s="64">
        <f t="shared" ref="D50:Z50" si="77">D49/C49-1</f>
        <v>-0.73195036925109869</v>
      </c>
      <c r="E50" s="64">
        <f t="shared" si="77"/>
        <v>0.93957460307613228</v>
      </c>
      <c r="F50" s="64">
        <f t="shared" si="77"/>
        <v>-0.27160336132872109</v>
      </c>
      <c r="G50" s="64">
        <f t="shared" si="77"/>
        <v>-6.8618354286780314E-2</v>
      </c>
      <c r="H50" s="64">
        <f t="shared" si="77"/>
        <v>-0.64575230692743002</v>
      </c>
      <c r="I50" s="64">
        <f t="shared" si="77"/>
        <v>0.15107467179736922</v>
      </c>
      <c r="J50" s="175">
        <f t="shared" si="77"/>
        <v>3.6846304383622224</v>
      </c>
      <c r="K50" s="64">
        <f t="shared" si="77"/>
        <v>-0.81635034481583868</v>
      </c>
      <c r="L50" s="64">
        <f t="shared" si="77"/>
        <v>-0.76681790286210672</v>
      </c>
      <c r="M50" s="64">
        <f t="shared" si="77"/>
        <v>5.8479433438397477</v>
      </c>
      <c r="N50" s="64">
        <f t="shared" si="77"/>
        <v>0.29790071641793059</v>
      </c>
      <c r="O50" s="64">
        <f t="shared" si="77"/>
        <v>-0.28419769152218222</v>
      </c>
      <c r="P50" s="64">
        <f t="shared" si="77"/>
        <v>-0.50432710093920941</v>
      </c>
      <c r="Q50" s="64">
        <f t="shared" si="77"/>
        <v>-2.1120438873312608E-2</v>
      </c>
      <c r="R50" s="64">
        <f t="shared" si="77"/>
        <v>-0.10398138101004173</v>
      </c>
      <c r="S50" s="64">
        <f t="shared" si="77"/>
        <v>-0.2803733180983341</v>
      </c>
      <c r="T50" s="64">
        <f t="shared" si="77"/>
        <v>1.312196139981864</v>
      </c>
      <c r="U50" s="64">
        <f t="shared" si="77"/>
        <v>7.8810965787180498E-2</v>
      </c>
      <c r="V50" s="64">
        <f t="shared" si="77"/>
        <v>7.7825741303672036E-2</v>
      </c>
      <c r="W50" s="64">
        <f t="shared" si="77"/>
        <v>7.6889239557841771E-2</v>
      </c>
      <c r="X50" s="64">
        <f t="shared" si="77"/>
        <v>7.600090097716361E-2</v>
      </c>
      <c r="Y50" s="64">
        <f t="shared" si="77"/>
        <v>7.5159727462186021E-2</v>
      </c>
      <c r="Z50" s="64">
        <f t="shared" si="77"/>
        <v>7.4364405525851662E-2</v>
      </c>
      <c r="AA50" s="64">
        <f t="shared" ref="AA50" si="78">AA49/Z49-1</f>
        <v>7.3613401738006567E-2</v>
      </c>
      <c r="AB50" s="64">
        <f t="shared" ref="AB50" si="79">AB49/AA49-1</f>
        <v>7.2905036448825955E-2</v>
      </c>
    </row>
    <row r="51" spans="1:28">
      <c r="A51" s="57"/>
      <c r="B51" s="151"/>
      <c r="C51" s="64"/>
      <c r="D51" s="64"/>
      <c r="E51" s="64"/>
      <c r="F51" s="64"/>
      <c r="G51" s="64"/>
      <c r="H51" s="64"/>
      <c r="I51" s="64"/>
      <c r="J51" s="175"/>
      <c r="K51" s="64"/>
      <c r="L51" s="64"/>
      <c r="M51" s="64"/>
      <c r="N51" s="64"/>
      <c r="O51" s="64"/>
      <c r="P51" s="64"/>
      <c r="Q51" s="64"/>
      <c r="R51" s="64"/>
      <c r="S51" s="64"/>
      <c r="T51" s="64"/>
      <c r="U51" s="64"/>
      <c r="V51" s="64"/>
      <c r="W51" s="64"/>
      <c r="X51" s="64"/>
      <c r="Y51" s="64"/>
      <c r="Z51" s="64"/>
      <c r="AA51" s="64"/>
      <c r="AB51" s="64"/>
    </row>
    <row r="52" spans="1:28">
      <c r="A52" s="57"/>
      <c r="B52" s="151" t="s">
        <v>282</v>
      </c>
      <c r="C52" s="65">
        <f t="shared" ref="C52:V52" si="80">C134</f>
        <v>1976.9032246271449</v>
      </c>
      <c r="D52" s="65">
        <f t="shared" si="80"/>
        <v>519.12014641962946</v>
      </c>
      <c r="E52" s="65">
        <f t="shared" si="80"/>
        <v>978.41534706454775</v>
      </c>
      <c r="F52" s="65">
        <f t="shared" si="80"/>
        <v>716.94196170301291</v>
      </c>
      <c r="G52" s="65">
        <f t="shared" si="80"/>
        <v>656.95816146836012</v>
      </c>
      <c r="H52" s="65">
        <f t="shared" si="80"/>
        <v>225.97883090824593</v>
      </c>
      <c r="I52" s="65">
        <f t="shared" si="80"/>
        <v>251.82901768679096</v>
      </c>
      <c r="J52" s="176">
        <f t="shared" si="80"/>
        <v>1080.6342637745156</v>
      </c>
      <c r="K52" s="65">
        <f t="shared" si="80"/>
        <v>196.73666411140499</v>
      </c>
      <c r="L52" s="65">
        <f t="shared" si="80"/>
        <v>44.900614228080755</v>
      </c>
      <c r="M52" s="65">
        <f t="shared" si="80"/>
        <v>282.34465392166521</v>
      </c>
      <c r="N52" s="65">
        <f t="shared" si="80"/>
        <v>361.35859245981453</v>
      </c>
      <c r="O52" s="65">
        <f t="shared" si="80"/>
        <v>256.83718692299755</v>
      </c>
      <c r="P52" s="65">
        <f t="shared" si="80"/>
        <v>125.13722337484137</v>
      </c>
      <c r="Q52" s="65">
        <f t="shared" si="80"/>
        <v>120.37009220012767</v>
      </c>
      <c r="R52" s="65">
        <f t="shared" si="80"/>
        <v>101.5095000290375</v>
      </c>
      <c r="S52" s="65">
        <f t="shared" si="80"/>
        <v>77.04380884998514</v>
      </c>
      <c r="T52" s="65">
        <f t="shared" si="80"/>
        <v>178.1403974324362</v>
      </c>
      <c r="U52" s="65">
        <f t="shared" si="80"/>
        <v>192.1798141997987</v>
      </c>
      <c r="V52" s="65">
        <f t="shared" si="80"/>
        <v>207.13635070349997</v>
      </c>
      <c r="W52" s="65">
        <f>W134</f>
        <v>223.06290719387849</v>
      </c>
      <c r="X52" s="65">
        <f>X134</f>
        <v>240.01588911519866</v>
      </c>
      <c r="Y52" s="65">
        <f>Y134</f>
        <v>258.05541792769128</v>
      </c>
      <c r="Z52" s="65">
        <f>Z134</f>
        <v>277.24555567460925</v>
      </c>
      <c r="AA52" s="65">
        <f t="shared" ref="AA52:AB52" si="81">AA134</f>
        <v>297.65454414456116</v>
      </c>
      <c r="AB52" s="65">
        <f t="shared" si="81"/>
        <v>319.35505953457903</v>
      </c>
    </row>
    <row r="53" spans="1:28">
      <c r="A53" s="57"/>
      <c r="B53" s="66" t="s">
        <v>283</v>
      </c>
      <c r="C53" s="67">
        <v>0.35</v>
      </c>
      <c r="D53" s="58">
        <f t="shared" ref="D53:Z53" si="82">D52/C52-1</f>
        <v>-0.73740740570771313</v>
      </c>
      <c r="E53" s="58">
        <f t="shared" si="82"/>
        <v>0.88475703324688193</v>
      </c>
      <c r="F53" s="58">
        <f t="shared" si="82"/>
        <v>-0.26724170480973153</v>
      </c>
      <c r="G53" s="58">
        <f t="shared" si="82"/>
        <v>-8.3666186998133329E-2</v>
      </c>
      <c r="H53" s="58">
        <f t="shared" si="82"/>
        <v>-0.65602249250825495</v>
      </c>
      <c r="I53" s="58">
        <f t="shared" si="82"/>
        <v>0.1143920723664642</v>
      </c>
      <c r="J53" s="171">
        <f t="shared" si="82"/>
        <v>3.2911427511445099</v>
      </c>
      <c r="K53" s="58">
        <f t="shared" si="82"/>
        <v>-0.81794334058571372</v>
      </c>
      <c r="L53" s="58">
        <f t="shared" si="82"/>
        <v>-0.77177302242628687</v>
      </c>
      <c r="M53" s="58">
        <f t="shared" si="82"/>
        <v>5.2882136196944813</v>
      </c>
      <c r="N53" s="58">
        <f t="shared" si="82"/>
        <v>0.27984924609222905</v>
      </c>
      <c r="O53" s="58">
        <f t="shared" si="82"/>
        <v>-0.289245662668006</v>
      </c>
      <c r="P53" s="58">
        <f t="shared" si="82"/>
        <v>-0.51277607080956389</v>
      </c>
      <c r="Q53" s="58">
        <f t="shared" si="82"/>
        <v>-3.809522895065387E-2</v>
      </c>
      <c r="R53" s="58">
        <f t="shared" si="82"/>
        <v>-0.15668835859768637</v>
      </c>
      <c r="S53" s="58">
        <f t="shared" si="82"/>
        <v>-0.2410187339318367</v>
      </c>
      <c r="T53" s="58">
        <f t="shared" si="82"/>
        <v>1.312196139981864</v>
      </c>
      <c r="U53" s="58">
        <f t="shared" si="82"/>
        <v>7.881096578718072E-2</v>
      </c>
      <c r="V53" s="58">
        <f t="shared" si="82"/>
        <v>7.7825741303672036E-2</v>
      </c>
      <c r="W53" s="58">
        <f t="shared" si="82"/>
        <v>7.6889239557841771E-2</v>
      </c>
      <c r="X53" s="58">
        <f t="shared" si="82"/>
        <v>7.600090097716361E-2</v>
      </c>
      <c r="Y53" s="58">
        <f t="shared" si="82"/>
        <v>7.5159727462186243E-2</v>
      </c>
      <c r="Z53" s="58">
        <f t="shared" si="82"/>
        <v>7.4364405525851662E-2</v>
      </c>
      <c r="AA53" s="58">
        <f t="shared" ref="AA53" si="83">AA52/Z52-1</f>
        <v>7.3613401738006567E-2</v>
      </c>
      <c r="AB53" s="58">
        <f t="shared" ref="AB53" si="84">AB52/AA52-1</f>
        <v>7.2905036448825733E-2</v>
      </c>
    </row>
    <row r="54" spans="1:28">
      <c r="A54" s="57"/>
      <c r="B54" s="151"/>
      <c r="C54" s="68"/>
      <c r="D54" s="68"/>
      <c r="E54" s="68"/>
      <c r="F54" s="68"/>
      <c r="G54" s="68"/>
      <c r="H54" s="68"/>
      <c r="I54" s="68"/>
      <c r="J54" s="177"/>
      <c r="K54" s="69"/>
      <c r="L54" s="69"/>
      <c r="M54" s="69"/>
      <c r="N54" s="69"/>
      <c r="O54" s="69"/>
      <c r="P54" s="69"/>
      <c r="Q54" s="69"/>
      <c r="R54" s="69"/>
      <c r="S54" s="69"/>
      <c r="T54" s="69"/>
      <c r="U54" s="69"/>
      <c r="V54" s="69"/>
      <c r="W54" s="69"/>
      <c r="X54" s="69"/>
      <c r="Y54" s="69"/>
      <c r="Z54" s="69"/>
      <c r="AA54" s="69"/>
      <c r="AB54" s="69"/>
    </row>
    <row r="55" spans="1:28">
      <c r="A55" s="57"/>
      <c r="B55" s="151" t="s">
        <v>284</v>
      </c>
      <c r="C55" s="65">
        <f t="shared" ref="C55:R55" si="85">C68</f>
        <v>285</v>
      </c>
      <c r="D55" s="65">
        <f t="shared" si="85"/>
        <v>469</v>
      </c>
      <c r="E55" s="65">
        <f t="shared" si="85"/>
        <v>519</v>
      </c>
      <c r="F55" s="65">
        <f t="shared" si="85"/>
        <v>603</v>
      </c>
      <c r="G55" s="65">
        <f t="shared" si="85"/>
        <v>652</v>
      </c>
      <c r="H55" s="65">
        <f t="shared" si="85"/>
        <v>653</v>
      </c>
      <c r="I55" s="65">
        <f t="shared" si="85"/>
        <v>675</v>
      </c>
      <c r="J55" s="176">
        <f t="shared" si="85"/>
        <v>196</v>
      </c>
      <c r="K55" s="65">
        <f t="shared" si="85"/>
        <v>200</v>
      </c>
      <c r="L55" s="65">
        <f t="shared" si="85"/>
        <v>195</v>
      </c>
      <c r="M55" s="65">
        <f t="shared" si="85"/>
        <v>205</v>
      </c>
      <c r="N55" s="65">
        <f t="shared" si="85"/>
        <v>210</v>
      </c>
      <c r="O55" s="65">
        <f t="shared" si="85"/>
        <v>217</v>
      </c>
      <c r="P55" s="65">
        <f t="shared" si="85"/>
        <v>231</v>
      </c>
      <c r="Q55" s="65">
        <f t="shared" si="85"/>
        <v>227</v>
      </c>
      <c r="R55" s="65">
        <f t="shared" si="85"/>
        <v>243</v>
      </c>
      <c r="S55" s="65">
        <f>S68</f>
        <v>233</v>
      </c>
      <c r="T55" s="65">
        <f t="shared" ref="T55:Z55" si="86">S55*(1+T56)</f>
        <v>249.31</v>
      </c>
      <c r="U55" s="65">
        <f t="shared" si="86"/>
        <v>266.76170000000002</v>
      </c>
      <c r="V55" s="65">
        <f t="shared" si="86"/>
        <v>285.43501900000001</v>
      </c>
      <c r="W55" s="65">
        <f t="shared" si="86"/>
        <v>305.41547033000001</v>
      </c>
      <c r="X55" s="65">
        <f t="shared" si="86"/>
        <v>326.79455325310005</v>
      </c>
      <c r="Y55" s="65">
        <f t="shared" si="86"/>
        <v>349.67017198081709</v>
      </c>
      <c r="Z55" s="65">
        <f t="shared" si="86"/>
        <v>374.14708401947428</v>
      </c>
      <c r="AA55" s="65">
        <f t="shared" ref="AA55" si="87">Z55*(1+AA56)</f>
        <v>400.3373799008375</v>
      </c>
      <c r="AB55" s="65">
        <f t="shared" ref="AB55" si="88">AA55*(1+AB56)</f>
        <v>428.36099649389615</v>
      </c>
    </row>
    <row r="56" spans="1:28">
      <c r="A56" s="57"/>
      <c r="B56" s="152" t="s">
        <v>285</v>
      </c>
      <c r="C56" s="18"/>
      <c r="D56" s="58">
        <f t="shared" ref="D56:S56" si="89">D55/C55-1</f>
        <v>0.64561403508771931</v>
      </c>
      <c r="E56" s="58">
        <f t="shared" si="89"/>
        <v>0.10660980810234544</v>
      </c>
      <c r="F56" s="58">
        <f t="shared" si="89"/>
        <v>0.16184971098265888</v>
      </c>
      <c r="G56" s="58">
        <f t="shared" si="89"/>
        <v>8.1260364842454358E-2</v>
      </c>
      <c r="H56" s="58">
        <f t="shared" si="89"/>
        <v>1.5337423312884457E-3</v>
      </c>
      <c r="I56" s="58">
        <f t="shared" si="89"/>
        <v>3.3690658499234249E-2</v>
      </c>
      <c r="J56" s="171">
        <f t="shared" si="89"/>
        <v>-0.70962962962962961</v>
      </c>
      <c r="K56" s="58">
        <f t="shared" si="89"/>
        <v>2.0408163265306145E-2</v>
      </c>
      <c r="L56" s="58">
        <f t="shared" si="89"/>
        <v>-2.5000000000000022E-2</v>
      </c>
      <c r="M56" s="58">
        <f t="shared" si="89"/>
        <v>5.1282051282051322E-2</v>
      </c>
      <c r="N56" s="58">
        <f t="shared" si="89"/>
        <v>2.4390243902439046E-2</v>
      </c>
      <c r="O56" s="58">
        <f t="shared" si="89"/>
        <v>3.3333333333333437E-2</v>
      </c>
      <c r="P56" s="58">
        <f t="shared" si="89"/>
        <v>6.4516129032258007E-2</v>
      </c>
      <c r="Q56" s="58">
        <f t="shared" si="89"/>
        <v>-1.7316017316017285E-2</v>
      </c>
      <c r="R56" s="58">
        <f t="shared" si="89"/>
        <v>7.0484581497797461E-2</v>
      </c>
      <c r="S56" s="58">
        <f t="shared" si="89"/>
        <v>-4.1152263374485631E-2</v>
      </c>
      <c r="T56" s="70">
        <v>7.0000000000000007E-2</v>
      </c>
      <c r="U56" s="70">
        <v>7.0000000000000007E-2</v>
      </c>
      <c r="V56" s="70">
        <v>7.0000000000000007E-2</v>
      </c>
      <c r="W56" s="70">
        <v>7.0000000000000007E-2</v>
      </c>
      <c r="X56" s="70">
        <v>7.0000000000000007E-2</v>
      </c>
      <c r="Y56" s="70">
        <v>7.0000000000000007E-2</v>
      </c>
      <c r="Z56" s="70">
        <v>7.0000000000000007E-2</v>
      </c>
      <c r="AA56" s="70">
        <v>7.0000000000000007E-2</v>
      </c>
      <c r="AB56" s="70">
        <v>7.0000000000000007E-2</v>
      </c>
    </row>
    <row r="57" spans="1:28">
      <c r="A57" s="57"/>
      <c r="B57" s="151"/>
      <c r="C57" s="71"/>
      <c r="D57" s="71"/>
      <c r="E57" s="71"/>
      <c r="F57" s="71"/>
      <c r="G57" s="71"/>
      <c r="H57" s="71"/>
      <c r="I57" s="71"/>
      <c r="J57" s="176"/>
      <c r="K57" s="71"/>
      <c r="L57" s="72"/>
      <c r="M57" s="72"/>
      <c r="N57" s="71"/>
      <c r="O57" s="71"/>
      <c r="P57" s="71"/>
      <c r="Q57" s="71"/>
      <c r="R57" s="71"/>
      <c r="S57" s="71"/>
      <c r="T57" s="71"/>
      <c r="U57" s="71"/>
      <c r="V57" s="71"/>
      <c r="W57" s="71"/>
      <c r="X57" s="71"/>
      <c r="Y57" s="71"/>
      <c r="Z57" s="71"/>
      <c r="AA57" s="71"/>
      <c r="AB57" s="71"/>
    </row>
    <row r="58" spans="1:28">
      <c r="A58" s="57"/>
      <c r="B58" s="151" t="s">
        <v>286</v>
      </c>
      <c r="C58" s="73">
        <f t="shared" ref="C58:R58" si="90">C$60+SUM(C69:C73)</f>
        <v>3077</v>
      </c>
      <c r="D58" s="73">
        <f t="shared" si="90"/>
        <v>3676</v>
      </c>
      <c r="E58" s="73">
        <f t="shared" si="90"/>
        <v>5148</v>
      </c>
      <c r="F58" s="73">
        <f t="shared" si="90"/>
        <v>5754</v>
      </c>
      <c r="G58" s="73">
        <f t="shared" si="90"/>
        <v>6883</v>
      </c>
      <c r="H58" s="73">
        <f t="shared" si="90"/>
        <v>6936</v>
      </c>
      <c r="I58" s="73">
        <f t="shared" si="90"/>
        <v>6903</v>
      </c>
      <c r="J58" s="101">
        <f t="shared" si="90"/>
        <v>1646</v>
      </c>
      <c r="K58" s="73">
        <f t="shared" si="90"/>
        <v>1790</v>
      </c>
      <c r="L58" s="73">
        <f t="shared" si="90"/>
        <v>1664</v>
      </c>
      <c r="M58" s="73">
        <f t="shared" si="90"/>
        <v>1948</v>
      </c>
      <c r="N58" s="73">
        <f t="shared" si="90"/>
        <v>2378</v>
      </c>
      <c r="O58" s="73">
        <f t="shared" si="90"/>
        <v>2863</v>
      </c>
      <c r="P58" s="73">
        <f t="shared" si="90"/>
        <v>2909</v>
      </c>
      <c r="Q58" s="73">
        <f t="shared" si="90"/>
        <v>2937</v>
      </c>
      <c r="R58" s="73">
        <f t="shared" si="90"/>
        <v>2916</v>
      </c>
      <c r="S58" s="73">
        <f>S$60+SUM(S69:S73)</f>
        <v>2876</v>
      </c>
      <c r="T58" s="237">
        <f t="shared" ref="T58:Z58" si="91">S58*(1+T59)</f>
        <v>2876</v>
      </c>
      <c r="U58" s="237">
        <f t="shared" si="91"/>
        <v>2876</v>
      </c>
      <c r="V58" s="237">
        <f t="shared" si="91"/>
        <v>2876</v>
      </c>
      <c r="W58" s="237">
        <f t="shared" si="91"/>
        <v>2876</v>
      </c>
      <c r="X58" s="237">
        <f t="shared" si="91"/>
        <v>2876</v>
      </c>
      <c r="Y58" s="237">
        <f t="shared" si="91"/>
        <v>2876</v>
      </c>
      <c r="Z58" s="237">
        <f t="shared" si="91"/>
        <v>2876</v>
      </c>
      <c r="AA58" s="237">
        <f t="shared" ref="AA58" si="92">Z58*(1+AA59)</f>
        <v>2876</v>
      </c>
      <c r="AB58" s="237">
        <f t="shared" ref="AB58" si="93">AA58*(1+AB59)</f>
        <v>2876</v>
      </c>
    </row>
    <row r="59" spans="1:28">
      <c r="A59" s="5"/>
      <c r="B59" s="74" t="s">
        <v>287</v>
      </c>
      <c r="C59" s="75"/>
      <c r="D59" s="17">
        <f t="shared" ref="D59:S59" si="94">D58/C58-1</f>
        <v>0.19467013324666893</v>
      </c>
      <c r="E59" s="17">
        <f t="shared" si="94"/>
        <v>0.40043525571273131</v>
      </c>
      <c r="F59" s="17">
        <f t="shared" si="94"/>
        <v>0.11771561771561778</v>
      </c>
      <c r="G59" s="17">
        <f t="shared" si="94"/>
        <v>0.19621133124782753</v>
      </c>
      <c r="H59" s="17">
        <f t="shared" si="94"/>
        <v>7.7001307569373179E-3</v>
      </c>
      <c r="I59" s="17">
        <f t="shared" si="94"/>
        <v>-4.7577854671280173E-3</v>
      </c>
      <c r="J59" s="17">
        <f t="shared" si="94"/>
        <v>-0.76155294799362594</v>
      </c>
      <c r="K59" s="17">
        <f t="shared" si="94"/>
        <v>8.7484811664641615E-2</v>
      </c>
      <c r="L59" s="17">
        <f t="shared" si="94"/>
        <v>-7.0391061452513948E-2</v>
      </c>
      <c r="M59" s="17">
        <f t="shared" si="94"/>
        <v>0.17067307692307687</v>
      </c>
      <c r="N59" s="17">
        <f t="shared" si="94"/>
        <v>0.22073921971252575</v>
      </c>
      <c r="O59" s="17">
        <f t="shared" si="94"/>
        <v>0.20395290159798152</v>
      </c>
      <c r="P59" s="17">
        <f t="shared" si="94"/>
        <v>1.6067062521830211E-2</v>
      </c>
      <c r="Q59" s="17">
        <f t="shared" si="94"/>
        <v>9.6253007906497157E-3</v>
      </c>
      <c r="R59" s="17">
        <f t="shared" si="94"/>
        <v>-7.1501532175689553E-3</v>
      </c>
      <c r="S59" s="17">
        <f t="shared" si="94"/>
        <v>-1.3717421124828544E-2</v>
      </c>
      <c r="T59" s="236">
        <v>0</v>
      </c>
      <c r="U59" s="236">
        <v>0</v>
      </c>
      <c r="V59" s="236">
        <v>0</v>
      </c>
      <c r="W59" s="236">
        <v>0</v>
      </c>
      <c r="X59" s="236">
        <v>0</v>
      </c>
      <c r="Y59" s="236">
        <v>0</v>
      </c>
      <c r="Z59" s="236">
        <v>0</v>
      </c>
      <c r="AA59" s="236">
        <v>0</v>
      </c>
      <c r="AB59" s="236">
        <v>0</v>
      </c>
    </row>
    <row r="60" spans="1:28">
      <c r="A60" s="5"/>
      <c r="B60" s="153" t="s">
        <v>288</v>
      </c>
      <c r="C60" s="76">
        <v>1508</v>
      </c>
      <c r="D60" s="76">
        <v>1931</v>
      </c>
      <c r="E60" s="76">
        <v>2841</v>
      </c>
      <c r="F60" s="76">
        <v>3099</v>
      </c>
      <c r="G60" s="76">
        <v>4084</v>
      </c>
      <c r="H60" s="76">
        <v>4114</v>
      </c>
      <c r="I60" s="76">
        <v>4128</v>
      </c>
      <c r="J60" s="178">
        <f>J64*J73</f>
        <v>891</v>
      </c>
      <c r="K60" s="77">
        <f>K64*K73</f>
        <v>990</v>
      </c>
      <c r="L60" s="76">
        <v>902</v>
      </c>
      <c r="M60" s="76">
        <v>1119</v>
      </c>
      <c r="N60" s="76">
        <v>1448</v>
      </c>
      <c r="O60" s="76">
        <v>1914</v>
      </c>
      <c r="P60" s="76">
        <v>1942</v>
      </c>
      <c r="Q60" s="76">
        <v>1931</v>
      </c>
      <c r="R60" s="76">
        <v>1927</v>
      </c>
      <c r="S60" s="76">
        <v>1937</v>
      </c>
      <c r="T60" s="78">
        <f t="shared" ref="T60:Y60" si="95">T61*T58</f>
        <v>1937.0000000000002</v>
      </c>
      <c r="U60" s="78">
        <f t="shared" si="95"/>
        <v>1937.0000000000002</v>
      </c>
      <c r="V60" s="78">
        <f t="shared" si="95"/>
        <v>1937.0000000000002</v>
      </c>
      <c r="W60" s="78">
        <f t="shared" si="95"/>
        <v>1937.0000000000002</v>
      </c>
      <c r="X60" s="78">
        <f t="shared" si="95"/>
        <v>1937.0000000000002</v>
      </c>
      <c r="Y60" s="78">
        <f t="shared" si="95"/>
        <v>1937.0000000000002</v>
      </c>
      <c r="Z60" s="78">
        <f>Z61*Z58</f>
        <v>1937.0000000000002</v>
      </c>
      <c r="AA60" s="78">
        <f t="shared" ref="AA60:AB60" si="96">AA61*AA58</f>
        <v>1937.0000000000002</v>
      </c>
      <c r="AB60" s="78">
        <f t="shared" si="96"/>
        <v>1937.0000000000002</v>
      </c>
    </row>
    <row r="61" spans="1:28">
      <c r="A61" s="5"/>
      <c r="B61" s="154"/>
      <c r="C61" s="17">
        <f t="shared" ref="C61:S61" si="97">C60/C58</f>
        <v>0.49008774780630482</v>
      </c>
      <c r="D61" s="17">
        <f t="shared" si="97"/>
        <v>0.52529923830250269</v>
      </c>
      <c r="E61" s="17">
        <f t="shared" si="97"/>
        <v>0.55186480186480191</v>
      </c>
      <c r="F61" s="17">
        <f t="shared" si="97"/>
        <v>0.53858185610010423</v>
      </c>
      <c r="G61" s="17">
        <f t="shared" si="97"/>
        <v>0.59334592474211822</v>
      </c>
      <c r="H61" s="17">
        <f t="shared" si="97"/>
        <v>0.59313725490196079</v>
      </c>
      <c r="I61" s="17">
        <f t="shared" si="97"/>
        <v>0.59800086918730988</v>
      </c>
      <c r="J61" s="17">
        <f t="shared" si="97"/>
        <v>0.54131227217496958</v>
      </c>
      <c r="K61" s="17">
        <f t="shared" si="97"/>
        <v>0.55307262569832405</v>
      </c>
      <c r="L61" s="17">
        <f t="shared" si="97"/>
        <v>0.54206730769230771</v>
      </c>
      <c r="M61" s="17">
        <f t="shared" si="97"/>
        <v>0.57443531827515404</v>
      </c>
      <c r="N61" s="17">
        <f t="shared" si="97"/>
        <v>0.60891505466778806</v>
      </c>
      <c r="O61" s="17">
        <f t="shared" si="97"/>
        <v>0.66852951449528464</v>
      </c>
      <c r="P61" s="17">
        <f t="shared" si="97"/>
        <v>0.66758336198006185</v>
      </c>
      <c r="Q61" s="17">
        <f t="shared" si="97"/>
        <v>0.65747361252979231</v>
      </c>
      <c r="R61" s="17">
        <f t="shared" si="97"/>
        <v>0.66083676268861458</v>
      </c>
      <c r="S61" s="17">
        <f t="shared" si="97"/>
        <v>0.67350486787204455</v>
      </c>
      <c r="T61" s="236">
        <f t="shared" ref="T61:Z61" si="98">S61</f>
        <v>0.67350486787204455</v>
      </c>
      <c r="U61" s="236">
        <f t="shared" si="98"/>
        <v>0.67350486787204455</v>
      </c>
      <c r="V61" s="236">
        <f t="shared" si="98"/>
        <v>0.67350486787204455</v>
      </c>
      <c r="W61" s="236">
        <f t="shared" si="98"/>
        <v>0.67350486787204455</v>
      </c>
      <c r="X61" s="236">
        <f t="shared" si="98"/>
        <v>0.67350486787204455</v>
      </c>
      <c r="Y61" s="236">
        <f t="shared" si="98"/>
        <v>0.67350486787204455</v>
      </c>
      <c r="Z61" s="236">
        <f t="shared" si="98"/>
        <v>0.67350486787204455</v>
      </c>
      <c r="AA61" s="236">
        <f t="shared" ref="AA61" si="99">Z61</f>
        <v>0.67350486787204455</v>
      </c>
      <c r="AB61" s="236">
        <f t="shared" ref="AB61" si="100">AA61</f>
        <v>0.67350486787204455</v>
      </c>
    </row>
    <row r="62" spans="1:28">
      <c r="A62" s="5"/>
      <c r="B62" s="44"/>
      <c r="C62" s="79"/>
      <c r="D62" s="79"/>
      <c r="E62" s="79"/>
      <c r="F62" s="79"/>
      <c r="G62" s="79"/>
      <c r="H62" s="79"/>
      <c r="I62" s="17"/>
      <c r="J62" s="17"/>
      <c r="K62" s="17"/>
      <c r="L62" s="17"/>
      <c r="M62" s="17"/>
      <c r="N62" s="17"/>
      <c r="O62" s="17"/>
      <c r="P62" s="17"/>
      <c r="Q62" s="80"/>
      <c r="R62" s="80"/>
      <c r="S62" s="25"/>
      <c r="T62" s="25"/>
      <c r="U62" s="25"/>
      <c r="V62" s="25"/>
      <c r="W62" s="25"/>
      <c r="X62" s="25"/>
      <c r="Y62" s="25"/>
      <c r="Z62" s="25"/>
      <c r="AA62" s="25"/>
      <c r="AB62" s="25"/>
    </row>
    <row r="63" spans="1:28">
      <c r="A63" s="5"/>
      <c r="B63" s="44" t="s">
        <v>17</v>
      </c>
      <c r="C63" s="81">
        <f t="shared" ref="C63:I63" si="101">C64+6</f>
        <v>13</v>
      </c>
      <c r="D63" s="81">
        <f t="shared" si="101"/>
        <v>14</v>
      </c>
      <c r="E63" s="81">
        <f t="shared" si="101"/>
        <v>15</v>
      </c>
      <c r="F63" s="81">
        <f t="shared" si="101"/>
        <v>13</v>
      </c>
      <c r="G63" s="81">
        <f t="shared" si="101"/>
        <v>15</v>
      </c>
      <c r="H63" s="81">
        <f t="shared" si="101"/>
        <v>16</v>
      </c>
      <c r="I63" s="81">
        <f t="shared" si="101"/>
        <v>16</v>
      </c>
      <c r="J63" s="179">
        <v>18</v>
      </c>
      <c r="K63" s="81">
        <v>18</v>
      </c>
      <c r="L63" s="81">
        <v>18</v>
      </c>
      <c r="M63" s="81">
        <f t="shared" ref="M63:S63" si="102">M64+6</f>
        <v>16</v>
      </c>
      <c r="N63" s="81">
        <f t="shared" si="102"/>
        <v>18</v>
      </c>
      <c r="O63" s="81">
        <f t="shared" si="102"/>
        <v>21</v>
      </c>
      <c r="P63" s="81">
        <f t="shared" si="102"/>
        <v>21</v>
      </c>
      <c r="Q63" s="81">
        <f t="shared" si="102"/>
        <v>21</v>
      </c>
      <c r="R63" s="81">
        <f t="shared" si="102"/>
        <v>21</v>
      </c>
      <c r="S63" s="81">
        <f t="shared" si="102"/>
        <v>21</v>
      </c>
      <c r="T63" s="238">
        <f t="shared" ref="T63:Z64" si="103">S63</f>
        <v>21</v>
      </c>
      <c r="U63" s="238">
        <f t="shared" si="103"/>
        <v>21</v>
      </c>
      <c r="V63" s="238">
        <f t="shared" si="103"/>
        <v>21</v>
      </c>
      <c r="W63" s="238">
        <f t="shared" si="103"/>
        <v>21</v>
      </c>
      <c r="X63" s="238">
        <f t="shared" si="103"/>
        <v>21</v>
      </c>
      <c r="Y63" s="238">
        <f t="shared" si="103"/>
        <v>21</v>
      </c>
      <c r="Z63" s="238">
        <f t="shared" si="103"/>
        <v>21</v>
      </c>
      <c r="AA63" s="238">
        <f t="shared" ref="AA63:AA64" si="104">Z63</f>
        <v>21</v>
      </c>
      <c r="AB63" s="238">
        <f t="shared" ref="AB63:AB64" si="105">AA63</f>
        <v>21</v>
      </c>
    </row>
    <row r="64" spans="1:28">
      <c r="A64" s="5"/>
      <c r="B64" s="44" t="s">
        <v>18</v>
      </c>
      <c r="C64" s="83">
        <v>7</v>
      </c>
      <c r="D64" s="83">
        <v>8</v>
      </c>
      <c r="E64" s="83">
        <v>9</v>
      </c>
      <c r="F64" s="83">
        <v>7</v>
      </c>
      <c r="G64" s="83">
        <v>9</v>
      </c>
      <c r="H64" s="83">
        <v>10</v>
      </c>
      <c r="I64" s="83">
        <v>10</v>
      </c>
      <c r="J64" s="180">
        <v>9</v>
      </c>
      <c r="K64" s="83">
        <v>9</v>
      </c>
      <c r="L64" s="83">
        <v>8</v>
      </c>
      <c r="M64" s="83">
        <v>10</v>
      </c>
      <c r="N64" s="83">
        <v>12</v>
      </c>
      <c r="O64" s="83">
        <v>15</v>
      </c>
      <c r="P64" s="83">
        <v>15</v>
      </c>
      <c r="Q64" s="83">
        <v>15</v>
      </c>
      <c r="R64" s="83">
        <v>15</v>
      </c>
      <c r="S64" s="83">
        <v>15</v>
      </c>
      <c r="T64" s="239">
        <f t="shared" si="103"/>
        <v>15</v>
      </c>
      <c r="U64" s="239">
        <f t="shared" si="103"/>
        <v>15</v>
      </c>
      <c r="V64" s="239">
        <f t="shared" si="103"/>
        <v>15</v>
      </c>
      <c r="W64" s="239">
        <f t="shared" si="103"/>
        <v>15</v>
      </c>
      <c r="X64" s="239">
        <f t="shared" si="103"/>
        <v>15</v>
      </c>
      <c r="Y64" s="239">
        <f t="shared" si="103"/>
        <v>15</v>
      </c>
      <c r="Z64" s="239">
        <f t="shared" si="103"/>
        <v>15</v>
      </c>
      <c r="AA64" s="239">
        <f t="shared" si="104"/>
        <v>15</v>
      </c>
      <c r="AB64" s="239">
        <f t="shared" si="105"/>
        <v>15</v>
      </c>
    </row>
    <row r="65" spans="1:28">
      <c r="A65" s="5"/>
      <c r="B65" s="44"/>
      <c r="C65" s="82"/>
      <c r="D65" s="82"/>
      <c r="E65" s="82"/>
      <c r="F65" s="82"/>
      <c r="G65" s="82"/>
      <c r="H65" s="82"/>
      <c r="I65" s="82"/>
      <c r="J65" s="174"/>
      <c r="K65" s="82"/>
      <c r="L65" s="82"/>
      <c r="M65" s="82"/>
      <c r="N65" s="82"/>
      <c r="O65" s="82"/>
      <c r="P65" s="82"/>
      <c r="Q65" s="82"/>
      <c r="R65" s="82"/>
      <c r="S65" s="82"/>
      <c r="T65" s="82"/>
      <c r="U65" s="82"/>
      <c r="V65" s="82"/>
      <c r="W65" s="82"/>
      <c r="X65" s="82"/>
      <c r="Y65" s="82"/>
      <c r="Z65" s="82"/>
      <c r="AA65" s="82"/>
      <c r="AB65" s="82"/>
    </row>
    <row r="66" spans="1:28">
      <c r="A66" s="137"/>
      <c r="B66" s="140" t="s">
        <v>289</v>
      </c>
      <c r="C66" s="138">
        <f t="shared" ref="C66:AB66" si="106">C$3</f>
        <v>1996</v>
      </c>
      <c r="D66" s="138">
        <f t="shared" si="106"/>
        <v>1997</v>
      </c>
      <c r="E66" s="138">
        <f t="shared" si="106"/>
        <v>1998</v>
      </c>
      <c r="F66" s="138">
        <f t="shared" si="106"/>
        <v>1999</v>
      </c>
      <c r="G66" s="138">
        <f t="shared" si="106"/>
        <v>2000</v>
      </c>
      <c r="H66" s="138">
        <f t="shared" si="106"/>
        <v>2001</v>
      </c>
      <c r="I66" s="138">
        <f t="shared" si="106"/>
        <v>2002</v>
      </c>
      <c r="J66" s="138">
        <f t="shared" si="106"/>
        <v>2003</v>
      </c>
      <c r="K66" s="138">
        <f t="shared" si="106"/>
        <v>2004</v>
      </c>
      <c r="L66" s="138">
        <f t="shared" si="106"/>
        <v>2005</v>
      </c>
      <c r="M66" s="138">
        <f t="shared" si="106"/>
        <v>2006</v>
      </c>
      <c r="N66" s="138">
        <f t="shared" si="106"/>
        <v>2007</v>
      </c>
      <c r="O66" s="138">
        <f t="shared" si="106"/>
        <v>2008</v>
      </c>
      <c r="P66" s="138">
        <f t="shared" si="106"/>
        <v>2009</v>
      </c>
      <c r="Q66" s="138">
        <f t="shared" si="106"/>
        <v>2010</v>
      </c>
      <c r="R66" s="138">
        <f t="shared" si="106"/>
        <v>2011</v>
      </c>
      <c r="S66" s="138">
        <f t="shared" si="106"/>
        <v>2012</v>
      </c>
      <c r="T66" s="139">
        <f t="shared" si="106"/>
        <v>2013</v>
      </c>
      <c r="U66" s="139">
        <f t="shared" si="106"/>
        <v>2014</v>
      </c>
      <c r="V66" s="139">
        <f t="shared" si="106"/>
        <v>2015</v>
      </c>
      <c r="W66" s="139">
        <f t="shared" si="106"/>
        <v>2016</v>
      </c>
      <c r="X66" s="139">
        <f t="shared" si="106"/>
        <v>2017</v>
      </c>
      <c r="Y66" s="139">
        <f t="shared" si="106"/>
        <v>2018</v>
      </c>
      <c r="Z66" s="139">
        <f t="shared" si="106"/>
        <v>2019</v>
      </c>
      <c r="AA66" s="139">
        <f t="shared" si="106"/>
        <v>2020</v>
      </c>
      <c r="AB66" s="139">
        <f t="shared" si="106"/>
        <v>2021</v>
      </c>
    </row>
    <row r="67" spans="1:28" outlineLevel="1">
      <c r="A67" s="57"/>
      <c r="B67" s="155"/>
      <c r="C67" s="84"/>
      <c r="D67" s="84"/>
      <c r="E67" s="84"/>
      <c r="F67" s="84"/>
      <c r="G67" s="84"/>
      <c r="H67" s="85"/>
      <c r="I67" s="85"/>
      <c r="J67" s="181"/>
      <c r="K67" s="85"/>
      <c r="L67" s="85"/>
      <c r="M67" s="85"/>
      <c r="N67" s="85"/>
      <c r="O67" s="84"/>
      <c r="P67" s="84"/>
      <c r="Q67" s="84"/>
      <c r="R67" s="84"/>
      <c r="S67" s="84"/>
      <c r="T67" s="84"/>
      <c r="U67" s="84"/>
      <c r="V67" s="84"/>
      <c r="W67" s="84"/>
      <c r="X67" s="84"/>
      <c r="Y67" s="84"/>
      <c r="Z67" s="84"/>
      <c r="AA67" s="84"/>
      <c r="AB67" s="84"/>
    </row>
    <row r="68" spans="1:28" outlineLevel="1">
      <c r="A68" s="5"/>
      <c r="B68" s="156" t="s">
        <v>290</v>
      </c>
      <c r="C68" s="86">
        <f>333-48</f>
        <v>285</v>
      </c>
      <c r="D68" s="86">
        <f>541-72</f>
        <v>469</v>
      </c>
      <c r="E68" s="86">
        <f>585-66</f>
        <v>519</v>
      </c>
      <c r="F68" s="86">
        <f>667-64</f>
        <v>603</v>
      </c>
      <c r="G68" s="86">
        <f>711-59</f>
        <v>652</v>
      </c>
      <c r="H68" s="86">
        <f>711-58</f>
        <v>653</v>
      </c>
      <c r="I68" s="86">
        <f>734-59</f>
        <v>675</v>
      </c>
      <c r="J68" s="182">
        <v>196</v>
      </c>
      <c r="K68" s="86">
        <v>200</v>
      </c>
      <c r="L68" s="86">
        <v>195</v>
      </c>
      <c r="M68" s="86">
        <v>205</v>
      </c>
      <c r="N68" s="86">
        <v>210</v>
      </c>
      <c r="O68" s="86">
        <v>217</v>
      </c>
      <c r="P68" s="86">
        <v>231</v>
      </c>
      <c r="Q68" s="86">
        <v>227</v>
      </c>
      <c r="R68" s="86">
        <v>243</v>
      </c>
      <c r="S68" s="86">
        <v>233</v>
      </c>
      <c r="T68" s="87">
        <f t="shared" ref="T68:Z73" si="107">S68*(1+T$56)</f>
        <v>249.31</v>
      </c>
      <c r="U68" s="87">
        <f t="shared" si="107"/>
        <v>266.76170000000002</v>
      </c>
      <c r="V68" s="87">
        <f t="shared" si="107"/>
        <v>285.43501900000001</v>
      </c>
      <c r="W68" s="87">
        <f t="shared" si="107"/>
        <v>305.41547033000001</v>
      </c>
      <c r="X68" s="87">
        <f t="shared" si="107"/>
        <v>326.79455325310005</v>
      </c>
      <c r="Y68" s="87">
        <f t="shared" si="107"/>
        <v>349.67017198081709</v>
      </c>
      <c r="Z68" s="87">
        <f t="shared" si="107"/>
        <v>374.14708401947428</v>
      </c>
      <c r="AA68" s="87">
        <f t="shared" ref="AA68:AA73" si="108">Z68*(1+AA$56)</f>
        <v>400.3373799008375</v>
      </c>
      <c r="AB68" s="87">
        <f t="shared" ref="AB68:AB73" si="109">AA68*(1+AB$56)</f>
        <v>428.36099649389615</v>
      </c>
    </row>
    <row r="69" spans="1:28" outlineLevel="1">
      <c r="A69" s="5"/>
      <c r="B69" s="156" t="s">
        <v>291</v>
      </c>
      <c r="C69" s="88">
        <v>394</v>
      </c>
      <c r="D69" s="88">
        <v>431</v>
      </c>
      <c r="E69" s="88">
        <v>565</v>
      </c>
      <c r="F69" s="88">
        <v>620</v>
      </c>
      <c r="G69" s="88">
        <v>647</v>
      </c>
      <c r="H69" s="88">
        <v>669</v>
      </c>
      <c r="I69" s="88">
        <v>671</v>
      </c>
      <c r="J69" s="183">
        <v>213</v>
      </c>
      <c r="K69" s="88">
        <v>226</v>
      </c>
      <c r="L69" s="88">
        <v>201</v>
      </c>
      <c r="M69" s="88">
        <v>213</v>
      </c>
      <c r="N69" s="88">
        <v>250</v>
      </c>
      <c r="O69" s="88">
        <v>254</v>
      </c>
      <c r="P69" s="88">
        <v>263</v>
      </c>
      <c r="Q69" s="88">
        <v>262</v>
      </c>
      <c r="R69" s="88">
        <v>260</v>
      </c>
      <c r="S69" s="88">
        <v>252</v>
      </c>
      <c r="T69" s="87">
        <f t="shared" si="107"/>
        <v>269.64000000000004</v>
      </c>
      <c r="U69" s="87">
        <f t="shared" si="107"/>
        <v>288.51480000000004</v>
      </c>
      <c r="V69" s="87">
        <f t="shared" si="107"/>
        <v>308.71083600000003</v>
      </c>
      <c r="W69" s="87">
        <f t="shared" si="107"/>
        <v>330.32059452000004</v>
      </c>
      <c r="X69" s="87">
        <f t="shared" si="107"/>
        <v>353.44303613640005</v>
      </c>
      <c r="Y69" s="87">
        <f t="shared" si="107"/>
        <v>378.18404866594807</v>
      </c>
      <c r="Z69" s="87">
        <f t="shared" si="107"/>
        <v>404.65693207256447</v>
      </c>
      <c r="AA69" s="87">
        <f t="shared" si="108"/>
        <v>432.98291731764402</v>
      </c>
      <c r="AB69" s="87">
        <f t="shared" si="109"/>
        <v>463.29172152987911</v>
      </c>
    </row>
    <row r="70" spans="1:28" outlineLevel="1">
      <c r="A70" s="5"/>
      <c r="B70" s="156" t="s">
        <v>292</v>
      </c>
      <c r="C70" s="88">
        <v>356</v>
      </c>
      <c r="D70" s="88">
        <v>389</v>
      </c>
      <c r="E70" s="88">
        <v>510</v>
      </c>
      <c r="F70" s="88">
        <v>568</v>
      </c>
      <c r="G70" s="88">
        <v>605</v>
      </c>
      <c r="H70" s="88">
        <v>614</v>
      </c>
      <c r="I70" s="88">
        <v>611</v>
      </c>
      <c r="J70" s="183">
        <v>186</v>
      </c>
      <c r="K70" s="88">
        <v>185</v>
      </c>
      <c r="L70" s="88">
        <v>162</v>
      </c>
      <c r="M70" s="88">
        <v>197</v>
      </c>
      <c r="N70" s="88">
        <v>221</v>
      </c>
      <c r="O70" s="88">
        <v>220</v>
      </c>
      <c r="P70" s="88">
        <v>223</v>
      </c>
      <c r="Q70" s="88">
        <v>232</v>
      </c>
      <c r="R70" s="88">
        <v>224</v>
      </c>
      <c r="S70" s="88">
        <v>221</v>
      </c>
      <c r="T70" s="87">
        <f t="shared" si="107"/>
        <v>236.47000000000003</v>
      </c>
      <c r="U70" s="87">
        <f t="shared" si="107"/>
        <v>253.02290000000005</v>
      </c>
      <c r="V70" s="87">
        <f t="shared" si="107"/>
        <v>270.73450300000007</v>
      </c>
      <c r="W70" s="87">
        <f t="shared" si="107"/>
        <v>289.68591821000012</v>
      </c>
      <c r="X70" s="87">
        <f t="shared" si="107"/>
        <v>309.96393248470014</v>
      </c>
      <c r="Y70" s="87">
        <f t="shared" si="107"/>
        <v>331.66140775862914</v>
      </c>
      <c r="Z70" s="87">
        <f t="shared" si="107"/>
        <v>354.87770630173321</v>
      </c>
      <c r="AA70" s="87">
        <f t="shared" si="108"/>
        <v>379.71914574285455</v>
      </c>
      <c r="AB70" s="87">
        <f t="shared" si="109"/>
        <v>406.29948594485438</v>
      </c>
    </row>
    <row r="71" spans="1:28" outlineLevel="1">
      <c r="A71" s="5"/>
      <c r="B71" s="156" t="s">
        <v>293</v>
      </c>
      <c r="C71" s="88">
        <v>308</v>
      </c>
      <c r="D71" s="88">
        <v>354</v>
      </c>
      <c r="E71" s="88">
        <v>440</v>
      </c>
      <c r="F71" s="88">
        <v>521</v>
      </c>
      <c r="G71" s="88">
        <v>566</v>
      </c>
      <c r="H71" s="88">
        <v>563</v>
      </c>
      <c r="I71" s="88">
        <v>544</v>
      </c>
      <c r="J71" s="183">
        <v>145</v>
      </c>
      <c r="K71" s="88">
        <v>149</v>
      </c>
      <c r="L71" s="88">
        <v>146</v>
      </c>
      <c r="M71" s="88">
        <v>170</v>
      </c>
      <c r="N71" s="88">
        <v>181</v>
      </c>
      <c r="O71" s="88">
        <v>187</v>
      </c>
      <c r="P71" s="88">
        <v>185</v>
      </c>
      <c r="Q71" s="88">
        <v>196</v>
      </c>
      <c r="R71" s="88">
        <v>194</v>
      </c>
      <c r="S71" s="88">
        <v>184</v>
      </c>
      <c r="T71" s="87">
        <f t="shared" si="107"/>
        <v>196.88000000000002</v>
      </c>
      <c r="U71" s="87">
        <f t="shared" si="107"/>
        <v>210.66160000000005</v>
      </c>
      <c r="V71" s="87">
        <f t="shared" si="107"/>
        <v>225.40791200000007</v>
      </c>
      <c r="W71" s="87">
        <f t="shared" si="107"/>
        <v>241.1864658400001</v>
      </c>
      <c r="X71" s="87">
        <f t="shared" si="107"/>
        <v>258.06951844880012</v>
      </c>
      <c r="Y71" s="87">
        <f t="shared" si="107"/>
        <v>276.13438474021615</v>
      </c>
      <c r="Z71" s="87">
        <f t="shared" si="107"/>
        <v>295.46379167203128</v>
      </c>
      <c r="AA71" s="87">
        <f t="shared" si="108"/>
        <v>316.14625708907346</v>
      </c>
      <c r="AB71" s="87">
        <f t="shared" si="109"/>
        <v>338.27649508530862</v>
      </c>
    </row>
    <row r="72" spans="1:28" outlineLevel="1">
      <c r="A72" s="5"/>
      <c r="B72" s="156" t="s">
        <v>294</v>
      </c>
      <c r="C72" s="88">
        <v>279</v>
      </c>
      <c r="D72" s="88">
        <v>297</v>
      </c>
      <c r="E72" s="88">
        <v>408</v>
      </c>
      <c r="F72" s="88">
        <v>492</v>
      </c>
      <c r="G72" s="88">
        <v>514</v>
      </c>
      <c r="H72" s="88">
        <v>512</v>
      </c>
      <c r="I72" s="88">
        <v>494</v>
      </c>
      <c r="J72" s="183">
        <v>112</v>
      </c>
      <c r="K72" s="88">
        <v>130</v>
      </c>
      <c r="L72" s="88">
        <v>134</v>
      </c>
      <c r="M72" s="88">
        <v>137</v>
      </c>
      <c r="N72" s="88">
        <v>152</v>
      </c>
      <c r="O72" s="88">
        <v>154</v>
      </c>
      <c r="P72" s="88">
        <v>156</v>
      </c>
      <c r="Q72" s="88">
        <v>172</v>
      </c>
      <c r="R72" s="88">
        <v>167</v>
      </c>
      <c r="S72" s="88">
        <v>156</v>
      </c>
      <c r="T72" s="87">
        <f t="shared" si="107"/>
        <v>166.92000000000002</v>
      </c>
      <c r="U72" s="87">
        <f t="shared" si="107"/>
        <v>178.60440000000003</v>
      </c>
      <c r="V72" s="87">
        <f t="shared" si="107"/>
        <v>191.10670800000003</v>
      </c>
      <c r="W72" s="87">
        <f t="shared" si="107"/>
        <v>204.48417756000003</v>
      </c>
      <c r="X72" s="87">
        <f t="shared" si="107"/>
        <v>218.79806998920006</v>
      </c>
      <c r="Y72" s="87">
        <f t="shared" si="107"/>
        <v>234.11393488844408</v>
      </c>
      <c r="Z72" s="87">
        <f t="shared" si="107"/>
        <v>250.50191033063518</v>
      </c>
      <c r="AA72" s="87">
        <f t="shared" si="108"/>
        <v>268.03704405377965</v>
      </c>
      <c r="AB72" s="87">
        <f t="shared" si="109"/>
        <v>286.79963713754427</v>
      </c>
    </row>
    <row r="73" spans="1:28" outlineLevel="1">
      <c r="A73" s="5"/>
      <c r="B73" s="156" t="s">
        <v>295</v>
      </c>
      <c r="C73" s="88">
        <v>232</v>
      </c>
      <c r="D73" s="88">
        <v>274</v>
      </c>
      <c r="E73" s="88">
        <v>384</v>
      </c>
      <c r="F73" s="88">
        <v>454</v>
      </c>
      <c r="G73" s="88">
        <v>467</v>
      </c>
      <c r="H73" s="88">
        <v>464</v>
      </c>
      <c r="I73" s="88">
        <v>455</v>
      </c>
      <c r="J73" s="183">
        <v>99</v>
      </c>
      <c r="K73" s="88">
        <v>110</v>
      </c>
      <c r="L73" s="88">
        <v>119</v>
      </c>
      <c r="M73" s="88">
        <v>112</v>
      </c>
      <c r="N73" s="88">
        <v>126</v>
      </c>
      <c r="O73" s="88">
        <v>134</v>
      </c>
      <c r="P73" s="88">
        <v>140</v>
      </c>
      <c r="Q73" s="88">
        <v>144</v>
      </c>
      <c r="R73" s="88">
        <v>144</v>
      </c>
      <c r="S73" s="88">
        <v>126</v>
      </c>
      <c r="T73" s="87">
        <f t="shared" si="107"/>
        <v>134.82000000000002</v>
      </c>
      <c r="U73" s="87">
        <f t="shared" si="107"/>
        <v>144.25740000000002</v>
      </c>
      <c r="V73" s="87">
        <f t="shared" si="107"/>
        <v>154.35541800000001</v>
      </c>
      <c r="W73" s="87">
        <f t="shared" si="107"/>
        <v>165.16029726000002</v>
      </c>
      <c r="X73" s="87">
        <f t="shared" si="107"/>
        <v>176.72151806820003</v>
      </c>
      <c r="Y73" s="87">
        <f t="shared" si="107"/>
        <v>189.09202433297403</v>
      </c>
      <c r="Z73" s="87">
        <f t="shared" si="107"/>
        <v>202.32846603628224</v>
      </c>
      <c r="AA73" s="87">
        <f t="shared" si="108"/>
        <v>216.49145865882201</v>
      </c>
      <c r="AB73" s="87">
        <f t="shared" si="109"/>
        <v>231.64586076493956</v>
      </c>
    </row>
    <row r="74" spans="1:28" outlineLevel="1">
      <c r="A74" s="5"/>
      <c r="B74" s="157" t="s">
        <v>296</v>
      </c>
      <c r="C74" s="56">
        <f t="shared" ref="C74:M74" si="110">C60/C64</f>
        <v>215.42857142857142</v>
      </c>
      <c r="D74" s="56">
        <f t="shared" si="110"/>
        <v>241.375</v>
      </c>
      <c r="E74" s="56">
        <f t="shared" si="110"/>
        <v>315.66666666666669</v>
      </c>
      <c r="F74" s="56">
        <f t="shared" si="110"/>
        <v>442.71428571428572</v>
      </c>
      <c r="G74" s="56">
        <f t="shared" si="110"/>
        <v>453.77777777777777</v>
      </c>
      <c r="H74" s="56">
        <f t="shared" si="110"/>
        <v>411.4</v>
      </c>
      <c r="I74" s="56">
        <f t="shared" si="110"/>
        <v>412.8</v>
      </c>
      <c r="J74" s="56">
        <f t="shared" si="110"/>
        <v>99</v>
      </c>
      <c r="K74" s="56">
        <f t="shared" si="110"/>
        <v>110</v>
      </c>
      <c r="L74" s="56">
        <f t="shared" si="110"/>
        <v>112.75</v>
      </c>
      <c r="M74" s="56">
        <f t="shared" si="110"/>
        <v>111.9</v>
      </c>
      <c r="N74" s="56">
        <f t="shared" ref="N74:S74" si="111">N60/N64</f>
        <v>120.66666666666667</v>
      </c>
      <c r="O74" s="56">
        <f t="shared" si="111"/>
        <v>127.6</v>
      </c>
      <c r="P74" s="56">
        <f t="shared" si="111"/>
        <v>129.46666666666667</v>
      </c>
      <c r="Q74" s="56">
        <f t="shared" si="111"/>
        <v>128.73333333333332</v>
      </c>
      <c r="R74" s="56">
        <f t="shared" si="111"/>
        <v>128.46666666666667</v>
      </c>
      <c r="S74" s="56">
        <f t="shared" si="111"/>
        <v>129.13333333333333</v>
      </c>
      <c r="T74" s="56">
        <f t="shared" ref="T74:Y74" si="112">T60/T64</f>
        <v>129.13333333333335</v>
      </c>
      <c r="U74" s="56">
        <f t="shared" si="112"/>
        <v>129.13333333333335</v>
      </c>
      <c r="V74" s="56">
        <f t="shared" si="112"/>
        <v>129.13333333333335</v>
      </c>
      <c r="W74" s="56">
        <f t="shared" si="112"/>
        <v>129.13333333333335</v>
      </c>
      <c r="X74" s="56">
        <f t="shared" si="112"/>
        <v>129.13333333333335</v>
      </c>
      <c r="Y74" s="56">
        <f t="shared" si="112"/>
        <v>129.13333333333335</v>
      </c>
      <c r="Z74" s="56">
        <f>Z60/Z64</f>
        <v>129.13333333333335</v>
      </c>
      <c r="AA74" s="56">
        <f t="shared" ref="AA74:AB74" si="113">AA60/AA64</f>
        <v>129.13333333333335</v>
      </c>
      <c r="AB74" s="56">
        <f t="shared" si="113"/>
        <v>129.13333333333335</v>
      </c>
    </row>
    <row r="75" spans="1:28" outlineLevel="1">
      <c r="A75" s="5"/>
      <c r="B75" s="157" t="s">
        <v>297</v>
      </c>
      <c r="C75" s="56">
        <f>IF(SUM(C$74:C74)&gt;=C$60,0,C$60/C$64)</f>
        <v>215.42857142857142</v>
      </c>
      <c r="D75" s="56">
        <f>IF(SUM(D$74:D74)&gt;=D$60,0,D$60/D$64)</f>
        <v>241.375</v>
      </c>
      <c r="E75" s="56">
        <f>IF(SUM(E$74:E74)&gt;=E$60,0,E$60/E$64)</f>
        <v>315.66666666666669</v>
      </c>
      <c r="F75" s="56">
        <f>IF(SUM(F$74:F74)&gt;=F$60,0,F$60/F$64)</f>
        <v>442.71428571428572</v>
      </c>
      <c r="G75" s="56">
        <f>IF(SUM(G$74:G74)&gt;=G$60,0,G$60/G$64)</f>
        <v>453.77777777777777</v>
      </c>
      <c r="H75" s="56">
        <f>IF(SUM(H$74:H74)&gt;=H$60,0,H$60/H$64)</f>
        <v>411.4</v>
      </c>
      <c r="I75" s="56">
        <f>IF(SUM(I$74:I74)&gt;=I$60,0,I$60/I$64)</f>
        <v>412.8</v>
      </c>
      <c r="J75" s="56">
        <f>IF(SUM(J$74:J74)&gt;=J$60,0,J$60/J$64)</f>
        <v>99</v>
      </c>
      <c r="K75" s="56">
        <f>IF(SUM(K$74:K74)&gt;=K$60,0,K$60/K$64)</f>
        <v>110</v>
      </c>
      <c r="L75" s="56">
        <f>IF(SUM(L$74:L74)&gt;=L$60,0,L$60/L$64)</f>
        <v>112.75</v>
      </c>
      <c r="M75" s="56">
        <f>IF(SUM(M$74:M74)&gt;=M$60,0,M$60/M$64)</f>
        <v>111.9</v>
      </c>
      <c r="N75" s="56">
        <f>IF(SUM(N$74:N74)&gt;=N$60,0,N$60/N$64)</f>
        <v>120.66666666666667</v>
      </c>
      <c r="O75" s="56">
        <f>IF(SUM(O$74:O74)&gt;=O$60,0,O$60/O$64)</f>
        <v>127.6</v>
      </c>
      <c r="P75" s="56">
        <f>IF(SUM(P$74:P74)&gt;=P$60,0,P$60/P$64)</f>
        <v>129.46666666666667</v>
      </c>
      <c r="Q75" s="56">
        <f>IF(SUM(Q$74:Q74)&gt;=Q$60,0,Q$60/Q$64)</f>
        <v>128.73333333333332</v>
      </c>
      <c r="R75" s="56">
        <f>IF(SUM(R$74:R74)&gt;=R$60,0,R$60/R$64)</f>
        <v>128.46666666666667</v>
      </c>
      <c r="S75" s="56">
        <f>IF(SUM(S$74:S74)&gt;=S$60,0,S$60/S$64)</f>
        <v>129.13333333333333</v>
      </c>
      <c r="T75" s="56">
        <f>IF(SUM(T$74:T74)&gt;=T$60,0,T$60/T$64)</f>
        <v>129.13333333333335</v>
      </c>
      <c r="U75" s="56">
        <f>IF(SUM(U$74:U74)&gt;=U$60,0,U$60/U$64)</f>
        <v>129.13333333333335</v>
      </c>
      <c r="V75" s="56">
        <f>IF(SUM(V$74:V74)&gt;=V$60,0,V$60/V$64)</f>
        <v>129.13333333333335</v>
      </c>
      <c r="W75" s="56">
        <f>IF(SUM(W$74:W74)&gt;=W$60,0,W$60/W$64)</f>
        <v>129.13333333333335</v>
      </c>
      <c r="X75" s="56">
        <f>IF(SUM(X$74:X74)&gt;=X$60,0,X$60/X$64)</f>
        <v>129.13333333333335</v>
      </c>
      <c r="Y75" s="56">
        <f>IF(SUM(Y$74:Y74)&gt;=Y$60,0,Y$60/Y$64)</f>
        <v>129.13333333333335</v>
      </c>
      <c r="Z75" s="56">
        <f>IF(SUM(Z$74:Z74)&gt;=Z$60,0,Z$60/Z$64)</f>
        <v>129.13333333333335</v>
      </c>
      <c r="AA75" s="56">
        <f>IF(SUM(AA$74:AA74)&gt;=AA$60,0,AA$60/AA$64)</f>
        <v>129.13333333333335</v>
      </c>
      <c r="AB75" s="56">
        <f>IF(SUM(AB$74:AB74)&gt;=AB$60,0,AB$60/AB$64)</f>
        <v>129.13333333333335</v>
      </c>
    </row>
    <row r="76" spans="1:28" outlineLevel="1">
      <c r="A76" s="5"/>
      <c r="B76" s="157" t="s">
        <v>298</v>
      </c>
      <c r="C76" s="56">
        <f>IF(SUM(C$74:C75)&gt;=C$60,0,C$60/C$64)</f>
        <v>215.42857142857142</v>
      </c>
      <c r="D76" s="56">
        <f>IF(SUM(D$74:D75)&gt;=D$60,0,D$60/D$64)</f>
        <v>241.375</v>
      </c>
      <c r="E76" s="56">
        <f>IF(SUM(E$74:E75)&gt;=E$60,0,E$60/E$64)</f>
        <v>315.66666666666669</v>
      </c>
      <c r="F76" s="56">
        <f>IF(SUM(F$74:F75)&gt;=F$60,0,F$60/F$64)</f>
        <v>442.71428571428572</v>
      </c>
      <c r="G76" s="56">
        <f>IF(SUM(G$74:G75)&gt;=G$60,0,G$60/G$64)</f>
        <v>453.77777777777777</v>
      </c>
      <c r="H76" s="56">
        <f>IF(SUM(H$74:H75)&gt;=H$60,0,H$60/H$64)</f>
        <v>411.4</v>
      </c>
      <c r="I76" s="56">
        <f>IF(SUM(I$74:I75)&gt;=I$60,0,I$60/I$64)</f>
        <v>412.8</v>
      </c>
      <c r="J76" s="56">
        <f>IF(SUM(J$74:J75)&gt;=J$60,0,J$60/J$64)</f>
        <v>99</v>
      </c>
      <c r="K76" s="56">
        <f>IF(SUM(K$74:K75)&gt;=K$60,0,K$60/K$64)</f>
        <v>110</v>
      </c>
      <c r="L76" s="56">
        <f>IF(SUM(L$74:L75)&gt;=L$60,0,L$60/L$64)</f>
        <v>112.75</v>
      </c>
      <c r="M76" s="56">
        <f>IF(SUM(M$74:M75)&gt;=M$60,0,M$60/M$64)</f>
        <v>111.9</v>
      </c>
      <c r="N76" s="56">
        <f>IF(SUM(N$74:N75)&gt;=N$60,0,N$60/N$64)</f>
        <v>120.66666666666667</v>
      </c>
      <c r="O76" s="56">
        <f>IF(SUM(O$74:O75)&gt;=O$60,0,O$60/O$64)</f>
        <v>127.6</v>
      </c>
      <c r="P76" s="56">
        <f>IF(SUM(P$74:P75)&gt;=P$60,0,P$60/P$64)</f>
        <v>129.46666666666667</v>
      </c>
      <c r="Q76" s="56">
        <f>IF(SUM(Q$74:Q75)&gt;=Q$60,0,Q$60/Q$64)</f>
        <v>128.73333333333332</v>
      </c>
      <c r="R76" s="56">
        <f>IF(SUM(R$74:R75)&gt;=R$60,0,R$60/R$64)</f>
        <v>128.46666666666667</v>
      </c>
      <c r="S76" s="56">
        <f>IF(SUM(S$74:S75)&gt;=S$60,0,S$60/S$64)</f>
        <v>129.13333333333333</v>
      </c>
      <c r="T76" s="56">
        <f>IF(SUM(T$74:T75)&gt;=T$60,0,T$60/T$64)</f>
        <v>129.13333333333335</v>
      </c>
      <c r="U76" s="56">
        <f>IF(SUM(U$74:U75)&gt;=U$60,0,U$60/U$64)</f>
        <v>129.13333333333335</v>
      </c>
      <c r="V76" s="56">
        <f>IF(SUM(V$74:V75)&gt;=V$60,0,V$60/V$64)</f>
        <v>129.13333333333335</v>
      </c>
      <c r="W76" s="56">
        <f>IF(SUM(W$74:W75)&gt;=W$60,0,W$60/W$64)</f>
        <v>129.13333333333335</v>
      </c>
      <c r="X76" s="56">
        <f>IF(SUM(X$74:X75)&gt;=X$60,0,X$60/X$64)</f>
        <v>129.13333333333335</v>
      </c>
      <c r="Y76" s="56">
        <f>IF(SUM(Y$74:Y75)&gt;=Y$60,0,Y$60/Y$64)</f>
        <v>129.13333333333335</v>
      </c>
      <c r="Z76" s="56">
        <f>IF(SUM(Z$74:Z75)&gt;=Z$60,0,Z$60/Z$64)</f>
        <v>129.13333333333335</v>
      </c>
      <c r="AA76" s="56">
        <f>IF(SUM(AA$74:AA75)&gt;=AA$60,0,AA$60/AA$64)</f>
        <v>129.13333333333335</v>
      </c>
      <c r="AB76" s="56">
        <f>IF(SUM(AB$74:AB75)&gt;=AB$60,0,AB$60/AB$64)</f>
        <v>129.13333333333335</v>
      </c>
    </row>
    <row r="77" spans="1:28" outlineLevel="1">
      <c r="A77" s="5"/>
      <c r="B77" s="157" t="s">
        <v>299</v>
      </c>
      <c r="C77" s="56">
        <f>IF(SUM(C$74:C76)&gt;=C$60,0,C$60/C$64)</f>
        <v>215.42857142857142</v>
      </c>
      <c r="D77" s="56">
        <f>IF(SUM(D$74:D76)&gt;=D$60,0,D$60/D$64)</f>
        <v>241.375</v>
      </c>
      <c r="E77" s="56">
        <f>IF(SUM(E$74:E76)&gt;=E$60,0,E$60/E$64)</f>
        <v>315.66666666666669</v>
      </c>
      <c r="F77" s="56">
        <f>IF(SUM(F$74:F76)&gt;=F$60,0,F$60/F$64)</f>
        <v>442.71428571428572</v>
      </c>
      <c r="G77" s="56">
        <f>IF(SUM(G$74:G76)&gt;=G$60,0,G$60/G$64)</f>
        <v>453.77777777777777</v>
      </c>
      <c r="H77" s="56">
        <f>IF(SUM(H$74:H76)&gt;=H$60,0,H$60/H$64)</f>
        <v>411.4</v>
      </c>
      <c r="I77" s="56">
        <f>IF(SUM(I$74:I76)&gt;=I$60,0,I$60/I$64)</f>
        <v>412.8</v>
      </c>
      <c r="J77" s="56">
        <f>IF(SUM(J$74:J76)&gt;=J$60,0,J$60/J$64)</f>
        <v>99</v>
      </c>
      <c r="K77" s="56">
        <f>IF(SUM(K$74:K76)&gt;=K$60,0,K$60/K$64)</f>
        <v>110</v>
      </c>
      <c r="L77" s="56">
        <f>IF(SUM(L$74:L76)&gt;=L$60,0,L$60/L$64)</f>
        <v>112.75</v>
      </c>
      <c r="M77" s="56">
        <f>IF(SUM(M$74:M76)&gt;=M$60,0,M$60/M$64)</f>
        <v>111.9</v>
      </c>
      <c r="N77" s="56">
        <f>IF(SUM(N$74:N76)&gt;=N$60,0,N$60/N$64)</f>
        <v>120.66666666666667</v>
      </c>
      <c r="O77" s="56">
        <f>IF(SUM(O$74:O76)&gt;=O$60,0,O$60/O$64)</f>
        <v>127.6</v>
      </c>
      <c r="P77" s="56">
        <f>IF(SUM(P$74:P76)&gt;=P$60,0,P$60/P$64)</f>
        <v>129.46666666666667</v>
      </c>
      <c r="Q77" s="56">
        <f>IF(SUM(Q$74:Q76)&gt;=Q$60,0,Q$60/Q$64)</f>
        <v>128.73333333333332</v>
      </c>
      <c r="R77" s="56">
        <f>IF(SUM(R$74:R76)&gt;=R$60,0,R$60/R$64)</f>
        <v>128.46666666666667</v>
      </c>
      <c r="S77" s="56">
        <f>IF(SUM(S$74:S76)&gt;=S$60,0,S$60/S$64)</f>
        <v>129.13333333333333</v>
      </c>
      <c r="T77" s="56">
        <f>IF(SUM(T$74:T76)&gt;=T$60,0,T$60/T$64)</f>
        <v>129.13333333333335</v>
      </c>
      <c r="U77" s="56">
        <f>IF(SUM(U$74:U76)&gt;=U$60,0,U$60/U$64)</f>
        <v>129.13333333333335</v>
      </c>
      <c r="V77" s="56">
        <f>IF(SUM(V$74:V76)&gt;=V$60,0,V$60/V$64)</f>
        <v>129.13333333333335</v>
      </c>
      <c r="W77" s="56">
        <f>IF(SUM(W$74:W76)&gt;=W$60,0,W$60/W$64)</f>
        <v>129.13333333333335</v>
      </c>
      <c r="X77" s="56">
        <f>IF(SUM(X$74:X76)&gt;=X$60,0,X$60/X$64)</f>
        <v>129.13333333333335</v>
      </c>
      <c r="Y77" s="56">
        <f>IF(SUM(Y$74:Y76)&gt;=Y$60,0,Y$60/Y$64)</f>
        <v>129.13333333333335</v>
      </c>
      <c r="Z77" s="56">
        <f>IF(SUM(Z$74:Z76)&gt;=Z$60,0,Z$60/Z$64)</f>
        <v>129.13333333333335</v>
      </c>
      <c r="AA77" s="56">
        <f>IF(SUM(AA$74:AA76)&gt;=AA$60,0,AA$60/AA$64)</f>
        <v>129.13333333333335</v>
      </c>
      <c r="AB77" s="56">
        <f>IF(SUM(AB$74:AB76)&gt;=AB$60,0,AB$60/AB$64)</f>
        <v>129.13333333333335</v>
      </c>
    </row>
    <row r="78" spans="1:28" outlineLevel="1">
      <c r="A78" s="5"/>
      <c r="B78" s="157" t="s">
        <v>300</v>
      </c>
      <c r="C78" s="56">
        <f>IF(SUM(C$74:C77)&gt;=C$60,0,C$60/C$64)</f>
        <v>215.42857142857142</v>
      </c>
      <c r="D78" s="56">
        <f>IF(SUM(D$74:D77)&gt;=D$60,0,D$60/D$64)</f>
        <v>241.375</v>
      </c>
      <c r="E78" s="56">
        <f>IF(SUM(E$74:E77)&gt;=E$60,0,E$60/E$64)</f>
        <v>315.66666666666669</v>
      </c>
      <c r="F78" s="56">
        <f>IF(SUM(F$74:F77)&gt;=F$60,0,F$60/F$64)</f>
        <v>442.71428571428572</v>
      </c>
      <c r="G78" s="56">
        <f>IF(SUM(G$74:G77)&gt;=G$60,0,G$60/G$64)</f>
        <v>453.77777777777777</v>
      </c>
      <c r="H78" s="56">
        <f>IF(SUM(H$74:H77)&gt;=H$60,0,H$60/H$64)</f>
        <v>411.4</v>
      </c>
      <c r="I78" s="56">
        <f>IF(SUM(I$74:I77)&gt;=I$60,0,I$60/I$64)</f>
        <v>412.8</v>
      </c>
      <c r="J78" s="56">
        <f>IF(SUM(J$74:J77)&gt;=J$60,0,J$60/J$64)</f>
        <v>99</v>
      </c>
      <c r="K78" s="56">
        <f>IF(SUM(K$74:K77)&gt;=K$60,0,K$60/K$64)</f>
        <v>110</v>
      </c>
      <c r="L78" s="56">
        <f>IF(SUM(L$74:L77)&gt;=L$60,0,L$60/L$64)</f>
        <v>112.75</v>
      </c>
      <c r="M78" s="56">
        <f>IF(SUM(M$74:M77)&gt;=M$60,0,M$60/M$64)</f>
        <v>111.9</v>
      </c>
      <c r="N78" s="56">
        <f>IF(SUM(N$74:N77)&gt;=N$60,0,N$60/N$64)</f>
        <v>120.66666666666667</v>
      </c>
      <c r="O78" s="56">
        <f>IF(SUM(O$74:O77)&gt;=O$60,0,O$60/O$64)</f>
        <v>127.6</v>
      </c>
      <c r="P78" s="56">
        <f>IF(SUM(P$74:P77)&gt;=P$60,0,P$60/P$64)</f>
        <v>129.46666666666667</v>
      </c>
      <c r="Q78" s="56">
        <f>IF(SUM(Q$74:Q77)&gt;=Q$60,0,Q$60/Q$64)</f>
        <v>128.73333333333332</v>
      </c>
      <c r="R78" s="56">
        <f>IF(SUM(R$74:R77)&gt;=R$60,0,R$60/R$64)</f>
        <v>128.46666666666667</v>
      </c>
      <c r="S78" s="56">
        <f>IF(SUM(S$74:S77)&gt;=S$60,0,S$60/S$64)</f>
        <v>129.13333333333333</v>
      </c>
      <c r="T78" s="56">
        <f>IF(SUM(T$74:T77)&gt;=T$60,0,T$60/T$64)</f>
        <v>129.13333333333335</v>
      </c>
      <c r="U78" s="56">
        <f>IF(SUM(U$74:U77)&gt;=U$60,0,U$60/U$64)</f>
        <v>129.13333333333335</v>
      </c>
      <c r="V78" s="56">
        <f>IF(SUM(V$74:V77)&gt;=V$60,0,V$60/V$64)</f>
        <v>129.13333333333335</v>
      </c>
      <c r="W78" s="56">
        <f>IF(SUM(W$74:W77)&gt;=W$60,0,W$60/W$64)</f>
        <v>129.13333333333335</v>
      </c>
      <c r="X78" s="56">
        <f>IF(SUM(X$74:X77)&gt;=X$60,0,X$60/X$64)</f>
        <v>129.13333333333335</v>
      </c>
      <c r="Y78" s="56">
        <f>IF(SUM(Y$74:Y77)&gt;=Y$60,0,Y$60/Y$64)</f>
        <v>129.13333333333335</v>
      </c>
      <c r="Z78" s="56">
        <f>IF(SUM(Z$74:Z77)&gt;=Z$60,0,Z$60/Z$64)</f>
        <v>129.13333333333335</v>
      </c>
      <c r="AA78" s="56">
        <f>IF(SUM(AA$74:AA77)&gt;=AA$60,0,AA$60/AA$64)</f>
        <v>129.13333333333335</v>
      </c>
      <c r="AB78" s="56">
        <f>IF(SUM(AB$74:AB77)&gt;=AB$60,0,AB$60/AB$64)</f>
        <v>129.13333333333335</v>
      </c>
    </row>
    <row r="79" spans="1:28" outlineLevel="1">
      <c r="A79" s="5"/>
      <c r="B79" s="157" t="s">
        <v>301</v>
      </c>
      <c r="C79" s="56">
        <f>IF(SUM(C$74:C78)&gt;=C$60,0,C$60/C$64)</f>
        <v>215.42857142857142</v>
      </c>
      <c r="D79" s="56">
        <f>IF(SUM(D$74:D78)&gt;=D$60,0,D$60/D$64)</f>
        <v>241.375</v>
      </c>
      <c r="E79" s="56">
        <f>IF(SUM(E$74:E78)&gt;=E$60,0,E$60/E$64)</f>
        <v>315.66666666666669</v>
      </c>
      <c r="F79" s="56">
        <f>IF(SUM(F$74:F78)&gt;=F$60,0,F$60/F$64)</f>
        <v>442.71428571428572</v>
      </c>
      <c r="G79" s="56">
        <f>IF(SUM(G$74:G78)&gt;=G$60,0,G$60/G$64)</f>
        <v>453.77777777777777</v>
      </c>
      <c r="H79" s="56">
        <f>IF(SUM(H$74:H78)&gt;=H$60,0,H$60/H$64)</f>
        <v>411.4</v>
      </c>
      <c r="I79" s="56">
        <f>IF(SUM(I$74:I78)&gt;=I$60,0,I$60/I$64)</f>
        <v>412.8</v>
      </c>
      <c r="J79" s="56">
        <f>IF(SUM(J$74:J78)&gt;=J$60,0,J$60/J$64)</f>
        <v>99</v>
      </c>
      <c r="K79" s="56">
        <f>IF(SUM(K$74:K78)&gt;=K$60,0,K$60/K$64)</f>
        <v>110</v>
      </c>
      <c r="L79" s="56">
        <f>IF(SUM(L$74:L78)&gt;=L$60,0,L$60/L$64)</f>
        <v>112.75</v>
      </c>
      <c r="M79" s="56">
        <f>IF(SUM(M$74:M78)&gt;=M$60,0,M$60/M$64)</f>
        <v>111.9</v>
      </c>
      <c r="N79" s="56">
        <f>IF(SUM(N$74:N78)&gt;=N$60,0,N$60/N$64)</f>
        <v>120.66666666666667</v>
      </c>
      <c r="O79" s="56">
        <f>IF(SUM(O$74:O78)&gt;=O$60,0,O$60/O$64)</f>
        <v>127.6</v>
      </c>
      <c r="P79" s="56">
        <f>IF(SUM(P$74:P78)&gt;=P$60,0,P$60/P$64)</f>
        <v>129.46666666666667</v>
      </c>
      <c r="Q79" s="56">
        <f>IF(SUM(Q$74:Q78)&gt;=Q$60,0,Q$60/Q$64)</f>
        <v>128.73333333333332</v>
      </c>
      <c r="R79" s="56">
        <f>IF(SUM(R$74:R78)&gt;=R$60,0,R$60/R$64)</f>
        <v>128.46666666666667</v>
      </c>
      <c r="S79" s="56">
        <f>IF(SUM(S$74:S78)&gt;=S$60,0,S$60/S$64)</f>
        <v>129.13333333333333</v>
      </c>
      <c r="T79" s="56">
        <f>IF(SUM(T$74:T78)&gt;=T$60,0,T$60/T$64)</f>
        <v>129.13333333333335</v>
      </c>
      <c r="U79" s="56">
        <f>IF(SUM(U$74:U78)&gt;=U$60,0,U$60/U$64)</f>
        <v>129.13333333333335</v>
      </c>
      <c r="V79" s="56">
        <f>IF(SUM(V$74:V78)&gt;=V$60,0,V$60/V$64)</f>
        <v>129.13333333333335</v>
      </c>
      <c r="W79" s="56">
        <f>IF(SUM(W$74:W78)&gt;=W$60,0,W$60/W$64)</f>
        <v>129.13333333333335</v>
      </c>
      <c r="X79" s="56">
        <f>IF(SUM(X$74:X78)&gt;=X$60,0,X$60/X$64)</f>
        <v>129.13333333333335</v>
      </c>
      <c r="Y79" s="56">
        <f>IF(SUM(Y$74:Y78)&gt;=Y$60,0,Y$60/Y$64)</f>
        <v>129.13333333333335</v>
      </c>
      <c r="Z79" s="56">
        <f>IF(SUM(Z$74:Z78)&gt;=Z$60,0,Z$60/Z$64)</f>
        <v>129.13333333333335</v>
      </c>
      <c r="AA79" s="56">
        <f>IF(SUM(AA$74:AA78)&gt;=AA$60,0,AA$60/AA$64)</f>
        <v>129.13333333333335</v>
      </c>
      <c r="AB79" s="56">
        <f>IF(SUM(AB$74:AB78)&gt;=AB$60,0,AB$60/AB$64)</f>
        <v>129.13333333333335</v>
      </c>
    </row>
    <row r="80" spans="1:28" outlineLevel="1">
      <c r="A80" s="5"/>
      <c r="B80" s="157" t="s">
        <v>302</v>
      </c>
      <c r="C80" s="56">
        <f>IF(SUM(C$74:C79)&gt;=C$60,0,C$60/C$64)</f>
        <v>215.42857142857142</v>
      </c>
      <c r="D80" s="56">
        <f>IF(SUM(D$74:D79)&gt;=D$60,0,D$60/D$64)</f>
        <v>241.375</v>
      </c>
      <c r="E80" s="56">
        <f>IF(SUM(E$74:E79)&gt;=E$60,0,E$60/E$64)</f>
        <v>315.66666666666669</v>
      </c>
      <c r="F80" s="56">
        <f>IF(SUM(F$74:F79)&gt;=F$60,0,F$60/F$64)</f>
        <v>442.71428571428572</v>
      </c>
      <c r="G80" s="56">
        <f>IF(SUM(G$74:G79)&gt;=G$60,0,G$60/G$64)</f>
        <v>453.77777777777777</v>
      </c>
      <c r="H80" s="56">
        <f>IF(SUM(H$74:H79)&gt;=H$60,0,H$60/H$64)</f>
        <v>411.4</v>
      </c>
      <c r="I80" s="56">
        <f>IF(SUM(I$74:I79)&gt;=I$60,0,I$60/I$64)</f>
        <v>412.8</v>
      </c>
      <c r="J80" s="56">
        <f>IF(SUM(J$74:J79)&gt;=J$60,0,J$60/J$64)</f>
        <v>99</v>
      </c>
      <c r="K80" s="56">
        <f>IF(SUM(K$74:K79)&gt;=K$60,0,K$60/K$64)</f>
        <v>110</v>
      </c>
      <c r="L80" s="56">
        <f>IF(SUM(L$74:L79)&gt;=L$60,0,L$60/L$64)</f>
        <v>112.75</v>
      </c>
      <c r="M80" s="56">
        <f>IF(SUM(M$74:M79)&gt;=M$60,0,M$60/M$64)</f>
        <v>111.9</v>
      </c>
      <c r="N80" s="56">
        <f>IF(SUM(N$74:N79)&gt;=N$60,0,N$60/N$64)</f>
        <v>120.66666666666667</v>
      </c>
      <c r="O80" s="56">
        <f>IF(SUM(O$74:O79)&gt;=O$60,0,O$60/O$64)</f>
        <v>127.6</v>
      </c>
      <c r="P80" s="56">
        <f>IF(SUM(P$74:P79)&gt;=P$60,0,P$60/P$64)</f>
        <v>129.46666666666667</v>
      </c>
      <c r="Q80" s="56">
        <f>IF(SUM(Q$74:Q79)&gt;=Q$60,0,Q$60/Q$64)</f>
        <v>128.73333333333332</v>
      </c>
      <c r="R80" s="56">
        <f>IF(SUM(R$74:R79)&gt;=R$60,0,R$60/R$64)</f>
        <v>128.46666666666667</v>
      </c>
      <c r="S80" s="56">
        <f>IF(SUM(S$74:S79)&gt;=S$60,0,S$60/S$64)</f>
        <v>129.13333333333333</v>
      </c>
      <c r="T80" s="56">
        <f>IF(SUM(T$74:T79)&gt;=T$60,0,T$60/T$64)</f>
        <v>129.13333333333335</v>
      </c>
      <c r="U80" s="56">
        <f>IF(SUM(U$74:U79)&gt;=U$60,0,U$60/U$64)</f>
        <v>129.13333333333335</v>
      </c>
      <c r="V80" s="56">
        <f>IF(SUM(V$74:V79)&gt;=V$60,0,V$60/V$64)</f>
        <v>129.13333333333335</v>
      </c>
      <c r="W80" s="56">
        <f>IF(SUM(W$74:W79)&gt;=W$60,0,W$60/W$64)</f>
        <v>129.13333333333335</v>
      </c>
      <c r="X80" s="56">
        <f>IF(SUM(X$74:X79)&gt;=X$60,0,X$60/X$64)</f>
        <v>129.13333333333335</v>
      </c>
      <c r="Y80" s="56">
        <f>IF(SUM(Y$74:Y79)&gt;=Y$60,0,Y$60/Y$64)</f>
        <v>129.13333333333335</v>
      </c>
      <c r="Z80" s="56">
        <f>IF(SUM(Z$74:Z79)&gt;=Z$60,0,Z$60/Z$64)</f>
        <v>129.13333333333335</v>
      </c>
      <c r="AA80" s="56">
        <f>IF(SUM(AA$74:AA79)&gt;=AA$60,0,AA$60/AA$64)</f>
        <v>129.13333333333335</v>
      </c>
      <c r="AB80" s="56">
        <f>IF(SUM(AB$74:AB79)&gt;=AB$60,0,AB$60/AB$64)</f>
        <v>129.13333333333335</v>
      </c>
    </row>
    <row r="81" spans="1:28" outlineLevel="1">
      <c r="A81" s="5"/>
      <c r="B81" s="157" t="s">
        <v>303</v>
      </c>
      <c r="C81" s="56">
        <f>IF(SUM(C$74:C80)&gt;=C$60,0,C$60/C$64)</f>
        <v>0</v>
      </c>
      <c r="D81" s="56">
        <f>IF(SUM(D$74:D80)&gt;=D$60,0,D$60/D$64)</f>
        <v>241.375</v>
      </c>
      <c r="E81" s="56">
        <f>IF(SUM(E$74:E80)&gt;=E$60,0,E$60/E$64)</f>
        <v>315.66666666666669</v>
      </c>
      <c r="F81" s="56">
        <f>IF(SUM(F$74:F80)&gt;=F$60,0,F$60/F$64)</f>
        <v>0</v>
      </c>
      <c r="G81" s="56">
        <f>IF(SUM(G$74:G80)&gt;=G$60,0,G$60/G$64)</f>
        <v>453.77777777777777</v>
      </c>
      <c r="H81" s="56">
        <f>IF(SUM(H$74:H80)&gt;=H$60,0,H$60/H$64)</f>
        <v>411.4</v>
      </c>
      <c r="I81" s="56">
        <f>IF(SUM(I$74:I80)&gt;=I$60,0,I$60/I$64)</f>
        <v>412.8</v>
      </c>
      <c r="J81" s="56">
        <f>IF(SUM(J$74:J80)&gt;=J$60,0,J$60/J$64)</f>
        <v>99</v>
      </c>
      <c r="K81" s="56">
        <f>IF(SUM(K$74:K80)&gt;=K$60,0,K$60/K$64)</f>
        <v>110</v>
      </c>
      <c r="L81" s="56">
        <f>IF(SUM(L$74:L80)&gt;=L$60,0,L$60/L$64)</f>
        <v>112.75</v>
      </c>
      <c r="M81" s="56">
        <f>IF(SUM(M$74:M80)&gt;=M$60,0,M$60/M$64)</f>
        <v>111.9</v>
      </c>
      <c r="N81" s="56">
        <f>IF(SUM(N$74:N80)&gt;=N$60,0,N$60/N$64)</f>
        <v>120.66666666666667</v>
      </c>
      <c r="O81" s="56">
        <f>IF(SUM(O$74:O80)&gt;=O$60,0,O$60/O$64)</f>
        <v>127.6</v>
      </c>
      <c r="P81" s="56">
        <f>IF(SUM(P$74:P80)&gt;=P$60,0,P$60/P$64)</f>
        <v>129.46666666666667</v>
      </c>
      <c r="Q81" s="56">
        <f>IF(SUM(Q$74:Q80)&gt;=Q$60,0,Q$60/Q$64)</f>
        <v>128.73333333333332</v>
      </c>
      <c r="R81" s="56">
        <f>IF(SUM(R$74:R80)&gt;=R$60,0,R$60/R$64)</f>
        <v>128.46666666666667</v>
      </c>
      <c r="S81" s="56">
        <f>IF(SUM(S$74:S80)&gt;=S$60,0,S$60/S$64)</f>
        <v>129.13333333333333</v>
      </c>
      <c r="T81" s="56">
        <f>IF(SUM(T$74:T80)&gt;=T$60,0,T$60/T$64)</f>
        <v>129.13333333333335</v>
      </c>
      <c r="U81" s="56">
        <f>IF(SUM(U$74:U80)&gt;=U$60,0,U$60/U$64)</f>
        <v>129.13333333333335</v>
      </c>
      <c r="V81" s="56">
        <f>IF(SUM(V$74:V80)&gt;=V$60,0,V$60/V$64)</f>
        <v>129.13333333333335</v>
      </c>
      <c r="W81" s="56">
        <f>IF(SUM(W$74:W80)&gt;=W$60,0,W$60/W$64)</f>
        <v>129.13333333333335</v>
      </c>
      <c r="X81" s="56">
        <f>IF(SUM(X$74:X80)&gt;=X$60,0,X$60/X$64)</f>
        <v>129.13333333333335</v>
      </c>
      <c r="Y81" s="56">
        <f>IF(SUM(Y$74:Y80)&gt;=Y$60,0,Y$60/Y$64)</f>
        <v>129.13333333333335</v>
      </c>
      <c r="Z81" s="56">
        <f>IF(SUM(Z$74:Z80)&gt;=Z$60,0,Z$60/Z$64)</f>
        <v>129.13333333333335</v>
      </c>
      <c r="AA81" s="56">
        <f>IF(SUM(AA$74:AA80)&gt;=AA$60,0,AA$60/AA$64)</f>
        <v>129.13333333333335</v>
      </c>
      <c r="AB81" s="56">
        <f>IF(SUM(AB$74:AB80)&gt;=AB$60,0,AB$60/AB$64)</f>
        <v>129.13333333333335</v>
      </c>
    </row>
    <row r="82" spans="1:28" outlineLevel="1">
      <c r="A82" s="5"/>
      <c r="B82" s="157" t="s">
        <v>304</v>
      </c>
      <c r="C82" s="56">
        <f>IF(SUM(C$74:C81)&gt;=C$60,0,C$60/C$64)</f>
        <v>0</v>
      </c>
      <c r="D82" s="56">
        <f>IF(SUM(D$74:D81)&gt;=D$60,0,D$60/D$64)</f>
        <v>0</v>
      </c>
      <c r="E82" s="56">
        <f>IF(SUM(E$74:E81)&gt;=E$60,0,E$60/E$64)</f>
        <v>315.66666666666669</v>
      </c>
      <c r="F82" s="56">
        <f>IF(SUM(F$74:F81)&gt;=F$60,0,F$60/F$64)</f>
        <v>0</v>
      </c>
      <c r="G82" s="56">
        <f>IF(SUM(G$74:G81)&gt;=G$60,0,G$60/G$64)</f>
        <v>453.77777777777777</v>
      </c>
      <c r="H82" s="56">
        <f>IF(SUM(H$74:H81)&gt;=H$60,0,H$60/H$64)</f>
        <v>411.4</v>
      </c>
      <c r="I82" s="56">
        <f>IF(SUM(I$74:I81)&gt;=I$60,0,I$60/I$64)</f>
        <v>412.8</v>
      </c>
      <c r="J82" s="56">
        <f>IF(SUM(J$74:J81)&gt;=J$60,0,J$60/J$64)</f>
        <v>99</v>
      </c>
      <c r="K82" s="56">
        <f>IF(SUM(K$74:K81)&gt;=K$60,0,K$60/K$64)</f>
        <v>110</v>
      </c>
      <c r="L82" s="56">
        <f>IF(SUM(L$74:L81)&gt;=L$60,0,L$60/L$64)</f>
        <v>0</v>
      </c>
      <c r="M82" s="56">
        <f>IF(SUM(M$74:M81)&gt;=M$60,0,M$60/M$64)</f>
        <v>111.9</v>
      </c>
      <c r="N82" s="56">
        <f>IF(SUM(N$74:N81)&gt;=N$60,0,N$60/N$64)</f>
        <v>120.66666666666667</v>
      </c>
      <c r="O82" s="56">
        <f>IF(SUM(O$74:O81)&gt;=O$60,0,O$60/O$64)</f>
        <v>127.6</v>
      </c>
      <c r="P82" s="56">
        <f>IF(SUM(P$74:P81)&gt;=P$60,0,P$60/P$64)</f>
        <v>129.46666666666667</v>
      </c>
      <c r="Q82" s="56">
        <f>IF(SUM(Q$74:Q81)&gt;=Q$60,0,Q$60/Q$64)</f>
        <v>128.73333333333332</v>
      </c>
      <c r="R82" s="56">
        <f>IF(SUM(R$74:R81)&gt;=R$60,0,R$60/R$64)</f>
        <v>128.46666666666667</v>
      </c>
      <c r="S82" s="56">
        <f>IF(SUM(S$74:S81)&gt;=S$60,0,S$60/S$64)</f>
        <v>129.13333333333333</v>
      </c>
      <c r="T82" s="56">
        <f>IF(SUM(T$74:T81)&gt;=T$60,0,T$60/T$64)</f>
        <v>129.13333333333335</v>
      </c>
      <c r="U82" s="56">
        <f>IF(SUM(U$74:U81)&gt;=U$60,0,U$60/U$64)</f>
        <v>129.13333333333335</v>
      </c>
      <c r="V82" s="56">
        <f>IF(SUM(V$74:V81)&gt;=V$60,0,V$60/V$64)</f>
        <v>129.13333333333335</v>
      </c>
      <c r="W82" s="56">
        <f>IF(SUM(W$74:W81)&gt;=W$60,0,W$60/W$64)</f>
        <v>129.13333333333335</v>
      </c>
      <c r="X82" s="56">
        <f>IF(SUM(X$74:X81)&gt;=X$60,0,X$60/X$64)</f>
        <v>129.13333333333335</v>
      </c>
      <c r="Y82" s="56">
        <f>IF(SUM(Y$74:Y81)&gt;=Y$60,0,Y$60/Y$64)</f>
        <v>129.13333333333335</v>
      </c>
      <c r="Z82" s="56">
        <f>IF(SUM(Z$74:Z81)&gt;=Z$60,0,Z$60/Z$64)</f>
        <v>129.13333333333335</v>
      </c>
      <c r="AA82" s="56">
        <f>IF(SUM(AA$74:AA81)&gt;=AA$60,0,AA$60/AA$64)</f>
        <v>129.13333333333335</v>
      </c>
      <c r="AB82" s="56">
        <f>IF(SUM(AB$74:AB81)&gt;=AB$60,0,AB$60/AB$64)</f>
        <v>129.13333333333335</v>
      </c>
    </row>
    <row r="83" spans="1:28" outlineLevel="1">
      <c r="A83" s="5"/>
      <c r="B83" s="157" t="s">
        <v>305</v>
      </c>
      <c r="C83" s="56">
        <f>IF(SUM(C$74:C82)&gt;=C$60,0,C$60/C$64)</f>
        <v>0</v>
      </c>
      <c r="D83" s="56">
        <f>IF(SUM(D$74:D82)&gt;=D$60,0,D$60/D$64)</f>
        <v>0</v>
      </c>
      <c r="E83" s="56">
        <f>IF(SUM(E$74:E82)&gt;=E$60,0,E$60/E$64)</f>
        <v>0</v>
      </c>
      <c r="F83" s="56">
        <f>IF(SUM(F$74:F82)&gt;=F$60,0,F$60/F$64)</f>
        <v>0</v>
      </c>
      <c r="G83" s="56">
        <f>IF(SUM(G$74:G82)&gt;=G$60,0,G$60/G$64)</f>
        <v>0</v>
      </c>
      <c r="H83" s="56">
        <f>IF(SUM(H$74:H82)&gt;=H$60,0,H$60/H$64)</f>
        <v>411.4</v>
      </c>
      <c r="I83" s="56">
        <f>IF(SUM(I$74:I82)&gt;=I$60,0,I$60/I$64)</f>
        <v>412.8</v>
      </c>
      <c r="J83" s="56">
        <f>IF(SUM(J$74:J82)&gt;=J$60,0,J$60/J$64)</f>
        <v>0</v>
      </c>
      <c r="K83" s="56">
        <f>IF(SUM(K$74:K82)&gt;=K$60,0,K$60/K$64)</f>
        <v>0</v>
      </c>
      <c r="L83" s="56">
        <f>IF(SUM(L$74:L82)&gt;=L$60,0,L$60/L$64)</f>
        <v>0</v>
      </c>
      <c r="M83" s="56">
        <f>IF(SUM(M$74:M82)&gt;=M$60,0,M$60/M$64)</f>
        <v>111.9</v>
      </c>
      <c r="N83" s="56">
        <f>IF(SUM(N$74:N82)&gt;=N$60,0,N$60/N$64)</f>
        <v>120.66666666666667</v>
      </c>
      <c r="O83" s="56">
        <f>IF(SUM(O$74:O82)&gt;=O$60,0,O$60/O$64)</f>
        <v>127.6</v>
      </c>
      <c r="P83" s="56">
        <f>IF(SUM(P$74:P82)&gt;=P$60,0,P$60/P$64)</f>
        <v>129.46666666666667</v>
      </c>
      <c r="Q83" s="56">
        <f>IF(SUM(Q$74:Q82)&gt;=Q$60,0,Q$60/Q$64)</f>
        <v>128.73333333333332</v>
      </c>
      <c r="R83" s="56">
        <f>IF(SUM(R$74:R82)&gt;=R$60,0,R$60/R$64)</f>
        <v>128.46666666666667</v>
      </c>
      <c r="S83" s="56">
        <f>IF(SUM(S$74:S82)&gt;=S$60,0,S$60/S$64)</f>
        <v>129.13333333333333</v>
      </c>
      <c r="T83" s="56">
        <f>IF(SUM(T$74:T82)&gt;=T$60,0,T$60/T$64)</f>
        <v>129.13333333333335</v>
      </c>
      <c r="U83" s="56">
        <f>IF(SUM(U$74:U82)&gt;=U$60,0,U$60/U$64)</f>
        <v>129.13333333333335</v>
      </c>
      <c r="V83" s="56">
        <f>IF(SUM(V$74:V82)&gt;=V$60,0,V$60/V$64)</f>
        <v>129.13333333333335</v>
      </c>
      <c r="W83" s="56">
        <f>IF(SUM(W$74:W82)&gt;=W$60,0,W$60/W$64)</f>
        <v>129.13333333333335</v>
      </c>
      <c r="X83" s="56">
        <f>IF(SUM(X$74:X82)&gt;=X$60,0,X$60/X$64)</f>
        <v>129.13333333333335</v>
      </c>
      <c r="Y83" s="56">
        <f>IF(SUM(Y$74:Y82)&gt;=Y$60,0,Y$60/Y$64)</f>
        <v>129.13333333333335</v>
      </c>
      <c r="Z83" s="56">
        <f>IF(SUM(Z$74:Z82)&gt;=Z$60,0,Z$60/Z$64)</f>
        <v>129.13333333333335</v>
      </c>
      <c r="AA83" s="56">
        <f>IF(SUM(AA$74:AA82)&gt;=AA$60,0,AA$60/AA$64)</f>
        <v>129.13333333333335</v>
      </c>
      <c r="AB83" s="56">
        <f>IF(SUM(AB$74:AB82)&gt;=AB$60,0,AB$60/AB$64)</f>
        <v>129.13333333333335</v>
      </c>
    </row>
    <row r="84" spans="1:28" outlineLevel="1">
      <c r="A84" s="5"/>
      <c r="B84" s="157" t="s">
        <v>306</v>
      </c>
      <c r="C84" s="56">
        <f>IF(SUM(C$74:C83)&gt;=C$60,0,C$60/C$64)</f>
        <v>0</v>
      </c>
      <c r="D84" s="56">
        <f>IF(SUM(D$74:D83)&gt;=D$60,0,D$60/D$64)</f>
        <v>0</v>
      </c>
      <c r="E84" s="56">
        <f>IF(SUM(E$74:E83)&gt;=E$60,0,E$60/E$64)</f>
        <v>0</v>
      </c>
      <c r="F84" s="56">
        <f>IF(SUM(F$74:F83)&gt;=F$60,0,F$60/F$64)</f>
        <v>0</v>
      </c>
      <c r="G84" s="56">
        <f>IF(SUM(G$74:G83)&gt;=G$60,0,G$60/G$64)</f>
        <v>0</v>
      </c>
      <c r="H84" s="56">
        <f>IF(SUM(H$74:H83)&gt;=H$60,0,H$60/H$64)</f>
        <v>0</v>
      </c>
      <c r="I84" s="56">
        <f>IF(SUM(I$74:I83)&gt;=I$60,0,I$60/I$64)</f>
        <v>0</v>
      </c>
      <c r="J84" s="56">
        <f>IF(SUM(J$74:J83)&gt;=J$60,0,J$60/J$64)</f>
        <v>0</v>
      </c>
      <c r="K84" s="56">
        <f>IF(SUM(K$74:K83)&gt;=K$60,0,K$60/K$64)</f>
        <v>0</v>
      </c>
      <c r="L84" s="56">
        <f>IF(SUM(L$74:L83)&gt;=L$60,0,L$60/L$64)</f>
        <v>0</v>
      </c>
      <c r="M84" s="56">
        <f>IF(SUM(M$74:M83)&gt;=M$60,0,M$60/M$64)</f>
        <v>0</v>
      </c>
      <c r="N84" s="56">
        <f>IF(SUM(N$74:N83)&gt;=N$60,0,N$60/N$64)</f>
        <v>120.66666666666667</v>
      </c>
      <c r="O84" s="56">
        <f>IF(SUM(O$74:O83)&gt;=O$60,0,O$60/O$64)</f>
        <v>127.6</v>
      </c>
      <c r="P84" s="56">
        <f>IF(SUM(P$74:P83)&gt;=P$60,0,P$60/P$64)</f>
        <v>129.46666666666667</v>
      </c>
      <c r="Q84" s="56">
        <f>IF(SUM(Q$74:Q83)&gt;=Q$60,0,Q$60/Q$64)</f>
        <v>128.73333333333332</v>
      </c>
      <c r="R84" s="56">
        <f>IF(SUM(R$74:R83)&gt;=R$60,0,R$60/R$64)</f>
        <v>128.46666666666667</v>
      </c>
      <c r="S84" s="56">
        <f>IF(SUM(S$74:S83)&gt;=S$60,0,S$60/S$64)</f>
        <v>129.13333333333333</v>
      </c>
      <c r="T84" s="56">
        <f>IF(SUM(T$74:T83)&gt;=T$60,0,T$60/T$64)</f>
        <v>129.13333333333335</v>
      </c>
      <c r="U84" s="56">
        <f>IF(SUM(U$74:U83)&gt;=U$60,0,U$60/U$64)</f>
        <v>129.13333333333335</v>
      </c>
      <c r="V84" s="56">
        <f>IF(SUM(V$74:V83)&gt;=V$60,0,V$60/V$64)</f>
        <v>129.13333333333335</v>
      </c>
      <c r="W84" s="56">
        <f>IF(SUM(W$74:W83)&gt;=W$60,0,W$60/W$64)</f>
        <v>129.13333333333335</v>
      </c>
      <c r="X84" s="56">
        <f>IF(SUM(X$74:X83)&gt;=X$60,0,X$60/X$64)</f>
        <v>129.13333333333335</v>
      </c>
      <c r="Y84" s="56">
        <f>IF(SUM(Y$74:Y83)&gt;=Y$60,0,Y$60/Y$64)</f>
        <v>129.13333333333335</v>
      </c>
      <c r="Z84" s="56">
        <f>IF(SUM(Z$74:Z83)&gt;=Z$60,0,Z$60/Z$64)</f>
        <v>129.13333333333335</v>
      </c>
      <c r="AA84" s="56">
        <f>IF(SUM(AA$74:AA83)&gt;=AA$60,0,AA$60/AA$64)</f>
        <v>129.13333333333335</v>
      </c>
      <c r="AB84" s="56">
        <f>IF(SUM(AB$74:AB83)&gt;=AB$60,0,AB$60/AB$64)</f>
        <v>129.13333333333335</v>
      </c>
    </row>
    <row r="85" spans="1:28" outlineLevel="1">
      <c r="A85" s="5"/>
      <c r="B85" s="157" t="s">
        <v>307</v>
      </c>
      <c r="C85" s="56">
        <f>IF(SUM(C$74:C84)&gt;=C$60,0,C$60/C$64)</f>
        <v>0</v>
      </c>
      <c r="D85" s="56">
        <f>IF(SUM(D$74:D84)&gt;=D$60,0,D$60/D$64)</f>
        <v>0</v>
      </c>
      <c r="E85" s="56">
        <f>IF(SUM(E$74:E84)&gt;=E$60,0,E$60/E$64)</f>
        <v>0</v>
      </c>
      <c r="F85" s="56">
        <f>IF(SUM(F$74:F84)&gt;=F$60,0,F$60/F$64)</f>
        <v>0</v>
      </c>
      <c r="G85" s="56">
        <f>IF(SUM(G$74:G84)&gt;=G$60,0,G$60/G$64)</f>
        <v>0</v>
      </c>
      <c r="H85" s="56">
        <f>IF(SUM(H$74:H84)&gt;=H$60,0,H$60/H$64)</f>
        <v>0</v>
      </c>
      <c r="I85" s="56">
        <f>IF(SUM(I$74:I84)&gt;=I$60,0,I$60/I$64)</f>
        <v>0</v>
      </c>
      <c r="J85" s="56">
        <f>IF(SUM(J$74:J84)&gt;=J$60,0,J$60/J$64)</f>
        <v>0</v>
      </c>
      <c r="K85" s="56">
        <f>IF(SUM(K$74:K84)&gt;=K$60,0,K$60/K$64)</f>
        <v>0</v>
      </c>
      <c r="L85" s="56">
        <f>IF(SUM(L$74:L84)&gt;=L$60,0,L$60/L$64)</f>
        <v>0</v>
      </c>
      <c r="M85" s="56">
        <f>IF(SUM(M$74:M84)&gt;=M$60,0,M$60/M$64)</f>
        <v>0</v>
      </c>
      <c r="N85" s="56">
        <f>IF(SUM(N$74:N84)&gt;=N$60,0,N$60/N$64)</f>
        <v>120.66666666666667</v>
      </c>
      <c r="O85" s="56">
        <f>IF(SUM(O$74:O84)&gt;=O$60,0,O$60/O$64)</f>
        <v>127.6</v>
      </c>
      <c r="P85" s="56">
        <f>IF(SUM(P$74:P84)&gt;=P$60,0,P$60/P$64)</f>
        <v>129.46666666666667</v>
      </c>
      <c r="Q85" s="56">
        <f>IF(SUM(Q$74:Q84)&gt;=Q$60,0,Q$60/Q$64)</f>
        <v>128.73333333333332</v>
      </c>
      <c r="R85" s="56">
        <f>IF(SUM(R$74:R84)&gt;=R$60,0,R$60/R$64)</f>
        <v>128.46666666666667</v>
      </c>
      <c r="S85" s="56">
        <f>IF(SUM(S$74:S84)&gt;=S$60,0,S$60/S$64)</f>
        <v>129.13333333333333</v>
      </c>
      <c r="T85" s="56">
        <f>IF(SUM(T$74:T84)&gt;=T$60,0,T$60/T$64)</f>
        <v>129.13333333333335</v>
      </c>
      <c r="U85" s="56">
        <f>IF(SUM(U$74:U84)&gt;=U$60,0,U$60/U$64)</f>
        <v>129.13333333333335</v>
      </c>
      <c r="V85" s="56">
        <f>IF(SUM(V$74:V84)&gt;=V$60,0,V$60/V$64)</f>
        <v>129.13333333333335</v>
      </c>
      <c r="W85" s="56">
        <f>IF(SUM(W$74:W84)&gt;=W$60,0,W$60/W$64)</f>
        <v>129.13333333333335</v>
      </c>
      <c r="X85" s="56">
        <f>IF(SUM(X$74:X84)&gt;=X$60,0,X$60/X$64)</f>
        <v>129.13333333333335</v>
      </c>
      <c r="Y85" s="56">
        <f>IF(SUM(Y$74:Y84)&gt;=Y$60,0,Y$60/Y$64)</f>
        <v>129.13333333333335</v>
      </c>
      <c r="Z85" s="56">
        <f>IF(SUM(Z$74:Z84)&gt;=Z$60,0,Z$60/Z$64)</f>
        <v>129.13333333333335</v>
      </c>
      <c r="AA85" s="56">
        <f>IF(SUM(AA$74:AA84)&gt;=AA$60,0,AA$60/AA$64)</f>
        <v>129.13333333333335</v>
      </c>
      <c r="AB85" s="56">
        <f>IF(SUM(AB$74:AB84)&gt;=AB$60,0,AB$60/AB$64)</f>
        <v>129.13333333333335</v>
      </c>
    </row>
    <row r="86" spans="1:28" outlineLevel="1">
      <c r="A86" s="5"/>
      <c r="B86" s="157" t="s">
        <v>308</v>
      </c>
      <c r="C86" s="56">
        <f>IF(SUM(C$74:C85)&gt;=C$60,0,C$60/C$64)</f>
        <v>0</v>
      </c>
      <c r="D86" s="56">
        <f>IF(SUM(D$74:D85)&gt;=D$60,0,D$60/D$64)</f>
        <v>0</v>
      </c>
      <c r="E86" s="56">
        <f>IF(SUM(E$74:E85)&gt;=E$60,0,E$60/E$64)</f>
        <v>0</v>
      </c>
      <c r="F86" s="56">
        <f>IF(SUM(F$74:F85)&gt;=F$60,0,F$60/F$64)</f>
        <v>0</v>
      </c>
      <c r="G86" s="56">
        <f>IF(SUM(G$74:G85)&gt;=G$60,0,G$60/G$64)</f>
        <v>0</v>
      </c>
      <c r="H86" s="56">
        <f>IF(SUM(H$74:H85)&gt;=H$60,0,H$60/H$64)</f>
        <v>0</v>
      </c>
      <c r="I86" s="56">
        <f>IF(SUM(I$74:I85)&gt;=I$60,0,I$60/I$64)</f>
        <v>0</v>
      </c>
      <c r="J86" s="56">
        <f>IF(SUM(J$74:J85)&gt;=J$60,0,J$60/J$64)</f>
        <v>0</v>
      </c>
      <c r="K86" s="56">
        <f>IF(SUM(K$74:K85)&gt;=K$60,0,K$60/K$64)</f>
        <v>0</v>
      </c>
      <c r="L86" s="56">
        <f>IF(SUM(L$74:L85)&gt;=L$60,0,L$60/L$64)</f>
        <v>0</v>
      </c>
      <c r="M86" s="56">
        <f>IF(SUM(M$74:M85)&gt;=M$60,0,M$60/M$64)</f>
        <v>0</v>
      </c>
      <c r="N86" s="56">
        <f>IF(SUM(N$74:N85)&gt;=N$60,0,N$60/N$64)</f>
        <v>0</v>
      </c>
      <c r="O86" s="56">
        <f>IF(SUM(O$74:O85)&gt;=O$60,0,O$60/O$64)</f>
        <v>127.6</v>
      </c>
      <c r="P86" s="56">
        <f>IF(SUM(P$74:P85)&gt;=P$60,0,P$60/P$64)</f>
        <v>129.46666666666667</v>
      </c>
      <c r="Q86" s="56">
        <f>IF(SUM(Q$74:Q85)&gt;=Q$60,0,Q$60/Q$64)</f>
        <v>128.73333333333332</v>
      </c>
      <c r="R86" s="56">
        <f>IF(SUM(R$74:R85)&gt;=R$60,0,R$60/R$64)</f>
        <v>128.46666666666667</v>
      </c>
      <c r="S86" s="56">
        <f>IF(SUM(S$74:S85)&gt;=S$60,0,S$60/S$64)</f>
        <v>129.13333333333333</v>
      </c>
      <c r="T86" s="56">
        <f>IF(SUM(T$74:T85)&gt;=T$60,0,T$60/T$64)</f>
        <v>129.13333333333335</v>
      </c>
      <c r="U86" s="56">
        <f>IF(SUM(U$74:U85)&gt;=U$60,0,U$60/U$64)</f>
        <v>129.13333333333335</v>
      </c>
      <c r="V86" s="56">
        <f>IF(SUM(V$74:V85)&gt;=V$60,0,V$60/V$64)</f>
        <v>129.13333333333335</v>
      </c>
      <c r="W86" s="56">
        <f>IF(SUM(W$74:W85)&gt;=W$60,0,W$60/W$64)</f>
        <v>129.13333333333335</v>
      </c>
      <c r="X86" s="56">
        <f>IF(SUM(X$74:X85)&gt;=X$60,0,X$60/X$64)</f>
        <v>129.13333333333335</v>
      </c>
      <c r="Y86" s="56">
        <f>IF(SUM(Y$74:Y85)&gt;=Y$60,0,Y$60/Y$64)</f>
        <v>129.13333333333335</v>
      </c>
      <c r="Z86" s="56">
        <f>IF(SUM(Z$74:Z85)&gt;=Z$60,0,Z$60/Z$64)</f>
        <v>129.13333333333335</v>
      </c>
      <c r="AA86" s="56">
        <f>IF(SUM(AA$74:AA85)&gt;=AA$60,0,AA$60/AA$64)</f>
        <v>129.13333333333335</v>
      </c>
      <c r="AB86" s="56">
        <f>IF(SUM(AB$74:AB85)&gt;=AB$60,0,AB$60/AB$64)</f>
        <v>129.13333333333335</v>
      </c>
    </row>
    <row r="87" spans="1:28" outlineLevel="1">
      <c r="A87" s="5"/>
      <c r="B87" s="157" t="s">
        <v>309</v>
      </c>
      <c r="C87" s="56">
        <f>IF(SUM(C$74:C86)&gt;=C$60,0,C$60/C$64)</f>
        <v>0</v>
      </c>
      <c r="D87" s="56">
        <f>IF(SUM(D$74:D86)&gt;=D$60,0,D$60/D$64)</f>
        <v>0</v>
      </c>
      <c r="E87" s="56">
        <f>IF(SUM(E$74:E86)&gt;=E$60,0,E$60/E$64)</f>
        <v>0</v>
      </c>
      <c r="F87" s="56">
        <f>IF(SUM(F$74:F86)&gt;=F$60,0,F$60/F$64)</f>
        <v>0</v>
      </c>
      <c r="G87" s="56">
        <f>IF(SUM(G$74:G86)&gt;=G$60,0,G$60/G$64)</f>
        <v>0</v>
      </c>
      <c r="H87" s="56">
        <f>IF(SUM(H$74:H86)&gt;=H$60,0,H$60/H$64)</f>
        <v>0</v>
      </c>
      <c r="I87" s="56">
        <f>IF(SUM(I$74:I86)&gt;=I$60,0,I$60/I$64)</f>
        <v>0</v>
      </c>
      <c r="J87" s="56">
        <f>IF(SUM(J$74:J86)&gt;=J$60,0,J$60/J$64)</f>
        <v>0</v>
      </c>
      <c r="K87" s="56">
        <f>IF(SUM(K$74:K86)&gt;=K$60,0,K$60/K$64)</f>
        <v>0</v>
      </c>
      <c r="L87" s="56">
        <f>IF(SUM(L$74:L86)&gt;=L$60,0,L$60/L$64)</f>
        <v>0</v>
      </c>
      <c r="M87" s="56">
        <f>IF(SUM(M$74:M86)&gt;=M$60,0,M$60/M$64)</f>
        <v>0</v>
      </c>
      <c r="N87" s="56">
        <f>IF(SUM(N$74:N86)&gt;=N$60,0,N$60/N$64)</f>
        <v>0</v>
      </c>
      <c r="O87" s="56">
        <f>IF(SUM(O$74:O86)&gt;=O$60,0,O$60/O$64)</f>
        <v>127.6</v>
      </c>
      <c r="P87" s="56">
        <f>IF(SUM(P$74:P86)&gt;=P$60,0,P$60/P$64)</f>
        <v>129.46666666666667</v>
      </c>
      <c r="Q87" s="56">
        <f>IF(SUM(Q$74:Q86)&gt;=Q$60,0,Q$60/Q$64)</f>
        <v>128.73333333333332</v>
      </c>
      <c r="R87" s="56">
        <f>IF(SUM(R$74:R86)&gt;=R$60,0,R$60/R$64)</f>
        <v>128.46666666666667</v>
      </c>
      <c r="S87" s="56">
        <f>IF(SUM(S$74:S86)&gt;=S$60,0,S$60/S$64)</f>
        <v>129.13333333333333</v>
      </c>
      <c r="T87" s="56">
        <f>IF(SUM(T$74:T86)&gt;=T$60,0,T$60/T$64)</f>
        <v>129.13333333333335</v>
      </c>
      <c r="U87" s="56">
        <f>IF(SUM(U$74:U86)&gt;=U$60,0,U$60/U$64)</f>
        <v>129.13333333333335</v>
      </c>
      <c r="V87" s="56">
        <f>IF(SUM(V$74:V86)&gt;=V$60,0,V$60/V$64)</f>
        <v>129.13333333333335</v>
      </c>
      <c r="W87" s="56">
        <f>IF(SUM(W$74:W86)&gt;=W$60,0,W$60/W$64)</f>
        <v>129.13333333333335</v>
      </c>
      <c r="X87" s="56">
        <f>IF(SUM(X$74:X86)&gt;=X$60,0,X$60/X$64)</f>
        <v>129.13333333333335</v>
      </c>
      <c r="Y87" s="56">
        <f>IF(SUM(Y$74:Y86)&gt;=Y$60,0,Y$60/Y$64)</f>
        <v>129.13333333333335</v>
      </c>
      <c r="Z87" s="56">
        <f>IF(SUM(Z$74:Z86)&gt;=Z$60,0,Z$60/Z$64)</f>
        <v>129.13333333333335</v>
      </c>
      <c r="AA87" s="56">
        <f>IF(SUM(AA$74:AA86)&gt;=AA$60,0,AA$60/AA$64)</f>
        <v>129.13333333333335</v>
      </c>
      <c r="AB87" s="56">
        <f>IF(SUM(AB$74:AB86)&gt;=AB$60,0,AB$60/AB$64)</f>
        <v>129.13333333333335</v>
      </c>
    </row>
    <row r="88" spans="1:28" outlineLevel="1">
      <c r="A88" s="5"/>
      <c r="B88" s="157" t="s">
        <v>310</v>
      </c>
      <c r="C88" s="56">
        <f>IF(SUM(C$74:C87)&gt;=C$60,0,C$60/C$64)</f>
        <v>0</v>
      </c>
      <c r="D88" s="56">
        <f>IF(SUM(D$74:D87)&gt;=D$60,0,D$60/D$64)</f>
        <v>0</v>
      </c>
      <c r="E88" s="56">
        <f>IF(SUM(E$74:E87)&gt;=E$60,0,E$60/E$64)</f>
        <v>0</v>
      </c>
      <c r="F88" s="56">
        <f>IF(SUM(F$74:F87)&gt;=F$60,0,F$60/F$64)</f>
        <v>0</v>
      </c>
      <c r="G88" s="56">
        <f>IF(SUM(G$74:G87)&gt;=G$60,0,G$60/G$64)</f>
        <v>0</v>
      </c>
      <c r="H88" s="56">
        <f>IF(SUM(H$74:H87)&gt;=H$60,0,H$60/H$64)</f>
        <v>0</v>
      </c>
      <c r="I88" s="56">
        <f>IF(SUM(I$74:I87)&gt;=I$60,0,I$60/I$64)</f>
        <v>0</v>
      </c>
      <c r="J88" s="56">
        <f>IF(SUM(J$74:J87)&gt;=J$60,0,J$60/J$64)</f>
        <v>0</v>
      </c>
      <c r="K88" s="56">
        <f>IF(SUM(K$74:K87)&gt;=K$60,0,K$60/K$64)</f>
        <v>0</v>
      </c>
      <c r="L88" s="56">
        <f>IF(SUM(L$74:L87)&gt;=L$60,0,L$60/L$64)</f>
        <v>0</v>
      </c>
      <c r="M88" s="56">
        <f>IF(SUM(M$74:M87)&gt;=M$60,0,M$60/M$64)</f>
        <v>0</v>
      </c>
      <c r="N88" s="56">
        <f>IF(SUM(N$74:N87)&gt;=N$60,0,N$60/N$64)</f>
        <v>0</v>
      </c>
      <c r="O88" s="56">
        <f>IF(SUM(O$74:O87)&gt;=O$60,0,O$60/O$64)</f>
        <v>127.6</v>
      </c>
      <c r="P88" s="56">
        <f>IF(SUM(P$74:P87)&gt;=P$60,0,P$60/P$64)</f>
        <v>129.46666666666667</v>
      </c>
      <c r="Q88" s="56">
        <f>IF(SUM(Q$74:Q87)&gt;=Q$60,0,Q$60/Q$64)</f>
        <v>128.73333333333332</v>
      </c>
      <c r="R88" s="56">
        <f>IF(SUM(R$74:R87)&gt;=R$60,0,R$60/R$64)</f>
        <v>128.46666666666667</v>
      </c>
      <c r="S88" s="56">
        <f>IF(SUM(S$74:S87)&gt;=S$60,0,S$60/S$64)</f>
        <v>129.13333333333333</v>
      </c>
      <c r="T88" s="56">
        <f>IF(SUM(T$74:T87)&gt;=T$60,0,T$60/T$64)</f>
        <v>129.13333333333335</v>
      </c>
      <c r="U88" s="56">
        <f>IF(SUM(U$74:U87)&gt;=U$60,0,U$60/U$64)</f>
        <v>129.13333333333335</v>
      </c>
      <c r="V88" s="56">
        <f>IF(SUM(V$74:V87)&gt;=V$60,0,V$60/V$64)</f>
        <v>129.13333333333335</v>
      </c>
      <c r="W88" s="56">
        <f>IF(SUM(W$74:W87)&gt;=W$60,0,W$60/W$64)</f>
        <v>129.13333333333335</v>
      </c>
      <c r="X88" s="56">
        <f>IF(SUM(X$74:X87)&gt;=X$60,0,X$60/X$64)</f>
        <v>129.13333333333335</v>
      </c>
      <c r="Y88" s="56">
        <f>IF(SUM(Y$74:Y87)&gt;=Y$60,0,Y$60/Y$64)</f>
        <v>129.13333333333335</v>
      </c>
      <c r="Z88" s="56">
        <f>IF(SUM(Z$74:Z87)&gt;=Z$60,0,Z$60/Z$64)</f>
        <v>129.13333333333335</v>
      </c>
      <c r="AA88" s="56">
        <f>IF(SUM(AA$74:AA87)&gt;=AA$60,0,AA$60/AA$64)</f>
        <v>129.13333333333335</v>
      </c>
      <c r="AB88" s="56">
        <f>IF(SUM(AB$74:AB87)&gt;=AB$60,0,AB$60/AB$64)</f>
        <v>129.13333333333335</v>
      </c>
    </row>
    <row r="89" spans="1:28" outlineLevel="1">
      <c r="A89" s="5"/>
      <c r="B89" s="157" t="s">
        <v>311</v>
      </c>
      <c r="C89" s="56">
        <f>IF(SUM(C$74:C88)&gt;=C$60,0,C$60/C$64)</f>
        <v>0</v>
      </c>
      <c r="D89" s="56">
        <f>IF(SUM(D$74:D88)&gt;=D$60,0,D$60/D$64)</f>
        <v>0</v>
      </c>
      <c r="E89" s="56">
        <f>IF(SUM(E$74:E88)&gt;=E$60,0,E$60/E$64)</f>
        <v>0</v>
      </c>
      <c r="F89" s="56">
        <f>IF(SUM(F$74:F88)&gt;=F$60,0,F$60/F$64)</f>
        <v>0</v>
      </c>
      <c r="G89" s="56">
        <f>IF(SUM(G$74:G88)&gt;=G$60,0,G$60/G$64)</f>
        <v>0</v>
      </c>
      <c r="H89" s="56">
        <f>IF(SUM(H$74:H88)&gt;=H$60,0,H$60/H$64)</f>
        <v>0</v>
      </c>
      <c r="I89" s="56">
        <f>IF(SUM(I$74:I88)&gt;=I$60,0,I$60/I$64)</f>
        <v>0</v>
      </c>
      <c r="J89" s="56">
        <f>IF(SUM(J$74:J88)&gt;=J$60,0,J$60/J$64)</f>
        <v>0</v>
      </c>
      <c r="K89" s="56">
        <f>IF(SUM(K$74:K88)&gt;=K$60,0,K$60/K$64)</f>
        <v>0</v>
      </c>
      <c r="L89" s="56">
        <f>IF(SUM(L$74:L88)&gt;=L$60,0,L$60/L$64)</f>
        <v>0</v>
      </c>
      <c r="M89" s="56">
        <f>IF(SUM(M$74:M88)&gt;=M$60,0,M$60/M$64)</f>
        <v>0</v>
      </c>
      <c r="N89" s="56">
        <f>IF(SUM(N$74:N88)&gt;=N$60,0,N$60/N$64)</f>
        <v>0</v>
      </c>
      <c r="O89" s="56">
        <f>IF(SUM(O$74:O88)&gt;=O$60,0,O$60/O$64)</f>
        <v>0</v>
      </c>
      <c r="P89" s="56">
        <f>IF(SUM(P$74:P88)&gt;=P$60,0,P$60/P$64)</f>
        <v>0</v>
      </c>
      <c r="Q89" s="56">
        <f>IF(SUM(Q$74:Q88)&gt;=Q$60,0,Q$60/Q$64)</f>
        <v>0</v>
      </c>
      <c r="R89" s="56">
        <f>IF(SUM(R$74:R88)&gt;=R$60,0,R$60/R$64)</f>
        <v>0</v>
      </c>
      <c r="S89" s="56">
        <f>IF(SUM(S$74:S88)&gt;=S$60,0,S$60/S$64)</f>
        <v>0</v>
      </c>
      <c r="T89" s="56">
        <f>IF(SUM(T$74:T88)&gt;=T$60,0,T$60/T$64)</f>
        <v>0</v>
      </c>
      <c r="U89" s="56">
        <f>IF(SUM(U$74:U88)&gt;=U$60,0,U$60/U$64)</f>
        <v>0</v>
      </c>
      <c r="V89" s="56">
        <f>IF(SUM(V$74:V88)&gt;=V$60,0,V$60/V$64)</f>
        <v>0</v>
      </c>
      <c r="W89" s="56">
        <f>IF(SUM(W$74:W88)&gt;=W$60,0,W$60/W$64)</f>
        <v>0</v>
      </c>
      <c r="X89" s="56">
        <f>IF(SUM(X$74:X88)&gt;=X$60,0,X$60/X$64)</f>
        <v>0</v>
      </c>
      <c r="Y89" s="56">
        <f>IF(SUM(Y$74:Y88)&gt;=Y$60,0,Y$60/Y$64)</f>
        <v>0</v>
      </c>
      <c r="Z89" s="56">
        <f>IF(SUM(Z$74:Z88)&gt;=Z$60,0,Z$60/Z$64)</f>
        <v>0</v>
      </c>
      <c r="AA89" s="56">
        <f>IF(SUM(AA$74:AA88)&gt;=AA$60,0,AA$60/AA$64)</f>
        <v>0</v>
      </c>
      <c r="AB89" s="56">
        <f>IF(SUM(AB$74:AB88)&gt;=AB$60,0,AB$60/AB$64)</f>
        <v>0</v>
      </c>
    </row>
    <row r="90" spans="1:28" outlineLevel="1">
      <c r="A90" s="5"/>
      <c r="B90" s="157" t="s">
        <v>312</v>
      </c>
      <c r="C90" s="56">
        <f>IF(SUM(C$74:C89)&gt;=C$60,0,C$60/C$64)</f>
        <v>0</v>
      </c>
      <c r="D90" s="56">
        <f>IF(SUM(D$74:D89)&gt;=D$60,0,D$60/D$64)</f>
        <v>0</v>
      </c>
      <c r="E90" s="56">
        <f>IF(SUM(E$74:E89)&gt;=E$60,0,E$60/E$64)</f>
        <v>0</v>
      </c>
      <c r="F90" s="56">
        <f>IF(SUM(F$74:F89)&gt;=F$60,0,F$60/F$64)</f>
        <v>0</v>
      </c>
      <c r="G90" s="56">
        <f>IF(SUM(G$74:G89)&gt;=G$60,0,G$60/G$64)</f>
        <v>0</v>
      </c>
      <c r="H90" s="56">
        <f>IF(SUM(H$74:H89)&gt;=H$60,0,H$60/H$64)</f>
        <v>0</v>
      </c>
      <c r="I90" s="56">
        <f>IF(SUM(I$74:I89)&gt;=I$60,0,I$60/I$64)</f>
        <v>0</v>
      </c>
      <c r="J90" s="56">
        <f>IF(SUM(J$74:J89)&gt;=J$60,0,J$60/J$64)</f>
        <v>0</v>
      </c>
      <c r="K90" s="56">
        <f>IF(SUM(K$74:K89)&gt;=K$60,0,K$60/K$64)</f>
        <v>0</v>
      </c>
      <c r="L90" s="56">
        <f>IF(SUM(L$74:L89)&gt;=L$60,0,L$60/L$64)</f>
        <v>0</v>
      </c>
      <c r="M90" s="56">
        <f>IF(SUM(M$74:M89)&gt;=M$60,0,M$60/M$64)</f>
        <v>0</v>
      </c>
      <c r="N90" s="56">
        <f>IF(SUM(N$74:N89)&gt;=N$60,0,N$60/N$64)</f>
        <v>0</v>
      </c>
      <c r="O90" s="56">
        <f>IF(SUM(O$74:O89)&gt;=O$60,0,O$60/O$64)</f>
        <v>0</v>
      </c>
      <c r="P90" s="56">
        <f>IF(SUM(P$74:P89)&gt;=P$60,0,P$60/P$64)</f>
        <v>0</v>
      </c>
      <c r="Q90" s="56">
        <f>IF(SUM(Q$74:Q89)&gt;=Q$60,0,Q$60/Q$64)</f>
        <v>0</v>
      </c>
      <c r="R90" s="56">
        <f>IF(SUM(R$74:R89)&gt;=R$60,0,R$60/R$64)</f>
        <v>0</v>
      </c>
      <c r="S90" s="56">
        <f>IF(SUM(S$74:S89)&gt;=S$60,0,S$60/S$64)</f>
        <v>0</v>
      </c>
      <c r="T90" s="56">
        <f>IF(SUM(T$74:T89)&gt;=T$60,0,T$60/T$64)</f>
        <v>0</v>
      </c>
      <c r="U90" s="56">
        <f>IF(SUM(U$74:U89)&gt;=U$60,0,U$60/U$64)</f>
        <v>0</v>
      </c>
      <c r="V90" s="56">
        <f>IF(SUM(V$74:V89)&gt;=V$60,0,V$60/V$64)</f>
        <v>0</v>
      </c>
      <c r="W90" s="56">
        <f>IF(SUM(W$74:W89)&gt;=W$60,0,W$60/W$64)</f>
        <v>0</v>
      </c>
      <c r="X90" s="56">
        <f>IF(SUM(X$74:X89)&gt;=X$60,0,X$60/X$64)</f>
        <v>0</v>
      </c>
      <c r="Y90" s="56">
        <f>IF(SUM(Y$74:Y89)&gt;=Y$60,0,Y$60/Y$64)</f>
        <v>0</v>
      </c>
      <c r="Z90" s="56">
        <f>IF(SUM(Z$74:Z89)&gt;=Z$60,0,Z$60/Z$64)</f>
        <v>0</v>
      </c>
      <c r="AA90" s="56">
        <f>IF(SUM(AA$74:AA89)&gt;=AA$60,0,AA$60/AA$64)</f>
        <v>0</v>
      </c>
      <c r="AB90" s="56">
        <f>IF(SUM(AB$74:AB89)&gt;=AB$60,0,AB$60/AB$64)</f>
        <v>0</v>
      </c>
    </row>
    <row r="91" spans="1:28" outlineLevel="1">
      <c r="A91" s="5"/>
      <c r="B91" s="157" t="s">
        <v>313</v>
      </c>
      <c r="C91" s="56">
        <f>IF(SUM(C$74:C90)&gt;=C$60,0,C$60/C$64)</f>
        <v>0</v>
      </c>
      <c r="D91" s="56">
        <f>IF(SUM(D$74:D90)&gt;=D$60,0,D$60/D$64)</f>
        <v>0</v>
      </c>
      <c r="E91" s="56">
        <f>IF(SUM(E$74:E90)&gt;=E$60,0,E$60/E$64)</f>
        <v>0</v>
      </c>
      <c r="F91" s="56">
        <f>IF(SUM(F$74:F90)&gt;=F$60,0,F$60/F$64)</f>
        <v>0</v>
      </c>
      <c r="G91" s="56">
        <f>IF(SUM(G$74:G90)&gt;=G$60,0,G$60/G$64)</f>
        <v>0</v>
      </c>
      <c r="H91" s="56">
        <f>IF(SUM(H$74:H90)&gt;=H$60,0,H$60/H$64)</f>
        <v>0</v>
      </c>
      <c r="I91" s="56">
        <f>IF(SUM(I$74:I90)&gt;=I$60,0,I$60/I$64)</f>
        <v>0</v>
      </c>
      <c r="J91" s="56">
        <f>IF(SUM(J$74:J90)&gt;=J$60,0,J$60/J$64)</f>
        <v>0</v>
      </c>
      <c r="K91" s="56">
        <f>IF(SUM(K$74:K90)&gt;=K$60,0,K$60/K$64)</f>
        <v>0</v>
      </c>
      <c r="L91" s="56">
        <f>IF(SUM(L$74:L90)&gt;=L$60,0,L$60/L$64)</f>
        <v>0</v>
      </c>
      <c r="M91" s="56">
        <f>IF(SUM(M$74:M90)&gt;=M$60,0,M$60/M$64)</f>
        <v>0</v>
      </c>
      <c r="N91" s="56">
        <f>IF(SUM(N$74:N90)&gt;=N$60,0,N$60/N$64)</f>
        <v>0</v>
      </c>
      <c r="O91" s="56">
        <f>IF(SUM(O$74:O90)&gt;=O$60,0,O$60/O$64)</f>
        <v>0</v>
      </c>
      <c r="P91" s="56">
        <f>IF(SUM(P$74:P90)&gt;=P$60,0,P$60/P$64)</f>
        <v>0</v>
      </c>
      <c r="Q91" s="56">
        <f>IF(SUM(Q$74:Q90)&gt;=Q$60,0,Q$60/Q$64)</f>
        <v>0</v>
      </c>
      <c r="R91" s="56">
        <f>IF(SUM(R$74:R90)&gt;=R$60,0,R$60/R$64)</f>
        <v>0</v>
      </c>
      <c r="S91" s="56">
        <f>IF(SUM(S$74:S90)&gt;=S$60,0,S$60/S$64)</f>
        <v>0</v>
      </c>
      <c r="T91" s="56">
        <f>IF(SUM(T$74:T90)&gt;=T$60,0,T$60/T$64)</f>
        <v>0</v>
      </c>
      <c r="U91" s="56">
        <f>IF(SUM(U$74:U90)&gt;=U$60,0,U$60/U$64)</f>
        <v>0</v>
      </c>
      <c r="V91" s="56">
        <f>IF(SUM(V$74:V90)&gt;=V$60,0,V$60/V$64)</f>
        <v>0</v>
      </c>
      <c r="W91" s="56">
        <f>IF(SUM(W$74:W90)&gt;=W$60,0,W$60/W$64)</f>
        <v>0</v>
      </c>
      <c r="X91" s="56">
        <f>IF(SUM(X$74:X90)&gt;=X$60,0,X$60/X$64)</f>
        <v>0</v>
      </c>
      <c r="Y91" s="56">
        <f>IF(SUM(Y$74:Y90)&gt;=Y$60,0,Y$60/Y$64)</f>
        <v>0</v>
      </c>
      <c r="Z91" s="56">
        <f>IF(SUM(Z$74:Z90)&gt;=Z$60,0,Z$60/Z$64)</f>
        <v>0</v>
      </c>
      <c r="AA91" s="56">
        <f>IF(SUM(AA$74:AA90)&gt;=AA$60,0,AA$60/AA$64)</f>
        <v>0</v>
      </c>
      <c r="AB91" s="56">
        <f>IF(SUM(AB$74:AB90)&gt;=AB$60,0,AB$60/AB$64)</f>
        <v>0</v>
      </c>
    </row>
    <row r="92" spans="1:28" outlineLevel="1">
      <c r="A92" s="5"/>
      <c r="B92" s="157" t="s">
        <v>314</v>
      </c>
      <c r="C92" s="56">
        <f>IF(SUM(C$74:C91)&gt;=C$60,0,C$60/C$64)</f>
        <v>0</v>
      </c>
      <c r="D92" s="56">
        <f>IF(SUM(D$74:D91)&gt;=D$60,0,D$60/D$64)</f>
        <v>0</v>
      </c>
      <c r="E92" s="56">
        <f>IF(SUM(E$74:E91)&gt;=E$60,0,E$60/E$64)</f>
        <v>0</v>
      </c>
      <c r="F92" s="56">
        <f>IF(SUM(F$74:F91)&gt;=F$60,0,F$60/F$64)</f>
        <v>0</v>
      </c>
      <c r="G92" s="56">
        <f>IF(SUM(G$74:G91)&gt;=G$60,0,G$60/G$64)</f>
        <v>0</v>
      </c>
      <c r="H92" s="56">
        <f>IF(SUM(H$74:H91)&gt;=H$60,0,H$60/H$64)</f>
        <v>0</v>
      </c>
      <c r="I92" s="56">
        <f>IF(SUM(I$74:I91)&gt;=I$60,0,I$60/I$64)</f>
        <v>0</v>
      </c>
      <c r="J92" s="56">
        <f>IF(SUM(J$74:J91)&gt;=J$60,0,J$60/J$64)</f>
        <v>0</v>
      </c>
      <c r="K92" s="56">
        <f>IF(SUM(K$74:K91)&gt;=K$60,0,K$60/K$64)</f>
        <v>0</v>
      </c>
      <c r="L92" s="56">
        <f>IF(SUM(L$74:L91)&gt;=L$60,0,L$60/L$64)</f>
        <v>0</v>
      </c>
      <c r="M92" s="56">
        <f>IF(SUM(M$74:M91)&gt;=M$60,0,M$60/M$64)</f>
        <v>0</v>
      </c>
      <c r="N92" s="56">
        <f>IF(SUM(N$74:N91)&gt;=N$60,0,N$60/N$64)</f>
        <v>0</v>
      </c>
      <c r="O92" s="56">
        <f>IF(SUM(O$74:O91)&gt;=O$60,0,O$60/O$64)</f>
        <v>0</v>
      </c>
      <c r="P92" s="56">
        <f>IF(SUM(P$74:P91)&gt;=P$60,0,P$60/P$64)</f>
        <v>0</v>
      </c>
      <c r="Q92" s="56">
        <f>IF(SUM(Q$74:Q91)&gt;=Q$60,0,Q$60/Q$64)</f>
        <v>0</v>
      </c>
      <c r="R92" s="56">
        <f>IF(SUM(R$74:R91)&gt;=R$60,0,R$60/R$64)</f>
        <v>0</v>
      </c>
      <c r="S92" s="56">
        <f>IF(SUM(S$74:S91)&gt;=S$60,0,S$60/S$64)</f>
        <v>0</v>
      </c>
      <c r="T92" s="56">
        <f>IF(SUM(T$74:T91)&gt;=T$60,0,T$60/T$64)</f>
        <v>0</v>
      </c>
      <c r="U92" s="56">
        <f>IF(SUM(U$74:U91)&gt;=U$60,0,U$60/U$64)</f>
        <v>0</v>
      </c>
      <c r="V92" s="56">
        <f>IF(SUM(V$74:V91)&gt;=V$60,0,V$60/V$64)</f>
        <v>0</v>
      </c>
      <c r="W92" s="56">
        <f>IF(SUM(W$74:W91)&gt;=W$60,0,W$60/W$64)</f>
        <v>0</v>
      </c>
      <c r="X92" s="56">
        <f>IF(SUM(X$74:X91)&gt;=X$60,0,X$60/X$64)</f>
        <v>0</v>
      </c>
      <c r="Y92" s="56">
        <f>IF(SUM(Y$74:Y91)&gt;=Y$60,0,Y$60/Y$64)</f>
        <v>0</v>
      </c>
      <c r="Z92" s="56">
        <f>IF(SUM(Z$74:Z91)&gt;=Z$60,0,Z$60/Z$64)</f>
        <v>0</v>
      </c>
      <c r="AA92" s="56">
        <f>IF(SUM(AA$74:AA91)&gt;=AA$60,0,AA$60/AA$64)</f>
        <v>0</v>
      </c>
      <c r="AB92" s="56">
        <f>IF(SUM(AB$74:AB91)&gt;=AB$60,0,AB$60/AB$64)</f>
        <v>0</v>
      </c>
    </row>
    <row r="93" spans="1:28" outlineLevel="1">
      <c r="A93" s="5"/>
      <c r="B93" s="157" t="s">
        <v>315</v>
      </c>
      <c r="C93" s="56">
        <f>IF(SUM(C$74:C92)&gt;=C$60,0,C$60/C$64)</f>
        <v>0</v>
      </c>
      <c r="D93" s="56">
        <f>IF(SUM(D$74:D92)&gt;=D$60,0,D$60/D$64)</f>
        <v>0</v>
      </c>
      <c r="E93" s="56">
        <f>IF(SUM(E$74:E92)&gt;=E$60,0,E$60/E$64)</f>
        <v>0</v>
      </c>
      <c r="F93" s="56">
        <f>IF(SUM(F$74:F92)&gt;=F$60,0,F$60/F$64)</f>
        <v>0</v>
      </c>
      <c r="G93" s="56">
        <f>IF(SUM(G$74:G92)&gt;=G$60,0,G$60/G$64)</f>
        <v>0</v>
      </c>
      <c r="H93" s="56">
        <f>IF(SUM(H$74:H92)&gt;=H$60,0,H$60/H$64)</f>
        <v>0</v>
      </c>
      <c r="I93" s="56">
        <f>IF(SUM(I$74:I92)&gt;=I$60,0,I$60/I$64)</f>
        <v>0</v>
      </c>
      <c r="J93" s="56">
        <f>IF(SUM(J$74:J92)&gt;=J$60,0,J$60/J$64)</f>
        <v>0</v>
      </c>
      <c r="K93" s="56">
        <f>IF(SUM(K$74:K92)&gt;=K$60,0,K$60/K$64)</f>
        <v>0</v>
      </c>
      <c r="L93" s="56">
        <f>IF(SUM(L$74:L92)&gt;=L$60,0,L$60/L$64)</f>
        <v>0</v>
      </c>
      <c r="M93" s="56">
        <f>IF(SUM(M$74:M92)&gt;=M$60,0,M$60/M$64)</f>
        <v>0</v>
      </c>
      <c r="N93" s="56">
        <f>IF(SUM(N$74:N92)&gt;=N$60,0,N$60/N$64)</f>
        <v>0</v>
      </c>
      <c r="O93" s="56">
        <f>IF(SUM(O$74:O92)&gt;=O$60,0,O$60/O$64)</f>
        <v>0</v>
      </c>
      <c r="P93" s="56">
        <f>IF(SUM(P$74:P92)&gt;=P$60,0,P$60/P$64)</f>
        <v>0</v>
      </c>
      <c r="Q93" s="56">
        <f>IF(SUM(Q$74:Q92)&gt;=Q$60,0,Q$60/Q$64)</f>
        <v>0</v>
      </c>
      <c r="R93" s="56">
        <f>IF(SUM(R$74:R92)&gt;=R$60,0,R$60/R$64)</f>
        <v>0</v>
      </c>
      <c r="S93" s="56">
        <f>IF(SUM(S$74:S92)&gt;=S$60,0,S$60/S$64)</f>
        <v>0</v>
      </c>
      <c r="T93" s="56">
        <f>IF(SUM(T$74:T92)&gt;=T$60,0,T$60/T$64)</f>
        <v>0</v>
      </c>
      <c r="U93" s="56">
        <f>IF(SUM(U$74:U92)&gt;=U$60,0,U$60/U$64)</f>
        <v>0</v>
      </c>
      <c r="V93" s="56">
        <f>IF(SUM(V$74:V92)&gt;=V$60,0,V$60/V$64)</f>
        <v>0</v>
      </c>
      <c r="W93" s="56">
        <f>IF(SUM(W$74:W92)&gt;=W$60,0,W$60/W$64)</f>
        <v>0</v>
      </c>
      <c r="X93" s="56">
        <f>IF(SUM(X$74:X92)&gt;=X$60,0,X$60/X$64)</f>
        <v>0</v>
      </c>
      <c r="Y93" s="56">
        <f>IF(SUM(Y$74:Y92)&gt;=Y$60,0,Y$60/Y$64)</f>
        <v>0</v>
      </c>
      <c r="Z93" s="56">
        <f>IF(SUM(Z$74:Z92)&gt;=Z$60,0,Z$60/Z$64)</f>
        <v>0</v>
      </c>
      <c r="AA93" s="56">
        <f>IF(SUM(AA$74:AA92)&gt;=AA$60,0,AA$60/AA$64)</f>
        <v>0</v>
      </c>
      <c r="AB93" s="56">
        <f>IF(SUM(AB$74:AB92)&gt;=AB$60,0,AB$60/AB$64)</f>
        <v>0</v>
      </c>
    </row>
    <row r="94" spans="1:28" outlineLevel="1">
      <c r="A94" s="5"/>
      <c r="B94" s="157" t="s">
        <v>316</v>
      </c>
      <c r="C94" s="56">
        <f>IF(SUM(C$74:C93)&gt;=C$60,0,C$60/C$64)</f>
        <v>0</v>
      </c>
      <c r="D94" s="56">
        <f>IF(SUM(D$74:D93)&gt;=D$60,0,D$60/D$64)</f>
        <v>0</v>
      </c>
      <c r="E94" s="56">
        <f>IF(SUM(E$74:E93)&gt;=E$60,0,E$60/E$64)</f>
        <v>0</v>
      </c>
      <c r="F94" s="56">
        <f>IF(SUM(F$74:F93)&gt;=F$60,0,F$60/F$64)</f>
        <v>0</v>
      </c>
      <c r="G94" s="56">
        <f>IF(SUM(G$74:G93)&gt;=G$60,0,G$60/G$64)</f>
        <v>0</v>
      </c>
      <c r="H94" s="56">
        <f>IF(SUM(H$74:H93)&gt;=H$60,0,H$60/H$64)</f>
        <v>0</v>
      </c>
      <c r="I94" s="56">
        <f>IF(SUM(I$74:I93)&gt;=I$60,0,I$60/I$64)</f>
        <v>0</v>
      </c>
      <c r="J94" s="56">
        <f>IF(SUM(J$74:J93)&gt;=J$60,0,J$60/J$64)</f>
        <v>0</v>
      </c>
      <c r="K94" s="56">
        <f>IF(SUM(K$74:K93)&gt;=K$60,0,K$60/K$64)</f>
        <v>0</v>
      </c>
      <c r="L94" s="56">
        <f>IF(SUM(L$74:L93)&gt;=L$60,0,L$60/L$64)</f>
        <v>0</v>
      </c>
      <c r="M94" s="56">
        <f>IF(SUM(M$74:M93)&gt;=M$60,0,M$60/M$64)</f>
        <v>0</v>
      </c>
      <c r="N94" s="56">
        <f>IF(SUM(N$74:N93)&gt;=N$60,0,N$60/N$64)</f>
        <v>0</v>
      </c>
      <c r="O94" s="56">
        <f>IF(SUM(O$74:O93)&gt;=O$60,0,O$60/O$64)</f>
        <v>0</v>
      </c>
      <c r="P94" s="56">
        <f>IF(SUM(P$74:P93)&gt;=P$60,0,P$60/P$64)</f>
        <v>0</v>
      </c>
      <c r="Q94" s="56">
        <f>IF(SUM(Q$74:Q93)&gt;=Q$60,0,Q$60/Q$64)</f>
        <v>0</v>
      </c>
      <c r="R94" s="56">
        <f>IF(SUM(R$74:R93)&gt;=R$60,0,R$60/R$64)</f>
        <v>0</v>
      </c>
      <c r="S94" s="56">
        <f>IF(SUM(S$74:S93)&gt;=S$60,0,S$60/S$64)</f>
        <v>0</v>
      </c>
      <c r="T94" s="56">
        <f>IF(SUM(T$74:T93)&gt;=T$60,0,T$60/T$64)</f>
        <v>0</v>
      </c>
      <c r="U94" s="56">
        <f>IF(SUM(U$74:U93)&gt;=U$60,0,U$60/U$64)</f>
        <v>0</v>
      </c>
      <c r="V94" s="56">
        <f>IF(SUM(V$74:V93)&gt;=V$60,0,V$60/V$64)</f>
        <v>0</v>
      </c>
      <c r="W94" s="56">
        <f>IF(SUM(W$74:W93)&gt;=W$60,0,W$60/W$64)</f>
        <v>0</v>
      </c>
      <c r="X94" s="56">
        <f>IF(SUM(X$74:X93)&gt;=X$60,0,X$60/X$64)</f>
        <v>0</v>
      </c>
      <c r="Y94" s="56">
        <f>IF(SUM(Y$74:Y93)&gt;=Y$60,0,Y$60/Y$64)</f>
        <v>0</v>
      </c>
      <c r="Z94" s="56">
        <f>IF(SUM(Z$74:Z93)&gt;=Z$60,0,Z$60/Z$64)</f>
        <v>0</v>
      </c>
      <c r="AA94" s="56">
        <f>IF(SUM(AA$74:AA93)&gt;=AA$60,0,AA$60/AA$64)</f>
        <v>0</v>
      </c>
      <c r="AB94" s="56">
        <f>IF(SUM(AB$74:AB93)&gt;=AB$60,0,AB$60/AB$64)</f>
        <v>0</v>
      </c>
    </row>
    <row r="95" spans="1:28" outlineLevel="1">
      <c r="A95" s="5"/>
      <c r="B95" s="157" t="s">
        <v>317</v>
      </c>
      <c r="C95" s="56">
        <f>IF(SUM(C$74:C94)&gt;=C$60,0,C$60/C$64)</f>
        <v>0</v>
      </c>
      <c r="D95" s="56">
        <f>IF(SUM(D$74:D94)&gt;=D$60,0,D$60/D$64)</f>
        <v>0</v>
      </c>
      <c r="E95" s="56">
        <f>IF(SUM(E$74:E94)&gt;=E$60,0,E$60/E$64)</f>
        <v>0</v>
      </c>
      <c r="F95" s="56">
        <f>IF(SUM(F$74:F94)&gt;=F$60,0,F$60/F$64)</f>
        <v>0</v>
      </c>
      <c r="G95" s="56">
        <f>IF(SUM(G$74:G94)&gt;=G$60,0,G$60/G$64)</f>
        <v>0</v>
      </c>
      <c r="H95" s="56">
        <f>IF(SUM(H$74:H94)&gt;=H$60,0,H$60/H$64)</f>
        <v>0</v>
      </c>
      <c r="I95" s="56">
        <f>IF(SUM(I$74:I94)&gt;=I$60,0,I$60/I$64)</f>
        <v>0</v>
      </c>
      <c r="J95" s="56">
        <f>IF(SUM(J$74:J94)&gt;=J$60,0,J$60/J$64)</f>
        <v>0</v>
      </c>
      <c r="K95" s="56">
        <f>IF(SUM(K$74:K94)&gt;=K$60,0,K$60/K$64)</f>
        <v>0</v>
      </c>
      <c r="L95" s="56">
        <f>IF(SUM(L$74:L94)&gt;=L$60,0,L$60/L$64)</f>
        <v>0</v>
      </c>
      <c r="M95" s="56">
        <f>IF(SUM(M$74:M94)&gt;=M$60,0,M$60/M$64)</f>
        <v>0</v>
      </c>
      <c r="N95" s="56">
        <f>IF(SUM(N$74:N94)&gt;=N$60,0,N$60/N$64)</f>
        <v>0</v>
      </c>
      <c r="O95" s="56">
        <f>IF(SUM(O$74:O94)&gt;=O$60,0,O$60/O$64)</f>
        <v>0</v>
      </c>
      <c r="P95" s="56">
        <f>IF(SUM(P$74:P94)&gt;=P$60,0,P$60/P$64)</f>
        <v>0</v>
      </c>
      <c r="Q95" s="56">
        <f>IF(SUM(Q$74:Q94)&gt;=Q$60,0,Q$60/Q$64)</f>
        <v>0</v>
      </c>
      <c r="R95" s="56">
        <f>IF(SUM(R$74:R94)&gt;=R$60,0,R$60/R$64)</f>
        <v>0</v>
      </c>
      <c r="S95" s="56">
        <f>IF(SUM(S$74:S94)&gt;=S$60,0,S$60/S$64)</f>
        <v>0</v>
      </c>
      <c r="T95" s="56">
        <f>IF(SUM(T$74:T94)&gt;=T$60,0,T$60/T$64)</f>
        <v>0</v>
      </c>
      <c r="U95" s="56">
        <f>IF(SUM(U$74:U94)&gt;=U$60,0,U$60/U$64)</f>
        <v>0</v>
      </c>
      <c r="V95" s="56">
        <f>IF(SUM(V$74:V94)&gt;=V$60,0,V$60/V$64)</f>
        <v>0</v>
      </c>
      <c r="W95" s="56">
        <f>IF(SUM(W$74:W94)&gt;=W$60,0,W$60/W$64)</f>
        <v>0</v>
      </c>
      <c r="X95" s="56">
        <f>IF(SUM(X$74:X94)&gt;=X$60,0,X$60/X$64)</f>
        <v>0</v>
      </c>
      <c r="Y95" s="56">
        <f>IF(SUM(Y$74:Y94)&gt;=Y$60,0,Y$60/Y$64)</f>
        <v>0</v>
      </c>
      <c r="Z95" s="56">
        <f>IF(SUM(Z$74:Z94)&gt;=Z$60,0,Z$60/Z$64)</f>
        <v>0</v>
      </c>
      <c r="AA95" s="56">
        <f>IF(SUM(AA$74:AA94)&gt;=AA$60,0,AA$60/AA$64)</f>
        <v>0</v>
      </c>
      <c r="AB95" s="56">
        <f>IF(SUM(AB$74:AB94)&gt;=AB$60,0,AB$60/AB$64)</f>
        <v>0</v>
      </c>
    </row>
    <row r="96" spans="1:28" outlineLevel="1">
      <c r="A96" s="5"/>
      <c r="B96" s="157" t="s">
        <v>318</v>
      </c>
      <c r="C96" s="56">
        <f>IF(SUM(C$74:C95)&gt;=C$60,0,C$60/C$64)</f>
        <v>0</v>
      </c>
      <c r="D96" s="56">
        <f>IF(SUM(D$74:D95)&gt;=D$60,0,D$60/D$64)</f>
        <v>0</v>
      </c>
      <c r="E96" s="56">
        <f>IF(SUM(E$74:E95)&gt;=E$60,0,E$60/E$64)</f>
        <v>0</v>
      </c>
      <c r="F96" s="56">
        <f>IF(SUM(F$74:F95)&gt;=F$60,0,F$60/F$64)</f>
        <v>0</v>
      </c>
      <c r="G96" s="56">
        <f>IF(SUM(G$74:G95)&gt;=G$60,0,G$60/G$64)</f>
        <v>0</v>
      </c>
      <c r="H96" s="56">
        <f>IF(SUM(H$74:H95)&gt;=H$60,0,H$60/H$64)</f>
        <v>0</v>
      </c>
      <c r="I96" s="56">
        <f>IF(SUM(I$74:I95)&gt;=I$60,0,I$60/I$64)</f>
        <v>0</v>
      </c>
      <c r="J96" s="56">
        <f>IF(SUM(J$74:J95)&gt;=J$60,0,J$60/J$64)</f>
        <v>0</v>
      </c>
      <c r="K96" s="56">
        <f>IF(SUM(K$74:K95)&gt;=K$60,0,K$60/K$64)</f>
        <v>0</v>
      </c>
      <c r="L96" s="56">
        <f>IF(SUM(L$74:L95)&gt;=L$60,0,L$60/L$64)</f>
        <v>0</v>
      </c>
      <c r="M96" s="56">
        <f>IF(SUM(M$74:M95)&gt;=M$60,0,M$60/M$64)</f>
        <v>0</v>
      </c>
      <c r="N96" s="56">
        <f>IF(SUM(N$74:N95)&gt;=N$60,0,N$60/N$64)</f>
        <v>0</v>
      </c>
      <c r="O96" s="56">
        <f>IF(SUM(O$74:O95)&gt;=O$60,0,O$60/O$64)</f>
        <v>0</v>
      </c>
      <c r="P96" s="56">
        <f>IF(SUM(P$74:P95)&gt;=P$60,0,P$60/P$64)</f>
        <v>0</v>
      </c>
      <c r="Q96" s="56">
        <f>IF(SUM(Q$74:Q95)&gt;=Q$60,0,Q$60/Q$64)</f>
        <v>0</v>
      </c>
      <c r="R96" s="56">
        <f>IF(SUM(R$74:R95)&gt;=R$60,0,R$60/R$64)</f>
        <v>0</v>
      </c>
      <c r="S96" s="56">
        <f>IF(SUM(S$74:S95)&gt;=S$60,0,S$60/S$64)</f>
        <v>0</v>
      </c>
      <c r="T96" s="56">
        <f>IF(SUM(T$74:T95)&gt;=T$60,0,T$60/T$64)</f>
        <v>0</v>
      </c>
      <c r="U96" s="56">
        <f>IF(SUM(U$74:U95)&gt;=U$60,0,U$60/U$64)</f>
        <v>0</v>
      </c>
      <c r="V96" s="56">
        <f>IF(SUM(V$74:V95)&gt;=V$60,0,V$60/V$64)</f>
        <v>0</v>
      </c>
      <c r="W96" s="56">
        <f>IF(SUM(W$74:W95)&gt;=W$60,0,W$60/W$64)</f>
        <v>0</v>
      </c>
      <c r="X96" s="56">
        <f>IF(SUM(X$74:X95)&gt;=X$60,0,X$60/X$64)</f>
        <v>0</v>
      </c>
      <c r="Y96" s="56">
        <f>IF(SUM(Y$74:Y95)&gt;=Y$60,0,Y$60/Y$64)</f>
        <v>0</v>
      </c>
      <c r="Z96" s="56">
        <f>IF(SUM(Z$74:Z95)&gt;=Z$60,0,Z$60/Z$64)</f>
        <v>0</v>
      </c>
      <c r="AA96" s="56">
        <f>IF(SUM(AA$74:AA95)&gt;=AA$60,0,AA$60/AA$64)</f>
        <v>0</v>
      </c>
      <c r="AB96" s="56">
        <f>IF(SUM(AB$74:AB95)&gt;=AB$60,0,AB$60/AB$64)</f>
        <v>0</v>
      </c>
    </row>
    <row r="97" spans="1:28" outlineLevel="1">
      <c r="A97" s="5"/>
      <c r="B97" s="157" t="s">
        <v>319</v>
      </c>
      <c r="C97" s="56">
        <f>IF(SUM(C$74:C96)&gt;=C$60,0,C$60/C$64)</f>
        <v>0</v>
      </c>
      <c r="D97" s="56">
        <f>IF(SUM(D$74:D96)&gt;=D$60,0,D$60/D$64)</f>
        <v>0</v>
      </c>
      <c r="E97" s="56">
        <f>IF(SUM(E$74:E96)&gt;=E$60,0,E$60/E$64)</f>
        <v>0</v>
      </c>
      <c r="F97" s="56">
        <f>IF(SUM(F$74:F96)&gt;=F$60,0,F$60/F$64)</f>
        <v>0</v>
      </c>
      <c r="G97" s="56">
        <f>IF(SUM(G$74:G96)&gt;=G$60,0,G$60/G$64)</f>
        <v>0</v>
      </c>
      <c r="H97" s="56">
        <f>IF(SUM(H$74:H96)&gt;=H$60,0,H$60/H$64)</f>
        <v>0</v>
      </c>
      <c r="I97" s="56">
        <f>IF(SUM(I$74:I96)&gt;=I$60,0,I$60/I$64)</f>
        <v>0</v>
      </c>
      <c r="J97" s="56">
        <f>IF(SUM(J$74:J96)&gt;=J$60,0,J$60/J$64)</f>
        <v>0</v>
      </c>
      <c r="K97" s="56">
        <f>IF(SUM(K$74:K96)&gt;=K$60,0,K$60/K$64)</f>
        <v>0</v>
      </c>
      <c r="L97" s="56">
        <f>IF(SUM(L$74:L96)&gt;=L$60,0,L$60/L$64)</f>
        <v>0</v>
      </c>
      <c r="M97" s="56">
        <f>IF(SUM(M$74:M96)&gt;=M$60,0,M$60/M$64)</f>
        <v>0</v>
      </c>
      <c r="N97" s="56">
        <f>IF(SUM(N$74:N96)&gt;=N$60,0,N$60/N$64)</f>
        <v>0</v>
      </c>
      <c r="O97" s="56">
        <f>IF(SUM(O$74:O96)&gt;=O$60,0,O$60/O$64)</f>
        <v>0</v>
      </c>
      <c r="P97" s="56">
        <f>IF(SUM(P$74:P96)&gt;=P$60,0,P$60/P$64)</f>
        <v>0</v>
      </c>
      <c r="Q97" s="56">
        <f>IF(SUM(Q$74:Q96)&gt;=Q$60,0,Q$60/Q$64)</f>
        <v>0</v>
      </c>
      <c r="R97" s="56">
        <f>IF(SUM(R$74:R96)&gt;=R$60,0,R$60/R$64)</f>
        <v>0</v>
      </c>
      <c r="S97" s="56">
        <f>IF(SUM(S$74:S96)&gt;=S$60,0,S$60/S$64)</f>
        <v>0</v>
      </c>
      <c r="T97" s="56">
        <f>IF(SUM(T$74:T96)&gt;=T$60,0,T$60/T$64)</f>
        <v>0</v>
      </c>
      <c r="U97" s="56">
        <f>IF(SUM(U$74:U96)&gt;=U$60,0,U$60/U$64)</f>
        <v>0</v>
      </c>
      <c r="V97" s="56">
        <f>IF(SUM(V$74:V96)&gt;=V$60,0,V$60/V$64)</f>
        <v>0</v>
      </c>
      <c r="W97" s="56">
        <f>IF(SUM(W$74:W96)&gt;=W$60,0,W$60/W$64)</f>
        <v>0</v>
      </c>
      <c r="X97" s="56">
        <f>IF(SUM(X$74:X96)&gt;=X$60,0,X$60/X$64)</f>
        <v>0</v>
      </c>
      <c r="Y97" s="56">
        <f>IF(SUM(Y$74:Y96)&gt;=Y$60,0,Y$60/Y$64)</f>
        <v>0</v>
      </c>
      <c r="Z97" s="56">
        <f>IF(SUM(Z$74:Z96)&gt;=Z$60,0,Z$60/Z$64)</f>
        <v>0</v>
      </c>
      <c r="AA97" s="56">
        <f>IF(SUM(AA$74:AA96)&gt;=AA$60,0,AA$60/AA$64)</f>
        <v>0</v>
      </c>
      <c r="AB97" s="56">
        <f>IF(SUM(AB$74:AB96)&gt;=AB$60,0,AB$60/AB$64)</f>
        <v>0</v>
      </c>
    </row>
    <row r="98" spans="1:28" outlineLevel="1">
      <c r="A98" s="5"/>
      <c r="B98" s="157" t="s">
        <v>320</v>
      </c>
      <c r="C98" s="56">
        <f>IF(SUM(C$74:C97)&gt;=C$60,0,C$60/C$64)</f>
        <v>0</v>
      </c>
      <c r="D98" s="56">
        <f>IF(SUM(D$74:D97)&gt;=D$60,0,D$60/D$64)</f>
        <v>0</v>
      </c>
      <c r="E98" s="56">
        <f>IF(SUM(E$74:E97)&gt;=E$60,0,E$60/E$64)</f>
        <v>0</v>
      </c>
      <c r="F98" s="56">
        <f>IF(SUM(F$74:F97)&gt;=F$60,0,F$60/F$64)</f>
        <v>0</v>
      </c>
      <c r="G98" s="56">
        <f>IF(SUM(G$74:G97)&gt;=G$60,0,G$60/G$64)</f>
        <v>0</v>
      </c>
      <c r="H98" s="56">
        <f>IF(SUM(H$74:H97)&gt;=H$60,0,H$60/H$64)</f>
        <v>0</v>
      </c>
      <c r="I98" s="56">
        <f>IF(SUM(I$74:I97)&gt;=I$60,0,I$60/I$64)</f>
        <v>0</v>
      </c>
      <c r="J98" s="56">
        <f>IF(SUM(J$74:J97)&gt;=J$60,0,J$60/J$64)</f>
        <v>0</v>
      </c>
      <c r="K98" s="56">
        <f>IF(SUM(K$74:K97)&gt;=K$60,0,K$60/K$64)</f>
        <v>0</v>
      </c>
      <c r="L98" s="56">
        <f>IF(SUM(L$74:L97)&gt;=L$60,0,L$60/L$64)</f>
        <v>0</v>
      </c>
      <c r="M98" s="56">
        <f>IF(SUM(M$74:M97)&gt;=M$60,0,M$60/M$64)</f>
        <v>0</v>
      </c>
      <c r="N98" s="56">
        <f>IF(SUM(N$74:N97)&gt;=N$60,0,N$60/N$64)</f>
        <v>0</v>
      </c>
      <c r="O98" s="56">
        <f>IF(SUM(O$74:O97)&gt;=O$60,0,O$60/O$64)</f>
        <v>0</v>
      </c>
      <c r="P98" s="56">
        <f>IF(SUM(P$74:P97)&gt;=P$60,0,P$60/P$64)</f>
        <v>0</v>
      </c>
      <c r="Q98" s="56">
        <f>IF(SUM(Q$74:Q97)&gt;=Q$60,0,Q$60/Q$64)</f>
        <v>0</v>
      </c>
      <c r="R98" s="56">
        <f>IF(SUM(R$74:R97)&gt;=R$60,0,R$60/R$64)</f>
        <v>0</v>
      </c>
      <c r="S98" s="56">
        <f>IF(SUM(S$74:S97)&gt;=S$60,0,S$60/S$64)</f>
        <v>0</v>
      </c>
      <c r="T98" s="56">
        <f>IF(SUM(T$74:T97)&gt;=T$60,0,T$60/T$64)</f>
        <v>0</v>
      </c>
      <c r="U98" s="56">
        <f>IF(SUM(U$74:U97)&gt;=U$60,0,U$60/U$64)</f>
        <v>0</v>
      </c>
      <c r="V98" s="56">
        <f>IF(SUM(V$74:V97)&gt;=V$60,0,V$60/V$64)</f>
        <v>0</v>
      </c>
      <c r="W98" s="56">
        <f>IF(SUM(W$74:W97)&gt;=W$60,0,W$60/W$64)</f>
        <v>0</v>
      </c>
      <c r="X98" s="56">
        <f>IF(SUM(X$74:X97)&gt;=X$60,0,X$60/X$64)</f>
        <v>0</v>
      </c>
      <c r="Y98" s="56">
        <f>IF(SUM(Y$74:Y97)&gt;=Y$60,0,Y$60/Y$64)</f>
        <v>0</v>
      </c>
      <c r="Z98" s="56">
        <f>IF(SUM(Z$74:Z97)&gt;=Z$60,0,Z$60/Z$64)</f>
        <v>0</v>
      </c>
      <c r="AA98" s="56">
        <f>IF(SUM(AA$74:AA97)&gt;=AA$60,0,AA$60/AA$64)</f>
        <v>0</v>
      </c>
      <c r="AB98" s="56">
        <f>IF(SUM(AB$74:AB97)&gt;=AB$60,0,AB$60/AB$64)</f>
        <v>0</v>
      </c>
    </row>
    <row r="99" spans="1:28" ht="11.45" customHeight="1">
      <c r="A99" s="89"/>
      <c r="B99" s="158" t="s">
        <v>321</v>
      </c>
      <c r="C99" s="90"/>
      <c r="D99" s="90"/>
      <c r="E99" s="90"/>
      <c r="F99" s="90"/>
      <c r="G99" s="90"/>
      <c r="H99" s="90"/>
      <c r="I99" s="90"/>
      <c r="J99" s="90"/>
      <c r="K99" s="90"/>
      <c r="L99" s="90"/>
      <c r="M99" s="90"/>
      <c r="N99" s="90"/>
      <c r="O99" s="90"/>
      <c r="P99" s="91"/>
      <c r="Q99" s="91"/>
      <c r="R99" s="91"/>
      <c r="S99" s="92"/>
      <c r="T99" s="92"/>
      <c r="U99" s="92"/>
      <c r="V99" s="92"/>
      <c r="W99" s="92"/>
      <c r="X99" s="92"/>
      <c r="Y99" s="92"/>
      <c r="Z99" s="92"/>
      <c r="AA99" s="92"/>
      <c r="AB99" s="92"/>
    </row>
    <row r="100" spans="1:28" ht="11.45" customHeight="1">
      <c r="A100" s="89"/>
      <c r="B100" s="158"/>
      <c r="C100" s="90"/>
      <c r="D100" s="90"/>
      <c r="E100" s="90"/>
      <c r="F100" s="90"/>
      <c r="G100" s="90"/>
      <c r="H100" s="90"/>
      <c r="I100" s="90"/>
      <c r="J100" s="90"/>
      <c r="K100" s="90"/>
      <c r="L100" s="90"/>
      <c r="M100" s="90"/>
      <c r="N100" s="90"/>
      <c r="O100" s="90"/>
      <c r="P100" s="91"/>
      <c r="Q100" s="91"/>
      <c r="R100" s="91"/>
      <c r="S100" s="92"/>
      <c r="T100" s="92"/>
      <c r="U100" s="92"/>
      <c r="V100" s="92"/>
      <c r="W100" s="92"/>
      <c r="X100" s="92"/>
      <c r="Y100" s="92"/>
      <c r="Z100" s="92"/>
      <c r="AA100" s="92"/>
      <c r="AB100" s="92"/>
    </row>
    <row r="101" spans="1:28" outlineLevel="1">
      <c r="A101" s="89"/>
      <c r="B101" s="158"/>
      <c r="C101" s="93" t="s">
        <v>19</v>
      </c>
      <c r="D101" s="94"/>
      <c r="E101" s="94"/>
      <c r="F101" s="94"/>
      <c r="G101" s="94"/>
      <c r="H101" s="94"/>
      <c r="I101" s="94"/>
      <c r="J101" s="94"/>
      <c r="K101" s="94"/>
      <c r="L101" s="94"/>
      <c r="M101" s="94"/>
      <c r="N101" s="94"/>
      <c r="O101" s="94"/>
      <c r="P101" s="94"/>
      <c r="Q101" s="95"/>
      <c r="R101" s="95"/>
      <c r="S101" s="95"/>
      <c r="T101" s="95"/>
      <c r="U101" s="95"/>
      <c r="V101" s="95"/>
      <c r="W101" s="95"/>
      <c r="X101" s="95"/>
      <c r="Y101" s="95"/>
      <c r="Z101" s="95"/>
      <c r="AA101" s="95"/>
      <c r="AB101" s="95"/>
    </row>
    <row r="102" spans="1:28">
      <c r="A102" s="137" t="s">
        <v>47</v>
      </c>
      <c r="B102" s="140" t="s">
        <v>322</v>
      </c>
      <c r="C102" s="138">
        <f t="shared" ref="C102:AB102" si="114">C$3</f>
        <v>1996</v>
      </c>
      <c r="D102" s="138">
        <f t="shared" si="114"/>
        <v>1997</v>
      </c>
      <c r="E102" s="138">
        <f t="shared" si="114"/>
        <v>1998</v>
      </c>
      <c r="F102" s="138">
        <f t="shared" si="114"/>
        <v>1999</v>
      </c>
      <c r="G102" s="138">
        <f t="shared" si="114"/>
        <v>2000</v>
      </c>
      <c r="H102" s="138">
        <f t="shared" si="114"/>
        <v>2001</v>
      </c>
      <c r="I102" s="138">
        <f t="shared" si="114"/>
        <v>2002</v>
      </c>
      <c r="J102" s="138">
        <f t="shared" si="114"/>
        <v>2003</v>
      </c>
      <c r="K102" s="138">
        <f t="shared" si="114"/>
        <v>2004</v>
      </c>
      <c r="L102" s="138">
        <f t="shared" si="114"/>
        <v>2005</v>
      </c>
      <c r="M102" s="138">
        <f t="shared" si="114"/>
        <v>2006</v>
      </c>
      <c r="N102" s="138">
        <f t="shared" si="114"/>
        <v>2007</v>
      </c>
      <c r="O102" s="138">
        <f t="shared" si="114"/>
        <v>2008</v>
      </c>
      <c r="P102" s="138">
        <f t="shared" si="114"/>
        <v>2009</v>
      </c>
      <c r="Q102" s="138">
        <f t="shared" si="114"/>
        <v>2010</v>
      </c>
      <c r="R102" s="138">
        <f t="shared" si="114"/>
        <v>2011</v>
      </c>
      <c r="S102" s="138">
        <f t="shared" si="114"/>
        <v>2012</v>
      </c>
      <c r="T102" s="139">
        <f t="shared" si="114"/>
        <v>2013</v>
      </c>
      <c r="U102" s="139">
        <f t="shared" si="114"/>
        <v>2014</v>
      </c>
      <c r="V102" s="139">
        <f t="shared" si="114"/>
        <v>2015</v>
      </c>
      <c r="W102" s="139">
        <f t="shared" si="114"/>
        <v>2016</v>
      </c>
      <c r="X102" s="139">
        <f t="shared" si="114"/>
        <v>2017</v>
      </c>
      <c r="Y102" s="139">
        <f t="shared" si="114"/>
        <v>2018</v>
      </c>
      <c r="Z102" s="139">
        <f t="shared" si="114"/>
        <v>2019</v>
      </c>
      <c r="AA102" s="139">
        <f t="shared" si="114"/>
        <v>2020</v>
      </c>
      <c r="AB102" s="139">
        <f t="shared" si="114"/>
        <v>2021</v>
      </c>
    </row>
    <row r="103" spans="1:28" ht="11.45" customHeight="1" outlineLevel="1">
      <c r="A103" s="96">
        <v>1</v>
      </c>
      <c r="B103" s="151" t="s">
        <v>323</v>
      </c>
      <c r="C103" s="97">
        <f t="shared" ref="C103:C132" si="115">C68/(POWER((1+$C$37),A103))</f>
        <v>259.56284153005464</v>
      </c>
      <c r="D103" s="98">
        <f t="shared" ref="D103:I112" si="116">(D68-C69)/(POWER((1+D$39),$A103))</f>
        <v>68.30601092896174</v>
      </c>
      <c r="E103" s="98">
        <f t="shared" si="116"/>
        <v>80.145719489981772</v>
      </c>
      <c r="F103" s="98">
        <f t="shared" si="116"/>
        <v>34.608378870673953</v>
      </c>
      <c r="G103" s="98">
        <f t="shared" si="116"/>
        <v>29.143897996357012</v>
      </c>
      <c r="H103" s="98">
        <f t="shared" si="116"/>
        <v>5.4644808743169397</v>
      </c>
      <c r="I103" s="98">
        <f t="shared" si="116"/>
        <v>5.4644808743169397</v>
      </c>
      <c r="J103" s="99">
        <f t="shared" ref="J103:J132" si="117">J68/(POWER((1+$J$37),$A103))</f>
        <v>179.48717948717947</v>
      </c>
      <c r="K103" s="98">
        <f t="shared" ref="K103:Z103" si="118">(K68-J69)/(POWER((1+K$39),$A103))</f>
        <v>-12.149532710280374</v>
      </c>
      <c r="L103" s="98">
        <f t="shared" si="118"/>
        <v>-29.245283018867923</v>
      </c>
      <c r="M103" s="98">
        <f t="shared" si="118"/>
        <v>3.7914691943127963</v>
      </c>
      <c r="N103" s="98">
        <f t="shared" si="118"/>
        <v>-2.8490028490028494</v>
      </c>
      <c r="O103" s="98">
        <f t="shared" si="118"/>
        <v>-30.841121495327101</v>
      </c>
      <c r="P103" s="98">
        <f t="shared" si="118"/>
        <v>-21.296296296296294</v>
      </c>
      <c r="Q103" s="98">
        <f t="shared" si="118"/>
        <v>-33.364226135310474</v>
      </c>
      <c r="R103" s="98">
        <f t="shared" si="118"/>
        <v>-17.740429505135388</v>
      </c>
      <c r="S103" s="98">
        <f t="shared" si="118"/>
        <v>-25.257249766136578</v>
      </c>
      <c r="T103" s="98">
        <f t="shared" si="118"/>
        <v>-2.5140186915887828</v>
      </c>
      <c r="U103" s="98">
        <f t="shared" si="118"/>
        <v>-2.6849813432836047</v>
      </c>
      <c r="V103" s="98">
        <f t="shared" si="118"/>
        <v>-2.8675800744879192</v>
      </c>
      <c r="W103" s="98">
        <f t="shared" si="118"/>
        <v>-3.0626075000000221</v>
      </c>
      <c r="X103" s="98">
        <f t="shared" si="118"/>
        <v>-3.2709102661409966</v>
      </c>
      <c r="Y103" s="98">
        <f t="shared" si="118"/>
        <v>-3.4933927366508937</v>
      </c>
      <c r="Z103" s="98">
        <f t="shared" si="118"/>
        <v>-3.7310209301975887</v>
      </c>
      <c r="AA103" s="98">
        <f t="shared" ref="AA103:AA132" si="119">(AA68-Z69)/(POWER((1+AA$39),$A103))</f>
        <v>-3.9848267266853949</v>
      </c>
      <c r="AB103" s="98">
        <f t="shared" ref="AB103:AB132" si="120">(AB68-AA69)/(POWER((1+AB$39),$A103))</f>
        <v>-4.2559123607254792</v>
      </c>
    </row>
    <row r="104" spans="1:28" ht="11.45" customHeight="1" outlineLevel="1">
      <c r="A104" s="5">
        <v>2</v>
      </c>
      <c r="B104" s="44" t="str">
        <f t="shared" ref="B104:B132" si="121">"PV of Increase in forecast year "&amp;A103&amp;" lease commitments"</f>
        <v>PV of Increase in forecast year 1 lease commitments</v>
      </c>
      <c r="C104" s="97">
        <f t="shared" si="115"/>
        <v>326.80714397098876</v>
      </c>
      <c r="D104" s="98">
        <f t="shared" si="116"/>
        <v>62.209481720365886</v>
      </c>
      <c r="E104" s="98">
        <f t="shared" si="116"/>
        <v>145.98491710379196</v>
      </c>
      <c r="F104" s="98">
        <f t="shared" si="116"/>
        <v>91.240573189869963</v>
      </c>
      <c r="G104" s="98">
        <f t="shared" si="116"/>
        <v>65.527320745452059</v>
      </c>
      <c r="H104" s="98">
        <f t="shared" si="116"/>
        <v>53.085424401378887</v>
      </c>
      <c r="I104" s="98">
        <f t="shared" si="116"/>
        <v>47.279206107478075</v>
      </c>
      <c r="J104" s="100">
        <f t="shared" si="117"/>
        <v>178.62174455581047</v>
      </c>
      <c r="K104" s="98">
        <f t="shared" ref="K104:Z104" si="122">(K69-J70)/(POWER((1+K$39),$A104))</f>
        <v>34.937549130928467</v>
      </c>
      <c r="L104" s="98">
        <f t="shared" si="122"/>
        <v>14.239943040227837</v>
      </c>
      <c r="M104" s="98">
        <f t="shared" si="122"/>
        <v>45.82107320141057</v>
      </c>
      <c r="N104" s="98">
        <f t="shared" si="122"/>
        <v>47.799034820244067</v>
      </c>
      <c r="O104" s="98">
        <f t="shared" si="122"/>
        <v>28.823478033015984</v>
      </c>
      <c r="P104" s="98">
        <f t="shared" si="122"/>
        <v>36.865569272976678</v>
      </c>
      <c r="Q104" s="98">
        <f t="shared" si="122"/>
        <v>33.4982190113559</v>
      </c>
      <c r="R104" s="98">
        <f t="shared" si="122"/>
        <v>24.410635713980582</v>
      </c>
      <c r="S104" s="98">
        <f t="shared" si="122"/>
        <v>24.502061235901472</v>
      </c>
      <c r="T104" s="98">
        <f t="shared" si="122"/>
        <v>42.484059743209052</v>
      </c>
      <c r="U104" s="98">
        <f t="shared" si="122"/>
        <v>45.288482958342613</v>
      </c>
      <c r="V104" s="98">
        <f t="shared" si="122"/>
        <v>48.278365566340327</v>
      </c>
      <c r="W104" s="98">
        <f t="shared" si="122"/>
        <v>51.465993007282897</v>
      </c>
      <c r="X104" s="98">
        <f t="shared" si="122"/>
        <v>54.864465844465563</v>
      </c>
      <c r="Y104" s="98">
        <f t="shared" si="122"/>
        <v>58.487753927681695</v>
      </c>
      <c r="Z104" s="98">
        <f t="shared" si="122"/>
        <v>62.350754160617981</v>
      </c>
      <c r="AA104" s="98">
        <f t="shared" si="119"/>
        <v>66.469352112504254</v>
      </c>
      <c r="AB104" s="98">
        <f t="shared" si="120"/>
        <v>70.860487730181006</v>
      </c>
    </row>
    <row r="105" spans="1:28" ht="11.45" customHeight="1" outlineLevel="1">
      <c r="A105" s="5">
        <v>3</v>
      </c>
      <c r="B105" s="44" t="str">
        <f t="shared" si="121"/>
        <v>PV of Increase in forecast year 2 lease commitments</v>
      </c>
      <c r="C105" s="97">
        <f t="shared" si="115"/>
        <v>268.93230713357929</v>
      </c>
      <c r="D105" s="98">
        <f t="shared" si="116"/>
        <v>61.189654151179553</v>
      </c>
      <c r="E105" s="98">
        <f t="shared" si="116"/>
        <v>117.84674132819765</v>
      </c>
      <c r="F105" s="98">
        <f t="shared" si="116"/>
        <v>96.694762115444234</v>
      </c>
      <c r="G105" s="98">
        <f t="shared" si="116"/>
        <v>63.455937638260274</v>
      </c>
      <c r="H105" s="98">
        <f t="shared" si="116"/>
        <v>36.260535793291588</v>
      </c>
      <c r="I105" s="98">
        <f t="shared" si="116"/>
        <v>36.260535793291588</v>
      </c>
      <c r="J105" s="100">
        <f t="shared" si="117"/>
        <v>142.8384172014168</v>
      </c>
      <c r="K105" s="98">
        <f t="shared" ref="K105:Z105" si="123">(K70-J71)/(POWER((1+K$39),$A105))</f>
        <v>32.651915075634079</v>
      </c>
      <c r="L105" s="98">
        <f t="shared" si="123"/>
        <v>10.91505067941992</v>
      </c>
      <c r="M105" s="98">
        <f t="shared" si="123"/>
        <v>43.432296873374952</v>
      </c>
      <c r="N105" s="98">
        <f t="shared" si="123"/>
        <v>43.680244688714147</v>
      </c>
      <c r="O105" s="98">
        <f t="shared" si="123"/>
        <v>31.835617198743225</v>
      </c>
      <c r="P105" s="98">
        <f t="shared" si="123"/>
        <v>28.577960676726104</v>
      </c>
      <c r="Q105" s="98">
        <f t="shared" si="123"/>
        <v>37.413946758245459</v>
      </c>
      <c r="R105" s="98">
        <f t="shared" si="123"/>
        <v>22.792376950495409</v>
      </c>
      <c r="S105" s="98">
        <f t="shared" si="123"/>
        <v>22.101952872154875</v>
      </c>
      <c r="T105" s="98">
        <f t="shared" si="123"/>
        <v>42.831149600463021</v>
      </c>
      <c r="U105" s="98">
        <f t="shared" si="123"/>
        <v>45.573300889113696</v>
      </c>
      <c r="V105" s="98">
        <f t="shared" si="123"/>
        <v>48.491517531338033</v>
      </c>
      <c r="W105" s="98">
        <f t="shared" si="123"/>
        <v>51.597134494918606</v>
      </c>
      <c r="X105" s="98">
        <f t="shared" si="123"/>
        <v>54.902218313242898</v>
      </c>
      <c r="Y105" s="98">
        <f t="shared" si="123"/>
        <v>58.419614411729825</v>
      </c>
      <c r="Z105" s="98">
        <f t="shared" si="123"/>
        <v>62.162997502637879</v>
      </c>
      <c r="AA105" s="98">
        <f t="shared" si="119"/>
        <v>66.146925247603846</v>
      </c>
      <c r="AB105" s="98">
        <f t="shared" si="120"/>
        <v>70.386895400238259</v>
      </c>
    </row>
    <row r="106" spans="1:28" outlineLevel="1">
      <c r="A106" s="5">
        <v>4</v>
      </c>
      <c r="B106" s="44" t="str">
        <f t="shared" si="121"/>
        <v>PV of Increase in forecast year 3 lease commitments</v>
      </c>
      <c r="C106" s="97">
        <f t="shared" si="115"/>
        <v>211.90507408040773</v>
      </c>
      <c r="D106" s="98">
        <f t="shared" si="116"/>
        <v>51.600261545553828</v>
      </c>
      <c r="E106" s="98">
        <f t="shared" si="116"/>
        <v>98.384498680189296</v>
      </c>
      <c r="F106" s="98">
        <f t="shared" si="116"/>
        <v>77.744394061967768</v>
      </c>
      <c r="G106" s="98">
        <f t="shared" si="116"/>
        <v>50.912258058279775</v>
      </c>
      <c r="H106" s="98">
        <f t="shared" si="116"/>
        <v>33.712170876428502</v>
      </c>
      <c r="I106" s="98">
        <f t="shared" si="116"/>
        <v>22.016111592769633</v>
      </c>
      <c r="J106" s="100">
        <f t="shared" si="117"/>
        <v>101.97118089628104</v>
      </c>
      <c r="K106" s="98">
        <f t="shared" ref="K106:Z106" si="124">(K71-J72)/(POWER((1+K$39),$A106))</f>
        <v>28.227122845758434</v>
      </c>
      <c r="L106" s="98">
        <f t="shared" si="124"/>
        <v>12.673498611808327</v>
      </c>
      <c r="M106" s="98">
        <f t="shared" si="124"/>
        <v>29.059802758879258</v>
      </c>
      <c r="N106" s="98">
        <f t="shared" si="124"/>
        <v>35.78814528617437</v>
      </c>
      <c r="O106" s="98">
        <f t="shared" si="124"/>
        <v>26.701332421663384</v>
      </c>
      <c r="P106" s="98">
        <f t="shared" si="124"/>
        <v>22.78592543669005</v>
      </c>
      <c r="Q106" s="98">
        <f t="shared" si="124"/>
        <v>29.510339958784112</v>
      </c>
      <c r="R106" s="98">
        <f t="shared" si="124"/>
        <v>16.721098202977824</v>
      </c>
      <c r="S106" s="98">
        <f t="shared" si="124"/>
        <v>13.017815155272595</v>
      </c>
      <c r="T106" s="98">
        <f t="shared" si="124"/>
        <v>31.18715626850285</v>
      </c>
      <c r="U106" s="98">
        <f t="shared" si="124"/>
        <v>33.121921487953458</v>
      </c>
      <c r="V106" s="98">
        <f t="shared" si="124"/>
        <v>35.177203976114384</v>
      </c>
      <c r="W106" s="98">
        <f t="shared" si="124"/>
        <v>37.360539145971075</v>
      </c>
      <c r="X106" s="98">
        <f t="shared" si="124"/>
        <v>39.679935219548938</v>
      </c>
      <c r="Y106" s="98">
        <f t="shared" si="124"/>
        <v>42.143902991330471</v>
      </c>
      <c r="Z106" s="98">
        <f t="shared" si="124"/>
        <v>44.761487471017489</v>
      </c>
      <c r="AA106" s="98">
        <f t="shared" si="119"/>
        <v>47.542301524646426</v>
      </c>
      <c r="AB106" s="98">
        <f t="shared" si="120"/>
        <v>50.496561640620754</v>
      </c>
    </row>
    <row r="107" spans="1:28" outlineLevel="1">
      <c r="A107" s="5">
        <v>5</v>
      </c>
      <c r="B107" s="44" t="str">
        <f t="shared" si="121"/>
        <v>PV of Increase in forecast year 4 lease commitments</v>
      </c>
      <c r="C107" s="97">
        <f t="shared" si="115"/>
        <v>174.82055824176706</v>
      </c>
      <c r="D107" s="98">
        <f t="shared" si="116"/>
        <v>40.728803891451108</v>
      </c>
      <c r="E107" s="98">
        <f t="shared" si="116"/>
        <v>83.963995714683819</v>
      </c>
      <c r="F107" s="98">
        <f t="shared" si="116"/>
        <v>67.672474158103384</v>
      </c>
      <c r="G107" s="98">
        <f t="shared" si="116"/>
        <v>37.595818976724097</v>
      </c>
      <c r="H107" s="98">
        <f t="shared" si="116"/>
        <v>28.196864232543074</v>
      </c>
      <c r="I107" s="98">
        <f t="shared" si="116"/>
        <v>18.797909488362048</v>
      </c>
      <c r="J107" s="100">
        <f t="shared" si="117"/>
        <v>72.128156248474653</v>
      </c>
      <c r="K107" s="98">
        <f t="shared" ref="K107:Z107" si="125">(K72-J73)/(POWER((1+K$39),$A107))</f>
        <v>22.10257156399372</v>
      </c>
      <c r="L107" s="98">
        <f t="shared" si="125"/>
        <v>17.934196148785364</v>
      </c>
      <c r="M107" s="98">
        <f t="shared" si="125"/>
        <v>13.772418369137089</v>
      </c>
      <c r="N107" s="98">
        <f t="shared" si="125"/>
        <v>30.897129660860205</v>
      </c>
      <c r="O107" s="98">
        <f t="shared" si="125"/>
        <v>19.963613025542713</v>
      </c>
      <c r="P107" s="98">
        <f t="shared" si="125"/>
        <v>14.972830334742566</v>
      </c>
      <c r="Q107" s="98">
        <f t="shared" si="125"/>
        <v>21.87977012699471</v>
      </c>
      <c r="R107" s="98">
        <f t="shared" si="125"/>
        <v>16.322267153403359</v>
      </c>
      <c r="S107" s="98">
        <f t="shared" si="125"/>
        <v>8.5959270270880506</v>
      </c>
      <c r="T107" s="98">
        <f t="shared" si="125"/>
        <v>29.175394464471719</v>
      </c>
      <c r="U107" s="98">
        <f t="shared" si="125"/>
        <v>30.927547027134722</v>
      </c>
      <c r="V107" s="98">
        <f t="shared" si="125"/>
        <v>32.785497151644265</v>
      </c>
      <c r="W107" s="98">
        <f t="shared" si="125"/>
        <v>34.755664913108966</v>
      </c>
      <c r="X107" s="98">
        <f t="shared" si="125"/>
        <v>36.844861769819552</v>
      </c>
      <c r="Y107" s="98">
        <f t="shared" si="125"/>
        <v>39.060314525015436</v>
      </c>
      <c r="Z107" s="98">
        <f t="shared" si="125"/>
        <v>41.409690761519109</v>
      </c>
      <c r="AA107" s="98">
        <f t="shared" si="119"/>
        <v>43.901125840109195</v>
      </c>
      <c r="AB107" s="98">
        <f t="shared" si="120"/>
        <v>46.543251558129107</v>
      </c>
    </row>
    <row r="108" spans="1:28" outlineLevel="1">
      <c r="A108" s="5">
        <v>6</v>
      </c>
      <c r="B108" s="44" t="str">
        <f t="shared" si="121"/>
        <v>PV of Increase in forecast year 5 lease commitments</v>
      </c>
      <c r="C108" s="97">
        <f t="shared" si="115"/>
        <v>132.39571952944735</v>
      </c>
      <c r="D108" s="98">
        <f t="shared" si="116"/>
        <v>33.42502771371516</v>
      </c>
      <c r="E108" s="98">
        <f t="shared" si="116"/>
        <v>81.391980594342357</v>
      </c>
      <c r="F108" s="98">
        <f t="shared" si="116"/>
        <v>78.942850006782521</v>
      </c>
      <c r="G108" s="98">
        <f t="shared" si="116"/>
        <v>13.859157832516035</v>
      </c>
      <c r="H108" s="98">
        <f t="shared" si="116"/>
        <v>5.8335278719871466</v>
      </c>
      <c r="I108" s="98">
        <f t="shared" si="116"/>
        <v>24.881264532258221</v>
      </c>
      <c r="J108" s="100">
        <f t="shared" si="117"/>
        <v>58.384741861255478</v>
      </c>
      <c r="K108" s="98">
        <f t="shared" ref="K108:Z108" si="126">(K73-J74)/(POWER((1+K$39),$A108))</f>
        <v>7.3297644619816378</v>
      </c>
      <c r="L108" s="98">
        <f t="shared" si="126"/>
        <v>6.3446448639570869</v>
      </c>
      <c r="M108" s="98">
        <f t="shared" si="126"/>
        <v>-0.54393437476844742</v>
      </c>
      <c r="N108" s="98">
        <f t="shared" si="126"/>
        <v>10.343056225501631</v>
      </c>
      <c r="O108" s="98">
        <f t="shared" si="126"/>
        <v>8.8845629842201639</v>
      </c>
      <c r="P108" s="98">
        <f t="shared" si="126"/>
        <v>7.8141033733505001</v>
      </c>
      <c r="Q108" s="98">
        <f t="shared" si="126"/>
        <v>9.2095109045505996</v>
      </c>
      <c r="R108" s="98">
        <f t="shared" si="126"/>
        <v>10.115966868643344</v>
      </c>
      <c r="S108" s="98">
        <f t="shared" si="126"/>
        <v>-1.6528910716259129</v>
      </c>
      <c r="T108" s="98">
        <f t="shared" si="126"/>
        <v>3.7892661127699205</v>
      </c>
      <c r="U108" s="98">
        <f t="shared" si="126"/>
        <v>9.9655178393730246</v>
      </c>
      <c r="V108" s="98">
        <f t="shared" si="126"/>
        <v>16.434454412245685</v>
      </c>
      <c r="W108" s="98">
        <f t="shared" si="126"/>
        <v>23.21421683546756</v>
      </c>
      <c r="X108" s="98">
        <f t="shared" si="126"/>
        <v>30.32400598762888</v>
      </c>
      <c r="Y108" s="98">
        <f t="shared" si="126"/>
        <v>37.784145935642925</v>
      </c>
      <c r="Z108" s="98">
        <f t="shared" si="126"/>
        <v>45.616151030781303</v>
      </c>
      <c r="AA108" s="98">
        <f t="shared" si="119"/>
        <v>53.84279701428833</v>
      </c>
      <c r="AB108" s="98">
        <f t="shared" si="120"/>
        <v>62.488196373649409</v>
      </c>
    </row>
    <row r="109" spans="1:28" outlineLevel="1">
      <c r="A109" s="5">
        <v>7</v>
      </c>
      <c r="B109" s="44" t="str">
        <f t="shared" si="121"/>
        <v>PV of Increase in forecast year 6 lease commitments</v>
      </c>
      <c r="C109" s="97">
        <f t="shared" si="115"/>
        <v>111.96619528251463</v>
      </c>
      <c r="D109" s="98">
        <f t="shared" si="116"/>
        <v>13.48531844707343</v>
      </c>
      <c r="E109" s="98">
        <f t="shared" si="116"/>
        <v>38.612126528544032</v>
      </c>
      <c r="F109" s="98">
        <f t="shared" si="116"/>
        <v>66.031345935841969</v>
      </c>
      <c r="G109" s="98">
        <f t="shared" si="116"/>
        <v>5.7501059616793846</v>
      </c>
      <c r="H109" s="98">
        <f t="shared" si="116"/>
        <v>-22.025298273302219</v>
      </c>
      <c r="I109" s="98">
        <f t="shared" si="116"/>
        <v>0.72763177305614735</v>
      </c>
      <c r="J109" s="100">
        <f t="shared" si="117"/>
        <v>53.46588082532552</v>
      </c>
      <c r="K109" s="98">
        <f t="shared" ref="K109:Z109" si="127">(K74-J75)/(POWER((1+K$39),$A109))</f>
        <v>6.8502471607305022</v>
      </c>
      <c r="L109" s="98">
        <f t="shared" si="127"/>
        <v>1.8289070624614241</v>
      </c>
      <c r="M109" s="98">
        <f t="shared" si="127"/>
        <v>-0.58432128727099819</v>
      </c>
      <c r="N109" s="98">
        <f t="shared" si="127"/>
        <v>6.1071121512708935</v>
      </c>
      <c r="O109" s="98">
        <f t="shared" si="127"/>
        <v>4.3177315437331583</v>
      </c>
      <c r="P109" s="98">
        <f t="shared" si="127"/>
        <v>1.0891820711559876</v>
      </c>
      <c r="Q109" s="98">
        <f t="shared" si="127"/>
        <v>-0.43067663717704424</v>
      </c>
      <c r="R109" s="98">
        <f t="shared" si="127"/>
        <v>-0.16498423085216463</v>
      </c>
      <c r="S109" s="98">
        <f t="shared" si="127"/>
        <v>0.41789271904176373</v>
      </c>
      <c r="T109" s="98">
        <f t="shared" si="127"/>
        <v>1.7699612211702944E-14</v>
      </c>
      <c r="U109" s="98">
        <f t="shared" si="127"/>
        <v>0</v>
      </c>
      <c r="V109" s="98">
        <f t="shared" si="127"/>
        <v>0</v>
      </c>
      <c r="W109" s="98">
        <f t="shared" si="127"/>
        <v>0</v>
      </c>
      <c r="X109" s="98">
        <f t="shared" si="127"/>
        <v>0</v>
      </c>
      <c r="Y109" s="98">
        <f t="shared" si="127"/>
        <v>0</v>
      </c>
      <c r="Z109" s="98">
        <f t="shared" si="127"/>
        <v>0</v>
      </c>
      <c r="AA109" s="98">
        <f t="shared" si="119"/>
        <v>0</v>
      </c>
      <c r="AB109" s="98">
        <f t="shared" si="120"/>
        <v>0</v>
      </c>
    </row>
    <row r="110" spans="1:28" outlineLevel="1">
      <c r="A110" s="5">
        <v>8</v>
      </c>
      <c r="B110" s="44" t="str">
        <f t="shared" si="121"/>
        <v>PV of Increase in forecast year 7 lease commitments</v>
      </c>
      <c r="C110" s="97">
        <f t="shared" si="115"/>
        <v>101.97285544855613</v>
      </c>
      <c r="D110" s="98">
        <f t="shared" si="116"/>
        <v>12.281710789684363</v>
      </c>
      <c r="E110" s="98">
        <f t="shared" si="116"/>
        <v>35.165871155322435</v>
      </c>
      <c r="F110" s="98">
        <f t="shared" si="116"/>
        <v>60.137837828635668</v>
      </c>
      <c r="G110" s="98">
        <f t="shared" si="116"/>
        <v>5.2368906754821349</v>
      </c>
      <c r="H110" s="98">
        <f t="shared" si="116"/>
        <v>-20.059470194264318</v>
      </c>
      <c r="I110" s="98">
        <f t="shared" si="116"/>
        <v>0.66268831790177363</v>
      </c>
      <c r="J110" s="100">
        <f t="shared" si="117"/>
        <v>48.961429327221168</v>
      </c>
      <c r="K110" s="98">
        <f t="shared" ref="K110:Z110" si="128">(K75-J76)/(POWER((1+K$39),$A110))</f>
        <v>6.4021001502154231</v>
      </c>
      <c r="L110" s="98">
        <f t="shared" si="128"/>
        <v>1.7253840211900229</v>
      </c>
      <c r="M110" s="98">
        <f t="shared" si="128"/>
        <v>-0.5538590400672968</v>
      </c>
      <c r="N110" s="98">
        <f t="shared" si="128"/>
        <v>5.7997266393835645</v>
      </c>
      <c r="O110" s="98">
        <f t="shared" si="128"/>
        <v>4.0352631249842608</v>
      </c>
      <c r="P110" s="98">
        <f t="shared" si="128"/>
        <v>1.0085019177370256</v>
      </c>
      <c r="Q110" s="98">
        <f t="shared" si="128"/>
        <v>-0.39914424205472132</v>
      </c>
      <c r="R110" s="98">
        <f t="shared" si="128"/>
        <v>-0.15404690088904263</v>
      </c>
      <c r="S110" s="98">
        <f t="shared" si="128"/>
        <v>0.39091928815880617</v>
      </c>
      <c r="T110" s="98">
        <f t="shared" si="128"/>
        <v>1.6541693655797144E-14</v>
      </c>
      <c r="U110" s="98">
        <f t="shared" si="128"/>
        <v>0</v>
      </c>
      <c r="V110" s="98">
        <f t="shared" si="128"/>
        <v>0</v>
      </c>
      <c r="W110" s="98">
        <f t="shared" si="128"/>
        <v>0</v>
      </c>
      <c r="X110" s="98">
        <f t="shared" si="128"/>
        <v>0</v>
      </c>
      <c r="Y110" s="98">
        <f t="shared" si="128"/>
        <v>0</v>
      </c>
      <c r="Z110" s="98">
        <f t="shared" si="128"/>
        <v>0</v>
      </c>
      <c r="AA110" s="98">
        <f t="shared" si="119"/>
        <v>0</v>
      </c>
      <c r="AB110" s="98">
        <f t="shared" si="120"/>
        <v>0</v>
      </c>
    </row>
    <row r="111" spans="1:28" outlineLevel="1">
      <c r="A111" s="5">
        <v>9</v>
      </c>
      <c r="B111" s="44" t="str">
        <f t="shared" si="121"/>
        <v>PV of Increase in forecast year 8 lease commitments</v>
      </c>
      <c r="C111" s="97">
        <f t="shared" si="115"/>
        <v>92.871453049686821</v>
      </c>
      <c r="D111" s="98">
        <f t="shared" si="116"/>
        <v>11.185528952353698</v>
      </c>
      <c r="E111" s="98">
        <f t="shared" si="116"/>
        <v>32.027205059492196</v>
      </c>
      <c r="F111" s="98">
        <f t="shared" si="116"/>
        <v>54.770344106225558</v>
      </c>
      <c r="G111" s="98">
        <f t="shared" si="116"/>
        <v>4.7694814895101407</v>
      </c>
      <c r="H111" s="98">
        <f t="shared" si="116"/>
        <v>-18.269098537581343</v>
      </c>
      <c r="I111" s="98">
        <f t="shared" si="116"/>
        <v>0.60354127313458428</v>
      </c>
      <c r="J111" s="100">
        <f t="shared" si="117"/>
        <v>44.836473742876521</v>
      </c>
      <c r="K111" s="98">
        <f t="shared" ref="K111:Z111" si="129">(K76-J77)/(POWER((1+K$39),$A111))</f>
        <v>5.9832711684256283</v>
      </c>
      <c r="L111" s="98">
        <f t="shared" si="129"/>
        <v>1.6277207747075688</v>
      </c>
      <c r="M111" s="98">
        <f t="shared" si="129"/>
        <v>-0.52498487210170308</v>
      </c>
      <c r="N111" s="98">
        <f t="shared" si="129"/>
        <v>5.5078125730138314</v>
      </c>
      <c r="O111" s="98">
        <f t="shared" si="129"/>
        <v>3.7712739485834206</v>
      </c>
      <c r="P111" s="98">
        <f t="shared" si="129"/>
        <v>0.93379807197872722</v>
      </c>
      <c r="Q111" s="98">
        <f t="shared" si="129"/>
        <v>-0.36992052090335614</v>
      </c>
      <c r="R111" s="98">
        <f t="shared" si="129"/>
        <v>-0.14383464135298096</v>
      </c>
      <c r="S111" s="98">
        <f t="shared" si="129"/>
        <v>0.36568689257138087</v>
      </c>
      <c r="T111" s="98">
        <f t="shared" si="129"/>
        <v>1.5459526781118827E-14</v>
      </c>
      <c r="U111" s="98">
        <f t="shared" si="129"/>
        <v>0</v>
      </c>
      <c r="V111" s="98">
        <f t="shared" si="129"/>
        <v>0</v>
      </c>
      <c r="W111" s="98">
        <f t="shared" si="129"/>
        <v>0</v>
      </c>
      <c r="X111" s="98">
        <f t="shared" si="129"/>
        <v>0</v>
      </c>
      <c r="Y111" s="98">
        <f t="shared" si="129"/>
        <v>0</v>
      </c>
      <c r="Z111" s="98">
        <f t="shared" si="129"/>
        <v>0</v>
      </c>
      <c r="AA111" s="98">
        <f t="shared" si="119"/>
        <v>0</v>
      </c>
      <c r="AB111" s="98">
        <f t="shared" si="120"/>
        <v>0</v>
      </c>
    </row>
    <row r="112" spans="1:28" outlineLevel="1">
      <c r="A112" s="5">
        <v>10</v>
      </c>
      <c r="B112" s="44" t="str">
        <f t="shared" si="121"/>
        <v>PV of Increase in forecast year 9 lease commitments</v>
      </c>
      <c r="C112" s="97">
        <f t="shared" si="115"/>
        <v>84.582379826672877</v>
      </c>
      <c r="D112" s="98">
        <f t="shared" si="116"/>
        <v>10.187184838209197</v>
      </c>
      <c r="E112" s="98">
        <f t="shared" si="116"/>
        <v>29.168674917570307</v>
      </c>
      <c r="F112" s="98">
        <f t="shared" si="116"/>
        <v>49.881916308037852</v>
      </c>
      <c r="G112" s="98">
        <f t="shared" si="116"/>
        <v>4.3437900633061393</v>
      </c>
      <c r="H112" s="98">
        <f t="shared" si="116"/>
        <v>-16.638523258270805</v>
      </c>
      <c r="I112" s="98">
        <f t="shared" si="116"/>
        <v>0.54967329065080539</v>
      </c>
      <c r="J112" s="100">
        <f t="shared" si="117"/>
        <v>41.059041889081058</v>
      </c>
      <c r="K112" s="98">
        <f t="shared" ref="K112:Z112" si="130">(K77-J78)/(POWER((1+K$39),$A112))</f>
        <v>5.5918422134818959</v>
      </c>
      <c r="L112" s="98">
        <f t="shared" si="130"/>
        <v>1.5355856365165741</v>
      </c>
      <c r="M112" s="98">
        <f t="shared" si="130"/>
        <v>-0.49761599251346272</v>
      </c>
      <c r="N112" s="98">
        <f t="shared" si="130"/>
        <v>5.2305912374300396</v>
      </c>
      <c r="O112" s="98">
        <f t="shared" si="130"/>
        <v>3.5245550921340381</v>
      </c>
      <c r="P112" s="98">
        <f t="shared" si="130"/>
        <v>0.86462784442474749</v>
      </c>
      <c r="Q112" s="98">
        <f t="shared" si="130"/>
        <v>-0.34283644198642832</v>
      </c>
      <c r="R112" s="98">
        <f t="shared" si="130"/>
        <v>-0.13429938501678895</v>
      </c>
      <c r="S112" s="98">
        <f t="shared" si="130"/>
        <v>0.34208315488436009</v>
      </c>
      <c r="T112" s="98">
        <f t="shared" si="130"/>
        <v>1.4448155870204511E-14</v>
      </c>
      <c r="U112" s="98">
        <f t="shared" si="130"/>
        <v>0</v>
      </c>
      <c r="V112" s="98">
        <f t="shared" si="130"/>
        <v>0</v>
      </c>
      <c r="W112" s="98">
        <f t="shared" si="130"/>
        <v>0</v>
      </c>
      <c r="X112" s="98">
        <f t="shared" si="130"/>
        <v>0</v>
      </c>
      <c r="Y112" s="98">
        <f t="shared" si="130"/>
        <v>0</v>
      </c>
      <c r="Z112" s="98">
        <f t="shared" si="130"/>
        <v>0</v>
      </c>
      <c r="AA112" s="98">
        <f t="shared" si="119"/>
        <v>0</v>
      </c>
      <c r="AB112" s="98">
        <f t="shared" si="120"/>
        <v>0</v>
      </c>
    </row>
    <row r="113" spans="1:28" outlineLevel="1">
      <c r="A113" s="5">
        <v>11</v>
      </c>
      <c r="B113" s="44" t="str">
        <f t="shared" si="121"/>
        <v>PV of Increase in forecast year 10 lease commitments</v>
      </c>
      <c r="C113" s="97">
        <f t="shared" si="115"/>
        <v>77.033132811177467</v>
      </c>
      <c r="D113" s="98">
        <f t="shared" ref="D113:I122" si="131">(D78-C79)/(POWER((1+D$39),$A113))</f>
        <v>9.2779461185876091</v>
      </c>
      <c r="E113" s="98">
        <f t="shared" si="131"/>
        <v>26.565277702705192</v>
      </c>
      <c r="F113" s="98">
        <f t="shared" si="131"/>
        <v>45.429796273258503</v>
      </c>
      <c r="G113" s="98">
        <f t="shared" si="131"/>
        <v>3.9560929538307272</v>
      </c>
      <c r="H113" s="98">
        <f t="shared" si="131"/>
        <v>-15.153482020283061</v>
      </c>
      <c r="I113" s="98">
        <f t="shared" si="131"/>
        <v>0.50061319731403031</v>
      </c>
      <c r="J113" s="100">
        <f t="shared" si="117"/>
        <v>37.59985520978119</v>
      </c>
      <c r="K113" s="98">
        <f t="shared" ref="K113:Z113" si="132">(K78-J79)/(POWER((1+K$39),$A113))</f>
        <v>5.2260207602634532</v>
      </c>
      <c r="L113" s="98">
        <f t="shared" si="132"/>
        <v>1.4486656948269565</v>
      </c>
      <c r="M113" s="98">
        <f t="shared" si="132"/>
        <v>-0.4716739265530453</v>
      </c>
      <c r="N113" s="98">
        <f t="shared" si="132"/>
        <v>4.9673231124691739</v>
      </c>
      <c r="O113" s="98">
        <f t="shared" si="132"/>
        <v>3.293976721620596</v>
      </c>
      <c r="P113" s="98">
        <f t="shared" si="132"/>
        <v>0.80058133743032167</v>
      </c>
      <c r="Q113" s="98">
        <f t="shared" si="132"/>
        <v>-0.31773534938501241</v>
      </c>
      <c r="R113" s="98">
        <f t="shared" si="132"/>
        <v>-0.1253962511828095</v>
      </c>
      <c r="S113" s="98">
        <f t="shared" si="132"/>
        <v>0.32000295124823203</v>
      </c>
      <c r="T113" s="98">
        <f t="shared" si="132"/>
        <v>1.3502949411406083E-14</v>
      </c>
      <c r="U113" s="98">
        <f t="shared" si="132"/>
        <v>0</v>
      </c>
      <c r="V113" s="98">
        <f t="shared" si="132"/>
        <v>0</v>
      </c>
      <c r="W113" s="98">
        <f t="shared" si="132"/>
        <v>0</v>
      </c>
      <c r="X113" s="98">
        <f t="shared" si="132"/>
        <v>0</v>
      </c>
      <c r="Y113" s="98">
        <f t="shared" si="132"/>
        <v>0</v>
      </c>
      <c r="Z113" s="98">
        <f t="shared" si="132"/>
        <v>0</v>
      </c>
      <c r="AA113" s="98">
        <f t="shared" si="119"/>
        <v>0</v>
      </c>
      <c r="AB113" s="98">
        <f t="shared" si="120"/>
        <v>0</v>
      </c>
    </row>
    <row r="114" spans="1:28" outlineLevel="1">
      <c r="A114" s="5">
        <v>12</v>
      </c>
      <c r="B114" s="44" t="str">
        <f t="shared" si="121"/>
        <v>PV of Increase in forecast year 11 lease commitments</v>
      </c>
      <c r="C114" s="97">
        <f t="shared" si="115"/>
        <v>70.157680155899342</v>
      </c>
      <c r="D114" s="98">
        <f t="shared" si="131"/>
        <v>8.4498598529941802</v>
      </c>
      <c r="E114" s="98">
        <f t="shared" si="131"/>
        <v>24.194241987891797</v>
      </c>
      <c r="F114" s="98">
        <f t="shared" si="131"/>
        <v>41.375042143222686</v>
      </c>
      <c r="G114" s="98">
        <f t="shared" si="131"/>
        <v>3.60299904720467</v>
      </c>
      <c r="H114" s="98">
        <f t="shared" si="131"/>
        <v>-13.800985446523736</v>
      </c>
      <c r="I114" s="98">
        <f t="shared" si="131"/>
        <v>0.45593187369219518</v>
      </c>
      <c r="J114" s="100">
        <f t="shared" si="117"/>
        <v>34.432101840458962</v>
      </c>
      <c r="K114" s="98">
        <f t="shared" ref="K114:Z114" si="133">(K79-J80)/(POWER((1+K$39),$A114))</f>
        <v>4.8841315516480881</v>
      </c>
      <c r="L114" s="98">
        <f t="shared" si="133"/>
        <v>1.3666657498367514</v>
      </c>
      <c r="M114" s="98">
        <f t="shared" si="133"/>
        <v>-0.44708429057160692</v>
      </c>
      <c r="N114" s="98">
        <f t="shared" si="133"/>
        <v>4.7173058997807917</v>
      </c>
      <c r="O114" s="98">
        <f t="shared" si="133"/>
        <v>3.0784829174024266</v>
      </c>
      <c r="P114" s="98">
        <f t="shared" si="133"/>
        <v>0.74127901613918668</v>
      </c>
      <c r="Q114" s="98">
        <f t="shared" si="133"/>
        <v>-0.29447205689065098</v>
      </c>
      <c r="R114" s="98">
        <f t="shared" si="133"/>
        <v>-0.11708333443773061</v>
      </c>
      <c r="S114" s="98">
        <f t="shared" si="133"/>
        <v>0.29934794316953423</v>
      </c>
      <c r="T114" s="98">
        <f t="shared" si="133"/>
        <v>1.2619578889164566E-14</v>
      </c>
      <c r="U114" s="98">
        <f t="shared" si="133"/>
        <v>0</v>
      </c>
      <c r="V114" s="98">
        <f t="shared" si="133"/>
        <v>0</v>
      </c>
      <c r="W114" s="98">
        <f t="shared" si="133"/>
        <v>0</v>
      </c>
      <c r="X114" s="98">
        <f t="shared" si="133"/>
        <v>0</v>
      </c>
      <c r="Y114" s="98">
        <f t="shared" si="133"/>
        <v>0</v>
      </c>
      <c r="Z114" s="98">
        <f t="shared" si="133"/>
        <v>0</v>
      </c>
      <c r="AA114" s="98">
        <f t="shared" si="119"/>
        <v>0</v>
      </c>
      <c r="AB114" s="98">
        <f t="shared" si="120"/>
        <v>0</v>
      </c>
    </row>
    <row r="115" spans="1:28" outlineLevel="1">
      <c r="A115" s="5">
        <v>13</v>
      </c>
      <c r="B115" s="44" t="str">
        <f t="shared" si="121"/>
        <v>PV of Increase in forecast year 12 lease commitments</v>
      </c>
      <c r="C115" s="97">
        <f t="shared" si="115"/>
        <v>63.89588356639284</v>
      </c>
      <c r="D115" s="98">
        <f t="shared" si="131"/>
        <v>71.591566492617048</v>
      </c>
      <c r="E115" s="98">
        <f t="shared" si="131"/>
        <v>22.034828768571764</v>
      </c>
      <c r="F115" s="98">
        <f t="shared" si="131"/>
        <v>37.682187744282956</v>
      </c>
      <c r="G115" s="98">
        <f t="shared" si="131"/>
        <v>134.59000290274378</v>
      </c>
      <c r="H115" s="98">
        <f t="shared" si="131"/>
        <v>-12.569203503209231</v>
      </c>
      <c r="I115" s="98">
        <f t="shared" si="131"/>
        <v>0.41523850063041456</v>
      </c>
      <c r="J115" s="100">
        <f t="shared" si="117"/>
        <v>31.531228791629086</v>
      </c>
      <c r="K115" s="98">
        <f t="shared" ref="K115:Z115" si="134">(K80-J81)/(POWER((1+K$39),$A115))</f>
        <v>4.5646089267739134</v>
      </c>
      <c r="L115" s="98">
        <f t="shared" si="134"/>
        <v>1.2893073111667464</v>
      </c>
      <c r="M115" s="98">
        <f t="shared" si="134"/>
        <v>-0.42377657874085967</v>
      </c>
      <c r="N115" s="98">
        <f t="shared" si="134"/>
        <v>4.4798726493644754</v>
      </c>
      <c r="O115" s="98">
        <f t="shared" si="134"/>
        <v>2.8770868386938564</v>
      </c>
      <c r="P115" s="98">
        <f t="shared" si="134"/>
        <v>0.68636945938813587</v>
      </c>
      <c r="Q115" s="98">
        <f t="shared" si="134"/>
        <v>-0.27291200823971362</v>
      </c>
      <c r="R115" s="98">
        <f t="shared" si="134"/>
        <v>-0.10932150741151318</v>
      </c>
      <c r="S115" s="98">
        <f t="shared" si="134"/>
        <v>0.28002613954119204</v>
      </c>
      <c r="T115" s="98">
        <f t="shared" si="134"/>
        <v>1.1793998961836041E-14</v>
      </c>
      <c r="U115" s="98">
        <f t="shared" si="134"/>
        <v>0</v>
      </c>
      <c r="V115" s="98">
        <f t="shared" si="134"/>
        <v>0</v>
      </c>
      <c r="W115" s="98">
        <f t="shared" si="134"/>
        <v>0</v>
      </c>
      <c r="X115" s="98">
        <f t="shared" si="134"/>
        <v>0</v>
      </c>
      <c r="Y115" s="98">
        <f t="shared" si="134"/>
        <v>0</v>
      </c>
      <c r="Z115" s="98">
        <f t="shared" si="134"/>
        <v>0</v>
      </c>
      <c r="AA115" s="98">
        <f t="shared" si="119"/>
        <v>0</v>
      </c>
      <c r="AB115" s="98">
        <f t="shared" si="120"/>
        <v>0</v>
      </c>
    </row>
    <row r="116" spans="1:28" outlineLevel="1">
      <c r="A116" s="5">
        <v>14</v>
      </c>
      <c r="B116" s="44" t="str">
        <f t="shared" si="121"/>
        <v>PV of Increase in forecast year 13 lease commitments</v>
      </c>
      <c r="C116" s="97">
        <f t="shared" si="115"/>
        <v>0</v>
      </c>
      <c r="D116" s="98">
        <f t="shared" si="131"/>
        <v>65.201790976882563</v>
      </c>
      <c r="E116" s="98">
        <f t="shared" si="131"/>
        <v>85.269941039334071</v>
      </c>
      <c r="F116" s="98">
        <f t="shared" si="131"/>
        <v>-85.269941039334071</v>
      </c>
      <c r="G116" s="98">
        <f t="shared" si="131"/>
        <v>122.57741612271747</v>
      </c>
      <c r="H116" s="98">
        <f t="shared" si="131"/>
        <v>-11.44736202478072</v>
      </c>
      <c r="I116" s="98">
        <f t="shared" si="131"/>
        <v>0.37817714082915715</v>
      </c>
      <c r="J116" s="100">
        <f t="shared" si="117"/>
        <v>28.874751640685972</v>
      </c>
      <c r="K116" s="98">
        <f t="shared" ref="K116:Z116" si="135">(K81-J82)/(POWER((1+K$39),$A116))</f>
        <v>4.2659896511905737</v>
      </c>
      <c r="L116" s="98">
        <f t="shared" si="135"/>
        <v>1.2163276520441004</v>
      </c>
      <c r="M116" s="98">
        <f t="shared" si="135"/>
        <v>52.880512027992765</v>
      </c>
      <c r="N116" s="98">
        <f t="shared" si="135"/>
        <v>4.2543899804031104</v>
      </c>
      <c r="O116" s="98">
        <f t="shared" si="135"/>
        <v>2.6888662043867817</v>
      </c>
      <c r="P116" s="98">
        <f t="shared" si="135"/>
        <v>0.63552727721123681</v>
      </c>
      <c r="Q116" s="98">
        <f t="shared" si="135"/>
        <v>-0.25293049883198671</v>
      </c>
      <c r="R116" s="98">
        <f t="shared" si="135"/>
        <v>-0.10207423661205713</v>
      </c>
      <c r="S116" s="98">
        <f t="shared" si="135"/>
        <v>0.26195148694218151</v>
      </c>
      <c r="T116" s="98">
        <f t="shared" si="135"/>
        <v>1.1022428936295367E-14</v>
      </c>
      <c r="U116" s="98">
        <f t="shared" si="135"/>
        <v>0</v>
      </c>
      <c r="V116" s="98">
        <f t="shared" si="135"/>
        <v>0</v>
      </c>
      <c r="W116" s="98">
        <f t="shared" si="135"/>
        <v>0</v>
      </c>
      <c r="X116" s="98">
        <f t="shared" si="135"/>
        <v>0</v>
      </c>
      <c r="Y116" s="98">
        <f t="shared" si="135"/>
        <v>0</v>
      </c>
      <c r="Z116" s="98">
        <f t="shared" si="135"/>
        <v>0</v>
      </c>
      <c r="AA116" s="98">
        <f t="shared" si="119"/>
        <v>0</v>
      </c>
      <c r="AB116" s="98">
        <f t="shared" si="120"/>
        <v>0</v>
      </c>
    </row>
    <row r="117" spans="1:28" outlineLevel="1">
      <c r="A117" s="5">
        <v>15</v>
      </c>
      <c r="B117" s="44" t="str">
        <f t="shared" si="121"/>
        <v>PV of Increase in forecast year 14 lease commitments</v>
      </c>
      <c r="C117" s="97">
        <f t="shared" si="115"/>
        <v>0</v>
      </c>
      <c r="D117" s="98">
        <f t="shared" si="131"/>
        <v>0</v>
      </c>
      <c r="E117" s="98">
        <f t="shared" si="131"/>
        <v>77.659326993929014</v>
      </c>
      <c r="F117" s="98">
        <f t="shared" si="131"/>
        <v>0</v>
      </c>
      <c r="G117" s="98">
        <f t="shared" si="131"/>
        <v>111.63699100429639</v>
      </c>
      <c r="H117" s="98">
        <f t="shared" si="131"/>
        <v>101.21134252999701</v>
      </c>
      <c r="I117" s="98">
        <f t="shared" si="131"/>
        <v>0.34442362552746542</v>
      </c>
      <c r="J117" s="100">
        <f t="shared" si="117"/>
        <v>26.442080257038434</v>
      </c>
      <c r="K117" s="98">
        <f t="shared" ref="K117:Z117" si="136">(K82-J83)/(POWER((1+K$39),$A117))</f>
        <v>39.869062160659567</v>
      </c>
      <c r="L117" s="98">
        <f t="shared" si="136"/>
        <v>0</v>
      </c>
      <c r="M117" s="98">
        <f t="shared" si="136"/>
        <v>50.123708083405468</v>
      </c>
      <c r="N117" s="98">
        <f t="shared" si="136"/>
        <v>4.0402563916458796</v>
      </c>
      <c r="O117" s="98">
        <f t="shared" si="136"/>
        <v>2.5129590695203565</v>
      </c>
      <c r="P117" s="98">
        <f t="shared" si="136"/>
        <v>0.588451182602997</v>
      </c>
      <c r="Q117" s="98">
        <f t="shared" si="136"/>
        <v>-0.23441195443186902</v>
      </c>
      <c r="R117" s="98">
        <f t="shared" si="136"/>
        <v>-9.5307410468774167E-2</v>
      </c>
      <c r="S117" s="98">
        <f t="shared" si="136"/>
        <v>0.24504348638183487</v>
      </c>
      <c r="T117" s="98">
        <f t="shared" si="136"/>
        <v>1.030133545448165E-14</v>
      </c>
      <c r="U117" s="98">
        <f t="shared" si="136"/>
        <v>0</v>
      </c>
      <c r="V117" s="98">
        <f t="shared" si="136"/>
        <v>0</v>
      </c>
      <c r="W117" s="98">
        <f t="shared" si="136"/>
        <v>0</v>
      </c>
      <c r="X117" s="98">
        <f t="shared" si="136"/>
        <v>0</v>
      </c>
      <c r="Y117" s="98">
        <f t="shared" si="136"/>
        <v>0</v>
      </c>
      <c r="Z117" s="98">
        <f t="shared" si="136"/>
        <v>0</v>
      </c>
      <c r="AA117" s="98">
        <f t="shared" si="119"/>
        <v>0</v>
      </c>
      <c r="AB117" s="98">
        <f t="shared" si="120"/>
        <v>0</v>
      </c>
    </row>
    <row r="118" spans="1:28" outlineLevel="1">
      <c r="A118" s="5">
        <v>16</v>
      </c>
      <c r="B118" s="44" t="str">
        <f t="shared" si="121"/>
        <v>PV of Increase in forecast year 15 lease commitments</v>
      </c>
      <c r="C118" s="97">
        <f t="shared" si="115"/>
        <v>0</v>
      </c>
      <c r="D118" s="98">
        <f t="shared" si="131"/>
        <v>0</v>
      </c>
      <c r="E118" s="98">
        <f t="shared" si="131"/>
        <v>0</v>
      </c>
      <c r="F118" s="98">
        <f t="shared" si="131"/>
        <v>0</v>
      </c>
      <c r="G118" s="98">
        <f t="shared" si="131"/>
        <v>0</v>
      </c>
      <c r="H118" s="98">
        <f t="shared" si="131"/>
        <v>92.177907586518231</v>
      </c>
      <c r="I118" s="98">
        <f t="shared" si="131"/>
        <v>92.491590305577844</v>
      </c>
      <c r="J118" s="100">
        <f t="shared" si="117"/>
        <v>0</v>
      </c>
      <c r="K118" s="98">
        <f t="shared" ref="K118:Z118" si="137">(K83-J84)/(POWER((1+K$39),$A118))</f>
        <v>0</v>
      </c>
      <c r="L118" s="98">
        <f t="shared" si="137"/>
        <v>0</v>
      </c>
      <c r="M118" s="98">
        <f t="shared" si="137"/>
        <v>47.510623775739781</v>
      </c>
      <c r="N118" s="98">
        <f t="shared" si="137"/>
        <v>52.812092691018897</v>
      </c>
      <c r="O118" s="98">
        <f t="shared" si="137"/>
        <v>2.3485598780564083</v>
      </c>
      <c r="P118" s="98">
        <f t="shared" si="137"/>
        <v>0.54486220611388614</v>
      </c>
      <c r="Q118" s="98">
        <f t="shared" si="137"/>
        <v>-0.21724926268013817</v>
      </c>
      <c r="R118" s="98">
        <f t="shared" si="137"/>
        <v>-8.8989178775699507E-2</v>
      </c>
      <c r="S118" s="98">
        <f t="shared" si="137"/>
        <v>0.22922683478188485</v>
      </c>
      <c r="T118" s="98">
        <f t="shared" si="137"/>
        <v>9.6274163125996742E-15</v>
      </c>
      <c r="U118" s="98">
        <f t="shared" si="137"/>
        <v>0</v>
      </c>
      <c r="V118" s="98">
        <f t="shared" si="137"/>
        <v>0</v>
      </c>
      <c r="W118" s="98">
        <f t="shared" si="137"/>
        <v>0</v>
      </c>
      <c r="X118" s="98">
        <f t="shared" si="137"/>
        <v>0</v>
      </c>
      <c r="Y118" s="98">
        <f t="shared" si="137"/>
        <v>0</v>
      </c>
      <c r="Z118" s="98">
        <f t="shared" si="137"/>
        <v>0</v>
      </c>
      <c r="AA118" s="98">
        <f t="shared" si="119"/>
        <v>0</v>
      </c>
      <c r="AB118" s="98">
        <f t="shared" si="120"/>
        <v>0</v>
      </c>
    </row>
    <row r="119" spans="1:28" outlineLevel="1">
      <c r="A119" s="5">
        <v>17</v>
      </c>
      <c r="B119" s="44" t="str">
        <f t="shared" si="121"/>
        <v>PV of Increase in forecast year 16 lease commitments</v>
      </c>
      <c r="C119" s="97">
        <f t="shared" si="115"/>
        <v>0</v>
      </c>
      <c r="D119" s="98">
        <f t="shared" si="131"/>
        <v>0</v>
      </c>
      <c r="E119" s="98">
        <f t="shared" si="131"/>
        <v>0</v>
      </c>
      <c r="F119" s="98">
        <f t="shared" si="131"/>
        <v>0</v>
      </c>
      <c r="G119" s="98">
        <f t="shared" si="131"/>
        <v>0</v>
      </c>
      <c r="H119" s="98">
        <f t="shared" si="131"/>
        <v>0</v>
      </c>
      <c r="I119" s="98">
        <f t="shared" si="131"/>
        <v>0</v>
      </c>
      <c r="J119" s="100">
        <f t="shared" si="117"/>
        <v>0</v>
      </c>
      <c r="K119" s="98">
        <f t="shared" ref="K119:Z119" si="138">(K84-J85)/(POWER((1+K$39),$A119))</f>
        <v>0</v>
      </c>
      <c r="L119" s="98">
        <f t="shared" si="138"/>
        <v>0</v>
      </c>
      <c r="M119" s="98">
        <f t="shared" si="138"/>
        <v>0</v>
      </c>
      <c r="N119" s="98">
        <f t="shared" si="138"/>
        <v>50.153934179505129</v>
      </c>
      <c r="O119" s="98">
        <f t="shared" si="138"/>
        <v>2.1949157738844938</v>
      </c>
      <c r="P119" s="98">
        <f t="shared" si="138"/>
        <v>0.50450204269804266</v>
      </c>
      <c r="Q119" s="98">
        <f t="shared" si="138"/>
        <v>-0.20134315354971102</v>
      </c>
      <c r="R119" s="98">
        <f t="shared" si="138"/>
        <v>-8.3089802778430921E-2</v>
      </c>
      <c r="S119" s="98">
        <f t="shared" si="138"/>
        <v>0.21443108959951812</v>
      </c>
      <c r="T119" s="98">
        <f t="shared" si="138"/>
        <v>8.9975853388782007E-15</v>
      </c>
      <c r="U119" s="98">
        <f t="shared" si="138"/>
        <v>0</v>
      </c>
      <c r="V119" s="98">
        <f t="shared" si="138"/>
        <v>0</v>
      </c>
      <c r="W119" s="98">
        <f t="shared" si="138"/>
        <v>0</v>
      </c>
      <c r="X119" s="98">
        <f t="shared" si="138"/>
        <v>0</v>
      </c>
      <c r="Y119" s="98">
        <f t="shared" si="138"/>
        <v>0</v>
      </c>
      <c r="Z119" s="98">
        <f t="shared" si="138"/>
        <v>0</v>
      </c>
      <c r="AA119" s="98">
        <f t="shared" si="119"/>
        <v>0</v>
      </c>
      <c r="AB119" s="98">
        <f t="shared" si="120"/>
        <v>0</v>
      </c>
    </row>
    <row r="120" spans="1:28" outlineLevel="1">
      <c r="A120" s="5">
        <v>18</v>
      </c>
      <c r="B120" s="44" t="str">
        <f t="shared" si="121"/>
        <v>PV of Increase in forecast year 17 lease commitments</v>
      </c>
      <c r="C120" s="97">
        <f t="shared" si="115"/>
        <v>0</v>
      </c>
      <c r="D120" s="98">
        <f t="shared" si="131"/>
        <v>0</v>
      </c>
      <c r="E120" s="98">
        <f t="shared" si="131"/>
        <v>0</v>
      </c>
      <c r="F120" s="98">
        <f t="shared" si="131"/>
        <v>0</v>
      </c>
      <c r="G120" s="98">
        <f t="shared" si="131"/>
        <v>0</v>
      </c>
      <c r="H120" s="98">
        <f t="shared" si="131"/>
        <v>0</v>
      </c>
      <c r="I120" s="98">
        <f t="shared" si="131"/>
        <v>0</v>
      </c>
      <c r="J120" s="100">
        <f t="shared" si="117"/>
        <v>0</v>
      </c>
      <c r="K120" s="98">
        <f t="shared" ref="K120:Z120" si="139">(K85-J86)/(POWER((1+K$39),$A120))</f>
        <v>0</v>
      </c>
      <c r="L120" s="98">
        <f t="shared" si="139"/>
        <v>0</v>
      </c>
      <c r="M120" s="98">
        <f t="shared" si="139"/>
        <v>0</v>
      </c>
      <c r="N120" s="98">
        <f t="shared" si="139"/>
        <v>47.629567122037166</v>
      </c>
      <c r="O120" s="98">
        <f t="shared" si="139"/>
        <v>37.752235722635938</v>
      </c>
      <c r="P120" s="98">
        <f t="shared" si="139"/>
        <v>0.46713152101670613</v>
      </c>
      <c r="Q120" s="98">
        <f t="shared" si="139"/>
        <v>-0.18660162516191939</v>
      </c>
      <c r="R120" s="98">
        <f t="shared" si="139"/>
        <v>-7.75815151992819E-2</v>
      </c>
      <c r="S120" s="98">
        <f t="shared" si="139"/>
        <v>0.20059035509777187</v>
      </c>
      <c r="T120" s="98">
        <f t="shared" si="139"/>
        <v>8.4089582606338312E-15</v>
      </c>
      <c r="U120" s="98">
        <f t="shared" si="139"/>
        <v>0</v>
      </c>
      <c r="V120" s="98">
        <f t="shared" si="139"/>
        <v>0</v>
      </c>
      <c r="W120" s="98">
        <f t="shared" si="139"/>
        <v>0</v>
      </c>
      <c r="X120" s="98">
        <f t="shared" si="139"/>
        <v>0</v>
      </c>
      <c r="Y120" s="98">
        <f t="shared" si="139"/>
        <v>0</v>
      </c>
      <c r="Z120" s="98">
        <f t="shared" si="139"/>
        <v>0</v>
      </c>
      <c r="AA120" s="98">
        <f t="shared" si="119"/>
        <v>0</v>
      </c>
      <c r="AB120" s="98">
        <f t="shared" si="120"/>
        <v>0</v>
      </c>
    </row>
    <row r="121" spans="1:28" outlineLevel="1">
      <c r="A121" s="5">
        <v>19</v>
      </c>
      <c r="B121" s="44" t="str">
        <f t="shared" si="121"/>
        <v>PV of Increase in forecast year 18 lease commitments</v>
      </c>
      <c r="C121" s="97">
        <f t="shared" si="115"/>
        <v>0</v>
      </c>
      <c r="D121" s="98">
        <f t="shared" si="131"/>
        <v>0</v>
      </c>
      <c r="E121" s="98">
        <f t="shared" si="131"/>
        <v>0</v>
      </c>
      <c r="F121" s="98">
        <f t="shared" si="131"/>
        <v>0</v>
      </c>
      <c r="G121" s="98">
        <f t="shared" si="131"/>
        <v>0</v>
      </c>
      <c r="H121" s="98">
        <f t="shared" si="131"/>
        <v>0</v>
      </c>
      <c r="I121" s="98">
        <f t="shared" si="131"/>
        <v>0</v>
      </c>
      <c r="J121" s="100">
        <f t="shared" si="117"/>
        <v>0</v>
      </c>
      <c r="K121" s="98">
        <f t="shared" ref="K121:Z121" si="140">(K86-J87)/(POWER((1+K$39),$A121))</f>
        <v>0</v>
      </c>
      <c r="L121" s="98">
        <f t="shared" si="140"/>
        <v>0</v>
      </c>
      <c r="M121" s="98">
        <f t="shared" si="140"/>
        <v>0</v>
      </c>
      <c r="N121" s="98">
        <f t="shared" si="140"/>
        <v>0</v>
      </c>
      <c r="O121" s="98">
        <f t="shared" si="140"/>
        <v>35.282463292183117</v>
      </c>
      <c r="P121" s="98">
        <f t="shared" si="140"/>
        <v>0.4325291861265797</v>
      </c>
      <c r="Q121" s="98">
        <f t="shared" si="140"/>
        <v>-0.17293941164218665</v>
      </c>
      <c r="R121" s="98">
        <f t="shared" si="140"/>
        <v>-7.2438389541813183E-2</v>
      </c>
      <c r="S121" s="98">
        <f t="shared" si="140"/>
        <v>0.18764298886601671</v>
      </c>
      <c r="T121" s="98">
        <f t="shared" si="140"/>
        <v>7.8588394959194685E-15</v>
      </c>
      <c r="U121" s="98">
        <f t="shared" si="140"/>
        <v>0</v>
      </c>
      <c r="V121" s="98">
        <f t="shared" si="140"/>
        <v>0</v>
      </c>
      <c r="W121" s="98">
        <f t="shared" si="140"/>
        <v>0</v>
      </c>
      <c r="X121" s="98">
        <f t="shared" si="140"/>
        <v>0</v>
      </c>
      <c r="Y121" s="98">
        <f t="shared" si="140"/>
        <v>0</v>
      </c>
      <c r="Z121" s="98">
        <f t="shared" si="140"/>
        <v>0</v>
      </c>
      <c r="AA121" s="98">
        <f t="shared" si="119"/>
        <v>0</v>
      </c>
      <c r="AB121" s="98">
        <f t="shared" si="120"/>
        <v>0</v>
      </c>
    </row>
    <row r="122" spans="1:28" outlineLevel="1">
      <c r="A122" s="5">
        <f t="shared" ref="A122:A132" si="141">A121+1</f>
        <v>20</v>
      </c>
      <c r="B122" s="44" t="str">
        <f t="shared" si="121"/>
        <v>PV of Increase in forecast year 19 lease commitments</v>
      </c>
      <c r="C122" s="97">
        <f t="shared" si="115"/>
        <v>0</v>
      </c>
      <c r="D122" s="98">
        <f t="shared" si="131"/>
        <v>0</v>
      </c>
      <c r="E122" s="98">
        <f t="shared" si="131"/>
        <v>0</v>
      </c>
      <c r="F122" s="98">
        <f t="shared" si="131"/>
        <v>0</v>
      </c>
      <c r="G122" s="98">
        <f t="shared" si="131"/>
        <v>0</v>
      </c>
      <c r="H122" s="98">
        <f t="shared" si="131"/>
        <v>0</v>
      </c>
      <c r="I122" s="98">
        <f t="shared" si="131"/>
        <v>0</v>
      </c>
      <c r="J122" s="100">
        <f t="shared" si="117"/>
        <v>0</v>
      </c>
      <c r="K122" s="98">
        <f t="shared" ref="K122:Z122" si="142">(K87-J88)/(POWER((1+K$39),$A122))</f>
        <v>0</v>
      </c>
      <c r="L122" s="98">
        <f t="shared" si="142"/>
        <v>0</v>
      </c>
      <c r="M122" s="98">
        <f t="shared" si="142"/>
        <v>0</v>
      </c>
      <c r="N122" s="98">
        <f t="shared" si="142"/>
        <v>0</v>
      </c>
      <c r="O122" s="98">
        <f t="shared" si="142"/>
        <v>32.974264759049646</v>
      </c>
      <c r="P122" s="98">
        <f t="shared" si="142"/>
        <v>0.4004899871542405</v>
      </c>
      <c r="Q122" s="98">
        <f t="shared" si="142"/>
        <v>-0.16027748993715168</v>
      </c>
      <c r="R122" s="98">
        <f t="shared" si="142"/>
        <v>-6.7636218059582795E-2</v>
      </c>
      <c r="S122" s="98">
        <f t="shared" si="142"/>
        <v>0.17553132728345813</v>
      </c>
      <c r="T122" s="98">
        <f t="shared" si="142"/>
        <v>7.3447098092705319E-15</v>
      </c>
      <c r="U122" s="98">
        <f t="shared" si="142"/>
        <v>0</v>
      </c>
      <c r="V122" s="98">
        <f t="shared" si="142"/>
        <v>0</v>
      </c>
      <c r="W122" s="98">
        <f t="shared" si="142"/>
        <v>0</v>
      </c>
      <c r="X122" s="98">
        <f t="shared" si="142"/>
        <v>0</v>
      </c>
      <c r="Y122" s="98">
        <f t="shared" si="142"/>
        <v>0</v>
      </c>
      <c r="Z122" s="98">
        <f t="shared" si="142"/>
        <v>0</v>
      </c>
      <c r="AA122" s="98">
        <f t="shared" si="119"/>
        <v>0</v>
      </c>
      <c r="AB122" s="98">
        <f t="shared" si="120"/>
        <v>0</v>
      </c>
    </row>
    <row r="123" spans="1:28" outlineLevel="1">
      <c r="A123" s="5">
        <f t="shared" si="141"/>
        <v>21</v>
      </c>
      <c r="B123" s="44" t="str">
        <f t="shared" si="121"/>
        <v>PV of Increase in forecast year 20 lease commitments</v>
      </c>
      <c r="C123" s="97">
        <f t="shared" si="115"/>
        <v>0</v>
      </c>
      <c r="D123" s="98">
        <f t="shared" ref="D123:I132" si="143">(D88-C89)/(POWER((1+D$39),$A123))</f>
        <v>0</v>
      </c>
      <c r="E123" s="98">
        <f t="shared" si="143"/>
        <v>0</v>
      </c>
      <c r="F123" s="98">
        <f t="shared" si="143"/>
        <v>0</v>
      </c>
      <c r="G123" s="98">
        <f t="shared" si="143"/>
        <v>0</v>
      </c>
      <c r="H123" s="98">
        <f t="shared" si="143"/>
        <v>0</v>
      </c>
      <c r="I123" s="98">
        <f t="shared" si="143"/>
        <v>0</v>
      </c>
      <c r="J123" s="100">
        <f t="shared" si="117"/>
        <v>0</v>
      </c>
      <c r="K123" s="98">
        <f t="shared" ref="K123:Z123" si="144">(K88-J89)/(POWER((1+K$39),$A123))</f>
        <v>0</v>
      </c>
      <c r="L123" s="98">
        <f t="shared" si="144"/>
        <v>0</v>
      </c>
      <c r="M123" s="98">
        <f t="shared" si="144"/>
        <v>0</v>
      </c>
      <c r="N123" s="98">
        <f t="shared" si="144"/>
        <v>0</v>
      </c>
      <c r="O123" s="98">
        <f t="shared" si="144"/>
        <v>30.817069868270693</v>
      </c>
      <c r="P123" s="98">
        <f t="shared" si="144"/>
        <v>25.719297455473939</v>
      </c>
      <c r="Q123" s="98">
        <f t="shared" si="144"/>
        <v>26.075982228379264</v>
      </c>
      <c r="R123" s="98">
        <f t="shared" si="144"/>
        <v>30.423667647251044</v>
      </c>
      <c r="S123" s="98">
        <f t="shared" si="144"/>
        <v>31.805816739762697</v>
      </c>
      <c r="T123" s="98">
        <f t="shared" si="144"/>
        <v>31.18738993460833</v>
      </c>
      <c r="U123" s="98">
        <f t="shared" si="144"/>
        <v>29.988025341164779</v>
      </c>
      <c r="V123" s="98">
        <f t="shared" si="144"/>
        <v>28.836892140305164</v>
      </c>
      <c r="W123" s="98">
        <f t="shared" si="144"/>
        <v>27.731966297129386</v>
      </c>
      <c r="X123" s="98">
        <f t="shared" si="144"/>
        <v>26.671312246633821</v>
      </c>
      <c r="Y123" s="98">
        <f t="shared" si="144"/>
        <v>25.653078872941826</v>
      </c>
      <c r="Z123" s="98">
        <f t="shared" si="144"/>
        <v>24.675495678233034</v>
      </c>
      <c r="AA123" s="98">
        <f t="shared" si="119"/>
        <v>23.736869132094533</v>
      </c>
      <c r="AB123" s="98">
        <f t="shared" si="120"/>
        <v>22.835579192485994</v>
      </c>
    </row>
    <row r="124" spans="1:28" outlineLevel="1">
      <c r="A124" s="5">
        <f t="shared" si="141"/>
        <v>22</v>
      </c>
      <c r="B124" s="44" t="str">
        <f t="shared" si="121"/>
        <v>PV of Increase in forecast year 21 lease commitments</v>
      </c>
      <c r="C124" s="97">
        <f t="shared" si="115"/>
        <v>0</v>
      </c>
      <c r="D124" s="98">
        <f t="shared" si="143"/>
        <v>0</v>
      </c>
      <c r="E124" s="98">
        <f t="shared" si="143"/>
        <v>0</v>
      </c>
      <c r="F124" s="98">
        <f t="shared" si="143"/>
        <v>0</v>
      </c>
      <c r="G124" s="98">
        <f t="shared" si="143"/>
        <v>0</v>
      </c>
      <c r="H124" s="98">
        <f t="shared" si="143"/>
        <v>0</v>
      </c>
      <c r="I124" s="98">
        <f t="shared" si="143"/>
        <v>0</v>
      </c>
      <c r="J124" s="100">
        <f t="shared" si="117"/>
        <v>0</v>
      </c>
      <c r="K124" s="98">
        <f t="shared" ref="K124:Z124" si="145">(K89-J90)/(POWER((1+K$39),$A124))</f>
        <v>0</v>
      </c>
      <c r="L124" s="98">
        <f t="shared" si="145"/>
        <v>0</v>
      </c>
      <c r="M124" s="98">
        <f t="shared" si="145"/>
        <v>0</v>
      </c>
      <c r="N124" s="98">
        <f t="shared" si="145"/>
        <v>0</v>
      </c>
      <c r="O124" s="98">
        <f t="shared" si="145"/>
        <v>0</v>
      </c>
      <c r="P124" s="98">
        <f t="shared" si="145"/>
        <v>0</v>
      </c>
      <c r="Q124" s="98">
        <f t="shared" si="145"/>
        <v>0</v>
      </c>
      <c r="R124" s="98">
        <f t="shared" si="145"/>
        <v>0</v>
      </c>
      <c r="S124" s="98">
        <f t="shared" si="145"/>
        <v>0</v>
      </c>
      <c r="T124" s="98">
        <f t="shared" si="145"/>
        <v>0</v>
      </c>
      <c r="U124" s="98">
        <f t="shared" si="145"/>
        <v>0</v>
      </c>
      <c r="V124" s="98">
        <f t="shared" si="145"/>
        <v>0</v>
      </c>
      <c r="W124" s="98">
        <f t="shared" si="145"/>
        <v>0</v>
      </c>
      <c r="X124" s="98">
        <f t="shared" si="145"/>
        <v>0</v>
      </c>
      <c r="Y124" s="98">
        <f t="shared" si="145"/>
        <v>0</v>
      </c>
      <c r="Z124" s="98">
        <f t="shared" si="145"/>
        <v>0</v>
      </c>
      <c r="AA124" s="98">
        <f t="shared" si="119"/>
        <v>0</v>
      </c>
      <c r="AB124" s="98">
        <f t="shared" si="120"/>
        <v>0</v>
      </c>
    </row>
    <row r="125" spans="1:28" outlineLevel="1">
      <c r="A125" s="5">
        <f t="shared" si="141"/>
        <v>23</v>
      </c>
      <c r="B125" s="44" t="str">
        <f t="shared" si="121"/>
        <v>PV of Increase in forecast year 22 lease commitments</v>
      </c>
      <c r="C125" s="97">
        <f t="shared" si="115"/>
        <v>0</v>
      </c>
      <c r="D125" s="98">
        <f t="shared" si="143"/>
        <v>0</v>
      </c>
      <c r="E125" s="98">
        <f t="shared" si="143"/>
        <v>0</v>
      </c>
      <c r="F125" s="98">
        <f t="shared" si="143"/>
        <v>0</v>
      </c>
      <c r="G125" s="98">
        <f t="shared" si="143"/>
        <v>0</v>
      </c>
      <c r="H125" s="98">
        <f t="shared" si="143"/>
        <v>0</v>
      </c>
      <c r="I125" s="98">
        <f t="shared" si="143"/>
        <v>0</v>
      </c>
      <c r="J125" s="100">
        <f t="shared" si="117"/>
        <v>0</v>
      </c>
      <c r="K125" s="98">
        <f t="shared" ref="K125:Z125" si="146">(K90-J91)/(POWER((1+K$39),$A125))</f>
        <v>0</v>
      </c>
      <c r="L125" s="98">
        <f t="shared" si="146"/>
        <v>0</v>
      </c>
      <c r="M125" s="98">
        <f t="shared" si="146"/>
        <v>0</v>
      </c>
      <c r="N125" s="98">
        <f t="shared" si="146"/>
        <v>0</v>
      </c>
      <c r="O125" s="98">
        <f t="shared" si="146"/>
        <v>0</v>
      </c>
      <c r="P125" s="98">
        <f t="shared" si="146"/>
        <v>0</v>
      </c>
      <c r="Q125" s="98">
        <f t="shared" si="146"/>
        <v>0</v>
      </c>
      <c r="R125" s="98">
        <f t="shared" si="146"/>
        <v>0</v>
      </c>
      <c r="S125" s="98">
        <f t="shared" si="146"/>
        <v>0</v>
      </c>
      <c r="T125" s="98">
        <f t="shared" si="146"/>
        <v>0</v>
      </c>
      <c r="U125" s="98">
        <f t="shared" si="146"/>
        <v>0</v>
      </c>
      <c r="V125" s="98">
        <f t="shared" si="146"/>
        <v>0</v>
      </c>
      <c r="W125" s="98">
        <f t="shared" si="146"/>
        <v>0</v>
      </c>
      <c r="X125" s="98">
        <f t="shared" si="146"/>
        <v>0</v>
      </c>
      <c r="Y125" s="98">
        <f t="shared" si="146"/>
        <v>0</v>
      </c>
      <c r="Z125" s="98">
        <f t="shared" si="146"/>
        <v>0</v>
      </c>
      <c r="AA125" s="98">
        <f t="shared" si="119"/>
        <v>0</v>
      </c>
      <c r="AB125" s="98">
        <f t="shared" si="120"/>
        <v>0</v>
      </c>
    </row>
    <row r="126" spans="1:28" outlineLevel="1">
      <c r="A126" s="5">
        <f t="shared" si="141"/>
        <v>24</v>
      </c>
      <c r="B126" s="44" t="str">
        <f t="shared" si="121"/>
        <v>PV of Increase in forecast year 23 lease commitments</v>
      </c>
      <c r="C126" s="97">
        <f t="shared" si="115"/>
        <v>0</v>
      </c>
      <c r="D126" s="98">
        <f t="shared" si="143"/>
        <v>0</v>
      </c>
      <c r="E126" s="98">
        <f t="shared" si="143"/>
        <v>0</v>
      </c>
      <c r="F126" s="98">
        <f t="shared" si="143"/>
        <v>0</v>
      </c>
      <c r="G126" s="98">
        <f t="shared" si="143"/>
        <v>0</v>
      </c>
      <c r="H126" s="98">
        <f t="shared" si="143"/>
        <v>0</v>
      </c>
      <c r="I126" s="98">
        <f t="shared" si="143"/>
        <v>0</v>
      </c>
      <c r="J126" s="100">
        <f t="shared" si="117"/>
        <v>0</v>
      </c>
      <c r="K126" s="98">
        <f t="shared" ref="K126:Z126" si="147">(K91-J92)/(POWER((1+K$39),$A126))</f>
        <v>0</v>
      </c>
      <c r="L126" s="98">
        <f t="shared" si="147"/>
        <v>0</v>
      </c>
      <c r="M126" s="98">
        <f t="shared" si="147"/>
        <v>0</v>
      </c>
      <c r="N126" s="98">
        <f t="shared" si="147"/>
        <v>0</v>
      </c>
      <c r="O126" s="98">
        <f t="shared" si="147"/>
        <v>0</v>
      </c>
      <c r="P126" s="98">
        <f t="shared" si="147"/>
        <v>0</v>
      </c>
      <c r="Q126" s="98">
        <f t="shared" si="147"/>
        <v>0</v>
      </c>
      <c r="R126" s="98">
        <f t="shared" si="147"/>
        <v>0</v>
      </c>
      <c r="S126" s="98">
        <f t="shared" si="147"/>
        <v>0</v>
      </c>
      <c r="T126" s="98">
        <f t="shared" si="147"/>
        <v>0</v>
      </c>
      <c r="U126" s="98">
        <f t="shared" si="147"/>
        <v>0</v>
      </c>
      <c r="V126" s="98">
        <f t="shared" si="147"/>
        <v>0</v>
      </c>
      <c r="W126" s="98">
        <f t="shared" si="147"/>
        <v>0</v>
      </c>
      <c r="X126" s="98">
        <f t="shared" si="147"/>
        <v>0</v>
      </c>
      <c r="Y126" s="98">
        <f t="shared" si="147"/>
        <v>0</v>
      </c>
      <c r="Z126" s="98">
        <f t="shared" si="147"/>
        <v>0</v>
      </c>
      <c r="AA126" s="98">
        <f t="shared" si="119"/>
        <v>0</v>
      </c>
      <c r="AB126" s="98">
        <f t="shared" si="120"/>
        <v>0</v>
      </c>
    </row>
    <row r="127" spans="1:28" outlineLevel="1">
      <c r="A127" s="5">
        <f t="shared" si="141"/>
        <v>25</v>
      </c>
      <c r="B127" s="44" t="str">
        <f t="shared" si="121"/>
        <v>PV of Increase in forecast year 24 lease commitments</v>
      </c>
      <c r="C127" s="97">
        <f t="shared" si="115"/>
        <v>0</v>
      </c>
      <c r="D127" s="98">
        <f t="shared" si="143"/>
        <v>0</v>
      </c>
      <c r="E127" s="98">
        <f t="shared" si="143"/>
        <v>0</v>
      </c>
      <c r="F127" s="98">
        <f t="shared" si="143"/>
        <v>0</v>
      </c>
      <c r="G127" s="98">
        <f t="shared" si="143"/>
        <v>0</v>
      </c>
      <c r="H127" s="98">
        <f t="shared" si="143"/>
        <v>0</v>
      </c>
      <c r="I127" s="98">
        <f t="shared" si="143"/>
        <v>0</v>
      </c>
      <c r="J127" s="100">
        <f t="shared" si="117"/>
        <v>0</v>
      </c>
      <c r="K127" s="98">
        <f t="shared" ref="K127:Z127" si="148">(K92-J93)/(POWER((1+K$39),$A127))</f>
        <v>0</v>
      </c>
      <c r="L127" s="98">
        <f t="shared" si="148"/>
        <v>0</v>
      </c>
      <c r="M127" s="98">
        <f t="shared" si="148"/>
        <v>0</v>
      </c>
      <c r="N127" s="98">
        <f t="shared" si="148"/>
        <v>0</v>
      </c>
      <c r="O127" s="98">
        <f t="shared" si="148"/>
        <v>0</v>
      </c>
      <c r="P127" s="98">
        <f t="shared" si="148"/>
        <v>0</v>
      </c>
      <c r="Q127" s="98">
        <f t="shared" si="148"/>
        <v>0</v>
      </c>
      <c r="R127" s="98">
        <f t="shared" si="148"/>
        <v>0</v>
      </c>
      <c r="S127" s="98">
        <f t="shared" si="148"/>
        <v>0</v>
      </c>
      <c r="T127" s="98">
        <f t="shared" si="148"/>
        <v>0</v>
      </c>
      <c r="U127" s="98">
        <f t="shared" si="148"/>
        <v>0</v>
      </c>
      <c r="V127" s="98">
        <f t="shared" si="148"/>
        <v>0</v>
      </c>
      <c r="W127" s="98">
        <f t="shared" si="148"/>
        <v>0</v>
      </c>
      <c r="X127" s="98">
        <f t="shared" si="148"/>
        <v>0</v>
      </c>
      <c r="Y127" s="98">
        <f t="shared" si="148"/>
        <v>0</v>
      </c>
      <c r="Z127" s="98">
        <f t="shared" si="148"/>
        <v>0</v>
      </c>
      <c r="AA127" s="98">
        <f t="shared" si="119"/>
        <v>0</v>
      </c>
      <c r="AB127" s="98">
        <f t="shared" si="120"/>
        <v>0</v>
      </c>
    </row>
    <row r="128" spans="1:28" outlineLevel="1">
      <c r="A128" s="5">
        <f t="shared" si="141"/>
        <v>26</v>
      </c>
      <c r="B128" s="44" t="str">
        <f t="shared" si="121"/>
        <v>PV of Increase in forecast year 25 lease commitments</v>
      </c>
      <c r="C128" s="97">
        <f t="shared" si="115"/>
        <v>0</v>
      </c>
      <c r="D128" s="98">
        <f t="shared" si="143"/>
        <v>0</v>
      </c>
      <c r="E128" s="98">
        <f t="shared" si="143"/>
        <v>0</v>
      </c>
      <c r="F128" s="98">
        <f t="shared" si="143"/>
        <v>0</v>
      </c>
      <c r="G128" s="98">
        <f t="shared" si="143"/>
        <v>0</v>
      </c>
      <c r="H128" s="98">
        <f t="shared" si="143"/>
        <v>0</v>
      </c>
      <c r="I128" s="98">
        <f t="shared" si="143"/>
        <v>0</v>
      </c>
      <c r="J128" s="100">
        <f t="shared" si="117"/>
        <v>0</v>
      </c>
      <c r="K128" s="98">
        <f t="shared" ref="K128:Z128" si="149">(K93-J94)/(POWER((1+K$39),$A128))</f>
        <v>0</v>
      </c>
      <c r="L128" s="98">
        <f t="shared" si="149"/>
        <v>0</v>
      </c>
      <c r="M128" s="98">
        <f t="shared" si="149"/>
        <v>0</v>
      </c>
      <c r="N128" s="98">
        <f t="shared" si="149"/>
        <v>0</v>
      </c>
      <c r="O128" s="98">
        <f t="shared" si="149"/>
        <v>0</v>
      </c>
      <c r="P128" s="98">
        <f t="shared" si="149"/>
        <v>0</v>
      </c>
      <c r="Q128" s="98">
        <f t="shared" si="149"/>
        <v>0</v>
      </c>
      <c r="R128" s="98">
        <f t="shared" si="149"/>
        <v>0</v>
      </c>
      <c r="S128" s="98">
        <f t="shared" si="149"/>
        <v>0</v>
      </c>
      <c r="T128" s="98">
        <f t="shared" si="149"/>
        <v>0</v>
      </c>
      <c r="U128" s="98">
        <f t="shared" si="149"/>
        <v>0</v>
      </c>
      <c r="V128" s="98">
        <f t="shared" si="149"/>
        <v>0</v>
      </c>
      <c r="W128" s="98">
        <f t="shared" si="149"/>
        <v>0</v>
      </c>
      <c r="X128" s="98">
        <f t="shared" si="149"/>
        <v>0</v>
      </c>
      <c r="Y128" s="98">
        <f t="shared" si="149"/>
        <v>0</v>
      </c>
      <c r="Z128" s="98">
        <f t="shared" si="149"/>
        <v>0</v>
      </c>
      <c r="AA128" s="98">
        <f t="shared" si="119"/>
        <v>0</v>
      </c>
      <c r="AB128" s="98">
        <f t="shared" si="120"/>
        <v>0</v>
      </c>
    </row>
    <row r="129" spans="1:28" outlineLevel="1">
      <c r="A129" s="5">
        <f t="shared" si="141"/>
        <v>27</v>
      </c>
      <c r="B129" s="44" t="str">
        <f t="shared" si="121"/>
        <v>PV of Increase in forecast year 26 lease commitments</v>
      </c>
      <c r="C129" s="97">
        <f t="shared" si="115"/>
        <v>0</v>
      </c>
      <c r="D129" s="98">
        <f t="shared" si="143"/>
        <v>0</v>
      </c>
      <c r="E129" s="98">
        <f t="shared" si="143"/>
        <v>0</v>
      </c>
      <c r="F129" s="98">
        <f t="shared" si="143"/>
        <v>0</v>
      </c>
      <c r="G129" s="98">
        <f t="shared" si="143"/>
        <v>0</v>
      </c>
      <c r="H129" s="98">
        <f t="shared" si="143"/>
        <v>0</v>
      </c>
      <c r="I129" s="98">
        <f t="shared" si="143"/>
        <v>0</v>
      </c>
      <c r="J129" s="100">
        <f t="shared" si="117"/>
        <v>0</v>
      </c>
      <c r="K129" s="98">
        <f t="shared" ref="K129:Z129" si="150">(K94-J95)/(POWER((1+K$39),$A129))</f>
        <v>0</v>
      </c>
      <c r="L129" s="98">
        <f t="shared" si="150"/>
        <v>0</v>
      </c>
      <c r="M129" s="98">
        <f t="shared" si="150"/>
        <v>0</v>
      </c>
      <c r="N129" s="98">
        <f t="shared" si="150"/>
        <v>0</v>
      </c>
      <c r="O129" s="98">
        <f t="shared" si="150"/>
        <v>0</v>
      </c>
      <c r="P129" s="98">
        <f t="shared" si="150"/>
        <v>0</v>
      </c>
      <c r="Q129" s="98">
        <f t="shared" si="150"/>
        <v>0</v>
      </c>
      <c r="R129" s="98">
        <f t="shared" si="150"/>
        <v>0</v>
      </c>
      <c r="S129" s="98">
        <f t="shared" si="150"/>
        <v>0</v>
      </c>
      <c r="T129" s="98">
        <f t="shared" si="150"/>
        <v>0</v>
      </c>
      <c r="U129" s="98">
        <f t="shared" si="150"/>
        <v>0</v>
      </c>
      <c r="V129" s="98">
        <f t="shared" si="150"/>
        <v>0</v>
      </c>
      <c r="W129" s="98">
        <f t="shared" si="150"/>
        <v>0</v>
      </c>
      <c r="X129" s="98">
        <f t="shared" si="150"/>
        <v>0</v>
      </c>
      <c r="Y129" s="98">
        <f t="shared" si="150"/>
        <v>0</v>
      </c>
      <c r="Z129" s="98">
        <f t="shared" si="150"/>
        <v>0</v>
      </c>
      <c r="AA129" s="98">
        <f t="shared" si="119"/>
        <v>0</v>
      </c>
      <c r="AB129" s="98">
        <f t="shared" si="120"/>
        <v>0</v>
      </c>
    </row>
    <row r="130" spans="1:28" outlineLevel="1">
      <c r="A130" s="5">
        <f t="shared" si="141"/>
        <v>28</v>
      </c>
      <c r="B130" s="44" t="str">
        <f t="shared" si="121"/>
        <v>PV of Increase in forecast year 27 lease commitments</v>
      </c>
      <c r="C130" s="97">
        <f t="shared" si="115"/>
        <v>0</v>
      </c>
      <c r="D130" s="98">
        <f t="shared" si="143"/>
        <v>0</v>
      </c>
      <c r="E130" s="98">
        <f t="shared" si="143"/>
        <v>0</v>
      </c>
      <c r="F130" s="98">
        <f t="shared" si="143"/>
        <v>0</v>
      </c>
      <c r="G130" s="98">
        <f t="shared" si="143"/>
        <v>0</v>
      </c>
      <c r="H130" s="98">
        <f t="shared" si="143"/>
        <v>0</v>
      </c>
      <c r="I130" s="98">
        <f t="shared" si="143"/>
        <v>0</v>
      </c>
      <c r="J130" s="100">
        <f t="shared" si="117"/>
        <v>0</v>
      </c>
      <c r="K130" s="98">
        <f t="shared" ref="K130:Z130" si="151">(K95-J96)/(POWER((1+K$39),$A130))</f>
        <v>0</v>
      </c>
      <c r="L130" s="98">
        <f t="shared" si="151"/>
        <v>0</v>
      </c>
      <c r="M130" s="98">
        <f t="shared" si="151"/>
        <v>0</v>
      </c>
      <c r="N130" s="98">
        <f t="shared" si="151"/>
        <v>0</v>
      </c>
      <c r="O130" s="98">
        <f t="shared" si="151"/>
        <v>0</v>
      </c>
      <c r="P130" s="98">
        <f t="shared" si="151"/>
        <v>0</v>
      </c>
      <c r="Q130" s="98">
        <f t="shared" si="151"/>
        <v>0</v>
      </c>
      <c r="R130" s="98">
        <f t="shared" si="151"/>
        <v>0</v>
      </c>
      <c r="S130" s="98">
        <f t="shared" si="151"/>
        <v>0</v>
      </c>
      <c r="T130" s="98">
        <f t="shared" si="151"/>
        <v>0</v>
      </c>
      <c r="U130" s="98">
        <f t="shared" si="151"/>
        <v>0</v>
      </c>
      <c r="V130" s="98">
        <f t="shared" si="151"/>
        <v>0</v>
      </c>
      <c r="W130" s="98">
        <f t="shared" si="151"/>
        <v>0</v>
      </c>
      <c r="X130" s="98">
        <f t="shared" si="151"/>
        <v>0</v>
      </c>
      <c r="Y130" s="98">
        <f t="shared" si="151"/>
        <v>0</v>
      </c>
      <c r="Z130" s="98">
        <f t="shared" si="151"/>
        <v>0</v>
      </c>
      <c r="AA130" s="98">
        <f t="shared" si="119"/>
        <v>0</v>
      </c>
      <c r="AB130" s="98">
        <f t="shared" si="120"/>
        <v>0</v>
      </c>
    </row>
    <row r="131" spans="1:28" outlineLevel="1">
      <c r="A131" s="5">
        <f t="shared" si="141"/>
        <v>29</v>
      </c>
      <c r="B131" s="44" t="str">
        <f t="shared" si="121"/>
        <v>PV of Increase in forecast year 28 lease commitments</v>
      </c>
      <c r="C131" s="97">
        <f t="shared" si="115"/>
        <v>0</v>
      </c>
      <c r="D131" s="98">
        <f t="shared" si="143"/>
        <v>0</v>
      </c>
      <c r="E131" s="98">
        <f t="shared" si="143"/>
        <v>0</v>
      </c>
      <c r="F131" s="98">
        <f t="shared" si="143"/>
        <v>0</v>
      </c>
      <c r="G131" s="98">
        <f t="shared" si="143"/>
        <v>0</v>
      </c>
      <c r="H131" s="98">
        <f t="shared" si="143"/>
        <v>0</v>
      </c>
      <c r="I131" s="98">
        <f t="shared" si="143"/>
        <v>0</v>
      </c>
      <c r="J131" s="100">
        <f t="shared" si="117"/>
        <v>0</v>
      </c>
      <c r="K131" s="98">
        <f t="shared" ref="K131:Z131" si="152">(K96-J97)/(POWER((1+K$39),$A131))</f>
        <v>0</v>
      </c>
      <c r="L131" s="98">
        <f t="shared" si="152"/>
        <v>0</v>
      </c>
      <c r="M131" s="98">
        <f t="shared" si="152"/>
        <v>0</v>
      </c>
      <c r="N131" s="98">
        <f t="shared" si="152"/>
        <v>0</v>
      </c>
      <c r="O131" s="98">
        <f t="shared" si="152"/>
        <v>0</v>
      </c>
      <c r="P131" s="98">
        <f t="shared" si="152"/>
        <v>0</v>
      </c>
      <c r="Q131" s="98">
        <f t="shared" si="152"/>
        <v>0</v>
      </c>
      <c r="R131" s="98">
        <f t="shared" si="152"/>
        <v>0</v>
      </c>
      <c r="S131" s="98">
        <f t="shared" si="152"/>
        <v>0</v>
      </c>
      <c r="T131" s="98">
        <f t="shared" si="152"/>
        <v>0</v>
      </c>
      <c r="U131" s="98">
        <f t="shared" si="152"/>
        <v>0</v>
      </c>
      <c r="V131" s="98">
        <f t="shared" si="152"/>
        <v>0</v>
      </c>
      <c r="W131" s="98">
        <f t="shared" si="152"/>
        <v>0</v>
      </c>
      <c r="X131" s="98">
        <f t="shared" si="152"/>
        <v>0</v>
      </c>
      <c r="Y131" s="98">
        <f t="shared" si="152"/>
        <v>0</v>
      </c>
      <c r="Z131" s="98">
        <f t="shared" si="152"/>
        <v>0</v>
      </c>
      <c r="AA131" s="98">
        <f t="shared" si="119"/>
        <v>0</v>
      </c>
      <c r="AB131" s="98">
        <f t="shared" si="120"/>
        <v>0</v>
      </c>
    </row>
    <row r="132" spans="1:28" outlineLevel="1">
      <c r="A132" s="5">
        <f t="shared" si="141"/>
        <v>30</v>
      </c>
      <c r="B132" s="44" t="str">
        <f t="shared" si="121"/>
        <v>PV of Increase in forecast year 29 lease commitments</v>
      </c>
      <c r="C132" s="97">
        <f t="shared" si="115"/>
        <v>0</v>
      </c>
      <c r="D132" s="98">
        <f t="shared" si="143"/>
        <v>0</v>
      </c>
      <c r="E132" s="98">
        <f t="shared" si="143"/>
        <v>0</v>
      </c>
      <c r="F132" s="98">
        <f t="shared" si="143"/>
        <v>0</v>
      </c>
      <c r="G132" s="98">
        <f t="shared" si="143"/>
        <v>0</v>
      </c>
      <c r="H132" s="98">
        <f t="shared" si="143"/>
        <v>0</v>
      </c>
      <c r="I132" s="98">
        <f t="shared" si="143"/>
        <v>0</v>
      </c>
      <c r="J132" s="100">
        <f t="shared" si="117"/>
        <v>0</v>
      </c>
      <c r="K132" s="98">
        <f t="shared" ref="K132:Z132" si="153">(K97-J98)/(POWER((1+K$39),$A132))</f>
        <v>0</v>
      </c>
      <c r="L132" s="98">
        <f t="shared" si="153"/>
        <v>0</v>
      </c>
      <c r="M132" s="98">
        <f t="shared" si="153"/>
        <v>0</v>
      </c>
      <c r="N132" s="98">
        <f t="shared" si="153"/>
        <v>0</v>
      </c>
      <c r="O132" s="98">
        <f t="shared" si="153"/>
        <v>0</v>
      </c>
      <c r="P132" s="98">
        <f t="shared" si="153"/>
        <v>0</v>
      </c>
      <c r="Q132" s="98">
        <f t="shared" si="153"/>
        <v>0</v>
      </c>
      <c r="R132" s="98">
        <f t="shared" si="153"/>
        <v>0</v>
      </c>
      <c r="S132" s="98">
        <f t="shared" si="153"/>
        <v>0</v>
      </c>
      <c r="T132" s="98">
        <f t="shared" si="153"/>
        <v>0</v>
      </c>
      <c r="U132" s="98">
        <f t="shared" si="153"/>
        <v>0</v>
      </c>
      <c r="V132" s="98">
        <f t="shared" si="153"/>
        <v>0</v>
      </c>
      <c r="W132" s="98">
        <f t="shared" si="153"/>
        <v>0</v>
      </c>
      <c r="X132" s="98">
        <f t="shared" si="153"/>
        <v>0</v>
      </c>
      <c r="Y132" s="98">
        <f t="shared" si="153"/>
        <v>0</v>
      </c>
      <c r="Z132" s="98">
        <f t="shared" si="153"/>
        <v>0</v>
      </c>
      <c r="AA132" s="98">
        <f t="shared" si="119"/>
        <v>0</v>
      </c>
      <c r="AB132" s="98">
        <f t="shared" si="120"/>
        <v>0</v>
      </c>
    </row>
    <row r="133" spans="1:28" outlineLevel="1">
      <c r="A133" s="90"/>
      <c r="B133" s="44"/>
      <c r="C133" s="101"/>
      <c r="D133" s="101"/>
      <c r="E133" s="101"/>
      <c r="F133" s="101"/>
      <c r="G133" s="101"/>
      <c r="H133" s="101"/>
      <c r="I133" s="101"/>
      <c r="J133" s="101"/>
      <c r="K133" s="101"/>
      <c r="L133" s="101"/>
      <c r="M133" s="101"/>
      <c r="N133" s="101"/>
      <c r="O133" s="101"/>
      <c r="P133" s="101"/>
      <c r="Q133" s="101"/>
      <c r="R133" s="101"/>
      <c r="S133" s="101"/>
      <c r="T133" s="101"/>
      <c r="U133" s="101"/>
      <c r="V133" s="101"/>
      <c r="W133" s="101"/>
      <c r="X133" s="101"/>
      <c r="Y133" s="101"/>
      <c r="Z133" s="101"/>
      <c r="AA133" s="101"/>
      <c r="AB133" s="101"/>
    </row>
    <row r="134" spans="1:28" outlineLevel="1">
      <c r="A134" s="5"/>
      <c r="B134" s="44" t="s">
        <v>324</v>
      </c>
      <c r="C134" s="102">
        <f t="shared" ref="C134:X134" si="154">SUM(C103:C133)</f>
        <v>1976.9032246271449</v>
      </c>
      <c r="D134" s="103">
        <f t="shared" si="154"/>
        <v>519.12014641962946</v>
      </c>
      <c r="E134" s="103">
        <f t="shared" si="154"/>
        <v>978.41534706454775</v>
      </c>
      <c r="F134" s="103">
        <f t="shared" si="154"/>
        <v>716.94196170301291</v>
      </c>
      <c r="G134" s="103">
        <f t="shared" si="154"/>
        <v>656.95816146836012</v>
      </c>
      <c r="H134" s="103">
        <f t="shared" si="154"/>
        <v>225.97883090824593</v>
      </c>
      <c r="I134" s="103">
        <f t="shared" si="154"/>
        <v>251.82901768679096</v>
      </c>
      <c r="J134" s="103">
        <f t="shared" si="154"/>
        <v>1080.6342637745156</v>
      </c>
      <c r="K134" s="103">
        <f t="shared" si="154"/>
        <v>196.73666411140499</v>
      </c>
      <c r="L134" s="103">
        <f t="shared" si="154"/>
        <v>44.900614228080755</v>
      </c>
      <c r="M134" s="103">
        <f t="shared" si="154"/>
        <v>282.34465392166521</v>
      </c>
      <c r="N134" s="103">
        <f t="shared" si="154"/>
        <v>361.35859245981453</v>
      </c>
      <c r="O134" s="103">
        <f t="shared" si="154"/>
        <v>256.83718692299755</v>
      </c>
      <c r="P134" s="103">
        <f t="shared" si="154"/>
        <v>125.13722337484137</v>
      </c>
      <c r="Q134" s="103">
        <f t="shared" si="154"/>
        <v>120.37009220012767</v>
      </c>
      <c r="R134" s="103">
        <f t="shared" si="154"/>
        <v>101.5095000290375</v>
      </c>
      <c r="S134" s="103">
        <f t="shared" si="154"/>
        <v>77.04380884998514</v>
      </c>
      <c r="T134" s="103">
        <f t="shared" si="154"/>
        <v>178.1403974324362</v>
      </c>
      <c r="U134" s="103">
        <f t="shared" si="154"/>
        <v>192.1798141997987</v>
      </c>
      <c r="V134" s="103">
        <f t="shared" si="154"/>
        <v>207.13635070349997</v>
      </c>
      <c r="W134" s="103">
        <f t="shared" si="154"/>
        <v>223.06290719387849</v>
      </c>
      <c r="X134" s="103">
        <f t="shared" si="154"/>
        <v>240.01588911519866</v>
      </c>
      <c r="Y134" s="103">
        <f>SUM(Y103:Y133)</f>
        <v>258.05541792769128</v>
      </c>
      <c r="Z134" s="103">
        <f>SUM(Z103:Z133)</f>
        <v>277.24555567460925</v>
      </c>
      <c r="AA134" s="103">
        <f t="shared" ref="AA134:AB134" si="155">SUM(AA103:AA133)</f>
        <v>297.65454414456116</v>
      </c>
      <c r="AB134" s="103">
        <f t="shared" si="155"/>
        <v>319.35505953457903</v>
      </c>
    </row>
    <row r="135" spans="1:28">
      <c r="A135" s="5"/>
      <c r="B135" s="37"/>
      <c r="C135" s="104"/>
      <c r="D135" s="104"/>
      <c r="E135" s="104"/>
      <c r="F135" s="104"/>
      <c r="G135" s="104"/>
      <c r="H135" s="104"/>
      <c r="I135" s="104"/>
      <c r="J135" s="104"/>
      <c r="K135" s="104"/>
      <c r="L135" s="104"/>
      <c r="M135" s="104"/>
      <c r="N135" s="104"/>
      <c r="O135" s="104"/>
      <c r="P135" s="80"/>
      <c r="Q135" s="80"/>
      <c r="R135" s="80"/>
      <c r="S135" s="25"/>
      <c r="T135" s="25"/>
      <c r="U135" s="25"/>
      <c r="V135" s="25"/>
      <c r="W135" s="25"/>
      <c r="X135" s="25"/>
      <c r="Y135" s="25"/>
      <c r="Z135" s="25"/>
      <c r="AA135" s="25"/>
      <c r="AB135" s="25"/>
    </row>
    <row r="136" spans="1:28">
      <c r="A136" s="5"/>
      <c r="B136" s="44"/>
      <c r="C136" s="104"/>
      <c r="D136" s="104"/>
      <c r="E136" s="104"/>
      <c r="F136" s="104"/>
      <c r="G136" s="104"/>
      <c r="H136" s="104"/>
      <c r="I136" s="104"/>
      <c r="J136" s="104"/>
      <c r="K136" s="104"/>
      <c r="L136" s="104"/>
      <c r="M136" s="104"/>
      <c r="N136" s="104"/>
      <c r="O136" s="104"/>
      <c r="P136" s="24"/>
      <c r="Q136" s="25"/>
      <c r="R136" s="25"/>
      <c r="S136" s="25"/>
      <c r="T136" s="25"/>
      <c r="U136" s="25"/>
      <c r="V136" s="25"/>
      <c r="W136" s="25"/>
      <c r="X136" s="25"/>
      <c r="Y136" s="25"/>
      <c r="Z136" s="25"/>
      <c r="AA136" s="25"/>
      <c r="AB136" s="25"/>
    </row>
    <row r="137" spans="1:28">
      <c r="A137" s="5"/>
      <c r="B137" s="44"/>
      <c r="C137" s="104"/>
      <c r="D137" s="104"/>
      <c r="E137" s="104"/>
      <c r="F137" s="104"/>
      <c r="G137" s="104"/>
      <c r="H137" s="104"/>
      <c r="I137" s="104"/>
      <c r="J137" s="104"/>
      <c r="K137" s="104"/>
      <c r="L137" s="104"/>
      <c r="M137" s="104"/>
      <c r="N137" s="104"/>
      <c r="O137" s="11"/>
      <c r="P137" s="24"/>
      <c r="Q137" s="25"/>
      <c r="R137" s="25"/>
      <c r="S137" s="25"/>
      <c r="T137" s="25"/>
      <c r="U137" s="25"/>
      <c r="V137" s="25"/>
      <c r="W137" s="25"/>
      <c r="X137" s="25"/>
      <c r="Y137" s="25"/>
      <c r="Z137" s="25"/>
      <c r="AA137" s="25"/>
      <c r="AB137" s="25"/>
    </row>
    <row r="138" spans="1:28">
      <c r="A138" s="137"/>
      <c r="B138" s="140" t="s">
        <v>325</v>
      </c>
      <c r="C138" s="138">
        <f t="shared" ref="C138:AB138" si="156">C$3</f>
        <v>1996</v>
      </c>
      <c r="D138" s="138">
        <f t="shared" si="156"/>
        <v>1997</v>
      </c>
      <c r="E138" s="138">
        <f t="shared" si="156"/>
        <v>1998</v>
      </c>
      <c r="F138" s="138">
        <f t="shared" si="156"/>
        <v>1999</v>
      </c>
      <c r="G138" s="138">
        <f t="shared" si="156"/>
        <v>2000</v>
      </c>
      <c r="H138" s="138">
        <f t="shared" si="156"/>
        <v>2001</v>
      </c>
      <c r="I138" s="138">
        <f t="shared" si="156"/>
        <v>2002</v>
      </c>
      <c r="J138" s="138">
        <f t="shared" si="156"/>
        <v>2003</v>
      </c>
      <c r="K138" s="138">
        <v>2004</v>
      </c>
      <c r="L138" s="138">
        <f t="shared" si="156"/>
        <v>2005</v>
      </c>
      <c r="M138" s="138">
        <f t="shared" si="156"/>
        <v>2006</v>
      </c>
      <c r="N138" s="138">
        <f t="shared" si="156"/>
        <v>2007</v>
      </c>
      <c r="O138" s="138">
        <f t="shared" si="156"/>
        <v>2008</v>
      </c>
      <c r="P138" s="138">
        <f t="shared" si="156"/>
        <v>2009</v>
      </c>
      <c r="Q138" s="138">
        <f t="shared" si="156"/>
        <v>2010</v>
      </c>
      <c r="R138" s="138">
        <f t="shared" si="156"/>
        <v>2011</v>
      </c>
      <c r="S138" s="138">
        <f t="shared" si="156"/>
        <v>2012</v>
      </c>
      <c r="T138" s="139">
        <f t="shared" si="156"/>
        <v>2013</v>
      </c>
      <c r="U138" s="139">
        <f t="shared" si="156"/>
        <v>2014</v>
      </c>
      <c r="V138" s="139">
        <f t="shared" si="156"/>
        <v>2015</v>
      </c>
      <c r="W138" s="139">
        <f t="shared" si="156"/>
        <v>2016</v>
      </c>
      <c r="X138" s="139">
        <f t="shared" si="156"/>
        <v>2017</v>
      </c>
      <c r="Y138" s="139">
        <f t="shared" si="156"/>
        <v>2018</v>
      </c>
      <c r="Z138" s="139">
        <f t="shared" si="156"/>
        <v>2019</v>
      </c>
      <c r="AA138" s="139">
        <f t="shared" si="156"/>
        <v>2020</v>
      </c>
      <c r="AB138" s="139">
        <f t="shared" si="156"/>
        <v>2021</v>
      </c>
    </row>
    <row r="139" spans="1:28" ht="11.45" customHeight="1" outlineLevel="1">
      <c r="A139" s="5"/>
      <c r="B139" s="44"/>
      <c r="C139" s="105"/>
      <c r="D139" s="105"/>
      <c r="E139" s="105"/>
      <c r="F139" s="105"/>
      <c r="G139" s="105"/>
      <c r="H139" s="105"/>
      <c r="I139" s="105"/>
      <c r="J139" s="105"/>
      <c r="K139" s="19"/>
      <c r="L139" s="19"/>
      <c r="M139" s="19"/>
      <c r="N139" s="19"/>
      <c r="O139" s="19"/>
      <c r="P139" s="106"/>
      <c r="Q139" s="106"/>
      <c r="R139" s="106"/>
      <c r="S139" s="106"/>
      <c r="T139" s="106"/>
      <c r="U139" s="106"/>
      <c r="V139" s="106"/>
      <c r="W139" s="106"/>
      <c r="X139" s="106"/>
      <c r="Y139" s="106"/>
      <c r="Z139" s="106"/>
      <c r="AA139" s="106"/>
      <c r="AB139" s="106"/>
    </row>
    <row r="140" spans="1:28" ht="11.45" customHeight="1" outlineLevel="1">
      <c r="A140" s="5"/>
      <c r="B140" s="44" t="s">
        <v>326</v>
      </c>
      <c r="C140" s="107">
        <f t="shared" ref="C140:R140" si="157">C63</f>
        <v>13</v>
      </c>
      <c r="D140" s="107">
        <f t="shared" si="157"/>
        <v>14</v>
      </c>
      <c r="E140" s="107">
        <f t="shared" si="157"/>
        <v>15</v>
      </c>
      <c r="F140" s="107">
        <f t="shared" si="157"/>
        <v>13</v>
      </c>
      <c r="G140" s="107">
        <f t="shared" si="157"/>
        <v>15</v>
      </c>
      <c r="H140" s="107">
        <f t="shared" si="157"/>
        <v>16</v>
      </c>
      <c r="I140" s="107">
        <f t="shared" si="157"/>
        <v>16</v>
      </c>
      <c r="J140" s="107">
        <f t="shared" si="157"/>
        <v>18</v>
      </c>
      <c r="K140" s="107">
        <f t="shared" si="157"/>
        <v>18</v>
      </c>
      <c r="L140" s="107">
        <f t="shared" si="157"/>
        <v>18</v>
      </c>
      <c r="M140" s="107">
        <f t="shared" si="157"/>
        <v>16</v>
      </c>
      <c r="N140" s="107">
        <f t="shared" si="157"/>
        <v>18</v>
      </c>
      <c r="O140" s="107">
        <f t="shared" si="157"/>
        <v>21</v>
      </c>
      <c r="P140" s="107">
        <f t="shared" si="157"/>
        <v>21</v>
      </c>
      <c r="Q140" s="107">
        <f t="shared" si="157"/>
        <v>21</v>
      </c>
      <c r="R140" s="107">
        <f t="shared" si="157"/>
        <v>21</v>
      </c>
      <c r="S140" s="108">
        <f t="shared" ref="S140:Z140" si="158">R140</f>
        <v>21</v>
      </c>
      <c r="T140" s="108">
        <f t="shared" si="158"/>
        <v>21</v>
      </c>
      <c r="U140" s="108">
        <f t="shared" si="158"/>
        <v>21</v>
      </c>
      <c r="V140" s="108">
        <f t="shared" si="158"/>
        <v>21</v>
      </c>
      <c r="W140" s="108">
        <f t="shared" si="158"/>
        <v>21</v>
      </c>
      <c r="X140" s="108">
        <f t="shared" si="158"/>
        <v>21</v>
      </c>
      <c r="Y140" s="108">
        <f t="shared" si="158"/>
        <v>21</v>
      </c>
      <c r="Z140" s="108">
        <f t="shared" si="158"/>
        <v>21</v>
      </c>
      <c r="AA140" s="108">
        <f t="shared" ref="AA140" si="159">Z140</f>
        <v>21</v>
      </c>
      <c r="AB140" s="108">
        <f t="shared" ref="AB140" si="160">AA140</f>
        <v>21</v>
      </c>
    </row>
    <row r="141" spans="1:28" ht="11.45" customHeight="1" outlineLevel="1">
      <c r="A141" s="5"/>
      <c r="B141" s="54" t="s">
        <v>327</v>
      </c>
      <c r="C141" s="109">
        <v>0.88</v>
      </c>
      <c r="D141" s="5"/>
      <c r="E141" s="5"/>
      <c r="F141" s="5"/>
      <c r="G141" s="5"/>
      <c r="H141" s="5"/>
      <c r="I141" s="5"/>
      <c r="J141" s="5"/>
      <c r="K141" s="5"/>
      <c r="L141" s="5"/>
      <c r="M141" s="5"/>
      <c r="N141" s="5"/>
      <c r="O141" s="5"/>
      <c r="P141" s="110"/>
      <c r="Q141" s="110"/>
      <c r="R141" s="110"/>
      <c r="S141" s="110"/>
      <c r="T141" s="110"/>
      <c r="U141" s="110"/>
      <c r="V141" s="110"/>
      <c r="W141" s="110"/>
      <c r="X141" s="110"/>
      <c r="Y141" s="110"/>
      <c r="Z141" s="110"/>
      <c r="AA141" s="110"/>
      <c r="AB141" s="110"/>
    </row>
    <row r="142" spans="1:28" ht="11.45" customHeight="1" outlineLevel="1">
      <c r="A142" s="31"/>
      <c r="B142" s="42" t="s">
        <v>328</v>
      </c>
      <c r="C142" s="111">
        <f>$C$19/$C$140*2</f>
        <v>249.48464260783396</v>
      </c>
      <c r="D142" s="111">
        <f>$C$19/$C$140*$C$141*2</f>
        <v>219.54648549489389</v>
      </c>
      <c r="E142" s="112">
        <f>IF(SUM($C142:D142)+D142*$C$141&lt;$C$19,D142*$C$141,$C$19-SUM($C142:D142))</f>
        <v>193.20090723550663</v>
      </c>
      <c r="F142" s="112">
        <f>IF(SUM($C142:E142)+E142*$C$141&lt;$C$19,E142*$C$141,$C$19-SUM($C142:E142))</f>
        <v>170.01679836724583</v>
      </c>
      <c r="G142" s="112">
        <f>IF(SUM($C142:F142)+F142*$C$141&lt;$C$19,F142*$C$141,$C$19-SUM($C142:F142))</f>
        <v>149.61478256317633</v>
      </c>
      <c r="H142" s="112">
        <f>IF(SUM($C142:G142)+G142*$C$141&lt;$C$19,G142*$C$141,$C$19-SUM($C142:G142))</f>
        <v>131.66100865559517</v>
      </c>
      <c r="I142" s="112">
        <f>IF(SUM($C142:H142)+H142*$C$141&lt;$C$19,H142*$C$141,$C$19-SUM($C142:H142))</f>
        <v>115.86168761692375</v>
      </c>
      <c r="J142" s="184">
        <f>$J$19/$J$140*2</f>
        <v>94.031694421769259</v>
      </c>
      <c r="K142" s="111">
        <f>$J$19/$J$140*$C$141*2</f>
        <v>82.747891091156944</v>
      </c>
      <c r="L142" s="112">
        <f>IF(SUM($J142:K142)+K142*$C$141&lt;$J$19,K142*$C$141,$J$19-SUM($J142:K142))</f>
        <v>72.818144160218111</v>
      </c>
      <c r="M142" s="112">
        <f>IF(SUM($J142:L142)+L142*$C$141&lt;$J$19,L142*$C$141,$J$19-SUM($J142:L142))</f>
        <v>64.079966860991945</v>
      </c>
      <c r="N142" s="112">
        <f>IF(SUM($J142:M142)+M142*$C$141&lt;$J$19,M142*$C$141,$J$19-SUM($J142:M142))</f>
        <v>56.390370837672911</v>
      </c>
      <c r="O142" s="112">
        <f>IF(SUM($J142:N142)+N142*$C$141&lt;$J$19,N142*$C$141,$J$19-SUM($J142:N142))</f>
        <v>49.623526337152164</v>
      </c>
      <c r="P142" s="112">
        <f>IF(SUM($J142:O142)+O142*$C$141&lt;$J$19,O142*$C$141,$J$19-SUM($J142:O142))</f>
        <v>43.668703176693903</v>
      </c>
      <c r="Q142" s="112">
        <f>IF(SUM($J142:P142)+P142*$C$141&lt;$J$19,P142*$C$141,$J$19-SUM($J142:P142))</f>
        <v>38.428458795490634</v>
      </c>
      <c r="R142" s="112">
        <f>IF(SUM($J142:Q142)+Q142*$C$141&lt;$J$19,Q142*$C$141,$J$19-SUM($J142:Q142))</f>
        <v>33.817043740031757</v>
      </c>
      <c r="S142" s="112">
        <f>IF(SUM($J142:R142)+R142*$C$141&lt;$J$19,R142*$C$141,$J$19-SUM($J142:R142))</f>
        <v>29.758998491227945</v>
      </c>
      <c r="T142" s="112">
        <f>IF(SUM($J142:S142)+S142*$C$141&lt;$J$19,S142*$C$141,$J$19-SUM($J142:S142))</f>
        <v>26.187918672280592</v>
      </c>
      <c r="U142" s="112">
        <f>IF(SUM($J142:T142)+T142*$C$141&lt;$J$19,T142*$C$141,$J$19-SUM($J142:T142))</f>
        <v>23.045368431606921</v>
      </c>
      <c r="V142" s="112">
        <f>IF(SUM($J142:U142)+U142*$C$141&lt;$J$19,U142*$C$141,$J$19-SUM($J142:U142))</f>
        <v>20.279924219814092</v>
      </c>
      <c r="W142" s="112">
        <f>IF(SUM($J142:V142)+V142*$C$141&lt;$J$19,V142*$C$141,$J$19-SUM($J142:V142))</f>
        <v>17.8463333134364</v>
      </c>
      <c r="X142" s="112">
        <f>IF(SUM($J142:W142)+W142*$C$141&lt;$J$19,W142*$C$141,$J$19-SUM($J142:W142))</f>
        <v>15.704773315824031</v>
      </c>
      <c r="Y142" s="112">
        <f>IF(SUM($J142:X142)+X142*$C$141&lt;$J$19,X142*$C$141,$J$19-SUM($J142:X142))</f>
        <v>13.820200517925148</v>
      </c>
      <c r="Z142" s="112">
        <f>IF(SUM($J142:Y142)+Y142*$C$141&lt;$J$19,Y142*$C$141,$J$19-SUM($J142:Y142))</f>
        <v>12.161776455774131</v>
      </c>
      <c r="AA142" s="112">
        <f>IF(SUM($J142:Z142)+Z142*$C$141&lt;$J$19,Z142*$C$141,$J$19-SUM($J142:Z142))</f>
        <v>10.702363281081235</v>
      </c>
      <c r="AB142" s="112">
        <f>IF(SUM($J142:AA142)+AA142*$C$141&lt;$J$19,AA142*$C$141,$J$19-SUM($J142:AA142))</f>
        <v>9.4180796873514865</v>
      </c>
    </row>
    <row r="143" spans="1:28" ht="11.45" customHeight="1" outlineLevel="1">
      <c r="A143" s="31"/>
      <c r="B143" s="144">
        <v>1997</v>
      </c>
      <c r="C143" s="113"/>
      <c r="D143" s="113">
        <f>D$17/D$140</f>
        <v>37.080010458544962</v>
      </c>
      <c r="E143" s="113">
        <f>(IF(COUNT($C143:D143)&lt;$D$140,D143,0))</f>
        <v>37.080010458544962</v>
      </c>
      <c r="F143" s="113">
        <f>(IF(COUNT($C143:E143)&lt;$D$140,E143,0))</f>
        <v>37.080010458544962</v>
      </c>
      <c r="G143" s="113">
        <f>(IF(COUNT($C143:F143)&lt;$D$140,F143,0))</f>
        <v>37.080010458544962</v>
      </c>
      <c r="H143" s="113">
        <f>(IF(COUNT($C143:G143)&lt;$D$140,G143,0))</f>
        <v>37.080010458544962</v>
      </c>
      <c r="I143" s="113">
        <f>(IF(COUNT($C143:H143)&lt;$D$140,H143,0))</f>
        <v>37.080010458544962</v>
      </c>
      <c r="J143" s="113"/>
      <c r="K143" s="113">
        <f>K$17/K$140</f>
        <v>10.929814672855834</v>
      </c>
      <c r="L143" s="113">
        <f>(IF(COUNT(K143:$K143)&lt;$K$140,K143,0))</f>
        <v>10.929814672855834</v>
      </c>
      <c r="M143" s="113">
        <f>(IF(COUNT($K143:L143)&lt;$K$140,L143,0))</f>
        <v>10.929814672855834</v>
      </c>
      <c r="N143" s="113">
        <f>(IF(COUNT($K143:M143)&lt;$K$140,M143,0))</f>
        <v>10.929814672855834</v>
      </c>
      <c r="O143" s="113">
        <f>(IF(COUNT($K143:N143)&lt;$K$140,N143,0))</f>
        <v>10.929814672855834</v>
      </c>
      <c r="P143" s="113">
        <f>(IF(COUNT($K143:O143)&lt;$K$140,O143,0))</f>
        <v>10.929814672855834</v>
      </c>
      <c r="Q143" s="113">
        <f>(IF(COUNT($K143:P143)&lt;$K$140,P143,0))</f>
        <v>10.929814672855834</v>
      </c>
      <c r="R143" s="113">
        <f>(IF(COUNT($K143:Q143)&lt;$K$140,Q143,0))</f>
        <v>10.929814672855834</v>
      </c>
      <c r="S143" s="113">
        <f>(IF(COUNT($K143:R143)&lt;$K$140,R143,0))</f>
        <v>10.929814672855834</v>
      </c>
      <c r="T143" s="113">
        <f>(IF(COUNT($K143:S143)&lt;$K$140,S143,0))</f>
        <v>10.929814672855834</v>
      </c>
      <c r="U143" s="113">
        <f>(IF(COUNT($K143:T143)&lt;$K$140,T143,0))</f>
        <v>10.929814672855834</v>
      </c>
      <c r="V143" s="113">
        <f>(IF(COUNT($K143:U143)&lt;$K$140,U143,0))</f>
        <v>10.929814672855834</v>
      </c>
      <c r="W143" s="113">
        <f>(IF(COUNT($K143:V143)&lt;$K$140,V143,0))</f>
        <v>10.929814672855834</v>
      </c>
      <c r="X143" s="113">
        <f>(IF(COUNT($K143:W143)&lt;$K$140,W143,0))</f>
        <v>10.929814672855834</v>
      </c>
      <c r="Y143" s="113">
        <f>(IF(COUNT($K143:X143)&lt;$K$140,X143,0))</f>
        <v>10.929814672855834</v>
      </c>
      <c r="Z143" s="113">
        <f>(IF(COUNT($K143:Y143)&lt;$K$140,Y143,0))</f>
        <v>10.929814672855834</v>
      </c>
      <c r="AA143" s="113">
        <f>(IF(COUNT($K143:Z143)&lt;$K$140,Z143,0))</f>
        <v>10.929814672855834</v>
      </c>
      <c r="AB143" s="113">
        <f>(IF(COUNT($K143:AA143)&lt;$K$140,AA143,0))</f>
        <v>10.929814672855834</v>
      </c>
    </row>
    <row r="144" spans="1:28" ht="11.45" customHeight="1" outlineLevel="1">
      <c r="A144" s="31"/>
      <c r="B144" s="157">
        <f t="shared" ref="B144:B173" si="161">B143+1</f>
        <v>1998</v>
      </c>
      <c r="C144" s="113"/>
      <c r="D144" s="113"/>
      <c r="E144" s="113">
        <f>E$17/E$140</f>
        <v>65.227689804303182</v>
      </c>
      <c r="F144" s="113">
        <f>(IF(COUNT($C144:E144)&lt;$E$140,E144,0))</f>
        <v>65.227689804303182</v>
      </c>
      <c r="G144" s="113">
        <f>(IF(COUNT($C144:F144)&lt;$E$140,F144,0))</f>
        <v>65.227689804303182</v>
      </c>
      <c r="H144" s="113">
        <f>(IF(COUNT($C144:G144)&lt;$E$140,G144,0))</f>
        <v>65.227689804303182</v>
      </c>
      <c r="I144" s="113">
        <f>(IF(COUNT($C144:H144)&lt;$E$140,H144,0))</f>
        <v>65.227689804303182</v>
      </c>
      <c r="J144" s="113"/>
      <c r="K144" s="113"/>
      <c r="L144" s="113">
        <f>L$17/L$140</f>
        <v>2.4944785682267088</v>
      </c>
      <c r="M144" s="113">
        <f>(IF(COUNT(L144:$L144)&lt;$L$140,L144,0))</f>
        <v>2.4944785682267088</v>
      </c>
      <c r="N144" s="113">
        <f>(IF(COUNT($L144:M144)&lt;$L$140,M144,0))</f>
        <v>2.4944785682267088</v>
      </c>
      <c r="O144" s="113">
        <f>(IF(COUNT($L144:N144)&lt;$L$140,N144,0))</f>
        <v>2.4944785682267088</v>
      </c>
      <c r="P144" s="113">
        <f>(IF(COUNT($L144:O144)&lt;$L$140,O144,0))</f>
        <v>2.4944785682267088</v>
      </c>
      <c r="Q144" s="113">
        <f>(IF(COUNT($L144:P144)&lt;$L$140,P144,0))</f>
        <v>2.4944785682267088</v>
      </c>
      <c r="R144" s="113">
        <f>(IF(COUNT($L144:Q144)&lt;$L$140,Q144,0))</f>
        <v>2.4944785682267088</v>
      </c>
      <c r="S144" s="113">
        <f>(IF(COUNT($L144:R144)&lt;$L$140,R144,0))</f>
        <v>2.4944785682267088</v>
      </c>
      <c r="T144" s="113">
        <f>(IF(COUNT($L144:S144)&lt;$L$140,S144,0))</f>
        <v>2.4944785682267088</v>
      </c>
      <c r="U144" s="113">
        <f>(IF(COUNT($L144:T144)&lt;$L$140,T144,0))</f>
        <v>2.4944785682267088</v>
      </c>
      <c r="V144" s="113">
        <f>(IF(COUNT($L144:U144)&lt;$L$140,U144,0))</f>
        <v>2.4944785682267088</v>
      </c>
      <c r="W144" s="113">
        <f>(IF(COUNT($L144:V144)&lt;$L$140,V144,0))</f>
        <v>2.4944785682267088</v>
      </c>
      <c r="X144" s="113">
        <f>(IF(COUNT($L144:W144)&lt;$L$140,W144,0))</f>
        <v>2.4944785682267088</v>
      </c>
      <c r="Y144" s="113">
        <f>(IF(COUNT($L144:X144)&lt;$L$140,X144,0))</f>
        <v>2.4944785682267088</v>
      </c>
      <c r="Z144" s="113">
        <f>(IF(COUNT($L144:Y144)&lt;$L$140,Y144,0))</f>
        <v>2.4944785682267088</v>
      </c>
      <c r="AA144" s="113">
        <f>(IF(COUNT($L144:Z144)&lt;$L$140,Z144,0))</f>
        <v>2.4944785682267088</v>
      </c>
      <c r="AB144" s="113">
        <f>(IF(COUNT($L144:AA144)&lt;$L$140,AA144,0))</f>
        <v>2.4944785682267088</v>
      </c>
    </row>
    <row r="145" spans="1:28" ht="11.45" customHeight="1" outlineLevel="1">
      <c r="A145" s="31"/>
      <c r="B145" s="157">
        <f t="shared" si="161"/>
        <v>1999</v>
      </c>
      <c r="C145" s="113"/>
      <c r="D145" s="113"/>
      <c r="E145" s="113"/>
      <c r="F145" s="113">
        <f>F$17/F$140</f>
        <v>55.149381669462528</v>
      </c>
      <c r="G145" s="113">
        <f>(IF(COUNT($C145:F145)&lt;$F$140,F145,0))</f>
        <v>55.149381669462528</v>
      </c>
      <c r="H145" s="113">
        <f>(IF(COUNT($C145:G145)&lt;$F$140,G145,0))</f>
        <v>55.149381669462528</v>
      </c>
      <c r="I145" s="113">
        <f>(IF(COUNT($C145:H145)&lt;$F$140,H145,0))</f>
        <v>55.149381669462528</v>
      </c>
      <c r="J145" s="113"/>
      <c r="K145" s="113"/>
      <c r="L145" s="113"/>
      <c r="M145" s="113">
        <f>M$17/M$140</f>
        <v>17.646540870104076</v>
      </c>
      <c r="N145" s="113">
        <f>(IF(COUNT(M145:$M145)&lt;$M$140,M145,0))</f>
        <v>17.646540870104076</v>
      </c>
      <c r="O145" s="113">
        <f>(IF(COUNT($M145:N145)&lt;$M$140,N145,0))</f>
        <v>17.646540870104076</v>
      </c>
      <c r="P145" s="113">
        <f>(IF(COUNT($M145:O145)&lt;$M$140,O145,0))</f>
        <v>17.646540870104076</v>
      </c>
      <c r="Q145" s="113">
        <f>(IF(COUNT($M145:P145)&lt;$M$140,P145,0))</f>
        <v>17.646540870104076</v>
      </c>
      <c r="R145" s="113">
        <f>(IF(COUNT($M145:Q145)&lt;$M$140,Q145,0))</f>
        <v>17.646540870104076</v>
      </c>
      <c r="S145" s="113">
        <f>(IF(COUNT($M145:R145)&lt;$M$140,R145,0))</f>
        <v>17.646540870104076</v>
      </c>
      <c r="T145" s="113">
        <f>(IF(COUNT($M145:S145)&lt;$M$140,S145,0))</f>
        <v>17.646540870104076</v>
      </c>
      <c r="U145" s="113">
        <f>(IF(COUNT($M145:T145)&lt;$M$140,T145,0))</f>
        <v>17.646540870104076</v>
      </c>
      <c r="V145" s="113">
        <f>(IF(COUNT($M145:U145)&lt;$M$140,U145,0))</f>
        <v>17.646540870104076</v>
      </c>
      <c r="W145" s="113">
        <f>(IF(COUNT($M145:V145)&lt;$M$140,V145,0))</f>
        <v>17.646540870104076</v>
      </c>
      <c r="X145" s="113">
        <f>(IF(COUNT($M145:W145)&lt;$M$140,W145,0))</f>
        <v>17.646540870104076</v>
      </c>
      <c r="Y145" s="113">
        <f>(IF(COUNT($M145:X145)&lt;$M$140,X145,0))</f>
        <v>17.646540870104076</v>
      </c>
      <c r="Z145" s="113">
        <f>(IF(COUNT($M145:Y145)&lt;$M$140,Y145,0))</f>
        <v>17.646540870104076</v>
      </c>
      <c r="AA145" s="113">
        <f>(IF(COUNT($M145:Z145)&lt;$M$140,Z145,0))</f>
        <v>17.646540870104076</v>
      </c>
      <c r="AB145" s="113">
        <f>(IF(COUNT($M145:AA145)&lt;$M$140,AA145,0))</f>
        <v>17.646540870104076</v>
      </c>
    </row>
    <row r="146" spans="1:28" ht="11.45" customHeight="1" outlineLevel="1">
      <c r="A146" s="31"/>
      <c r="B146" s="157">
        <f t="shared" si="161"/>
        <v>2000</v>
      </c>
      <c r="C146" s="113"/>
      <c r="D146" s="17"/>
      <c r="E146" s="17"/>
      <c r="F146" s="113"/>
      <c r="G146" s="113">
        <f>G$17/G$140</f>
        <v>43.797210764557342</v>
      </c>
      <c r="H146" s="113">
        <f>(IF(COUNT($C146:G146)&lt;$G$140,G146,0))</f>
        <v>43.797210764557342</v>
      </c>
      <c r="I146" s="113">
        <f>(IF(COUNT($C146:H146)&lt;$G$140,H146,0))</f>
        <v>43.797210764557342</v>
      </c>
      <c r="J146" s="113"/>
      <c r="K146" s="113"/>
      <c r="L146" s="113"/>
      <c r="M146" s="113"/>
      <c r="N146" s="113">
        <f>N$17/N$140</f>
        <v>20.075477358878587</v>
      </c>
      <c r="O146" s="113">
        <f>(IF(COUNT(N146:$N146)&lt;$N$140,N146,0))</f>
        <v>20.075477358878587</v>
      </c>
      <c r="P146" s="113">
        <f>(IF(COUNT($N146:O146)&lt;$N$140,O146,0))</f>
        <v>20.075477358878587</v>
      </c>
      <c r="Q146" s="113">
        <f>(IF(COUNT($N146:P146)&lt;$N$140,P146,0))</f>
        <v>20.075477358878587</v>
      </c>
      <c r="R146" s="113">
        <f>(IF(COUNT($N146:Q146)&lt;$N$140,Q146,0))</f>
        <v>20.075477358878587</v>
      </c>
      <c r="S146" s="113">
        <f>(IF(COUNT($N146:R146)&lt;$N$140,R146,0))</f>
        <v>20.075477358878587</v>
      </c>
      <c r="T146" s="113">
        <f>(IF(COUNT($N146:S146)&lt;$N$140,S146,0))</f>
        <v>20.075477358878587</v>
      </c>
      <c r="U146" s="113">
        <f>(IF(COUNT($N146:T146)&lt;$N$140,T146,0))</f>
        <v>20.075477358878587</v>
      </c>
      <c r="V146" s="113">
        <f>(IF(COUNT($N146:U146)&lt;$N$140,U146,0))</f>
        <v>20.075477358878587</v>
      </c>
      <c r="W146" s="113">
        <f>(IF(COUNT($N146:V146)&lt;$N$140,V146,0))</f>
        <v>20.075477358878587</v>
      </c>
      <c r="X146" s="113">
        <f>(IF(COUNT($N146:W146)&lt;$N$140,W146,0))</f>
        <v>20.075477358878587</v>
      </c>
      <c r="Y146" s="113">
        <f>(IF(COUNT($N146:X146)&lt;$N$140,X146,0))</f>
        <v>20.075477358878587</v>
      </c>
      <c r="Z146" s="113">
        <f>(IF(COUNT($N146:Y146)&lt;$N$140,Y146,0))</f>
        <v>20.075477358878587</v>
      </c>
      <c r="AA146" s="113">
        <f>(IF(COUNT($N146:Z146)&lt;$N$140,Z146,0))</f>
        <v>20.075477358878587</v>
      </c>
      <c r="AB146" s="113">
        <f>(IF(COUNT($N146:AA146)&lt;$N$140,AA146,0))</f>
        <v>20.075477358878587</v>
      </c>
    </row>
    <row r="147" spans="1:28" ht="11.45" customHeight="1" outlineLevel="1">
      <c r="A147" s="31"/>
      <c r="B147" s="157">
        <f t="shared" si="161"/>
        <v>2001</v>
      </c>
      <c r="C147" s="113"/>
      <c r="D147" s="113"/>
      <c r="E147" s="113"/>
      <c r="F147" s="113"/>
      <c r="G147" s="113"/>
      <c r="H147" s="113">
        <f>H$17/H$140</f>
        <v>14.12367693176537</v>
      </c>
      <c r="I147" s="113">
        <f>(IF(COUNT($C147:H147)&lt;$H$140,H147,0))</f>
        <v>14.12367693176537</v>
      </c>
      <c r="J147" s="113"/>
      <c r="K147" s="113"/>
      <c r="L147" s="113"/>
      <c r="M147" s="113"/>
      <c r="N147" s="113"/>
      <c r="O147" s="113">
        <f>O$17/O$140</f>
        <v>12.230342234428454</v>
      </c>
      <c r="P147" s="113">
        <f>(IF(COUNT(O147:$O147)&lt;$O$140,O147,0))</f>
        <v>12.230342234428454</v>
      </c>
      <c r="Q147" s="113">
        <f>(IF(COUNT($O147:P147)&lt;$O$140,P147,0))</f>
        <v>12.230342234428454</v>
      </c>
      <c r="R147" s="113">
        <f>(IF(COUNT($O147:Q147)&lt;$O$140,Q147,0))</f>
        <v>12.230342234428454</v>
      </c>
      <c r="S147" s="113">
        <f>(IF(COUNT($O147:R147)&lt;$O$140,R147,0))</f>
        <v>12.230342234428454</v>
      </c>
      <c r="T147" s="113">
        <f>(IF(COUNT($O147:S147)&lt;$O$140,S147,0))</f>
        <v>12.230342234428454</v>
      </c>
      <c r="U147" s="113">
        <f>(IF(COUNT($O147:T147)&lt;$O$140,T147,0))</f>
        <v>12.230342234428454</v>
      </c>
      <c r="V147" s="113">
        <f>(IF(COUNT($O147:U147)&lt;$O$140,U147,0))</f>
        <v>12.230342234428454</v>
      </c>
      <c r="W147" s="113">
        <f>(IF(COUNT($O147:V147)&lt;$O$140,V147,0))</f>
        <v>12.230342234428454</v>
      </c>
      <c r="X147" s="113">
        <f>(IF(COUNT($O147:W147)&lt;$O$140,W147,0))</f>
        <v>12.230342234428454</v>
      </c>
      <c r="Y147" s="113">
        <f>(IF(COUNT($O147:X147)&lt;$O$140,X147,0))</f>
        <v>12.230342234428454</v>
      </c>
      <c r="Z147" s="113">
        <f>(IF(COUNT($O147:Y147)&lt;$O$140,Y147,0))</f>
        <v>12.230342234428454</v>
      </c>
      <c r="AA147" s="113">
        <f>(IF(COUNT($O147:Z147)&lt;$O$140,Z147,0))</f>
        <v>12.230342234428454</v>
      </c>
      <c r="AB147" s="113">
        <f>(IF(COUNT($O147:AA147)&lt;$O$140,AA147,0))</f>
        <v>12.230342234428454</v>
      </c>
    </row>
    <row r="148" spans="1:28" ht="11.45" customHeight="1" outlineLevel="1">
      <c r="A148" s="31"/>
      <c r="B148" s="157">
        <f t="shared" si="161"/>
        <v>2002</v>
      </c>
      <c r="C148" s="113"/>
      <c r="D148" s="113"/>
      <c r="E148" s="113"/>
      <c r="F148" s="113"/>
      <c r="G148" s="113"/>
      <c r="H148" s="113"/>
      <c r="I148" s="113">
        <f>I$17/I$140</f>
        <v>15.739313605424435</v>
      </c>
      <c r="J148" s="113"/>
      <c r="K148" s="113"/>
      <c r="L148" s="113"/>
      <c r="M148" s="113"/>
      <c r="N148" s="113"/>
      <c r="O148" s="113"/>
      <c r="P148" s="113">
        <f>P$17/P$140</f>
        <v>5.9589153988019703</v>
      </c>
      <c r="Q148" s="113">
        <f>(IF(COUNT(P148:$P148)&lt;$P$140,P148,0))</f>
        <v>5.9589153988019703</v>
      </c>
      <c r="R148" s="113">
        <f>(IF(COUNT($P148:Q148)&lt;$P$140,Q148,0))</f>
        <v>5.9589153988019703</v>
      </c>
      <c r="S148" s="113">
        <f>(IF(COUNT($P148:R148)&lt;$P$140,R148,0))</f>
        <v>5.9589153988019703</v>
      </c>
      <c r="T148" s="113">
        <f>(IF(COUNT($P148:S148)&lt;$P$140,S148,0))</f>
        <v>5.9589153988019703</v>
      </c>
      <c r="U148" s="113">
        <f>(IF(COUNT($P148:T148)&lt;$P$140,T148,0))</f>
        <v>5.9589153988019703</v>
      </c>
      <c r="V148" s="113">
        <f>(IF(COUNT($P148:U148)&lt;$P$140,U148,0))</f>
        <v>5.9589153988019703</v>
      </c>
      <c r="W148" s="113">
        <f>(IF(COUNT($P148:V148)&lt;$P$140,V148,0))</f>
        <v>5.9589153988019703</v>
      </c>
      <c r="X148" s="113">
        <f>(IF(COUNT($P148:W148)&lt;$P$140,W148,0))</f>
        <v>5.9589153988019703</v>
      </c>
      <c r="Y148" s="113">
        <f>(IF(COUNT($P148:X148)&lt;$P$140,X148,0))</f>
        <v>5.9589153988019703</v>
      </c>
      <c r="Z148" s="113">
        <f>(IF(COUNT($P148:Y148)&lt;$P$140,Y148,0))</f>
        <v>5.9589153988019703</v>
      </c>
      <c r="AA148" s="113">
        <f>(IF(COUNT($P148:Z148)&lt;$P$140,Z148,0))</f>
        <v>5.9589153988019703</v>
      </c>
      <c r="AB148" s="113">
        <f>(IF(COUNT($P148:AA148)&lt;$P$140,AA148,0))</f>
        <v>5.9589153988019703</v>
      </c>
    </row>
    <row r="149" spans="1:28" ht="11.45" customHeight="1" outlineLevel="1">
      <c r="A149" s="31"/>
      <c r="B149" s="157">
        <f t="shared" si="161"/>
        <v>2003</v>
      </c>
      <c r="C149" s="113"/>
      <c r="D149" s="113"/>
      <c r="E149" s="113"/>
      <c r="F149" s="113"/>
      <c r="G149" s="113"/>
      <c r="H149" s="113"/>
      <c r="I149" s="113"/>
      <c r="J149" s="113"/>
      <c r="K149" s="79"/>
      <c r="L149" s="113"/>
      <c r="M149" s="113"/>
      <c r="N149" s="113"/>
      <c r="O149" s="113"/>
      <c r="P149" s="113"/>
      <c r="Q149" s="113">
        <f>Q$17/Q$140</f>
        <v>5.7319091523870318</v>
      </c>
      <c r="R149" s="113">
        <f>(IF(COUNT(Q149:$Q149)&lt;$Q$140,Q149,0))</f>
        <v>5.7319091523870318</v>
      </c>
      <c r="S149" s="113">
        <f>(IF(COUNT($Q149:R149)&lt;$Q$140,R149,0))</f>
        <v>5.7319091523870318</v>
      </c>
      <c r="T149" s="113">
        <f>(IF(COUNT($Q149:S149)&lt;$Q$140,S149,0))</f>
        <v>5.7319091523870318</v>
      </c>
      <c r="U149" s="113">
        <f>(IF(COUNT($Q149:T149)&lt;$Q$140,T149,0))</f>
        <v>5.7319091523870318</v>
      </c>
      <c r="V149" s="113">
        <f>(IF(COUNT($Q149:U149)&lt;$Q$140,U149,0))</f>
        <v>5.7319091523870318</v>
      </c>
      <c r="W149" s="113">
        <f>(IF(COUNT($Q149:V149)&lt;$Q$140,V149,0))</f>
        <v>5.7319091523870318</v>
      </c>
      <c r="X149" s="113">
        <f>(IF(COUNT($Q149:W149)&lt;$Q$140,W149,0))</f>
        <v>5.7319091523870318</v>
      </c>
      <c r="Y149" s="113">
        <f>(IF(COUNT($Q149:X149)&lt;$Q$140,X149,0))</f>
        <v>5.7319091523870318</v>
      </c>
      <c r="Z149" s="113">
        <f>(IF(COUNT($Q149:Y149)&lt;$Q$140,Y149,0))</f>
        <v>5.7319091523870318</v>
      </c>
      <c r="AA149" s="113">
        <f>(IF(COUNT($Q149:Z149)&lt;$Q$140,Z149,0))</f>
        <v>5.7319091523870318</v>
      </c>
      <c r="AB149" s="113">
        <f>(IF(COUNT($Q149:AA149)&lt;$Q$140,AA149,0))</f>
        <v>5.7319091523870318</v>
      </c>
    </row>
    <row r="150" spans="1:28" ht="11.45" customHeight="1" outlineLevel="1">
      <c r="A150" s="31"/>
      <c r="B150" s="157">
        <f t="shared" si="161"/>
        <v>2004</v>
      </c>
      <c r="C150" s="113"/>
      <c r="D150" s="113"/>
      <c r="E150" s="113"/>
      <c r="F150" s="113"/>
      <c r="G150" s="113"/>
      <c r="H150" s="113"/>
      <c r="I150" s="113"/>
      <c r="J150" s="113"/>
      <c r="K150" s="113"/>
      <c r="L150" s="113"/>
      <c r="M150" s="113"/>
      <c r="N150" s="113"/>
      <c r="O150" s="113"/>
      <c r="P150" s="113"/>
      <c r="Q150" s="113"/>
      <c r="R150" s="113">
        <f>R$17/R$140</f>
        <v>4.8337857156684523</v>
      </c>
      <c r="S150" s="113">
        <f>(IF(COUNT(R150:$R150)&lt;$R$140,R150,0))</f>
        <v>4.8337857156684523</v>
      </c>
      <c r="T150" s="113">
        <f>(IF(COUNT($R150:S150)&lt;$R$140,S150,0))</f>
        <v>4.8337857156684523</v>
      </c>
      <c r="U150" s="113">
        <f>(IF(COUNT($R150:T150)&lt;$R$140,T150,0))</f>
        <v>4.8337857156684523</v>
      </c>
      <c r="V150" s="113">
        <f>(IF(COUNT($R150:U150)&lt;$R$140,U150,0))</f>
        <v>4.8337857156684523</v>
      </c>
      <c r="W150" s="113">
        <f>(IF(COUNT($R150:V150)&lt;$R$140,V150,0))</f>
        <v>4.8337857156684523</v>
      </c>
      <c r="X150" s="113">
        <f>(IF(COUNT($R150:W150)&lt;$R$140,W150,0))</f>
        <v>4.8337857156684523</v>
      </c>
      <c r="Y150" s="113">
        <f>(IF(COUNT($R150:X150)&lt;$R$140,X150,0))</f>
        <v>4.8337857156684523</v>
      </c>
      <c r="Z150" s="113">
        <f>(IF(COUNT($R150:Y150)&lt;$R$140,Y150,0))</f>
        <v>4.8337857156684523</v>
      </c>
      <c r="AA150" s="113">
        <f>(IF(COUNT($R150:Z150)&lt;$R$140,Z150,0))</f>
        <v>4.8337857156684523</v>
      </c>
      <c r="AB150" s="113">
        <f>(IF(COUNT($R150:AA150)&lt;$R$140,AA150,0))</f>
        <v>4.8337857156684523</v>
      </c>
    </row>
    <row r="151" spans="1:28" ht="11.45" customHeight="1" outlineLevel="1">
      <c r="A151" s="31"/>
      <c r="B151" s="157">
        <f t="shared" si="161"/>
        <v>2005</v>
      </c>
      <c r="C151" s="113"/>
      <c r="D151" s="113"/>
      <c r="E151" s="113"/>
      <c r="F151" s="113"/>
      <c r="G151" s="113"/>
      <c r="H151" s="113"/>
      <c r="I151" s="113"/>
      <c r="J151" s="113"/>
      <c r="K151" s="113"/>
      <c r="L151" s="113"/>
      <c r="M151" s="113"/>
      <c r="N151" s="113"/>
      <c r="O151" s="113"/>
      <c r="P151" s="113"/>
      <c r="Q151" s="113"/>
      <c r="R151" s="113"/>
      <c r="S151" s="113">
        <f>S$17/S$140</f>
        <v>3.6687528023802449</v>
      </c>
      <c r="T151" s="113">
        <f>(IF(COUNT(S151:$S151)&lt;$S$140,S151,0))</f>
        <v>3.6687528023802449</v>
      </c>
      <c r="U151" s="113">
        <f>(IF(COUNT($S151:T151)&lt;$S$140,T151,0))</f>
        <v>3.6687528023802449</v>
      </c>
      <c r="V151" s="113">
        <f>(IF(COUNT($S151:U151)&lt;$S$140,U151,0))</f>
        <v>3.6687528023802449</v>
      </c>
      <c r="W151" s="113">
        <f>(IF(COUNT($S151:V151)&lt;$S$140,V151,0))</f>
        <v>3.6687528023802449</v>
      </c>
      <c r="X151" s="113">
        <f>(IF(COUNT($S151:W151)&lt;$S$140,W151,0))</f>
        <v>3.6687528023802449</v>
      </c>
      <c r="Y151" s="113">
        <f>(IF(COUNT($S151:X151)&lt;$S$140,X151,0))</f>
        <v>3.6687528023802449</v>
      </c>
      <c r="Z151" s="113">
        <f>(IF(COUNT($S151:Y151)&lt;$S$140,Y151,0))</f>
        <v>3.6687528023802449</v>
      </c>
      <c r="AA151" s="113">
        <f>(IF(COUNT($S151:Z151)&lt;$S$140,Z151,0))</f>
        <v>3.6687528023802449</v>
      </c>
      <c r="AB151" s="113">
        <f>(IF(COUNT($S151:AA151)&lt;$S$140,AA151,0))</f>
        <v>3.6687528023802449</v>
      </c>
    </row>
    <row r="152" spans="1:28" ht="11.45" customHeight="1" outlineLevel="1">
      <c r="A152" s="31"/>
      <c r="B152" s="157">
        <f t="shared" si="161"/>
        <v>2006</v>
      </c>
      <c r="C152" s="113"/>
      <c r="D152" s="113"/>
      <c r="E152" s="113"/>
      <c r="F152" s="113"/>
      <c r="G152" s="113"/>
      <c r="H152" s="113"/>
      <c r="I152" s="113"/>
      <c r="J152" s="113"/>
      <c r="K152" s="113"/>
      <c r="L152" s="113"/>
      <c r="M152" s="113"/>
      <c r="N152" s="113"/>
      <c r="O152" s="113"/>
      <c r="P152" s="113"/>
      <c r="Q152" s="113"/>
      <c r="R152" s="113"/>
      <c r="S152" s="113"/>
      <c r="T152" s="113">
        <f>T$17/T$140</f>
        <v>8.4828760682112474</v>
      </c>
      <c r="U152" s="113">
        <f>(IF(COUNT(T152:$T152)&lt;$T$140,T152,0))</f>
        <v>8.4828760682112474</v>
      </c>
      <c r="V152" s="113">
        <f>(IF(COUNT($T152:U152)&lt;$T$140,U152,0))</f>
        <v>8.4828760682112474</v>
      </c>
      <c r="W152" s="113">
        <f>(IF(COUNT($T152:V152)&lt;$T$140,V152,0))</f>
        <v>8.4828760682112474</v>
      </c>
      <c r="X152" s="113">
        <f>(IF(COUNT($T152:W152)&lt;$T$140,W152,0))</f>
        <v>8.4828760682112474</v>
      </c>
      <c r="Y152" s="113">
        <f>(IF(COUNT($T152:X152)&lt;$T$140,X152,0))</f>
        <v>8.4828760682112474</v>
      </c>
      <c r="Z152" s="113">
        <f>(IF(COUNT($T152:Y152)&lt;$T$140,Y152,0))</f>
        <v>8.4828760682112474</v>
      </c>
      <c r="AA152" s="113">
        <f>(IF(COUNT($T152:Z152)&lt;$T$140,Z152,0))</f>
        <v>8.4828760682112474</v>
      </c>
      <c r="AB152" s="113">
        <f>(IF(COUNT($T152:AA152)&lt;$T$140,AA152,0))</f>
        <v>8.4828760682112474</v>
      </c>
    </row>
    <row r="153" spans="1:28" ht="11.45" customHeight="1" outlineLevel="1">
      <c r="A153" s="31"/>
      <c r="B153" s="157">
        <f t="shared" si="161"/>
        <v>2007</v>
      </c>
      <c r="C153" s="113"/>
      <c r="D153" s="113"/>
      <c r="E153" s="113"/>
      <c r="F153" s="113"/>
      <c r="G153" s="113"/>
      <c r="H153" s="113"/>
      <c r="I153" s="113"/>
      <c r="J153" s="113"/>
      <c r="K153" s="113"/>
      <c r="L153" s="113"/>
      <c r="M153" s="113"/>
      <c r="N153" s="113"/>
      <c r="O153" s="113"/>
      <c r="P153" s="113"/>
      <c r="Q153" s="113"/>
      <c r="R153" s="113"/>
      <c r="S153" s="113"/>
      <c r="T153" s="113"/>
      <c r="U153" s="113">
        <f>U$17/U$140</f>
        <v>9.151419723799938</v>
      </c>
      <c r="V153" s="113">
        <f>(IF(COUNT(U153:$U153)&lt;$U$140,U153,0))</f>
        <v>9.151419723799938</v>
      </c>
      <c r="W153" s="113">
        <f>(IF(COUNT($U153:V153)&lt;$U$140,V153,0))</f>
        <v>9.151419723799938</v>
      </c>
      <c r="X153" s="113">
        <f>(IF(COUNT($U153:W153)&lt;$U$140,W153,0))</f>
        <v>9.151419723799938</v>
      </c>
      <c r="Y153" s="113">
        <f>(IF(COUNT($U153:X153)&lt;$U$140,X153,0))</f>
        <v>9.151419723799938</v>
      </c>
      <c r="Z153" s="113">
        <f>(IF(COUNT($U153:Y153)&lt;$U$140,Y153,0))</f>
        <v>9.151419723799938</v>
      </c>
      <c r="AA153" s="113">
        <f>(IF(COUNT($U153:Z153)&lt;$U$140,Z153,0))</f>
        <v>9.151419723799938</v>
      </c>
      <c r="AB153" s="113">
        <f>(IF(COUNT($U153:AA153)&lt;$U$140,AA153,0))</f>
        <v>9.151419723799938</v>
      </c>
    </row>
    <row r="154" spans="1:28" ht="11.45" customHeight="1" outlineLevel="1">
      <c r="A154" s="31"/>
      <c r="B154" s="157">
        <f t="shared" si="161"/>
        <v>2008</v>
      </c>
      <c r="C154" s="113"/>
      <c r="D154" s="113"/>
      <c r="E154" s="113"/>
      <c r="F154" s="113"/>
      <c r="G154" s="113"/>
      <c r="H154" s="113"/>
      <c r="I154" s="113"/>
      <c r="J154" s="113"/>
      <c r="K154" s="113"/>
      <c r="L154" s="113"/>
      <c r="M154" s="113"/>
      <c r="N154" s="113"/>
      <c r="O154" s="113"/>
      <c r="P154" s="113"/>
      <c r="Q154" s="113"/>
      <c r="R154" s="113"/>
      <c r="S154" s="113"/>
      <c r="T154" s="113"/>
      <c r="U154" s="113"/>
      <c r="V154" s="113">
        <f>V$17/V$140</f>
        <v>9.8636357477857128</v>
      </c>
      <c r="W154" s="113">
        <f>W$17/W$140</f>
        <v>10.6220431997085</v>
      </c>
      <c r="X154" s="113">
        <f>X$17/X$140</f>
        <v>11.429328053104697</v>
      </c>
      <c r="Y154" s="113">
        <f>Y$17/Y$140</f>
        <v>12.288353234651966</v>
      </c>
      <c r="Z154" s="113">
        <f>Z$17/Z$140</f>
        <v>13.202169317838536</v>
      </c>
      <c r="AA154" s="113">
        <f t="shared" ref="AA154:AB154" si="162">AA$17/AA$140</f>
        <v>14.174025911645769</v>
      </c>
      <c r="AB154" s="113">
        <f t="shared" si="162"/>
        <v>15.207383787360905</v>
      </c>
    </row>
    <row r="155" spans="1:28" ht="11.45" customHeight="1" outlineLevel="1">
      <c r="A155" s="31"/>
      <c r="B155" s="157">
        <f t="shared" si="161"/>
        <v>2009</v>
      </c>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row>
    <row r="156" spans="1:28" ht="11.45" customHeight="1" outlineLevel="1">
      <c r="A156" s="31"/>
      <c r="B156" s="157">
        <f t="shared" si="161"/>
        <v>2010</v>
      </c>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row>
    <row r="157" spans="1:28" ht="11.45" customHeight="1" outlineLevel="1">
      <c r="A157" s="31"/>
      <c r="B157" s="157">
        <f t="shared" si="161"/>
        <v>2011</v>
      </c>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row>
    <row r="158" spans="1:28" ht="11.45" customHeight="1" outlineLevel="1">
      <c r="A158" s="31"/>
      <c r="B158" s="157">
        <f t="shared" si="161"/>
        <v>2012</v>
      </c>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row>
    <row r="159" spans="1:28" ht="11.45" customHeight="1" outlineLevel="1">
      <c r="A159" s="31"/>
      <c r="B159" s="157">
        <f t="shared" si="161"/>
        <v>2013</v>
      </c>
      <c r="C159" s="113"/>
      <c r="D159" s="113"/>
      <c r="E159" s="113"/>
      <c r="F159" s="113"/>
      <c r="G159" s="113"/>
      <c r="H159" s="113"/>
      <c r="I159" s="113"/>
      <c r="J159" s="113"/>
      <c r="K159" s="113"/>
      <c r="L159" s="113"/>
      <c r="M159" s="113"/>
      <c r="N159" s="113"/>
      <c r="O159" s="113"/>
      <c r="P159" s="113"/>
      <c r="Q159" s="113"/>
      <c r="R159" s="113"/>
      <c r="S159" s="113"/>
      <c r="T159" s="113"/>
      <c r="U159" s="114"/>
      <c r="V159" s="114"/>
      <c r="W159" s="114"/>
      <c r="X159" s="114"/>
      <c r="Y159" s="114"/>
      <c r="Z159" s="114"/>
      <c r="AA159" s="114"/>
      <c r="AB159" s="114"/>
    </row>
    <row r="160" spans="1:28" ht="11.45" customHeight="1" outlineLevel="1">
      <c r="A160" s="31"/>
      <c r="B160" s="157">
        <f t="shared" si="161"/>
        <v>2014</v>
      </c>
      <c r="C160" s="113"/>
      <c r="D160" s="113"/>
      <c r="E160" s="113"/>
      <c r="F160" s="113"/>
      <c r="G160" s="113"/>
      <c r="H160" s="113"/>
      <c r="I160" s="113"/>
      <c r="J160" s="113"/>
      <c r="K160" s="113"/>
      <c r="L160" s="113"/>
      <c r="M160" s="113"/>
      <c r="N160" s="113"/>
      <c r="O160" s="113"/>
      <c r="P160" s="113"/>
      <c r="Q160" s="113"/>
      <c r="R160" s="113"/>
      <c r="S160" s="113"/>
      <c r="T160" s="113"/>
      <c r="U160" s="114"/>
      <c r="V160" s="114"/>
      <c r="W160" s="114"/>
      <c r="X160" s="114"/>
      <c r="Y160" s="114"/>
      <c r="Z160" s="114"/>
      <c r="AA160" s="114"/>
      <c r="AB160" s="114"/>
    </row>
    <row r="161" spans="1:28" ht="11.45" customHeight="1" outlineLevel="1">
      <c r="A161" s="31"/>
      <c r="B161" s="157">
        <f t="shared" si="161"/>
        <v>2015</v>
      </c>
      <c r="C161" s="113"/>
      <c r="D161" s="113"/>
      <c r="E161" s="113"/>
      <c r="F161" s="113"/>
      <c r="G161" s="113"/>
      <c r="H161" s="113"/>
      <c r="I161" s="113"/>
      <c r="J161" s="113"/>
      <c r="K161" s="113"/>
      <c r="L161" s="113"/>
      <c r="M161" s="113"/>
      <c r="N161" s="113"/>
      <c r="O161" s="113"/>
      <c r="P161" s="113"/>
      <c r="Q161" s="113"/>
      <c r="R161" s="113"/>
      <c r="S161" s="113"/>
      <c r="T161" s="113"/>
      <c r="U161" s="115"/>
      <c r="V161" s="114"/>
      <c r="W161" s="114"/>
      <c r="X161" s="114"/>
      <c r="Y161" s="114"/>
      <c r="Z161" s="114"/>
      <c r="AA161" s="114"/>
      <c r="AB161" s="114"/>
    </row>
    <row r="162" spans="1:28" ht="11.45" customHeight="1" outlineLevel="1">
      <c r="A162" s="31"/>
      <c r="B162" s="157">
        <f t="shared" si="161"/>
        <v>2016</v>
      </c>
      <c r="C162" s="113"/>
      <c r="D162" s="113"/>
      <c r="E162" s="113"/>
      <c r="F162" s="113"/>
      <c r="G162" s="113"/>
      <c r="H162" s="113"/>
      <c r="I162" s="113"/>
      <c r="J162" s="113"/>
      <c r="K162" s="113"/>
      <c r="L162" s="113"/>
      <c r="M162" s="113"/>
      <c r="N162" s="113"/>
      <c r="O162" s="113"/>
      <c r="P162" s="113"/>
      <c r="Q162" s="113"/>
      <c r="R162" s="113"/>
      <c r="S162" s="113"/>
      <c r="T162" s="113"/>
      <c r="U162" s="115"/>
      <c r="V162" s="115"/>
      <c r="W162" s="115"/>
      <c r="X162" s="115"/>
      <c r="Y162" s="115"/>
      <c r="Z162" s="115"/>
      <c r="AA162" s="115"/>
      <c r="AB162" s="115"/>
    </row>
    <row r="163" spans="1:28" ht="11.45" customHeight="1" outlineLevel="1">
      <c r="A163" s="31"/>
      <c r="B163" s="157">
        <f t="shared" si="161"/>
        <v>2017</v>
      </c>
      <c r="C163" s="113"/>
      <c r="D163" s="113"/>
      <c r="E163" s="113"/>
      <c r="F163" s="113"/>
      <c r="G163" s="113"/>
      <c r="H163" s="113"/>
      <c r="I163" s="113"/>
      <c r="J163" s="113"/>
      <c r="K163" s="113"/>
      <c r="L163" s="113"/>
      <c r="M163" s="113"/>
      <c r="N163" s="113"/>
      <c r="O163" s="113"/>
      <c r="P163" s="113"/>
      <c r="Q163" s="113"/>
      <c r="R163" s="113"/>
      <c r="S163" s="113"/>
      <c r="T163" s="113"/>
      <c r="U163" s="116"/>
      <c r="V163" s="116"/>
      <c r="W163" s="116"/>
      <c r="X163" s="116"/>
      <c r="Y163" s="116"/>
      <c r="Z163" s="116"/>
      <c r="AA163" s="116"/>
      <c r="AB163" s="116"/>
    </row>
    <row r="164" spans="1:28" ht="11.45" customHeight="1" outlineLevel="1">
      <c r="A164" s="31"/>
      <c r="B164" s="157">
        <f t="shared" si="161"/>
        <v>2018</v>
      </c>
      <c r="C164" s="113"/>
      <c r="D164" s="113"/>
      <c r="E164" s="113"/>
      <c r="F164" s="113"/>
      <c r="G164" s="113"/>
      <c r="H164" s="113"/>
      <c r="I164" s="113"/>
      <c r="J164" s="113"/>
      <c r="K164" s="113"/>
      <c r="L164" s="113"/>
      <c r="M164" s="113"/>
      <c r="N164" s="113"/>
      <c r="O164" s="113"/>
      <c r="P164" s="113"/>
      <c r="Q164" s="113"/>
      <c r="R164" s="113"/>
      <c r="S164" s="113"/>
      <c r="T164" s="113"/>
      <c r="U164" s="116"/>
      <c r="V164" s="116"/>
      <c r="W164" s="116"/>
      <c r="X164" s="116"/>
      <c r="Y164" s="116"/>
      <c r="Z164" s="116"/>
      <c r="AA164" s="116"/>
      <c r="AB164" s="116"/>
    </row>
    <row r="165" spans="1:28" ht="11.45" customHeight="1" outlineLevel="1">
      <c r="A165" s="31"/>
      <c r="B165" s="157">
        <f t="shared" si="161"/>
        <v>2019</v>
      </c>
      <c r="C165" s="113"/>
      <c r="D165" s="113"/>
      <c r="E165" s="113"/>
      <c r="F165" s="113"/>
      <c r="G165" s="113"/>
      <c r="H165" s="113"/>
      <c r="I165" s="113"/>
      <c r="J165" s="113"/>
      <c r="K165" s="113"/>
      <c r="L165" s="113"/>
      <c r="M165" s="113"/>
      <c r="N165" s="113"/>
      <c r="O165" s="113"/>
      <c r="P165" s="113"/>
      <c r="Q165" s="113"/>
      <c r="R165" s="113"/>
      <c r="S165" s="113"/>
      <c r="T165" s="113"/>
      <c r="U165" s="116"/>
      <c r="V165" s="116"/>
      <c r="W165" s="116"/>
      <c r="X165" s="116"/>
      <c r="Y165" s="116"/>
      <c r="Z165" s="116"/>
      <c r="AA165" s="116"/>
      <c r="AB165" s="116"/>
    </row>
    <row r="166" spans="1:28" ht="11.45" customHeight="1" outlineLevel="1">
      <c r="A166" s="31"/>
      <c r="B166" s="157">
        <f t="shared" si="161"/>
        <v>2020</v>
      </c>
      <c r="C166" s="113"/>
      <c r="D166" s="113"/>
      <c r="E166" s="113"/>
      <c r="F166" s="113"/>
      <c r="G166" s="113"/>
      <c r="H166" s="113"/>
      <c r="I166" s="113"/>
      <c r="J166" s="113"/>
      <c r="K166" s="113"/>
      <c r="L166" s="113"/>
      <c r="M166" s="113"/>
      <c r="N166" s="113"/>
      <c r="O166" s="113"/>
      <c r="P166" s="113"/>
      <c r="Q166" s="113"/>
      <c r="R166" s="113"/>
      <c r="S166" s="113"/>
      <c r="T166" s="113"/>
      <c r="U166" s="116"/>
      <c r="V166" s="116"/>
      <c r="W166" s="116"/>
      <c r="X166" s="116"/>
      <c r="Y166" s="116"/>
      <c r="Z166" s="116"/>
      <c r="AA166" s="116"/>
      <c r="AB166" s="116"/>
    </row>
    <row r="167" spans="1:28" ht="11.45" customHeight="1" outlineLevel="1">
      <c r="A167" s="31"/>
      <c r="B167" s="157">
        <f t="shared" si="161"/>
        <v>2021</v>
      </c>
      <c r="C167" s="113"/>
      <c r="D167" s="113"/>
      <c r="E167" s="113"/>
      <c r="F167" s="113"/>
      <c r="G167" s="113"/>
      <c r="H167" s="113"/>
      <c r="I167" s="113"/>
      <c r="J167" s="113"/>
      <c r="K167" s="113"/>
      <c r="L167" s="113"/>
      <c r="M167" s="113"/>
      <c r="N167" s="113"/>
      <c r="O167" s="113"/>
      <c r="P167" s="113"/>
      <c r="Q167" s="113"/>
      <c r="R167" s="113"/>
      <c r="S167" s="113"/>
      <c r="T167" s="113"/>
      <c r="U167" s="116"/>
      <c r="V167" s="116"/>
      <c r="W167" s="116"/>
      <c r="X167" s="116"/>
      <c r="Y167" s="116"/>
      <c r="Z167" s="116"/>
      <c r="AA167" s="116"/>
      <c r="AB167" s="116"/>
    </row>
    <row r="168" spans="1:28" ht="11.45" customHeight="1" outlineLevel="1">
      <c r="A168" s="117"/>
      <c r="B168" s="157">
        <f t="shared" si="161"/>
        <v>2022</v>
      </c>
      <c r="C168" s="118"/>
      <c r="D168" s="118"/>
      <c r="E168" s="118"/>
      <c r="F168" s="118"/>
      <c r="G168" s="118"/>
      <c r="H168" s="118"/>
      <c r="I168" s="118"/>
      <c r="J168" s="118"/>
      <c r="K168" s="118"/>
      <c r="L168" s="118"/>
      <c r="M168" s="118"/>
      <c r="N168" s="118"/>
      <c r="O168" s="118"/>
      <c r="P168" s="118"/>
      <c r="Q168" s="118"/>
      <c r="R168" s="118"/>
      <c r="S168" s="118"/>
      <c r="T168" s="57"/>
      <c r="U168" s="25"/>
      <c r="V168" s="25"/>
      <c r="W168" s="25"/>
      <c r="X168" s="25"/>
      <c r="Y168" s="25"/>
      <c r="Z168" s="25"/>
      <c r="AA168" s="25"/>
      <c r="AB168" s="25"/>
    </row>
    <row r="169" spans="1:28" ht="11.45" customHeight="1" outlineLevel="1">
      <c r="A169" s="31"/>
      <c r="B169" s="157">
        <f t="shared" si="161"/>
        <v>2023</v>
      </c>
      <c r="C169" s="118"/>
      <c r="D169" s="118"/>
      <c r="E169" s="118"/>
      <c r="F169" s="118"/>
      <c r="G169" s="118"/>
      <c r="H169" s="118"/>
      <c r="I169" s="118"/>
      <c r="J169" s="118"/>
      <c r="K169" s="118"/>
      <c r="L169" s="118"/>
      <c r="M169" s="118"/>
      <c r="N169" s="118"/>
      <c r="O169" s="118"/>
      <c r="P169" s="118"/>
      <c r="Q169" s="118"/>
      <c r="R169" s="118"/>
      <c r="S169" s="118"/>
      <c r="T169" s="57"/>
      <c r="U169" s="25"/>
      <c r="V169" s="25"/>
      <c r="W169" s="25"/>
      <c r="X169" s="25"/>
      <c r="Y169" s="25"/>
      <c r="Z169" s="25"/>
      <c r="AA169" s="25"/>
      <c r="AB169" s="25"/>
    </row>
    <row r="170" spans="1:28" ht="11.45" customHeight="1" outlineLevel="1">
      <c r="A170" s="31"/>
      <c r="B170" s="157">
        <f t="shared" si="161"/>
        <v>2024</v>
      </c>
      <c r="C170" s="118"/>
      <c r="D170" s="118"/>
      <c r="E170" s="118"/>
      <c r="F170" s="118"/>
      <c r="G170" s="118"/>
      <c r="H170" s="118"/>
      <c r="I170" s="118"/>
      <c r="J170" s="118"/>
      <c r="K170" s="118"/>
      <c r="L170" s="118"/>
      <c r="M170" s="118"/>
      <c r="N170" s="118"/>
      <c r="O170" s="118"/>
      <c r="P170" s="118"/>
      <c r="Q170" s="118"/>
      <c r="R170" s="118"/>
      <c r="S170" s="118"/>
      <c r="T170" s="57"/>
      <c r="U170" s="25"/>
      <c r="V170" s="25"/>
      <c r="W170" s="25"/>
      <c r="X170" s="25"/>
      <c r="Y170" s="25"/>
      <c r="Z170" s="25"/>
      <c r="AA170" s="25"/>
      <c r="AB170" s="25"/>
    </row>
    <row r="171" spans="1:28" ht="11.45" customHeight="1" outlineLevel="1">
      <c r="A171" s="31"/>
      <c r="B171" s="157">
        <f t="shared" si="161"/>
        <v>2025</v>
      </c>
      <c r="C171" s="118"/>
      <c r="D171" s="118"/>
      <c r="E171" s="118"/>
      <c r="F171" s="118"/>
      <c r="G171" s="118"/>
      <c r="H171" s="118"/>
      <c r="I171" s="118"/>
      <c r="J171" s="118"/>
      <c r="K171" s="118"/>
      <c r="L171" s="118"/>
      <c r="M171" s="118"/>
      <c r="N171" s="118"/>
      <c r="O171" s="118"/>
      <c r="P171" s="118"/>
      <c r="Q171" s="118"/>
      <c r="R171" s="118"/>
      <c r="S171" s="118"/>
      <c r="T171" s="57"/>
      <c r="U171" s="25"/>
      <c r="V171" s="25"/>
      <c r="W171" s="25"/>
      <c r="X171" s="25"/>
      <c r="Y171" s="25"/>
      <c r="Z171" s="25"/>
      <c r="AA171" s="25"/>
      <c r="AB171" s="25"/>
    </row>
    <row r="172" spans="1:28" ht="11.45" customHeight="1" outlineLevel="1">
      <c r="A172" s="31"/>
      <c r="B172" s="157">
        <f t="shared" si="161"/>
        <v>2026</v>
      </c>
      <c r="C172" s="118"/>
      <c r="D172" s="118"/>
      <c r="E172" s="118"/>
      <c r="F172" s="118"/>
      <c r="G172" s="118"/>
      <c r="H172" s="118"/>
      <c r="I172" s="118"/>
      <c r="J172" s="118"/>
      <c r="K172" s="118"/>
      <c r="L172" s="118"/>
      <c r="M172" s="118"/>
      <c r="N172" s="118"/>
      <c r="O172" s="118"/>
      <c r="P172" s="118"/>
      <c r="Q172" s="118"/>
      <c r="R172" s="118"/>
      <c r="S172" s="118"/>
      <c r="T172" s="57"/>
      <c r="U172" s="25"/>
      <c r="V172" s="25"/>
      <c r="W172" s="25"/>
      <c r="X172" s="25"/>
      <c r="Y172" s="25"/>
      <c r="Z172" s="25"/>
      <c r="AA172" s="25"/>
      <c r="AB172" s="25"/>
    </row>
    <row r="173" spans="1:28" ht="11.45" customHeight="1" outlineLevel="1">
      <c r="A173" s="31"/>
      <c r="B173" s="157">
        <f t="shared" si="161"/>
        <v>2027</v>
      </c>
      <c r="C173" s="118"/>
      <c r="D173" s="118"/>
      <c r="E173" s="118"/>
      <c r="F173" s="118"/>
      <c r="G173" s="118"/>
      <c r="H173" s="118"/>
      <c r="I173" s="118"/>
      <c r="J173" s="118"/>
      <c r="K173" s="118"/>
      <c r="L173" s="118"/>
      <c r="M173" s="118"/>
      <c r="N173" s="118"/>
      <c r="O173" s="118"/>
      <c r="P173" s="118"/>
      <c r="Q173" s="118"/>
      <c r="R173" s="118"/>
      <c r="S173" s="118"/>
      <c r="T173" s="57"/>
      <c r="U173" s="25"/>
      <c r="V173" s="25"/>
      <c r="W173" s="25"/>
      <c r="X173" s="25"/>
      <c r="Y173" s="25"/>
      <c r="Z173" s="25"/>
      <c r="AA173" s="25"/>
      <c r="AB173" s="25"/>
    </row>
    <row r="174" spans="1:28" ht="11.45" customHeight="1" outlineLevel="1">
      <c r="A174" s="31"/>
      <c r="B174" s="159"/>
      <c r="C174" s="118"/>
      <c r="D174" s="118"/>
      <c r="E174" s="118"/>
      <c r="F174" s="118"/>
      <c r="G174" s="118"/>
      <c r="H174" s="118"/>
      <c r="I174" s="118"/>
      <c r="J174" s="118"/>
      <c r="K174" s="118"/>
      <c r="L174" s="118"/>
      <c r="M174" s="118"/>
      <c r="N174" s="118"/>
      <c r="O174" s="118"/>
      <c r="P174" s="118"/>
      <c r="Q174" s="118"/>
      <c r="R174" s="118"/>
      <c r="S174" s="118"/>
      <c r="T174" s="57"/>
      <c r="U174" s="25"/>
      <c r="V174" s="25"/>
      <c r="W174" s="25"/>
      <c r="X174" s="25"/>
      <c r="Y174" s="25"/>
      <c r="Z174" s="25"/>
      <c r="AA174" s="25"/>
      <c r="AB174" s="25"/>
    </row>
    <row r="175" spans="1:28" ht="11.45" customHeight="1" outlineLevel="1">
      <c r="A175" s="31"/>
      <c r="B175" s="157"/>
      <c r="C175" s="119">
        <f t="shared" ref="C175:V175" si="163">SUM(C142:C173)</f>
        <v>249.48464260783396</v>
      </c>
      <c r="D175" s="119">
        <f t="shared" si="163"/>
        <v>256.62649595343885</v>
      </c>
      <c r="E175" s="119">
        <f t="shared" si="163"/>
        <v>295.50860749835476</v>
      </c>
      <c r="F175" s="119">
        <f t="shared" si="163"/>
        <v>327.47388029955647</v>
      </c>
      <c r="G175" s="119">
        <f t="shared" si="163"/>
        <v>350.86907526004433</v>
      </c>
      <c r="H175" s="119">
        <f t="shared" si="163"/>
        <v>347.03897828422856</v>
      </c>
      <c r="I175" s="119">
        <f t="shared" si="163"/>
        <v>346.97897085098157</v>
      </c>
      <c r="J175" s="119">
        <f t="shared" si="163"/>
        <v>94.031694421769259</v>
      </c>
      <c r="K175" s="119">
        <f t="shared" si="163"/>
        <v>93.677705764012785</v>
      </c>
      <c r="L175" s="119">
        <f t="shared" si="163"/>
        <v>86.242437401300649</v>
      </c>
      <c r="M175" s="119">
        <f t="shared" si="163"/>
        <v>95.150800972178573</v>
      </c>
      <c r="N175" s="119">
        <f t="shared" si="163"/>
        <v>107.53668230773812</v>
      </c>
      <c r="O175" s="119">
        <f t="shared" si="163"/>
        <v>113.00018004164582</v>
      </c>
      <c r="P175" s="119">
        <f t="shared" si="163"/>
        <v>113.00427227998952</v>
      </c>
      <c r="Q175" s="119">
        <f t="shared" si="163"/>
        <v>113.49593705117329</v>
      </c>
      <c r="R175" s="119">
        <f t="shared" si="163"/>
        <v>113.71830771138286</v>
      </c>
      <c r="S175" s="119">
        <f t="shared" si="163"/>
        <v>113.3290152649593</v>
      </c>
      <c r="T175" s="119">
        <f t="shared" si="163"/>
        <v>118.2408115142232</v>
      </c>
      <c r="U175" s="119">
        <f t="shared" si="163"/>
        <v>124.24968099734946</v>
      </c>
      <c r="V175" s="119">
        <f t="shared" si="163"/>
        <v>131.34787253334233</v>
      </c>
      <c r="W175" s="119">
        <f>SUM(W142:W173)</f>
        <v>129.6726890788874</v>
      </c>
      <c r="X175" s="119">
        <f>SUM(X142:X173)</f>
        <v>128.33841393467128</v>
      </c>
      <c r="Y175" s="119">
        <f>SUM(Y142:Y173)</f>
        <v>127.31286631831964</v>
      </c>
      <c r="Z175" s="119">
        <f>SUM(Z142:Z173)</f>
        <v>126.56825833935518</v>
      </c>
      <c r="AA175" s="119">
        <f t="shared" ref="AA175:AB175" si="164">SUM(AA142:AA173)</f>
        <v>126.08070175846953</v>
      </c>
      <c r="AB175" s="119">
        <f t="shared" si="164"/>
        <v>125.82977604045492</v>
      </c>
    </row>
    <row r="176" spans="1:28">
      <c r="A176" s="5"/>
      <c r="B176" s="157" t="s">
        <v>20</v>
      </c>
      <c r="C176" s="11"/>
      <c r="D176" s="11"/>
      <c r="E176" s="11"/>
      <c r="F176" s="11"/>
      <c r="G176" s="11"/>
      <c r="H176" s="11"/>
      <c r="I176" s="11"/>
      <c r="J176" s="11"/>
      <c r="K176" s="11"/>
      <c r="L176" s="11"/>
      <c r="M176" s="11"/>
      <c r="N176" s="11"/>
      <c r="O176" s="11"/>
      <c r="P176" s="120"/>
      <c r="Q176" s="120"/>
      <c r="R176" s="120"/>
      <c r="S176" s="120"/>
      <c r="T176" s="120"/>
      <c r="U176" s="120"/>
      <c r="V176" s="120"/>
      <c r="W176" s="120"/>
      <c r="X176" s="120"/>
      <c r="Y176" s="120"/>
      <c r="Z176" s="120"/>
      <c r="AA176" s="120"/>
      <c r="AB176" s="120"/>
    </row>
    <row r="177" spans="1:28">
      <c r="A177" s="5"/>
      <c r="B177" s="121"/>
      <c r="C177" s="11"/>
      <c r="D177" s="11"/>
      <c r="E177" s="11"/>
      <c r="F177" s="11"/>
      <c r="G177" s="11"/>
      <c r="H177" s="11"/>
      <c r="I177" s="11"/>
      <c r="J177" s="11"/>
      <c r="K177" s="11"/>
      <c r="L177" s="11"/>
      <c r="M177" s="11"/>
      <c r="N177" s="11"/>
      <c r="O177" s="11"/>
      <c r="P177" s="120"/>
      <c r="Q177" s="120"/>
      <c r="R177" s="120"/>
      <c r="S177" s="120"/>
      <c r="T177" s="120"/>
      <c r="U177" s="120"/>
      <c r="V177" s="120"/>
      <c r="W177" s="120"/>
      <c r="X177" s="120"/>
      <c r="Y177" s="120"/>
      <c r="Z177" s="120"/>
      <c r="AA177" s="120"/>
      <c r="AB177" s="120"/>
    </row>
    <row r="178" spans="1:28">
      <c r="A178" s="5"/>
      <c r="B178" s="157"/>
      <c r="C178" s="11"/>
      <c r="D178" s="11"/>
      <c r="E178" s="11"/>
      <c r="F178" s="11"/>
      <c r="G178" s="11"/>
      <c r="H178" s="11"/>
      <c r="I178" s="11"/>
      <c r="J178" s="11"/>
      <c r="K178" s="11"/>
      <c r="L178" s="11"/>
      <c r="M178" s="11"/>
      <c r="N178" s="11"/>
      <c r="O178" s="11"/>
      <c r="P178" s="120"/>
      <c r="Q178" s="120"/>
      <c r="R178" s="120"/>
      <c r="S178" s="120"/>
      <c r="T178" s="120"/>
      <c r="U178" s="120"/>
      <c r="V178" s="120"/>
      <c r="W178" s="120"/>
      <c r="X178" s="120"/>
      <c r="Y178" s="120"/>
      <c r="Z178" s="120"/>
      <c r="AA178" s="120"/>
      <c r="AB178" s="120"/>
    </row>
    <row r="179" spans="1:28">
      <c r="A179" s="5"/>
      <c r="B179" s="157"/>
      <c r="C179" s="11"/>
      <c r="D179" s="11"/>
      <c r="E179" s="11"/>
      <c r="F179" s="11"/>
      <c r="G179" s="11"/>
      <c r="H179" s="11"/>
      <c r="I179" s="11"/>
      <c r="J179" s="11"/>
      <c r="K179" s="11"/>
      <c r="L179" s="11"/>
      <c r="M179" s="11"/>
      <c r="N179" s="11"/>
      <c r="O179" s="11"/>
      <c r="P179" s="120"/>
      <c r="Q179" s="120"/>
      <c r="R179" s="120"/>
      <c r="S179" s="120"/>
      <c r="T179" s="120"/>
      <c r="U179" s="120"/>
      <c r="V179" s="120"/>
      <c r="W179" s="120"/>
      <c r="X179" s="120"/>
      <c r="Y179" s="120"/>
      <c r="Z179" s="120"/>
      <c r="AA179" s="120"/>
      <c r="AB179" s="120"/>
    </row>
    <row r="180" spans="1:28">
      <c r="A180" s="5"/>
      <c r="B180" s="157"/>
      <c r="C180" s="11"/>
      <c r="D180" s="11"/>
      <c r="E180" s="11"/>
      <c r="F180" s="11"/>
      <c r="G180" s="11"/>
      <c r="H180" s="11"/>
      <c r="I180" s="11"/>
      <c r="J180" s="11"/>
      <c r="K180" s="11"/>
      <c r="L180" s="11"/>
      <c r="M180" s="11"/>
      <c r="N180" s="11"/>
      <c r="O180" s="11"/>
      <c r="P180" s="120"/>
      <c r="Q180" s="120"/>
      <c r="R180" s="120"/>
      <c r="S180" s="120"/>
      <c r="T180" s="120"/>
      <c r="U180" s="120"/>
      <c r="V180" s="120"/>
      <c r="W180" s="120"/>
      <c r="X180" s="120"/>
      <c r="Y180" s="120"/>
      <c r="Z180" s="120"/>
      <c r="AA180" s="120"/>
      <c r="AB180" s="120"/>
    </row>
    <row r="181" spans="1:28">
      <c r="A181" s="5"/>
      <c r="B181" s="44"/>
      <c r="C181" s="11"/>
      <c r="D181" s="11"/>
      <c r="E181" s="11"/>
      <c r="F181" s="11"/>
      <c r="G181" s="11"/>
      <c r="H181" s="11"/>
      <c r="I181" s="11"/>
      <c r="J181" s="11"/>
      <c r="K181" s="11"/>
      <c r="L181" s="11"/>
      <c r="M181" s="11"/>
      <c r="N181" s="11"/>
      <c r="O181" s="11"/>
      <c r="P181" s="11"/>
      <c r="Q181" s="5"/>
      <c r="R181" s="5"/>
      <c r="S181" s="5"/>
      <c r="T181" s="5"/>
      <c r="U181" s="5"/>
      <c r="V181" s="5"/>
      <c r="W181" s="5"/>
      <c r="X181" s="5"/>
      <c r="Y181" s="5"/>
      <c r="Z181" s="5"/>
      <c r="AA181" s="5"/>
      <c r="AB181" s="5"/>
    </row>
    <row r="182" spans="1:28">
      <c r="A182" s="5"/>
      <c r="B182" s="44"/>
      <c r="C182" s="11"/>
      <c r="D182" s="11"/>
      <c r="E182" s="11"/>
      <c r="F182" s="11"/>
      <c r="G182" s="11"/>
      <c r="H182" s="11"/>
      <c r="I182" s="11"/>
      <c r="J182" s="11"/>
      <c r="K182" s="11"/>
      <c r="L182" s="11"/>
      <c r="M182" s="11"/>
      <c r="N182" s="11"/>
      <c r="O182" s="11"/>
      <c r="P182" s="11"/>
      <c r="Q182" s="5"/>
      <c r="R182" s="5"/>
      <c r="S182" s="5"/>
      <c r="T182" s="5"/>
      <c r="U182" s="5"/>
      <c r="V182" s="5"/>
      <c r="W182" s="5"/>
      <c r="X182" s="5"/>
      <c r="Y182" s="5"/>
      <c r="Z182" s="5"/>
      <c r="AA182" s="5"/>
      <c r="AB182" s="5"/>
    </row>
    <row r="183" spans="1:28">
      <c r="A183" s="5"/>
      <c r="B183" s="44"/>
      <c r="C183" s="11"/>
      <c r="D183" s="11"/>
      <c r="E183" s="11"/>
      <c r="F183" s="11"/>
      <c r="G183" s="11"/>
      <c r="H183" s="11"/>
      <c r="I183" s="11"/>
      <c r="J183" s="11"/>
      <c r="K183" s="11"/>
      <c r="L183" s="11"/>
      <c r="M183" s="11"/>
      <c r="N183" s="11"/>
      <c r="O183" s="11"/>
      <c r="P183" s="11"/>
      <c r="Q183" s="5"/>
      <c r="R183" s="5"/>
      <c r="S183" s="5"/>
      <c r="T183" s="5"/>
      <c r="U183" s="5"/>
      <c r="V183" s="5"/>
      <c r="W183" s="5"/>
      <c r="X183" s="5"/>
      <c r="Y183" s="5"/>
      <c r="Z183" s="5"/>
      <c r="AA183" s="5"/>
      <c r="AB183" s="5"/>
    </row>
    <row r="184" spans="1:28">
      <c r="A184" s="5"/>
      <c r="B184" s="44"/>
      <c r="C184" s="11"/>
      <c r="D184" s="11"/>
      <c r="E184" s="11"/>
      <c r="F184" s="11"/>
      <c r="G184" s="11"/>
      <c r="H184" s="11"/>
      <c r="I184" s="11"/>
      <c r="J184" s="11"/>
      <c r="K184" s="11"/>
      <c r="L184" s="11"/>
      <c r="M184" s="11"/>
      <c r="N184" s="11"/>
      <c r="O184" s="11"/>
      <c r="P184" s="11"/>
      <c r="Q184" s="5"/>
      <c r="R184" s="5"/>
      <c r="S184" s="5"/>
      <c r="T184" s="5"/>
      <c r="U184" s="5"/>
      <c r="V184" s="5"/>
      <c r="W184" s="5"/>
      <c r="X184" s="5"/>
      <c r="Y184" s="5"/>
      <c r="Z184" s="5"/>
      <c r="AA184" s="5"/>
      <c r="AB184" s="5"/>
    </row>
  </sheetData>
  <phoneticPr fontId="10" type="noConversion"/>
  <pageMargins left="0.75" right="0.75" top="1" bottom="1" header="0.5" footer="0.5"/>
  <pageSetup orientation="portrait" horizontalDpi="300" verticalDpi="3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43"/>
  <sheetViews>
    <sheetView workbookViewId="0">
      <selection activeCell="B42" sqref="B42"/>
    </sheetView>
  </sheetViews>
  <sheetFormatPr defaultRowHeight="12.75"/>
  <cols>
    <col min="1" max="1" width="29.5703125" style="1" bestFit="1" customWidth="1"/>
    <col min="2" max="2" width="19.85546875" style="1614"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1029</v>
      </c>
      <c r="B1" s="1613">
        <v>6.1</v>
      </c>
    </row>
    <row r="2" spans="1:2">
      <c r="A2" s="1" t="s">
        <v>1030</v>
      </c>
      <c r="B2" s="1617">
        <v>43199.534375000003</v>
      </c>
    </row>
    <row r="3" spans="1:2">
      <c r="A3" s="1" t="s">
        <v>1031</v>
      </c>
      <c r="B3" s="1614" t="s">
        <v>729</v>
      </c>
    </row>
    <row r="4" spans="1:2">
      <c r="A4" s="1" t="s">
        <v>1032</v>
      </c>
      <c r="B4" s="1614" t="s">
        <v>1033</v>
      </c>
    </row>
    <row r="5" spans="1:2">
      <c r="A5" s="1" t="s">
        <v>1034</v>
      </c>
      <c r="B5" s="1614" t="s">
        <v>656</v>
      </c>
    </row>
    <row r="6" spans="1:2">
      <c r="A6" s="1" t="s">
        <v>1035</v>
      </c>
    </row>
    <row r="7" spans="1:2">
      <c r="A7" s="1" t="s">
        <v>1036</v>
      </c>
      <c r="B7" s="1614" t="s">
        <v>448</v>
      </c>
    </row>
    <row r="8" spans="1:2">
      <c r="A8" s="1" t="s">
        <v>1037</v>
      </c>
      <c r="B8" s="1614" t="s">
        <v>1038</v>
      </c>
    </row>
    <row r="9" spans="1:2">
      <c r="A9" s="1" t="s">
        <v>682</v>
      </c>
      <c r="B9" s="1614" t="s">
        <v>1075</v>
      </c>
    </row>
    <row r="10" spans="1:2">
      <c r="A10" s="1" t="s">
        <v>1039</v>
      </c>
    </row>
    <row r="11" spans="1:2">
      <c r="A11" s="1" t="s">
        <v>1040</v>
      </c>
    </row>
    <row r="12" spans="1:2">
      <c r="A12" s="1" t="s">
        <v>1041</v>
      </c>
    </row>
    <row r="13" spans="1:2">
      <c r="A13" s="1" t="s">
        <v>1042</v>
      </c>
    </row>
    <row r="14" spans="1:2">
      <c r="A14" s="1" t="s">
        <v>1043</v>
      </c>
    </row>
    <row r="15" spans="1:2">
      <c r="A15" s="1" t="s">
        <v>1044</v>
      </c>
    </row>
    <row r="16" spans="1:2">
      <c r="A16" s="1" t="s">
        <v>1045</v>
      </c>
    </row>
    <row r="17" spans="1:4">
      <c r="A17" s="1" t="s">
        <v>1046</v>
      </c>
      <c r="B17" s="1614" t="s">
        <v>1076</v>
      </c>
    </row>
    <row r="18" spans="1:4">
      <c r="A18" s="1" t="s">
        <v>1047</v>
      </c>
      <c r="B18" s="1614" t="s">
        <v>728</v>
      </c>
    </row>
    <row r="19" spans="1:4">
      <c r="A19" s="1" t="s">
        <v>1048</v>
      </c>
      <c r="B19" s="1614" t="s">
        <v>449</v>
      </c>
    </row>
    <row r="20" spans="1:4">
      <c r="A20" s="1" t="s">
        <v>1049</v>
      </c>
      <c r="B20" s="1615">
        <v>708160106</v>
      </c>
    </row>
    <row r="21" spans="1:4">
      <c r="A21" s="1" t="s">
        <v>1050</v>
      </c>
      <c r="B21" s="1614" t="s">
        <v>449</v>
      </c>
    </row>
    <row r="22" spans="1:4">
      <c r="A22" s="1" t="s">
        <v>1051</v>
      </c>
      <c r="B22" s="1615">
        <v>2680303</v>
      </c>
    </row>
    <row r="23" spans="1:4">
      <c r="A23" s="1" t="s">
        <v>597</v>
      </c>
      <c r="B23" s="1613">
        <v>3.25</v>
      </c>
    </row>
    <row r="24" spans="1:4">
      <c r="A24" s="1" t="s">
        <v>596</v>
      </c>
      <c r="B24" s="1614" t="s">
        <v>262</v>
      </c>
      <c r="D24" s="1" t="s">
        <v>357</v>
      </c>
    </row>
    <row r="25" spans="1:4">
      <c r="A25" s="1" t="s">
        <v>1052</v>
      </c>
      <c r="B25" s="1614" t="s">
        <v>1079</v>
      </c>
    </row>
    <row r="26" spans="1:4">
      <c r="A26" s="1" t="s">
        <v>1053</v>
      </c>
      <c r="B26" s="1614">
        <v>0</v>
      </c>
    </row>
    <row r="27" spans="1:4">
      <c r="A27" s="1" t="s">
        <v>1054</v>
      </c>
      <c r="B27" s="1614" t="s">
        <v>1055</v>
      </c>
    </row>
    <row r="28" spans="1:4">
      <c r="A28" s="1" t="s">
        <v>1056</v>
      </c>
      <c r="B28" s="1614" t="s">
        <v>1057</v>
      </c>
    </row>
    <row r="29" spans="1:4">
      <c r="A29" s="1" t="s">
        <v>1058</v>
      </c>
    </row>
    <row r="30" spans="1:4">
      <c r="A30" s="1" t="s">
        <v>1059</v>
      </c>
    </row>
    <row r="31" spans="1:4">
      <c r="A31" s="1" t="s">
        <v>1060</v>
      </c>
    </row>
    <row r="32" spans="1:4">
      <c r="A32" s="1" t="s">
        <v>1061</v>
      </c>
      <c r="B32" s="1613"/>
    </row>
    <row r="33" spans="1:2">
      <c r="A33" s="1" t="s">
        <v>1062</v>
      </c>
      <c r="B33" s="1613"/>
    </row>
    <row r="34" spans="1:2">
      <c r="A34" s="1" t="s">
        <v>1063</v>
      </c>
      <c r="B34" s="1613"/>
    </row>
    <row r="35" spans="1:2">
      <c r="A35" s="1" t="s">
        <v>1064</v>
      </c>
      <c r="B35" s="1614">
        <v>1000000</v>
      </c>
    </row>
    <row r="36" spans="1:2">
      <c r="A36" s="1" t="s">
        <v>1065</v>
      </c>
      <c r="B36" s="1614" t="s">
        <v>1077</v>
      </c>
    </row>
    <row r="37" spans="1:2">
      <c r="A37" s="1" t="s">
        <v>1066</v>
      </c>
      <c r="B37" s="1614" t="s">
        <v>1067</v>
      </c>
    </row>
    <row r="38" spans="1:2">
      <c r="A38" s="1" t="s">
        <v>1068</v>
      </c>
      <c r="B38" s="1614" t="s">
        <v>1069</v>
      </c>
    </row>
    <row r="39" spans="1:2">
      <c r="A39" s="1" t="s">
        <v>1070</v>
      </c>
      <c r="B39" s="1614" t="s">
        <v>1078</v>
      </c>
    </row>
    <row r="40" spans="1:2">
      <c r="A40" s="1" t="s">
        <v>1071</v>
      </c>
      <c r="B40" s="1614">
        <v>1500005544</v>
      </c>
    </row>
    <row r="41" spans="1:2">
      <c r="A41" s="1" t="s">
        <v>1072</v>
      </c>
      <c r="B41" s="1614">
        <v>1</v>
      </c>
    </row>
    <row r="42" spans="1:2">
      <c r="A42" s="1616" t="s">
        <v>1073</v>
      </c>
      <c r="B42" s="1614" t="s">
        <v>1080</v>
      </c>
    </row>
    <row r="43" spans="1:2">
      <c r="A43" s="1" t="s">
        <v>1074</v>
      </c>
    </row>
  </sheetData>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1618" t="s">
        <v>1081</v>
      </c>
    </row>
    <row r="2" spans="1:1">
      <c r="A2" s="1618" t="s">
        <v>1086</v>
      </c>
    </row>
    <row r="3" spans="1:1">
      <c r="A3" s="1618" t="s">
        <v>1087</v>
      </c>
    </row>
    <row r="4" spans="1:1">
      <c r="A4" s="1618" t="s">
        <v>1088</v>
      </c>
    </row>
    <row r="5" spans="1:1">
      <c r="A5" s="1618" t="s">
        <v>1089</v>
      </c>
    </row>
    <row r="6" spans="1:1">
      <c r="A6" s="1618" t="s">
        <v>1082</v>
      </c>
    </row>
    <row r="7" spans="1:1">
      <c r="A7" s="1618" t="s">
        <v>1090</v>
      </c>
    </row>
    <row r="8" spans="1:1">
      <c r="A8" s="1618" t="s">
        <v>1091</v>
      </c>
    </row>
    <row r="9" spans="1:1">
      <c r="A9" s="1618" t="s">
        <v>1092</v>
      </c>
    </row>
    <row r="10" spans="1:1">
      <c r="A10" s="1618" t="s">
        <v>1083</v>
      </c>
    </row>
    <row r="11" spans="1:1">
      <c r="A11" s="1618" t="s">
        <v>1093</v>
      </c>
    </row>
    <row r="12" spans="1:1">
      <c r="A12" s="1618" t="s">
        <v>1084</v>
      </c>
    </row>
    <row r="13" spans="1:1">
      <c r="A13" s="1618" t="s">
        <v>1085</v>
      </c>
    </row>
  </sheetData>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2"/>
  <sheetViews>
    <sheetView workbookViewId="0"/>
  </sheetViews>
  <sheetFormatPr defaultRowHeight="12.75"/>
  <sheetData>
    <row r="1" spans="1:26">
      <c r="A1" t="s">
        <v>455</v>
      </c>
    </row>
    <row r="2" spans="1:26">
      <c r="A2" s="4" t="s">
        <v>53</v>
      </c>
      <c r="B2" s="4" t="s">
        <v>54</v>
      </c>
      <c r="C2" s="4" t="s">
        <v>451</v>
      </c>
      <c r="D2" s="4" t="s">
        <v>717</v>
      </c>
      <c r="E2" s="4" t="s">
        <v>329</v>
      </c>
      <c r="F2" s="4" t="s">
        <v>147</v>
      </c>
      <c r="G2" s="4" t="s">
        <v>330</v>
      </c>
      <c r="H2" s="4" t="s">
        <v>147</v>
      </c>
      <c r="I2" s="4" t="s">
        <v>454</v>
      </c>
      <c r="J2" s="4" t="s">
        <v>452</v>
      </c>
      <c r="K2" s="4" t="s">
        <v>450</v>
      </c>
      <c r="L2" s="4" t="s">
        <v>262</v>
      </c>
      <c r="M2" s="4" t="s">
        <v>331</v>
      </c>
      <c r="N2" s="4" t="s">
        <v>147</v>
      </c>
      <c r="O2" s="4" t="s">
        <v>337</v>
      </c>
      <c r="P2" s="4" t="s">
        <v>262</v>
      </c>
      <c r="Q2" s="4" t="s">
        <v>50</v>
      </c>
      <c r="R2" s="4" t="s">
        <v>147</v>
      </c>
      <c r="S2" s="4" t="s">
        <v>332</v>
      </c>
      <c r="T2" s="4" t="s">
        <v>147</v>
      </c>
      <c r="U2" s="4" t="s">
        <v>48</v>
      </c>
      <c r="V2" s="4" t="s">
        <v>262</v>
      </c>
      <c r="W2" s="4" t="s">
        <v>49</v>
      </c>
      <c r="X2" s="4" t="s">
        <v>51</v>
      </c>
      <c r="Y2" s="4" t="s">
        <v>453</v>
      </c>
      <c r="Z2" s="4" t="s">
        <v>456</v>
      </c>
    </row>
  </sheetData>
  <phoneticPr fontId="10"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1"/>
  <sheetViews>
    <sheetView workbookViewId="0"/>
  </sheetViews>
  <sheetFormatPr defaultRowHeight="12.75"/>
  <sheetData>
    <row r="1" spans="1:2">
      <c r="B1" t="s">
        <v>46</v>
      </c>
    </row>
  </sheetData>
  <phoneticPr fontId="10"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5a861c1d-926a-4e72-9ac8-c5f9ad7fc896</GUID>
    <SOURCETYPE>Chart</SOURCETYPE>
    <SOURCE_OBJECTNAME>MWA_Risk_Reward</SOURCE_OBJECTNAME>
    <SOURCE_SHEETCODE>MWRSSData</SOURCE_SHEETCODE>
    <SOURCE_SHEETNAME>MWA RR</SOURCE_SHEETNAME>
    <OBJECTTYPE>Native</OBJECTTYPE>
    <SOURCEAPPLICATION>EXCEL_SOURCE</SOURCEAPPLICATION>
    <UPDATEDAT>5/13/2015 7:43:00 PM</UPDATEDAT>
    <SOURCE_ISOUTOFDATE>False</SOURCE_ISOUTOFDATE>
    <SOURCE_WORKBOOKNAME>JCP_Model.xls</SOURCE_WORKBOOKNAME>
    <SOURCE_WORKBOOKPATH>\\MSAD\ROOT\NA\NY\LIB\ER\RETAIL\Greenberger\Companies\JCP\Model</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/MSResearch/Content/ExternalAssets/2014-11/Images/3AiRzzVG2E2Ch75fwaQ9JA--.png</TARGET_BINARYFULLNAME>
    <TARGET_STORYFULLNAME>/MSResearch/Content/ExternalAssets/2014-11/Sections/20141112_064119_MWA_Risk_Reward.xml</TARGET_STORYFULLNAME>
    <TARGET_UUID>66f8e176-6ac5-11e4-a3c3-17411572f345</TARGET_UUID>
    <LINKSTATUS>Unknown</LINKSTATUS>
  </Link>
  <Link>
    <GUID>3d53e919-72ce-4af5-af9d-f0fc79779f43</GUID>
    <SOURCE_ALTADDRESS>$S$53:$Y$60</SOURCE_ALTADDRESS>
    <SOURCETYPE>Table</SOURCETYPE>
    <SOURCE_OBJECTNAME>Linking_Range_39</SOURCE_OBJECTNAME>
    <OBJECTTYPE>Native</OBJECTTYPE>
    <SOURCE_SHEETCODE>Sheet22</SOURCE_SHEETCODE>
    <SOURCE_SHEETNAME>Valuation</SOURCE_SHEETNAME>
    <SOURCEAPPLICATION>EXCEL_SOURCE</SOURCEAPPLICATION>
    <UPDATEDAT>5/14/2015 7:41:24 AM</UPDATEDAT>
    <SOURCE_ISOUTOFDATE>False</SOURCE_ISOUTOFDATE>
    <SOURCE_WORKBOOKNAME>JCP_Model.xls</SOURCE_WORKBOOKNAME>
    <SOURCE_WORKBOOKPATH>\\MSAD\ROOT\NA\NY\LIB\ER\RETAIL\Greenberger\Companies\JCP\Model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/MSResearch/Content/ExternalAssets/2014-11/Images/fNgDyPoIkaFimz8hFGU1w--.png</TARGET_BINARYFULLNAME>
    <TARGET_STORYFULLNAME>/MSResearch/Content/ExternalAssets/2014-11/Sections/20141112_070801_Linking_Range_39.xml</TARGET_STORYFULLNAME>
    <TARGET_UUID>21bee03e-6ac9-11e4-a3c3-17411572f345</TARGET_UUID>
    <LINKSTATUS>Unknown</LINKSTATUS>
  </Link>
  <Link>
    <GUID>e2d44d7f-0243-45ae-9bbb-924ae1d4ec81</GUID>
    <SOURCE_ALTADDRESS>$E$25:$L$32</SOURCE_ALTADDRESS>
    <SOURCETYPE>Table</SOURCETYPE>
    <SOURCE_OBJECTNAME>Linking_Range_40</SOURCE_OBJECTNAME>
    <OBJECTTYPE>Native</OBJECTTYPE>
    <SOURCE_SHEETCODE>Sheet22</SOURCE_SHEETCODE>
    <SOURCE_SHEETNAME>Valuation</SOURCE_SHEETNAME>
    <SOURCEAPPLICATION>EXCEL_SOURCE</SOURCEAPPLICATION>
    <UPDATEDAT>5/14/2015 7:41:24 AM</UPDATEDAT>
    <SOURCE_ISOUTOFDATE>False</SOURCE_ISOUTOFDATE>
    <SOURCE_WORKBOOKNAME>JCP_Model.xls</SOURCE_WORKBOOKNAME>
    <SOURCE_WORKBOOKPATH>\\MSAD\ROOT\NA\NY\LIB\ER\RETAIL\Greenberger\Companies\JCP\Model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/MSResearch/Content/ExternalAssets/2014-11/Images/KLEbSg_AdiYAfJM6bwpqg--.png</TARGET_BINARYFULLNAME>
    <TARGET_STORYFULLNAME>/MSResearch/Content/ExternalAssets/2014-11/Sections/20141112_070947_Linking_Range_4.xml</TARGET_STORYFULLNAME>
    <TARGET_UUID>60ff3816-6ac9-11e4-a3c3-17411572f345</TARGET_UUID>
    <LINKSTATUS>Unknown</LINKSTATUS>
  </Link>
  <Link>
    <GUID>592e00a8-3ae7-4f91-9e02-2eaa7c377020</GUID>
    <SOURCE_ALTADDRESS>$E$53:$Q$68</SOURCE_ALTADDRESS>
    <SOURCETYPE>Table</SOURCETYPE>
    <SOURCE_OBJECTNAME>Linking_Range_38</SOURCE_OBJECTNAME>
    <OBJECTTYPE>Native</OBJECTTYPE>
    <SOURCE_SHEETCODE>Sheet22</SOURCE_SHEETCODE>
    <SOURCE_SHEETNAME>Valuation</SOURCE_SHEETNAME>
    <SOURCEAPPLICATION>EXCEL_SOURCE</SOURCEAPPLICATION>
    <UPDATEDAT>5/14/2015 7:41:26 AM</UPDATEDAT>
    <SOURCE_ISOUTOFDATE>False</SOURCE_ISOUTOFDATE>
    <SOURCE_WORKBOOKNAME>JCP_Model.xls</SOURCE_WORKBOOKNAME>
    <SOURCE_WORKBOOKPATH>\\MSAD\ROOT\NA\NY\LIB\ER\RETAIL\Greenberger\Companies\JCP\Model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/MSResearch/Content/ExternalAssets/2014-11/Images/wgUEMYApH63aEFRAKDQRw--.png</TARGET_BINARYFULLNAME>
    <TARGET_STORYFULLNAME>/MSResearch/Content/ExternalAssets/2014-11/Sections/20141112_070607_Linking_Range_38.xml</TARGET_STORYFULLNAME>
    <TARGET_UUID>dd872f52-6ac8-11e4-a3c3-17411572f345</TARGET_UUID>
    <LINKSTATUS>Unknown</LINKSTATUS>
    <TRANSPARENTBACKGROUND>False</TRANSPARENTBACKGROUND>
    <TRANSPARENTPLOTAREA>False</TRANSPARENTPLOTAREA>
    <EXTRACTSOURCEMODE>CopyToClipboard</EXTRACTSOURCEMODE>
  </Link>
  <Link>
    <GUID>e28333e3-048e-4e72-a3a2-179a9adf393b</GUID>
    <SOURCE_ALTADDRESS>$A$7:$FK$68</SOURCE_ALTADDRESS>
    <SOURCETYPE>Table</SOURCETYPE>
    <SOURCE_OBJECTNAME>Linking_Range_43</SOURCE_OBJECTNAME>
    <OBJECTTYPE>Native</OBJECTTYPE>
    <SOURCE_SHEETCODE>Sheet1</SOURCE_SHEETCODE>
    <SOURCE_SHEETNAME>sumry</SOURCE_SHEETNAME>
    <SOURCEAPPLICATION>EXCEL_SOURCE</SOURCEAPPLICATION>
    <UPDATEDAT>5/14/2015 7:44:29 AM</UPDATEDAT>
    <SOURCE_ISOUTOFDATE>False</SOURCE_ISOUTOFDATE>
    <SOURCE_WORKBOOKNAME>JCP_Model.xls</SOURCE_WORKBOOKNAME>
    <SOURCE_WORKBOOKPATH>\\MSAD\ROOT\NA\NY\LIB\ER\RETAIL\Greenberger\Companies\JCP\Model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/MSResearch/Content/ExternalAssets/2014-11/Images/ZcWHPD1k2kqu5mGQv3_aQ--.png</TARGET_BINARYFULLNAME>
    <TARGET_STORYFULLNAME>/MSResearch/Content/ExternalAssets/2014-11/Sections/20141112_064314_Linking_Range_43.xml</TARGET_STORYFULLNAME>
    <TARGET_UUID>ab5a6c36-6ac5-11e4-a3c3-17411572f345</TARGET_UUID>
    <TRANSPARENTBACKGROUND>False</TRANSPARENTBACKGROUND>
    <TRANSPARENTPLOTAREA>False</TRANSPARENTPLOTAREA>
    <EXTRACTSOURCEMODE>CopyToClipboard</EXTRACTSOURCEMODE>
    <LINKSTATUS>Unknown</LINKSTATUS>
  </Link>
  <Link>
    <GUID>4645034a-e405-40f6-9e88-45481db8d23a</GUID>
    <SOURCE_ALTADDRESS>$A$6:$AJ$49</SOURCE_ALTADDRESS>
    <SOURCETYPE>Table</SOURCETYPE>
    <SOURCE_OBJECTNAME>Linking_Range_44</SOURCE_OBJECTNAME>
    <OBJECTTYPE>Native</OBJECTTYPE>
    <SOURCE_SHEETCODE>Sheet9</SOURCE_SHEETCODE>
    <SOURCE_SHEETNAME>bal</SOURCE_SHEETNAME>
    <SOURCEAPPLICATION>EXCEL_SOURCE</SOURCEAPPLICATION>
    <UPDATEDAT>5/14/2015 7:44:52 AM</UPDATEDAT>
    <SOURCE_ISOUTOFDATE>False</SOURCE_ISOUTOFDATE>
    <SOURCE_WORKBOOKNAME>JCP_Model.xls</SOURCE_WORKBOOKNAME>
    <SOURCE_WORKBOOKPATH>\\MSAD\ROOT\NA\NY\LIB\ER\RETAIL\Greenberger\Companies\JCP\Model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/MSResearch/Content/ExternalAssets/2014-11/Images/1vtIbnPZdkWkUFH3yg7Gxw--.png</TARGET_BINARYFULLNAME>
    <TARGET_STORYFULLNAME>/MSResearch/Content/ExternalAssets/2014-11/Sections/20141112_064358_Linking_Range_44.xml</TARGET_STORYFULLNAME>
    <TARGET_UUID>c5a9ff20-6ac5-11e4-a3c3-17411572f345</TARGET_UUID>
    <TRANSPARENTBACKGROUND>False</TRANSPARENTBACKGROUND>
    <TRANSPARENTPLOTAREA>False</TRANSPARENTPLOTAREA>
    <EXTRACTSOURCEMODE>CopyToClipboard</EXTRACTSOURCEMODE>
    <LINKSTATUS>Unknown</LINKSTATUS>
  </Link>
  <Link>
    <GUID>b37f2efb-6a7f-4ed3-be2c-038d7e866210</GUID>
    <SOURCE_ALTADDRESS>$A$6:$AK$49</SOURCE_ALTADDRESS>
    <SOURCETYPE>Table</SOURCETYPE>
    <SOURCE_OBJECTNAME>Linking_Range_46</SOURCE_OBJECTNAME>
    <OBJECTTYPE>Native</OBJECTTYPE>
    <SOURCE_SHEETCODE>Sheet9</SOURCE_SHEETCODE>
    <SOURCE_SHEETNAME>bal</SOURCE_SHEETNAME>
    <SOURCEAPPLICATION>EXCEL_SOURCE</SOURCEAPPLICATION>
    <UPDATEDAT>5/14/2015 7:44:55 AM</UPDATEDAT>
    <SOURCE_ISOUTOFDATE>False</SOURCE_ISOUTOFDATE>
    <SOURCE_WORKBOOKNAME>JCP_Model.xls</SOURCE_WORKBOOKNAME>
    <SOURCE_WORKBOOKPATH>\\MSAD\ROOT\NA\NY\LIB\ER\RETAIL\Greenberger\Companies\JCP\Model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/MSResearch/Content/ExternalAssets/2015-05/Images/7VUh7qeuY06vWnHUxfrcfA--.png</TARGET_BINARYFULLNAME>
    <TARGET_STORYFULLNAME>/MSResearch/Content/ExternalAssets/2015-05/Sections/20150513_074709_Linking_Range_46.xml</TARGET_STORYFULLNAME>
    <TARGET_UUID>5e8de646-f9ca-11e4-b06e-39cc228b6d15</TARGET_UUID>
    <LINKSTATUS>Unknown</LINKSTATUS>
  </Link>
  <Link>
    <GUID>259531e3-7ceb-46b9-943c-f577b169294e</GUID>
    <SOURCE_ALTADDRESS>$A$6:$AJ$62</SOURCE_ALTADDRESS>
    <SOURCETYPE>Table</SOURCETYPE>
    <SOURCE_OBJECTNAME>Linking_Range_45</SOURCE_OBJECTNAME>
    <OBJECTTYPE>Native</OBJECTTYPE>
    <SOURCE_SHEETCODE>Sheet10</SOURCE_SHEETCODE>
    <SOURCE_SHEETNAME>flow</SOURCE_SHEETNAME>
    <SOURCEAPPLICATION>EXCEL_SOURCE</SOURCEAPPLICATION>
    <UPDATEDAT>5/14/2015 7:45:23 AM</UPDATEDAT>
    <SOURCE_ISOUTOFDATE>False</SOURCE_ISOUTOFDATE>
    <SOURCE_WORKBOOKNAME>JCP_Model.xls</SOURCE_WORKBOOKNAME>
    <SOURCE_WORKBOOKPATH>\\MSAD\ROOT\NA\NY\LIB\ER\RETAIL\Greenberger\Companies\JCP\Model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/MSResearch/Content/ExternalAssets/2014-11/Images/td3GZNkHmEWG34ygDiEwHQ--.png</TARGET_BINARYFULLNAME>
    <TARGET_STORYFULLNAME>/MSResearch/Content/ExternalAssets/2014-11/Sections/20141112_064436_Linking_Range_45.xml</TARGET_STORYFULLNAME>
    <TARGET_UUID>dc3e6d7a-6ac5-11e4-a3c3-17411572f345</TARGET_UUID>
    <TRANSPARENTBACKGROUND>False</TRANSPARENTBACKGROUND>
    <TRANSPARENTPLOTAREA>False</TRANSPARENTPLOTAREA>
    <EXTRACTSOURCEMODE>CopyToClipboard</EXTRACTSOURCEMODE>
    <LINKSTATUS>Unknown</LINKSTATUS>
  </Link>
  <Link>
    <GUID>d1505818-3427-4d8a-a3fb-23362d1f5ff7</GUID>
    <SOURCE_ALTADDRESS>$A$6:$AK$47</SOURCE_ALTADDRESS>
    <SOURCETYPE>Table</SOURCETYPE>
    <SOURCE_OBJECTNAME>Linking_Range_47</SOURCE_OBJECTNAME>
    <OBJECTTYPE>Native</OBJECTTYPE>
    <SOURCE_SHEETCODE>Sheet10</SOURCE_SHEETCODE>
    <SOURCE_SHEETNAME>flow</SOURCE_SHEETNAME>
    <SOURCEAPPLICATION>EXCEL_SOURCE</SOURCEAPPLICATION>
    <UPDATEDAT>5/14/2015 7:45:26 AM</UPDATEDAT>
    <SOURCE_ISOUTOFDATE>False</SOURCE_ISOUTOFDATE>
    <SOURCE_WORKBOOKNAME>JCP_Model.xls</SOURCE_WORKBOOKNAME>
    <SOURCE_WORKBOOKPATH>\\MSAD\ROOT\NA\NY\LIB\ER\RETAIL\Greenberger\Companies\JCP\Model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/MSResearch/Content/ExternalAssets/2015-05/Images/3uOF3lSTzk_2KFd5Y7LAyA--.png</TARGET_BINARYFULLNAME>
    <TARGET_STORYFULLNAME>/MSResearch/Content/ExternalAssets/2015-05/Sections/20150513_074733_Linking_Range_47.xml</TARGET_STORYFULLNAME>
    <TARGET_UUID>6cd94718-f9ca-11e4-b06e-39cc228b6d15</TARGET_UUID>
    <LINKSTATUS>Unknown</LINKSTATUS>
  </Link>
</lk:Links>
</file>

<file path=customXml/item2.xml><?xml version="1.0" encoding="utf-8"?>
<lkmtd:Metadata xmlns:lkmtd="thomsonreuters.linking.metadatachange">
  <MetadataChanged>1</MetadataChanged>
</lkmtd:Metadata>
</file>

<file path=customXml/itemProps1.xml><?xml version="1.0" encoding="utf-8"?>
<ds:datastoreItem xmlns:ds="http://schemas.openxmlformats.org/officeDocument/2006/customXml" ds:itemID="{276FEE36-B2AC-46C8-B9EF-B513D2D0BFCC}">
  <ds:schemaRefs>
    <ds:schemaRef ds:uri="thomsonreuters.linking.metadata"/>
  </ds:schemaRefs>
</ds:datastoreItem>
</file>

<file path=customXml/itemProps2.xml><?xml version="1.0" encoding="utf-8"?>
<ds:datastoreItem xmlns:ds="http://schemas.openxmlformats.org/officeDocument/2006/customXml" ds:itemID="{73014520-3C67-457C-A3C5-B91C858DF311}">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151</vt:i4>
      </vt:variant>
    </vt:vector>
  </HeadingPairs>
  <TitlesOfParts>
    <vt:vector size="170" baseType="lpstr">
      <vt:lpstr>ImportantDisclosures</vt:lpstr>
      <vt:lpstr>sumry</vt:lpstr>
      <vt:lpstr>Valuation</vt:lpstr>
      <vt:lpstr>BullBaseBear</vt:lpstr>
      <vt:lpstr>stores</vt:lpstr>
      <vt:lpstr>qtrP&amp;L</vt:lpstr>
      <vt:lpstr>qtrSales</vt:lpstr>
      <vt:lpstr>yrSales</vt:lpstr>
      <vt:lpstr>yrP&amp;L</vt:lpstr>
      <vt:lpstr>DCF</vt:lpstr>
      <vt:lpstr>qtr_CF_BS</vt:lpstr>
      <vt:lpstr>dtc</vt:lpstr>
      <vt:lpstr>wc</vt:lpstr>
      <vt:lpstr>flow</vt:lpstr>
      <vt:lpstr>bal</vt:lpstr>
      <vt:lpstr>turn</vt:lpstr>
      <vt:lpstr>Leases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DCF!Linking_1</vt:lpstr>
      <vt:lpstr>Linking_1</vt:lpstr>
      <vt:lpstr>Linking_10</vt:lpstr>
      <vt:lpstr>Linking_11</vt:lpstr>
      <vt:lpstr>Linking_12</vt:lpstr>
      <vt:lpstr>Linking_13</vt:lpstr>
      <vt:lpstr>Linking_14</vt:lpstr>
      <vt:lpstr>Linking_15</vt:lpstr>
      <vt:lpstr>Linking_2</vt:lpstr>
      <vt:lpstr>Linking_20</vt:lpstr>
      <vt:lpstr>Linking_4</vt:lpstr>
      <vt:lpstr>Linking_5</vt:lpstr>
      <vt:lpstr>Linking_6</vt:lpstr>
      <vt:lpstr>Linking_8</vt:lpstr>
      <vt:lpstr>Linking_9</vt:lpstr>
      <vt:lpstr>Linking_Range_10</vt:lpstr>
      <vt:lpstr>Linking_Range_11</vt:lpstr>
      <vt:lpstr>Linking_Range_12</vt:lpstr>
      <vt:lpstr>qtr_CF_BS!Linking_Range_13</vt:lpstr>
      <vt:lpstr>Linking_Range_13</vt:lpstr>
      <vt:lpstr>Linking_Range_14</vt:lpstr>
      <vt:lpstr>Linking_Range_15</vt:lpstr>
      <vt:lpstr>Linking_Range_16</vt:lpstr>
      <vt:lpstr>qtr_CF_BS!Linking_Range_17</vt:lpstr>
      <vt:lpstr>Linking_Range_17</vt:lpstr>
      <vt:lpstr>Linking_Range_21</vt:lpstr>
      <vt:lpstr>qtr_CF_BS!Linking_Range_23</vt:lpstr>
      <vt:lpstr>Linking_Range_23</vt:lpstr>
      <vt:lpstr>Linking_Range_27</vt:lpstr>
      <vt:lpstr>Linking_Range_28</vt:lpstr>
      <vt:lpstr>Linking_Range_29</vt:lpstr>
      <vt:lpstr>Linking_Range_30</vt:lpstr>
      <vt:lpstr>Linking_Range_31</vt:lpstr>
      <vt:lpstr>Linking_Range_32</vt:lpstr>
      <vt:lpstr>Linking_Range_33</vt:lpstr>
      <vt:lpstr>Linking_Range_34</vt:lpstr>
      <vt:lpstr>Linking_Range_35</vt:lpstr>
      <vt:lpstr>Linking_Range_36</vt:lpstr>
      <vt:lpstr>Linking_Range_37</vt:lpstr>
      <vt:lpstr>Linking_Range_38</vt:lpstr>
      <vt:lpstr>Linking_Range_39</vt:lpstr>
      <vt:lpstr>Linking_Range_4</vt:lpstr>
      <vt:lpstr>Linking_Range_40</vt:lpstr>
      <vt:lpstr>Linking_Range_41</vt:lpstr>
      <vt:lpstr>Linking_Range_42</vt:lpstr>
      <vt:lpstr>Linking_Range_43</vt:lpstr>
      <vt:lpstr>Linking_Range_44</vt:lpstr>
      <vt:lpstr>Linking_Range_45</vt:lpstr>
      <vt:lpstr>Linking_Range_46</vt:lpstr>
      <vt:lpstr>Linking_Range_47</vt:lpstr>
      <vt:lpstr>Linking_Range_5</vt:lpstr>
      <vt:lpstr>qtr_CF_BS!Linking_Range_6</vt:lpstr>
      <vt:lpstr>Linking_Range_6</vt:lpstr>
      <vt:lpstr>Linking_Range_7</vt:lpstr>
      <vt:lpstr>qtr_CF_BS!Linking_Range_8</vt:lpstr>
      <vt:lpstr>Linking_Range_8</vt:lpstr>
      <vt:lpstr>qtr_CF_BS!Linking_Range_9</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BullBaseBear!Print_Area</vt:lpstr>
      <vt:lpstr>dtc!Print_Area</vt:lpstr>
      <vt:lpstr>flow!Print_Area</vt:lpstr>
      <vt:lpstr>qtr_CF_BS!Print_Area</vt:lpstr>
      <vt:lpstr>'qtrP&amp;L'!Print_Area</vt:lpstr>
      <vt:lpstr>qtrSales!Print_Area</vt:lpstr>
      <vt:lpstr>sumry!Print_Area</vt:lpstr>
      <vt:lpstr>turn!Print_Area</vt:lpstr>
      <vt:lpstr>Valuation!Print_Area</vt:lpstr>
      <vt:lpstr>wc!Print_Area</vt:lpstr>
      <vt:lpstr>'yrP&amp;L'!Print_Area</vt:lpstr>
      <vt:lpstr>yrSales!Print_Area</vt:lpstr>
      <vt:lpstr>'qtrP&amp;L'!Print_Titles</vt:lpstr>
      <vt:lpstr>'yrP&amp;L'!Print_Titles</vt:lpstr>
      <vt:lpstr>yrSales!Print_Titles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lpstr>xbrlAssumption</vt:lpstr>
      <vt:lpstr>xbrlDates</vt:lpstr>
      <vt:lpstr>xbrlFormat</vt:lpstr>
      <vt:lpstr>xbrlLabels</vt:lpstr>
      <vt:lpstr>xbrlNames</vt:lpstr>
      <vt:lpstr>xbrlReverseSign</vt:lpstr>
      <vt:lpstr>xbrlScale</vt:lpstr>
      <vt:lpstr>xbrlSegment</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2011-05-09T22:38:47Z</dcterms:created>
  <dc:creator>sancfa</dc:creator>
  <cp:lastModifiedBy>De Courreges, Edouard (Research)</cp:lastModifiedBy>
  <cp:lastPrinted>2018-03-06T19:41:55Z</cp:lastPrinted>
  <dcterms:modified xsi:type="dcterms:W3CDTF">2018-04-09T16:49:32Z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47</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760298</vt:lpwstr>
  </property>
  <property fmtid="{D5CDD505-2E9C-101B-9397-08002B2CF9AE}" name="ERModPubCompanyName" pid="6">
    <vt:lpwstr>J.C. Penney Co.</vt:lpwstr>
  </property>
  <property fmtid="{D5CDD505-2E9C-101B-9397-08002B2CF9AE}" name="MSDH34TAG" pid="7">
    <vt:lpwstr>.TEZUF76X5TAHATHESADREYAK-00-INB160+*94600-06=fdee933a/-3c15/-11e8/-b3f7/-7a79cfe26848,MD=20180409130435/-0400,ZZ=000Z-af20.</vt:lpwstr>
  </property>
</Properties>
</file>